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energysolutionsonline-my.sharepoint.com/personal/slauer_energy-solution_com/Documents/Desktop/"/>
    </mc:Choice>
  </mc:AlternateContent>
  <xr:revisionPtr revIDLastSave="0" documentId="8_{445ACDE0-E964-4C6E-B927-EFF76CE83A42}" xr6:coauthVersionLast="47" xr6:coauthVersionMax="47" xr10:uidLastSave="{00000000-0000-0000-0000-000000000000}"/>
  <bookViews>
    <workbookView xWindow="-57720" yWindow="60" windowWidth="29040" windowHeight="15720" tabRatio="790" firstSheet="3" activeTab="3" xr2:uid="{2E24031F-3CC7-4389-AE04-F384291BEED1}"/>
  </bookViews>
  <sheets>
    <sheet name="Contact Information" sheetId="116" r:id="rId1"/>
    <sheet name="RatepayerCosts_160MW+50MW" sheetId="96" r:id="rId2"/>
    <sheet name="RatepayerCosts_160MW" sheetId="115" r:id="rId3"/>
    <sheet name="RatepayerCosts_50MW" sheetId="114" r:id="rId4"/>
    <sheet name="PGE Ratepayer Costs" sheetId="25" r:id="rId5"/>
    <sheet name="PAC Ratepayer Costs" sheetId="97" r:id="rId6"/>
    <sheet name="IPC Ratepayer Costs" sheetId="98" r:id="rId7"/>
    <sheet name="Unallocated Scenarios" sheetId="107" r:id="rId8"/>
    <sheet name="Project Operational Timelines" sheetId="108" r:id="rId9"/>
    <sheet name="Bill Credit Rates" sheetId="103" r:id="rId10"/>
    <sheet name="Monthly Report July 2025" sheetId="112" r:id="rId11"/>
    <sheet name="PA Costs 2019-2050" sheetId="62" r:id="rId12"/>
    <sheet name="PA Costs Actual" sheetId="105" r:id="rId13"/>
    <sheet name="PA + Project App Fees" sheetId="64" r:id="rId14"/>
    <sheet name="PA Fees by Project" sheetId="106" r:id="rId15"/>
    <sheet name="PA Fees Actual" sheetId="113" r:id="rId16"/>
    <sheet name="Program Inputs" sheetId="24" r:id="rId17"/>
  </sheets>
  <definedNames>
    <definedName name="_xlnm._FilterDatabase" localSheetId="10" hidden="1">'Monthly Report July 2025'!$A$6:$AB$86</definedName>
    <definedName name="_xlnm._FilterDatabase" localSheetId="15" hidden="1">'PA Fees Actual'!$A$4:$D$4</definedName>
    <definedName name="_xlnm._FilterDatabase" localSheetId="14" hidden="1">'PA Fees by Project'!$A$3:$XR$83</definedName>
    <definedName name="_xlnm._FilterDatabase" localSheetId="8" hidden="1">'Project Operational Timelines'!$A$2:$BT$82</definedName>
    <definedName name="_xlnm._FilterDatabase" localSheetId="7" hidden="1">'Unallocated Scenarios'!$A$19:$EG$39</definedName>
  </definedNames>
  <calcPr calcId="191028"/>
  <pivotCaches>
    <pivotCache cacheId="133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97" l="1" a="1"/>
  <c r="F83" i="97" s="1"/>
  <c r="F84" i="97" a="1"/>
  <c r="F84" i="97" s="1"/>
  <c r="F82" i="97" a="1"/>
  <c r="F82" i="97" s="1"/>
  <c r="F46" i="97" a="1"/>
  <c r="F46" i="97" s="1"/>
  <c r="F47" i="97" a="1"/>
  <c r="F47" i="97" s="1"/>
  <c r="F45" i="97" a="1"/>
  <c r="F45" i="97" s="1"/>
  <c r="F83" i="25" a="1"/>
  <c r="F83" i="25" s="1"/>
  <c r="F84" i="25" a="1"/>
  <c r="F84" i="25" s="1"/>
  <c r="F82" i="25" a="1"/>
  <c r="F82" i="25" s="1"/>
  <c r="F46" i="25" a="1"/>
  <c r="F46" i="25" s="1"/>
  <c r="F47" i="25" a="1"/>
  <c r="F47" i="25"/>
  <c r="F45" i="25" a="1"/>
  <c r="F45" i="25"/>
  <c r="Q9" i="112" l="1"/>
  <c r="Q11" i="112"/>
  <c r="Q12" i="112"/>
  <c r="Q13" i="112"/>
  <c r="Q17" i="112"/>
  <c r="Q23" i="112"/>
  <c r="Q24" i="112"/>
  <c r="Q25" i="112"/>
  <c r="Q26" i="112"/>
  <c r="Q30" i="112"/>
  <c r="Q31" i="112"/>
  <c r="Q35" i="112"/>
  <c r="Q36" i="112"/>
  <c r="Q39" i="112"/>
  <c r="Q41" i="112"/>
  <c r="Q42" i="112"/>
  <c r="Q43" i="112"/>
  <c r="Q46" i="112"/>
  <c r="Q47" i="112"/>
  <c r="Q50" i="112"/>
  <c r="Q52" i="112"/>
  <c r="Q53" i="112"/>
  <c r="Q55" i="112"/>
  <c r="Q56" i="112"/>
  <c r="Q57" i="112"/>
  <c r="Q58" i="112"/>
  <c r="Q62" i="112"/>
  <c r="Q63" i="112"/>
  <c r="Q65" i="112"/>
  <c r="Q68" i="112"/>
  <c r="Q69" i="112"/>
  <c r="Q70" i="112"/>
  <c r="Q71" i="112"/>
  <c r="Q73" i="112"/>
  <c r="Q74" i="112"/>
  <c r="Q75" i="112"/>
  <c r="Q78" i="112"/>
  <c r="Q79" i="112"/>
  <c r="Q80" i="112"/>
  <c r="Q81" i="112"/>
  <c r="Q82" i="112"/>
  <c r="Q83" i="112"/>
  <c r="Q84" i="112"/>
  <c r="Q85" i="112"/>
  <c r="Q86" i="112"/>
  <c r="M51" i="106" a="1"/>
  <c r="M51" i="106" s="1"/>
  <c r="V86" i="112"/>
  <c r="S86" i="112"/>
  <c r="V85" i="112"/>
  <c r="S85" i="112"/>
  <c r="V84" i="112"/>
  <c r="S84" i="112"/>
  <c r="V83" i="112"/>
  <c r="S83" i="112"/>
  <c r="V82" i="112"/>
  <c r="S82" i="112"/>
  <c r="V81" i="112"/>
  <c r="S81" i="112"/>
  <c r="V80" i="112"/>
  <c r="S80" i="112"/>
  <c r="V79" i="112"/>
  <c r="S79" i="112"/>
  <c r="V78" i="112"/>
  <c r="S78" i="112"/>
  <c r="V77" i="112"/>
  <c r="S77" i="112"/>
  <c r="V76" i="112"/>
  <c r="S76" i="112"/>
  <c r="V75" i="112"/>
  <c r="S75" i="112"/>
  <c r="V74" i="112"/>
  <c r="S74" i="112"/>
  <c r="V73" i="112"/>
  <c r="S73" i="112"/>
  <c r="V72" i="112"/>
  <c r="S72" i="112"/>
  <c r="V71" i="112"/>
  <c r="S71" i="112"/>
  <c r="V70" i="112"/>
  <c r="S70" i="112"/>
  <c r="V69" i="112"/>
  <c r="S69" i="112"/>
  <c r="V68" i="112"/>
  <c r="S68" i="112"/>
  <c r="S67" i="112"/>
  <c r="V66" i="112"/>
  <c r="S66" i="112"/>
  <c r="V65" i="112"/>
  <c r="S65" i="112"/>
  <c r="V64" i="112"/>
  <c r="S64" i="112"/>
  <c r="V63" i="112"/>
  <c r="S63" i="112"/>
  <c r="V62" i="112"/>
  <c r="S62" i="112"/>
  <c r="V61" i="112"/>
  <c r="S61" i="112"/>
  <c r="V60" i="112"/>
  <c r="S60" i="112"/>
  <c r="V59" i="112"/>
  <c r="S59" i="112"/>
  <c r="V58" i="112"/>
  <c r="S58" i="112"/>
  <c r="V57" i="112"/>
  <c r="S57" i="112"/>
  <c r="V56" i="112"/>
  <c r="S56" i="112"/>
  <c r="V55" i="112"/>
  <c r="S55" i="112"/>
  <c r="V54" i="112"/>
  <c r="S54" i="112"/>
  <c r="V53" i="112"/>
  <c r="S53" i="112"/>
  <c r="V52" i="112"/>
  <c r="S52" i="112"/>
  <c r="V51" i="112"/>
  <c r="S51" i="112"/>
  <c r="V50" i="112"/>
  <c r="S50" i="112"/>
  <c r="S49" i="112"/>
  <c r="V48" i="112"/>
  <c r="S48" i="112"/>
  <c r="V47" i="112"/>
  <c r="S47" i="112"/>
  <c r="V46" i="112"/>
  <c r="S46" i="112"/>
  <c r="V45" i="112"/>
  <c r="S45" i="112"/>
  <c r="V44" i="112"/>
  <c r="S44" i="112"/>
  <c r="V43" i="112"/>
  <c r="S43" i="112"/>
  <c r="V42" i="112"/>
  <c r="S42" i="112"/>
  <c r="V41" i="112"/>
  <c r="S41" i="112"/>
  <c r="V40" i="112"/>
  <c r="S40" i="112"/>
  <c r="V39" i="112"/>
  <c r="S39" i="112"/>
  <c r="V38" i="112"/>
  <c r="S38" i="112"/>
  <c r="V37" i="112"/>
  <c r="S37" i="112"/>
  <c r="V36" i="112"/>
  <c r="S36" i="112"/>
  <c r="V35" i="112"/>
  <c r="S35" i="112"/>
  <c r="V34" i="112"/>
  <c r="S34" i="112"/>
  <c r="V33" i="112"/>
  <c r="S33" i="112"/>
  <c r="V32" i="112"/>
  <c r="S32" i="112"/>
  <c r="V31" i="112"/>
  <c r="S31" i="112"/>
  <c r="V30" i="112"/>
  <c r="S30" i="112"/>
  <c r="S29" i="112"/>
  <c r="S28" i="112"/>
  <c r="V27" i="112"/>
  <c r="S27" i="112"/>
  <c r="V26" i="112"/>
  <c r="S26" i="112"/>
  <c r="V25" i="112"/>
  <c r="S25" i="112"/>
  <c r="V24" i="112"/>
  <c r="S24" i="112"/>
  <c r="V23" i="112"/>
  <c r="S23" i="112"/>
  <c r="V22" i="112"/>
  <c r="S22" i="112"/>
  <c r="V21" i="112"/>
  <c r="S21" i="112"/>
  <c r="V20" i="112"/>
  <c r="S20" i="112"/>
  <c r="V19" i="112"/>
  <c r="S19" i="112"/>
  <c r="V18" i="112"/>
  <c r="S18" i="112"/>
  <c r="V17" i="112"/>
  <c r="S17" i="112"/>
  <c r="V16" i="112"/>
  <c r="S16" i="112"/>
  <c r="V15" i="112"/>
  <c r="S15" i="112"/>
  <c r="V14" i="112"/>
  <c r="S14" i="112"/>
  <c r="V13" i="112"/>
  <c r="S13" i="112"/>
  <c r="V12" i="112"/>
  <c r="S12" i="112"/>
  <c r="V11" i="112"/>
  <c r="S11" i="112"/>
  <c r="V10" i="112"/>
  <c r="S10" i="112"/>
  <c r="V9" i="112"/>
  <c r="S9" i="112"/>
  <c r="V8" i="112"/>
  <c r="S8" i="112"/>
  <c r="V7" i="112"/>
  <c r="S7" i="112"/>
  <c r="B83" i="112"/>
  <c r="B84" i="112"/>
  <c r="B85" i="112"/>
  <c r="B86" i="112"/>
  <c r="I7" i="115" l="1"/>
  <c r="J7" i="115"/>
  <c r="K7" i="115"/>
  <c r="L7" i="115"/>
  <c r="M7" i="115"/>
  <c r="H7" i="115"/>
  <c r="B45" i="25" a="1"/>
  <c r="B45" i="25" s="1"/>
  <c r="H6" i="114" l="1"/>
  <c r="E6" i="114"/>
  <c r="B46" i="98" a="1"/>
  <c r="B46" i="98" s="1"/>
  <c r="B47" i="98" a="1"/>
  <c r="B47" i="98" s="1"/>
  <c r="B45" i="98" a="1"/>
  <c r="B45" i="98" s="1"/>
  <c r="B83" i="97" a="1"/>
  <c r="B83" i="97" s="1"/>
  <c r="B84" i="97" a="1"/>
  <c r="B84" i="97" s="1"/>
  <c r="B82" i="97" a="1"/>
  <c r="B82" i="97" s="1"/>
  <c r="B46" i="97" a="1"/>
  <c r="B46" i="97" s="1"/>
  <c r="B47" i="97" a="1"/>
  <c r="B47" i="97" s="1"/>
  <c r="B45" i="97" a="1"/>
  <c r="B45" i="97" s="1"/>
  <c r="B83" i="25" a="1"/>
  <c r="B83" i="25" s="1"/>
  <c r="B84" i="25" a="1"/>
  <c r="B84" i="25" s="1"/>
  <c r="B82" i="25" a="1"/>
  <c r="B82" i="25" s="1"/>
  <c r="B46" i="25" a="1"/>
  <c r="B46" i="25" s="1"/>
  <c r="B47" i="25" a="1"/>
  <c r="B47" i="25" s="1"/>
  <c r="I22" i="107" l="1"/>
  <c r="I24" i="107"/>
  <c r="I25" i="107"/>
  <c r="I27" i="107"/>
  <c r="I29" i="107"/>
  <c r="I30" i="107"/>
  <c r="I32" i="107"/>
  <c r="I34" i="107"/>
  <c r="I35" i="107"/>
  <c r="I37" i="107"/>
  <c r="I39" i="107"/>
  <c r="I20" i="107"/>
  <c r="A4" i="108" a="1"/>
  <c r="A4" i="108" s="1"/>
  <c r="A5" i="108" a="1"/>
  <c r="A5" i="108" s="1"/>
  <c r="A6" i="108" a="1"/>
  <c r="A6" i="108" s="1"/>
  <c r="A7" i="108" a="1"/>
  <c r="A7" i="108" s="1"/>
  <c r="A8" i="108" a="1"/>
  <c r="A8" i="108" s="1"/>
  <c r="A9" i="108" a="1"/>
  <c r="A9" i="108" s="1"/>
  <c r="A10" i="108" a="1"/>
  <c r="A10" i="108" s="1"/>
  <c r="A11" i="108" a="1"/>
  <c r="A11" i="108" s="1"/>
  <c r="A12" i="108" a="1"/>
  <c r="A12" i="108" s="1"/>
  <c r="A13" i="108" a="1"/>
  <c r="A13" i="108" s="1"/>
  <c r="A14" i="108" a="1"/>
  <c r="A14" i="108" s="1"/>
  <c r="A15" i="108" a="1"/>
  <c r="A15" i="108" s="1"/>
  <c r="A16" i="108" a="1"/>
  <c r="A16" i="108" s="1"/>
  <c r="A17" i="108" a="1"/>
  <c r="A17" i="108" s="1"/>
  <c r="A18" i="108" a="1"/>
  <c r="A18" i="108" s="1"/>
  <c r="A19" i="108" a="1"/>
  <c r="A19" i="108" s="1"/>
  <c r="A20" i="108" a="1"/>
  <c r="A20" i="108" s="1"/>
  <c r="A21" i="108" a="1"/>
  <c r="A21" i="108" s="1"/>
  <c r="A22" i="108" a="1"/>
  <c r="A22" i="108" s="1"/>
  <c r="A23" i="108" a="1"/>
  <c r="A23" i="108" s="1"/>
  <c r="A24" i="108" a="1"/>
  <c r="A24" i="108" s="1"/>
  <c r="A25" i="108" a="1"/>
  <c r="A25" i="108" s="1"/>
  <c r="A26" i="108" a="1"/>
  <c r="A26" i="108" s="1"/>
  <c r="A27" i="108" a="1"/>
  <c r="A27" i="108" s="1"/>
  <c r="A28" i="108" a="1"/>
  <c r="A28" i="108" s="1"/>
  <c r="A29" i="108" a="1"/>
  <c r="A29" i="108" s="1"/>
  <c r="A30" i="108" a="1"/>
  <c r="A30" i="108" s="1"/>
  <c r="A31" i="108" a="1"/>
  <c r="A31" i="108" s="1"/>
  <c r="A32" i="108" a="1"/>
  <c r="A32" i="108" s="1"/>
  <c r="A33" i="108" a="1"/>
  <c r="A33" i="108" s="1"/>
  <c r="A34" i="108" a="1"/>
  <c r="A34" i="108" s="1"/>
  <c r="A35" i="108" a="1"/>
  <c r="A35" i="108" s="1"/>
  <c r="A36" i="108" a="1"/>
  <c r="A36" i="108" s="1"/>
  <c r="A37" i="108" a="1"/>
  <c r="A37" i="108" s="1"/>
  <c r="A38" i="108" a="1"/>
  <c r="A38" i="108" s="1"/>
  <c r="A39" i="108" a="1"/>
  <c r="A39" i="108" s="1"/>
  <c r="A40" i="108" a="1"/>
  <c r="A40" i="108" s="1"/>
  <c r="A41" i="108" a="1"/>
  <c r="A41" i="108" s="1"/>
  <c r="A42" i="108" a="1"/>
  <c r="A42" i="108" s="1"/>
  <c r="A43" i="108" a="1"/>
  <c r="A43" i="108" s="1"/>
  <c r="A44" i="108" a="1"/>
  <c r="A44" i="108" s="1"/>
  <c r="A45" i="108" a="1"/>
  <c r="A45" i="108" s="1"/>
  <c r="A46" i="108" a="1"/>
  <c r="A46" i="108" s="1"/>
  <c r="A47" i="108" a="1"/>
  <c r="A47" i="108" s="1"/>
  <c r="A48" i="108" a="1"/>
  <c r="A48" i="108" s="1"/>
  <c r="A49" i="108" a="1"/>
  <c r="A49" i="108" s="1"/>
  <c r="A50" i="108" a="1"/>
  <c r="A50" i="108" s="1"/>
  <c r="A51" i="108" a="1"/>
  <c r="A51" i="108" s="1"/>
  <c r="A52" i="108" a="1"/>
  <c r="A52" i="108" s="1"/>
  <c r="A53" i="108" a="1"/>
  <c r="A53" i="108" s="1"/>
  <c r="A54" i="108" a="1"/>
  <c r="A54" i="108" s="1"/>
  <c r="A55" i="108" a="1"/>
  <c r="A55" i="108" s="1"/>
  <c r="A56" i="108" a="1"/>
  <c r="A56" i="108" s="1"/>
  <c r="A57" i="108" a="1"/>
  <c r="A57" i="108" s="1"/>
  <c r="A58" i="108" a="1"/>
  <c r="A58" i="108" s="1"/>
  <c r="A59" i="108" a="1"/>
  <c r="A59" i="108" s="1"/>
  <c r="A60" i="108" a="1"/>
  <c r="A60" i="108" s="1"/>
  <c r="A61" i="108" a="1"/>
  <c r="A61" i="108" s="1"/>
  <c r="A62" i="108" a="1"/>
  <c r="A62" i="108" s="1"/>
  <c r="A63" i="108" a="1"/>
  <c r="A63" i="108" s="1"/>
  <c r="A64" i="108" a="1"/>
  <c r="A64" i="108" s="1"/>
  <c r="A65" i="108" a="1"/>
  <c r="A65" i="108" s="1"/>
  <c r="A66" i="108" a="1"/>
  <c r="A66" i="108" s="1"/>
  <c r="A67" i="108" a="1"/>
  <c r="A67" i="108" s="1"/>
  <c r="A68" i="108" a="1"/>
  <c r="A68" i="108" s="1"/>
  <c r="A69" i="108" a="1"/>
  <c r="A69" i="108" s="1"/>
  <c r="A70" i="108" a="1"/>
  <c r="A70" i="108" s="1"/>
  <c r="A71" i="108" a="1"/>
  <c r="A71" i="108" s="1"/>
  <c r="A72" i="108" a="1"/>
  <c r="A72" i="108" s="1"/>
  <c r="A73" i="108" a="1"/>
  <c r="A73" i="108" s="1"/>
  <c r="A74" i="108" a="1"/>
  <c r="A74" i="108" s="1"/>
  <c r="A75" i="108" a="1"/>
  <c r="A75" i="108" s="1"/>
  <c r="A76" i="108" a="1"/>
  <c r="A76" i="108" s="1"/>
  <c r="A77" i="108" a="1"/>
  <c r="A77" i="108" s="1"/>
  <c r="A78" i="108" a="1"/>
  <c r="A78" i="108" s="1"/>
  <c r="A79" i="108" a="1"/>
  <c r="A79" i="108" s="1"/>
  <c r="A80" i="108" a="1"/>
  <c r="A80" i="108" s="1"/>
  <c r="A81" i="108" a="1"/>
  <c r="A81" i="108" s="1"/>
  <c r="A82" i="108" a="1"/>
  <c r="A82" i="108" s="1"/>
  <c r="A3" i="108" a="1"/>
  <c r="A3" i="108" s="1"/>
  <c r="B5" i="106" a="1"/>
  <c r="B5" i="106" s="1"/>
  <c r="B6" i="106" a="1"/>
  <c r="B6" i="106" s="1"/>
  <c r="B7" i="106" a="1"/>
  <c r="B7" i="106" s="1"/>
  <c r="B8" i="106" a="1"/>
  <c r="B8" i="106" s="1"/>
  <c r="B9" i="106" a="1"/>
  <c r="B9" i="106" s="1"/>
  <c r="B10" i="106" a="1"/>
  <c r="B10" i="106" s="1"/>
  <c r="B11" i="106" a="1"/>
  <c r="B11" i="106" s="1"/>
  <c r="B12" i="106" a="1"/>
  <c r="B12" i="106" s="1"/>
  <c r="B13" i="106" a="1"/>
  <c r="B13" i="106" s="1"/>
  <c r="B14" i="106" a="1"/>
  <c r="B14" i="106" s="1"/>
  <c r="B15" i="106" a="1"/>
  <c r="B15" i="106" s="1"/>
  <c r="B16" i="106" a="1"/>
  <c r="B16" i="106" s="1"/>
  <c r="B17" i="106" a="1"/>
  <c r="B17" i="106" s="1"/>
  <c r="B18" i="106" a="1"/>
  <c r="B18" i="106" s="1"/>
  <c r="B19" i="106" a="1"/>
  <c r="B19" i="106" s="1"/>
  <c r="B20" i="106" a="1"/>
  <c r="B20" i="106" s="1"/>
  <c r="B21" i="106" a="1"/>
  <c r="B21" i="106" s="1"/>
  <c r="B22" i="106" a="1"/>
  <c r="B22" i="106" s="1"/>
  <c r="B23" i="106" a="1"/>
  <c r="B23" i="106" s="1"/>
  <c r="B24" i="106" a="1"/>
  <c r="B24" i="106" s="1"/>
  <c r="B25" i="106" a="1"/>
  <c r="B25" i="106" s="1"/>
  <c r="B26" i="106" a="1"/>
  <c r="B26" i="106" s="1"/>
  <c r="B27" i="106" a="1"/>
  <c r="B27" i="106" s="1"/>
  <c r="B28" i="106" a="1"/>
  <c r="B28" i="106" s="1"/>
  <c r="B29" i="106" a="1"/>
  <c r="B29" i="106" s="1"/>
  <c r="B30" i="106" a="1"/>
  <c r="B30" i="106" s="1"/>
  <c r="B31" i="106" a="1"/>
  <c r="B31" i="106" s="1"/>
  <c r="B32" i="106" a="1"/>
  <c r="B32" i="106" s="1"/>
  <c r="B33" i="106" a="1"/>
  <c r="B33" i="106" s="1"/>
  <c r="B34" i="106" a="1"/>
  <c r="B34" i="106" s="1"/>
  <c r="B35" i="106" a="1"/>
  <c r="B35" i="106" s="1"/>
  <c r="B36" i="106" a="1"/>
  <c r="B36" i="106" s="1"/>
  <c r="B37" i="106" a="1"/>
  <c r="B37" i="106" s="1"/>
  <c r="B38" i="106" a="1"/>
  <c r="B38" i="106" s="1"/>
  <c r="B39" i="106" a="1"/>
  <c r="B39" i="106" s="1"/>
  <c r="B40" i="106" a="1"/>
  <c r="B40" i="106" s="1"/>
  <c r="B41" i="106" a="1"/>
  <c r="B41" i="106" s="1"/>
  <c r="B42" i="106" a="1"/>
  <c r="B42" i="106" s="1"/>
  <c r="B43" i="106" a="1"/>
  <c r="B43" i="106" s="1"/>
  <c r="B44" i="106" a="1"/>
  <c r="B44" i="106" s="1"/>
  <c r="B45" i="106" a="1"/>
  <c r="B45" i="106" s="1"/>
  <c r="B46" i="106" a="1"/>
  <c r="B46" i="106" s="1"/>
  <c r="B47" i="106" a="1"/>
  <c r="B47" i="106" s="1"/>
  <c r="B48" i="106" a="1"/>
  <c r="B48" i="106" s="1"/>
  <c r="B49" i="106" a="1"/>
  <c r="B49" i="106" s="1"/>
  <c r="B50" i="106" a="1"/>
  <c r="B50" i="106" s="1"/>
  <c r="B51" i="106" a="1"/>
  <c r="B51" i="106" s="1"/>
  <c r="B52" i="106" a="1"/>
  <c r="B52" i="106" s="1"/>
  <c r="B53" i="106" a="1"/>
  <c r="B53" i="106" s="1"/>
  <c r="B54" i="106" a="1"/>
  <c r="B54" i="106" s="1"/>
  <c r="B55" i="106" a="1"/>
  <c r="B55" i="106" s="1"/>
  <c r="B56" i="106" a="1"/>
  <c r="B56" i="106" s="1"/>
  <c r="B57" i="106" a="1"/>
  <c r="B57" i="106" s="1"/>
  <c r="B58" i="106" a="1"/>
  <c r="B58" i="106" s="1"/>
  <c r="B59" i="106" a="1"/>
  <c r="B59" i="106" s="1"/>
  <c r="B60" i="106" a="1"/>
  <c r="B60" i="106" s="1"/>
  <c r="B61" i="106" a="1"/>
  <c r="B61" i="106" s="1"/>
  <c r="B62" i="106" a="1"/>
  <c r="B62" i="106" s="1"/>
  <c r="B63" i="106" a="1"/>
  <c r="B63" i="106" s="1"/>
  <c r="B64" i="106" a="1"/>
  <c r="B64" i="106" s="1"/>
  <c r="B65" i="106" a="1"/>
  <c r="B65" i="106" s="1"/>
  <c r="B66" i="106" a="1"/>
  <c r="B66" i="106" s="1"/>
  <c r="B67" i="106" a="1"/>
  <c r="B67" i="106" s="1"/>
  <c r="B68" i="106" a="1"/>
  <c r="B68" i="106" s="1"/>
  <c r="B69" i="106" a="1"/>
  <c r="B69" i="106" s="1"/>
  <c r="B70" i="106" a="1"/>
  <c r="B70" i="106" s="1"/>
  <c r="B71" i="106" a="1"/>
  <c r="B71" i="106" s="1"/>
  <c r="B72" i="106" a="1"/>
  <c r="B72" i="106" s="1"/>
  <c r="B73" i="106" a="1"/>
  <c r="B73" i="106" s="1"/>
  <c r="B74" i="106" a="1"/>
  <c r="B74" i="106" s="1"/>
  <c r="B75" i="106" a="1"/>
  <c r="B75" i="106" s="1"/>
  <c r="B76" i="106" a="1"/>
  <c r="B76" i="106" s="1"/>
  <c r="B77" i="106" a="1"/>
  <c r="B77" i="106" s="1"/>
  <c r="B78" i="106" a="1"/>
  <c r="B78" i="106" s="1"/>
  <c r="B79" i="106" a="1"/>
  <c r="B79" i="106" s="1"/>
  <c r="B80" i="106" a="1"/>
  <c r="B80" i="106" s="1"/>
  <c r="B81" i="106" a="1"/>
  <c r="B81" i="106" s="1"/>
  <c r="B82" i="106" a="1"/>
  <c r="B82" i="106" s="1"/>
  <c r="B83" i="106" a="1"/>
  <c r="B83" i="106" s="1"/>
  <c r="B4" i="106" a="1"/>
  <c r="B4" i="106" s="1"/>
  <c r="C42" i="64" l="1"/>
  <c r="D42" i="64"/>
  <c r="E42" i="64"/>
  <c r="C43" i="64"/>
  <c r="D43" i="64"/>
  <c r="E43" i="64"/>
  <c r="C44" i="64"/>
  <c r="D44" i="64"/>
  <c r="E44" i="64"/>
  <c r="C45" i="64"/>
  <c r="D45" i="64"/>
  <c r="E45" i="64"/>
  <c r="D41" i="64"/>
  <c r="E41" i="64"/>
  <c r="C41" i="64"/>
  <c r="K123" i="64" a="1"/>
  <c r="K123" i="64" s="1"/>
  <c r="K54" i="64" a="1"/>
  <c r="K54" i="64"/>
  <c r="K55" i="64" a="1"/>
  <c r="K55" i="64" s="1"/>
  <c r="K56" i="64" a="1"/>
  <c r="K56" i="64"/>
  <c r="K57" i="64" a="1"/>
  <c r="K57" i="64" s="1"/>
  <c r="K58" i="64" a="1"/>
  <c r="K58" i="64" s="1"/>
  <c r="K59" i="64" a="1"/>
  <c r="K59" i="64"/>
  <c r="K60" i="64" a="1"/>
  <c r="K60" i="64" s="1"/>
  <c r="K61" i="64" a="1"/>
  <c r="K61" i="64" s="1"/>
  <c r="K62" i="64" a="1"/>
  <c r="K62" i="64"/>
  <c r="K63" i="64" a="1"/>
  <c r="K63" i="64" s="1"/>
  <c r="K64" i="64" a="1"/>
  <c r="K64" i="64" s="1"/>
  <c r="K65" i="64" a="1"/>
  <c r="K65" i="64"/>
  <c r="K66" i="64" a="1"/>
  <c r="K66" i="64" s="1"/>
  <c r="K67" i="64" a="1"/>
  <c r="K67" i="64" s="1"/>
  <c r="K68" i="64" a="1"/>
  <c r="K68" i="64"/>
  <c r="K69" i="64" a="1"/>
  <c r="K69" i="64" s="1"/>
  <c r="K70" i="64" a="1"/>
  <c r="K70" i="64" s="1"/>
  <c r="K71" i="64" a="1"/>
  <c r="K71" i="64"/>
  <c r="K72" i="64" a="1"/>
  <c r="K72" i="64" s="1"/>
  <c r="K73" i="64" a="1"/>
  <c r="K73" i="64" s="1"/>
  <c r="K74" i="64" a="1"/>
  <c r="K74" i="64"/>
  <c r="K75" i="64" a="1"/>
  <c r="K75" i="64" s="1"/>
  <c r="K76" i="64" a="1"/>
  <c r="K76" i="64" s="1"/>
  <c r="K77" i="64" a="1"/>
  <c r="K77" i="64"/>
  <c r="K78" i="64" a="1"/>
  <c r="K78" i="64" s="1"/>
  <c r="K79" i="64" a="1"/>
  <c r="K79" i="64" s="1"/>
  <c r="K80" i="64" a="1"/>
  <c r="K80" i="64"/>
  <c r="K81" i="64" a="1"/>
  <c r="K81" i="64" s="1"/>
  <c r="K82" i="64" a="1"/>
  <c r="K82" i="64" s="1"/>
  <c r="K83" i="64" a="1"/>
  <c r="K83" i="64"/>
  <c r="K84" i="64" a="1"/>
  <c r="K84" i="64" s="1"/>
  <c r="K85" i="64" a="1"/>
  <c r="K85" i="64" s="1"/>
  <c r="K86" i="64" a="1"/>
  <c r="K86" i="64"/>
  <c r="K87" i="64" a="1"/>
  <c r="K87" i="64" s="1"/>
  <c r="K88" i="64" a="1"/>
  <c r="K88" i="64" s="1"/>
  <c r="K89" i="64" a="1"/>
  <c r="K89" i="64"/>
  <c r="K90" i="64" a="1"/>
  <c r="K90" i="64" s="1"/>
  <c r="K91" i="64" a="1"/>
  <c r="K91" i="64" s="1"/>
  <c r="K92" i="64" a="1"/>
  <c r="K92" i="64"/>
  <c r="K93" i="64" a="1"/>
  <c r="K93" i="64" s="1"/>
  <c r="K94" i="64" a="1"/>
  <c r="K94" i="64" s="1"/>
  <c r="K95" i="64" a="1"/>
  <c r="K95" i="64"/>
  <c r="K96" i="64" a="1"/>
  <c r="K96" i="64" s="1"/>
  <c r="K97" i="64" a="1"/>
  <c r="K97" i="64" s="1"/>
  <c r="K98" i="64" a="1"/>
  <c r="K98" i="64"/>
  <c r="K99" i="64" a="1"/>
  <c r="K99" i="64" s="1"/>
  <c r="K100" i="64" a="1"/>
  <c r="K100" i="64" s="1"/>
  <c r="K101" i="64" a="1"/>
  <c r="K101" i="64"/>
  <c r="K102" i="64" a="1"/>
  <c r="K102" i="64" s="1"/>
  <c r="K103" i="64" a="1"/>
  <c r="K103" i="64" s="1"/>
  <c r="K104" i="64" a="1"/>
  <c r="K104" i="64"/>
  <c r="K105" i="64" a="1"/>
  <c r="K105" i="64" s="1"/>
  <c r="K106" i="64" a="1"/>
  <c r="K106" i="64" s="1"/>
  <c r="K107" i="64" a="1"/>
  <c r="K107" i="64"/>
  <c r="K108" i="64" a="1"/>
  <c r="K108" i="64" s="1"/>
  <c r="K109" i="64" a="1"/>
  <c r="K109" i="64" s="1"/>
  <c r="K110" i="64" a="1"/>
  <c r="K110" i="64"/>
  <c r="K111" i="64" a="1"/>
  <c r="K111" i="64" s="1"/>
  <c r="K112" i="64" a="1"/>
  <c r="K112" i="64" s="1"/>
  <c r="K113" i="64" a="1"/>
  <c r="K113" i="64"/>
  <c r="K114" i="64" a="1"/>
  <c r="K114" i="64" s="1"/>
  <c r="K115" i="64" a="1"/>
  <c r="K115" i="64" s="1"/>
  <c r="K116" i="64" a="1"/>
  <c r="K116" i="64"/>
  <c r="K117" i="64" a="1"/>
  <c r="K117" i="64" s="1"/>
  <c r="K118" i="64" a="1"/>
  <c r="K118" i="64" s="1"/>
  <c r="K119" i="64" a="1"/>
  <c r="K119" i="64"/>
  <c r="K120" i="64" a="1"/>
  <c r="K120" i="64" s="1"/>
  <c r="K121" i="64" a="1"/>
  <c r="K121" i="64" s="1"/>
  <c r="K122" i="64" a="1"/>
  <c r="K122" i="64"/>
  <c r="K124" i="64" a="1"/>
  <c r="K124" i="64" s="1"/>
  <c r="K125" i="64" a="1"/>
  <c r="K125" i="64"/>
  <c r="K126" i="64" a="1"/>
  <c r="K126" i="64" s="1"/>
  <c r="K127" i="64" a="1"/>
  <c r="K127" i="64" s="1"/>
  <c r="K128" i="64" a="1"/>
  <c r="K128" i="64"/>
  <c r="K129" i="64" a="1"/>
  <c r="K129" i="64" s="1"/>
  <c r="K130" i="64" a="1"/>
  <c r="K130" i="64" s="1"/>
  <c r="K131" i="64" a="1"/>
  <c r="K131" i="64"/>
  <c r="K132" i="64" a="1"/>
  <c r="K132" i="64" s="1"/>
  <c r="K133" i="64" a="1"/>
  <c r="K133" i="64" s="1"/>
  <c r="K134" i="64" a="1"/>
  <c r="K134" i="64"/>
  <c r="K41" i="64" a="1"/>
  <c r="K41" i="64" s="1"/>
  <c r="K42" i="64" a="1"/>
  <c r="K42" i="64" s="1"/>
  <c r="K43" i="64" a="1"/>
  <c r="K43" i="64" s="1"/>
  <c r="K44" i="64" a="1"/>
  <c r="K44" i="64" s="1"/>
  <c r="K45" i="64" a="1"/>
  <c r="K45" i="64"/>
  <c r="K46" i="64" a="1"/>
  <c r="K46" i="64" s="1"/>
  <c r="K47" i="64" a="1"/>
  <c r="K47" i="64" s="1"/>
  <c r="K48" i="64" a="1"/>
  <c r="K48" i="64" s="1"/>
  <c r="K49" i="64" a="1"/>
  <c r="K49" i="64" s="1"/>
  <c r="K50" i="64" a="1"/>
  <c r="K50" i="64" s="1"/>
  <c r="K51" i="64" a="1"/>
  <c r="K51" i="64" s="1"/>
  <c r="K52" i="64" a="1"/>
  <c r="K52" i="64"/>
  <c r="K53" i="64" a="1"/>
  <c r="K53" i="64" s="1"/>
  <c r="K40" i="64" a="1"/>
  <c r="K40" i="64" s="1"/>
  <c r="H6" i="96"/>
  <c r="C10" i="114" l="1"/>
  <c r="G6" i="96"/>
  <c r="P31" i="24"/>
  <c r="P30" i="24"/>
  <c r="P27" i="24"/>
  <c r="P26" i="24"/>
  <c r="P23" i="24"/>
  <c r="P22" i="24"/>
  <c r="A6" i="98"/>
  <c r="A6" i="97"/>
  <c r="A6" i="25"/>
  <c r="A43" i="98"/>
  <c r="A80" i="97"/>
  <c r="A43" i="97"/>
  <c r="A80" i="25"/>
  <c r="A43" i="25"/>
  <c r="E5" i="96" l="1"/>
  <c r="E4" i="96"/>
  <c r="D6" i="96"/>
  <c r="D5" i="96"/>
  <c r="D4" i="96"/>
  <c r="AI14" i="96"/>
  <c r="AI14" i="114" s="1"/>
  <c r="D80" i="105"/>
  <c r="D81" i="105" s="1"/>
  <c r="D82" i="105" s="1"/>
  <c r="J8" i="97"/>
  <c r="D83" i="105" l="1"/>
  <c r="D84" i="105" s="1"/>
  <c r="D85" i="105" l="1"/>
  <c r="BS46" i="98"/>
  <c r="BT46" i="98"/>
  <c r="BU46" i="98"/>
  <c r="BV46" i="98"/>
  <c r="BW46" i="98"/>
  <c r="BX46" i="98"/>
  <c r="BY46" i="98"/>
  <c r="BZ46" i="98"/>
  <c r="CA46" i="98"/>
  <c r="CB46" i="98"/>
  <c r="CC46" i="98"/>
  <c r="CD46" i="98"/>
  <c r="BS47" i="98"/>
  <c r="BT47" i="98"/>
  <c r="BU47" i="98"/>
  <c r="BV47" i="98"/>
  <c r="BW47" i="98"/>
  <c r="BX47" i="98"/>
  <c r="BY47" i="98"/>
  <c r="BZ47" i="98"/>
  <c r="CA47" i="98"/>
  <c r="CB47" i="98"/>
  <c r="CC47" i="98"/>
  <c r="CD47" i="98"/>
  <c r="BS48" i="98"/>
  <c r="BT48" i="98"/>
  <c r="BU48" i="98"/>
  <c r="BV48" i="98"/>
  <c r="BW48" i="98"/>
  <c r="BX48" i="98"/>
  <c r="BY48" i="98"/>
  <c r="BZ48" i="98"/>
  <c r="CA48" i="98"/>
  <c r="CB48" i="98"/>
  <c r="CC48" i="98"/>
  <c r="CD48" i="98"/>
  <c r="BS49" i="98"/>
  <c r="BT49" i="98"/>
  <c r="BU49" i="98"/>
  <c r="BV49" i="98"/>
  <c r="BW49" i="98"/>
  <c r="BX49" i="98"/>
  <c r="BY49" i="98"/>
  <c r="BZ49" i="98"/>
  <c r="CA49" i="98"/>
  <c r="CB49" i="98"/>
  <c r="CC49" i="98"/>
  <c r="CD49" i="98"/>
  <c r="BS50" i="98"/>
  <c r="BT50" i="98"/>
  <c r="BU50" i="98"/>
  <c r="BV50" i="98"/>
  <c r="BW50" i="98"/>
  <c r="BX50" i="98"/>
  <c r="BY50" i="98"/>
  <c r="BZ50" i="98"/>
  <c r="CA50" i="98"/>
  <c r="CB50" i="98"/>
  <c r="CC50" i="98"/>
  <c r="CD50" i="98"/>
  <c r="BS51" i="98"/>
  <c r="BT51" i="98"/>
  <c r="BU51" i="98"/>
  <c r="BV51" i="98"/>
  <c r="BW51" i="98"/>
  <c r="BX51" i="98"/>
  <c r="BY51" i="98"/>
  <c r="BZ51" i="98"/>
  <c r="CA51" i="98"/>
  <c r="CB51" i="98"/>
  <c r="CC51" i="98"/>
  <c r="CD51" i="98"/>
  <c r="BS52" i="98"/>
  <c r="BT52" i="98"/>
  <c r="BU52" i="98"/>
  <c r="BV52" i="98"/>
  <c r="BW52" i="98"/>
  <c r="BX52" i="98"/>
  <c r="BY52" i="98"/>
  <c r="BZ52" i="98"/>
  <c r="CA52" i="98"/>
  <c r="CB52" i="98"/>
  <c r="CC52" i="98"/>
  <c r="CD52" i="98"/>
  <c r="BS53" i="98"/>
  <c r="BT53" i="98"/>
  <c r="BU53" i="98"/>
  <c r="BV53" i="98"/>
  <c r="BW53" i="98"/>
  <c r="BX53" i="98"/>
  <c r="BY53" i="98"/>
  <c r="BZ53" i="98"/>
  <c r="CA53" i="98"/>
  <c r="CB53" i="98"/>
  <c r="CC53" i="98"/>
  <c r="CD53" i="98"/>
  <c r="BS54" i="98"/>
  <c r="BT54" i="98"/>
  <c r="BU54" i="98"/>
  <c r="BV54" i="98"/>
  <c r="BW54" i="98"/>
  <c r="BX54" i="98"/>
  <c r="BY54" i="98"/>
  <c r="BZ54" i="98"/>
  <c r="CA54" i="98"/>
  <c r="CB54" i="98"/>
  <c r="CC54" i="98"/>
  <c r="CD54" i="98"/>
  <c r="BS55" i="98"/>
  <c r="BT55" i="98"/>
  <c r="BU55" i="98"/>
  <c r="BV55" i="98"/>
  <c r="BW55" i="98"/>
  <c r="BX55" i="98"/>
  <c r="BY55" i="98"/>
  <c r="BZ55" i="98"/>
  <c r="CA55" i="98"/>
  <c r="CB55" i="98"/>
  <c r="CC55" i="98"/>
  <c r="CD55" i="98"/>
  <c r="BS56" i="98"/>
  <c r="BT56" i="98"/>
  <c r="BU56" i="98"/>
  <c r="BV56" i="98"/>
  <c r="BW56" i="98"/>
  <c r="BX56" i="98"/>
  <c r="BY56" i="98"/>
  <c r="BZ56" i="98"/>
  <c r="CA56" i="98"/>
  <c r="CB56" i="98"/>
  <c r="CC56" i="98"/>
  <c r="CD56" i="98"/>
  <c r="BS57" i="98"/>
  <c r="BT57" i="98"/>
  <c r="BU57" i="98"/>
  <c r="BV57" i="98"/>
  <c r="BW57" i="98"/>
  <c r="BX57" i="98"/>
  <c r="BY57" i="98"/>
  <c r="BZ57" i="98"/>
  <c r="CA57" i="98"/>
  <c r="CB57" i="98"/>
  <c r="CC57" i="98"/>
  <c r="CD57" i="98"/>
  <c r="BS58" i="98"/>
  <c r="BT58" i="98"/>
  <c r="BU58" i="98"/>
  <c r="BV58" i="98"/>
  <c r="BW58" i="98"/>
  <c r="BX58" i="98"/>
  <c r="BY58" i="98"/>
  <c r="BZ58" i="98"/>
  <c r="CA58" i="98"/>
  <c r="CB58" i="98"/>
  <c r="CC58" i="98"/>
  <c r="CD58" i="98"/>
  <c r="BS59" i="98"/>
  <c r="BT59" i="98"/>
  <c r="BU59" i="98"/>
  <c r="BV59" i="98"/>
  <c r="BW59" i="98"/>
  <c r="BX59" i="98"/>
  <c r="BY59" i="98"/>
  <c r="BZ59" i="98"/>
  <c r="CA59" i="98"/>
  <c r="CB59" i="98"/>
  <c r="CC59" i="98"/>
  <c r="CD59" i="98"/>
  <c r="BS60" i="98"/>
  <c r="BT60" i="98"/>
  <c r="BU60" i="98"/>
  <c r="BV60" i="98"/>
  <c r="BW60" i="98"/>
  <c r="BX60" i="98"/>
  <c r="BY60" i="98"/>
  <c r="BZ60" i="98"/>
  <c r="CA60" i="98"/>
  <c r="CB60" i="98"/>
  <c r="CC60" i="98"/>
  <c r="CD60" i="98"/>
  <c r="BS61" i="98"/>
  <c r="BT61" i="98"/>
  <c r="BU61" i="98"/>
  <c r="BV61" i="98"/>
  <c r="BW61" i="98"/>
  <c r="BX61" i="98"/>
  <c r="BY61" i="98"/>
  <c r="BZ61" i="98"/>
  <c r="CA61" i="98"/>
  <c r="CB61" i="98"/>
  <c r="CC61" i="98"/>
  <c r="CD61" i="98"/>
  <c r="BS62" i="98"/>
  <c r="BT62" i="98"/>
  <c r="BU62" i="98"/>
  <c r="BV62" i="98"/>
  <c r="BW62" i="98"/>
  <c r="BX62" i="98"/>
  <c r="BY62" i="98"/>
  <c r="BZ62" i="98"/>
  <c r="CA62" i="98"/>
  <c r="CB62" i="98"/>
  <c r="CC62" i="98"/>
  <c r="CD62" i="98"/>
  <c r="BS63" i="98"/>
  <c r="BT63" i="98"/>
  <c r="BU63" i="98"/>
  <c r="BV63" i="98"/>
  <c r="BW63" i="98"/>
  <c r="BX63" i="98"/>
  <c r="BY63" i="98"/>
  <c r="BZ63" i="98"/>
  <c r="CA63" i="98"/>
  <c r="CB63" i="98"/>
  <c r="CC63" i="98"/>
  <c r="CD63" i="98"/>
  <c r="BS64" i="98"/>
  <c r="BT64" i="98"/>
  <c r="BU64" i="98"/>
  <c r="BV64" i="98"/>
  <c r="BW64" i="98"/>
  <c r="BX64" i="98"/>
  <c r="BY64" i="98"/>
  <c r="BZ64" i="98"/>
  <c r="CA64" i="98"/>
  <c r="CB64" i="98"/>
  <c r="CC64" i="98"/>
  <c r="CD64" i="98"/>
  <c r="BS65" i="98"/>
  <c r="BT65" i="98"/>
  <c r="BU65" i="98"/>
  <c r="BV65" i="98"/>
  <c r="BW65" i="98"/>
  <c r="BX65" i="98"/>
  <c r="BY65" i="98"/>
  <c r="BZ65" i="98"/>
  <c r="CA65" i="98"/>
  <c r="CB65" i="98"/>
  <c r="CC65" i="98"/>
  <c r="CD65" i="98"/>
  <c r="BS66" i="98"/>
  <c r="BT66" i="98"/>
  <c r="BU66" i="98"/>
  <c r="BV66" i="98"/>
  <c r="BW66" i="98"/>
  <c r="BX66" i="98"/>
  <c r="BY66" i="98"/>
  <c r="BZ66" i="98"/>
  <c r="CA66" i="98"/>
  <c r="CB66" i="98"/>
  <c r="CC66" i="98"/>
  <c r="CD66" i="98"/>
  <c r="BS67" i="98"/>
  <c r="BT67" i="98"/>
  <c r="BU67" i="98"/>
  <c r="BV67" i="98"/>
  <c r="BW67" i="98"/>
  <c r="BX67" i="98"/>
  <c r="BY67" i="98"/>
  <c r="BZ67" i="98"/>
  <c r="CA67" i="98"/>
  <c r="CB67" i="98"/>
  <c r="CC67" i="98"/>
  <c r="CD67" i="98"/>
  <c r="BS68" i="98"/>
  <c r="BT68" i="98"/>
  <c r="BU68" i="98"/>
  <c r="BV68" i="98"/>
  <c r="BW68" i="98"/>
  <c r="BX68" i="98"/>
  <c r="BY68" i="98"/>
  <c r="BZ68" i="98"/>
  <c r="CA68" i="98"/>
  <c r="CB68" i="98"/>
  <c r="CC68" i="98"/>
  <c r="CD68" i="98"/>
  <c r="BS69" i="98"/>
  <c r="BT69" i="98"/>
  <c r="BU69" i="98"/>
  <c r="BV69" i="98"/>
  <c r="BW69" i="98"/>
  <c r="BX69" i="98"/>
  <c r="BY69" i="98"/>
  <c r="BZ69" i="98"/>
  <c r="CA69" i="98"/>
  <c r="CB69" i="98"/>
  <c r="CC69" i="98"/>
  <c r="CD69" i="98"/>
  <c r="BS70" i="98"/>
  <c r="BT70" i="98"/>
  <c r="BU70" i="98"/>
  <c r="BV70" i="98"/>
  <c r="BW70" i="98"/>
  <c r="BX70" i="98"/>
  <c r="BY70" i="98"/>
  <c r="BZ70" i="98"/>
  <c r="CA70" i="98"/>
  <c r="CB70" i="98"/>
  <c r="CC70" i="98"/>
  <c r="CD70" i="98"/>
  <c r="BS71" i="98"/>
  <c r="BT71" i="98"/>
  <c r="BU71" i="98"/>
  <c r="BV71" i="98"/>
  <c r="BW71" i="98"/>
  <c r="BX71" i="98"/>
  <c r="BY71" i="98"/>
  <c r="BZ71" i="98"/>
  <c r="CA71" i="98"/>
  <c r="CB71" i="98"/>
  <c r="CC71" i="98"/>
  <c r="CD71" i="98"/>
  <c r="BS72" i="98"/>
  <c r="BT72" i="98"/>
  <c r="BU72" i="98"/>
  <c r="BV72" i="98"/>
  <c r="BW72" i="98"/>
  <c r="BX72" i="98"/>
  <c r="BY72" i="98"/>
  <c r="BZ72" i="98"/>
  <c r="CA72" i="98"/>
  <c r="CB72" i="98"/>
  <c r="CC72" i="98"/>
  <c r="CD72" i="98"/>
  <c r="BS73" i="98"/>
  <c r="BT73" i="98"/>
  <c r="BU73" i="98"/>
  <c r="BV73" i="98"/>
  <c r="BW73" i="98"/>
  <c r="BX73" i="98"/>
  <c r="BY73" i="98"/>
  <c r="BZ73" i="98"/>
  <c r="CA73" i="98"/>
  <c r="CB73" i="98"/>
  <c r="CC73" i="98"/>
  <c r="CD73" i="98"/>
  <c r="BS74" i="98"/>
  <c r="BT74" i="98"/>
  <c r="BU74" i="98"/>
  <c r="BV74" i="98"/>
  <c r="BW74" i="98"/>
  <c r="BX74" i="98"/>
  <c r="BY74" i="98"/>
  <c r="BZ74" i="98"/>
  <c r="CA74" i="98"/>
  <c r="CB74" i="98"/>
  <c r="CC74" i="98"/>
  <c r="CD74" i="98"/>
  <c r="BS75" i="98"/>
  <c r="BT75" i="98"/>
  <c r="BU75" i="98"/>
  <c r="BV75" i="98"/>
  <c r="BW75" i="98"/>
  <c r="BX75" i="98"/>
  <c r="BY75" i="98"/>
  <c r="BZ75" i="98"/>
  <c r="CA75" i="98"/>
  <c r="CB75" i="98"/>
  <c r="CC75" i="98"/>
  <c r="CD75" i="98"/>
  <c r="BS76" i="98"/>
  <c r="BT76" i="98"/>
  <c r="BU76" i="98"/>
  <c r="BV76" i="98"/>
  <c r="BW76" i="98"/>
  <c r="BX76" i="98"/>
  <c r="BY76" i="98"/>
  <c r="BZ76" i="98"/>
  <c r="CA76" i="98"/>
  <c r="CB76" i="98"/>
  <c r="CC76" i="98"/>
  <c r="CD76" i="98"/>
  <c r="BS77" i="98"/>
  <c r="BT77" i="98"/>
  <c r="BU77" i="98"/>
  <c r="BV77" i="98"/>
  <c r="BW77" i="98"/>
  <c r="BX77" i="98"/>
  <c r="BY77" i="98"/>
  <c r="BZ77" i="98"/>
  <c r="CA77" i="98"/>
  <c r="CB77" i="98"/>
  <c r="CC77" i="98"/>
  <c r="CD77" i="98"/>
  <c r="BT45" i="98"/>
  <c r="BU45" i="98"/>
  <c r="BV45" i="98"/>
  <c r="BW45" i="98"/>
  <c r="BX45" i="98"/>
  <c r="BY45" i="98"/>
  <c r="BZ45" i="98"/>
  <c r="CA45" i="98"/>
  <c r="CB45" i="98"/>
  <c r="CC45" i="98"/>
  <c r="CD45" i="98"/>
  <c r="B15" i="107" l="1"/>
  <c r="C15" i="107"/>
  <c r="D15" i="107"/>
  <c r="E15" i="107"/>
  <c r="CD77" i="97" l="1"/>
  <c r="CC77" i="97"/>
  <c r="CB77" i="97"/>
  <c r="CA77" i="97"/>
  <c r="BZ77" i="97"/>
  <c r="BY77" i="97"/>
  <c r="BX77" i="97"/>
  <c r="BW77" i="97"/>
  <c r="BV77" i="97"/>
  <c r="BU77" i="97"/>
  <c r="BT77" i="97"/>
  <c r="CD76" i="97"/>
  <c r="CC76" i="97"/>
  <c r="CB76" i="97"/>
  <c r="CA76" i="97"/>
  <c r="BZ76" i="97"/>
  <c r="BY76" i="97"/>
  <c r="BX76" i="97"/>
  <c r="BW76" i="97"/>
  <c r="BV76" i="97"/>
  <c r="BU76" i="97"/>
  <c r="BT76" i="97"/>
  <c r="CD75" i="97"/>
  <c r="CC75" i="97"/>
  <c r="CB75" i="97"/>
  <c r="CA75" i="97"/>
  <c r="BZ75" i="97"/>
  <c r="BY75" i="97"/>
  <c r="BX75" i="97"/>
  <c r="BW75" i="97"/>
  <c r="BV75" i="97"/>
  <c r="BU75" i="97"/>
  <c r="BT75" i="97"/>
  <c r="CD74" i="97"/>
  <c r="CC74" i="97"/>
  <c r="CB74" i="97"/>
  <c r="CA74" i="97"/>
  <c r="BZ74" i="97"/>
  <c r="BY74" i="97"/>
  <c r="BX74" i="97"/>
  <c r="BW74" i="97"/>
  <c r="BV74" i="97"/>
  <c r="BU74" i="97"/>
  <c r="BT74" i="97"/>
  <c r="CD73" i="97"/>
  <c r="CC73" i="97"/>
  <c r="CB73" i="97"/>
  <c r="CA73" i="97"/>
  <c r="BZ73" i="97"/>
  <c r="BY73" i="97"/>
  <c r="BX73" i="97"/>
  <c r="BW73" i="97"/>
  <c r="BV73" i="97"/>
  <c r="BU73" i="97"/>
  <c r="BT73" i="97"/>
  <c r="CD72" i="97"/>
  <c r="CC72" i="97"/>
  <c r="CB72" i="97"/>
  <c r="CA72" i="97"/>
  <c r="BZ72" i="97"/>
  <c r="BY72" i="97"/>
  <c r="BX72" i="97"/>
  <c r="BW72" i="97"/>
  <c r="BV72" i="97"/>
  <c r="BU72" i="97"/>
  <c r="BT72" i="97"/>
  <c r="BS72" i="97"/>
  <c r="CD71" i="97"/>
  <c r="CC71" i="97"/>
  <c r="CB71" i="97"/>
  <c r="CA71" i="97"/>
  <c r="BZ71" i="97"/>
  <c r="BY71" i="97"/>
  <c r="BX71" i="97"/>
  <c r="BW71" i="97"/>
  <c r="BV71" i="97"/>
  <c r="BU71" i="97"/>
  <c r="BT71" i="97"/>
  <c r="BS71" i="97"/>
  <c r="CD70" i="97"/>
  <c r="CC70" i="97"/>
  <c r="CB70" i="97"/>
  <c r="CA70" i="97"/>
  <c r="BZ70" i="97"/>
  <c r="BY70" i="97"/>
  <c r="BX70" i="97"/>
  <c r="BW70" i="97"/>
  <c r="BV70" i="97"/>
  <c r="BU70" i="97"/>
  <c r="BT70" i="97"/>
  <c r="BS70" i="97"/>
  <c r="CD69" i="97"/>
  <c r="CC69" i="97"/>
  <c r="CB69" i="97"/>
  <c r="CA69" i="97"/>
  <c r="BZ69" i="97"/>
  <c r="BY69" i="97"/>
  <c r="BX69" i="97"/>
  <c r="BW69" i="97"/>
  <c r="BV69" i="97"/>
  <c r="BU69" i="97"/>
  <c r="BT69" i="97"/>
  <c r="BS69" i="97"/>
  <c r="CD68" i="97"/>
  <c r="CC68" i="97"/>
  <c r="CB68" i="97"/>
  <c r="CA68" i="97"/>
  <c r="BZ68" i="97"/>
  <c r="BY68" i="97"/>
  <c r="BX68" i="97"/>
  <c r="BW68" i="97"/>
  <c r="BV68" i="97"/>
  <c r="BU68" i="97"/>
  <c r="BT68" i="97"/>
  <c r="BS68" i="97"/>
  <c r="CD67" i="97"/>
  <c r="CC67" i="97"/>
  <c r="CB67" i="97"/>
  <c r="CA67" i="97"/>
  <c r="BZ67" i="97"/>
  <c r="BY67" i="97"/>
  <c r="BX67" i="97"/>
  <c r="BW67" i="97"/>
  <c r="BV67" i="97"/>
  <c r="BU67" i="97"/>
  <c r="BT67" i="97"/>
  <c r="BS67" i="97"/>
  <c r="CD66" i="97"/>
  <c r="CC66" i="97"/>
  <c r="CB66" i="97"/>
  <c r="CA66" i="97"/>
  <c r="BZ66" i="97"/>
  <c r="BY66" i="97"/>
  <c r="BX66" i="97"/>
  <c r="BW66" i="97"/>
  <c r="BV66" i="97"/>
  <c r="BU66" i="97"/>
  <c r="BT66" i="97"/>
  <c r="BS66" i="97"/>
  <c r="CD65" i="97"/>
  <c r="CC65" i="97"/>
  <c r="CB65" i="97"/>
  <c r="CA65" i="97"/>
  <c r="BZ65" i="97"/>
  <c r="BY65" i="97"/>
  <c r="BX65" i="97"/>
  <c r="BW65" i="97"/>
  <c r="BV65" i="97"/>
  <c r="BU65" i="97"/>
  <c r="BT65" i="97"/>
  <c r="BS65" i="97"/>
  <c r="CD64" i="97"/>
  <c r="CC64" i="97"/>
  <c r="CB64" i="97"/>
  <c r="CA64" i="97"/>
  <c r="BZ64" i="97"/>
  <c r="BY64" i="97"/>
  <c r="BX64" i="97"/>
  <c r="BW64" i="97"/>
  <c r="BV64" i="97"/>
  <c r="BU64" i="97"/>
  <c r="BT64" i="97"/>
  <c r="BS64" i="97"/>
  <c r="CD63" i="97"/>
  <c r="CC63" i="97"/>
  <c r="CB63" i="97"/>
  <c r="CA63" i="97"/>
  <c r="BZ63" i="97"/>
  <c r="BY63" i="97"/>
  <c r="BX63" i="97"/>
  <c r="BW63" i="97"/>
  <c r="BV63" i="97"/>
  <c r="BU63" i="97"/>
  <c r="BT63" i="97"/>
  <c r="BS63" i="97"/>
  <c r="CD62" i="97"/>
  <c r="CC62" i="97"/>
  <c r="CB62" i="97"/>
  <c r="CA62" i="97"/>
  <c r="BZ62" i="97"/>
  <c r="BY62" i="97"/>
  <c r="BX62" i="97"/>
  <c r="BW62" i="97"/>
  <c r="BV62" i="97"/>
  <c r="BU62" i="97"/>
  <c r="BT62" i="97"/>
  <c r="BS62" i="97"/>
  <c r="CD61" i="97"/>
  <c r="CC61" i="97"/>
  <c r="CB61" i="97"/>
  <c r="CA61" i="97"/>
  <c r="BZ61" i="97"/>
  <c r="BY61" i="97"/>
  <c r="BX61" i="97"/>
  <c r="BW61" i="97"/>
  <c r="BV61" i="97"/>
  <c r="BU61" i="97"/>
  <c r="BT61" i="97"/>
  <c r="BS61" i="97"/>
  <c r="CD60" i="97"/>
  <c r="CC60" i="97"/>
  <c r="CB60" i="97"/>
  <c r="CA60" i="97"/>
  <c r="BZ60" i="97"/>
  <c r="BY60" i="97"/>
  <c r="BX60" i="97"/>
  <c r="BW60" i="97"/>
  <c r="BV60" i="97"/>
  <c r="BU60" i="97"/>
  <c r="BT60" i="97"/>
  <c r="BS60" i="97"/>
  <c r="CD59" i="97"/>
  <c r="CC59" i="97"/>
  <c r="CB59" i="97"/>
  <c r="CA59" i="97"/>
  <c r="BZ59" i="97"/>
  <c r="BY59" i="97"/>
  <c r="BX59" i="97"/>
  <c r="BW59" i="97"/>
  <c r="BV59" i="97"/>
  <c r="BU59" i="97"/>
  <c r="BT59" i="97"/>
  <c r="BS59" i="97"/>
  <c r="CD58" i="97"/>
  <c r="CC58" i="97"/>
  <c r="CB58" i="97"/>
  <c r="CA58" i="97"/>
  <c r="BZ58" i="97"/>
  <c r="BY58" i="97"/>
  <c r="BX58" i="97"/>
  <c r="BW58" i="97"/>
  <c r="BV58" i="97"/>
  <c r="BU58" i="97"/>
  <c r="BT58" i="97"/>
  <c r="BS58" i="97"/>
  <c r="CD57" i="97"/>
  <c r="CC57" i="97"/>
  <c r="CB57" i="97"/>
  <c r="CA57" i="97"/>
  <c r="BZ57" i="97"/>
  <c r="BY57" i="97"/>
  <c r="BX57" i="97"/>
  <c r="BW57" i="97"/>
  <c r="BV57" i="97"/>
  <c r="BU57" i="97"/>
  <c r="BT57" i="97"/>
  <c r="BS57" i="97"/>
  <c r="CD56" i="97"/>
  <c r="CC56" i="97"/>
  <c r="CB56" i="97"/>
  <c r="CA56" i="97"/>
  <c r="BZ56" i="97"/>
  <c r="BY56" i="97"/>
  <c r="BX56" i="97"/>
  <c r="BW56" i="97"/>
  <c r="BV56" i="97"/>
  <c r="BU56" i="97"/>
  <c r="BT56" i="97"/>
  <c r="BS56" i="97"/>
  <c r="CD55" i="97"/>
  <c r="CC55" i="97"/>
  <c r="CB55" i="97"/>
  <c r="CA55" i="97"/>
  <c r="BZ55" i="97"/>
  <c r="BY55" i="97"/>
  <c r="BX55" i="97"/>
  <c r="BW55" i="97"/>
  <c r="BV55" i="97"/>
  <c r="BU55" i="97"/>
  <c r="BT55" i="97"/>
  <c r="BS55" i="97"/>
  <c r="CD54" i="97"/>
  <c r="CC54" i="97"/>
  <c r="CB54" i="97"/>
  <c r="CA54" i="97"/>
  <c r="BZ54" i="97"/>
  <c r="BY54" i="97"/>
  <c r="BX54" i="97"/>
  <c r="BW54" i="97"/>
  <c r="BV54" i="97"/>
  <c r="BU54" i="97"/>
  <c r="BT54" i="97"/>
  <c r="BS54" i="97"/>
  <c r="CD53" i="97"/>
  <c r="CC53" i="97"/>
  <c r="CB53" i="97"/>
  <c r="CA53" i="97"/>
  <c r="BZ53" i="97"/>
  <c r="BY53" i="97"/>
  <c r="BX53" i="97"/>
  <c r="BW53" i="97"/>
  <c r="BV53" i="97"/>
  <c r="BU53" i="97"/>
  <c r="BT53" i="97"/>
  <c r="BS53" i="97"/>
  <c r="CD52" i="97"/>
  <c r="CC52" i="97"/>
  <c r="CB52" i="97"/>
  <c r="CA52" i="97"/>
  <c r="BZ52" i="97"/>
  <c r="BY52" i="97"/>
  <c r="BX52" i="97"/>
  <c r="BW52" i="97"/>
  <c r="BV52" i="97"/>
  <c r="BU52" i="97"/>
  <c r="BT52" i="97"/>
  <c r="BS52" i="97"/>
  <c r="CD51" i="97"/>
  <c r="CC51" i="97"/>
  <c r="CB51" i="97"/>
  <c r="CA51" i="97"/>
  <c r="BZ51" i="97"/>
  <c r="BY51" i="97"/>
  <c r="BX51" i="97"/>
  <c r="BW51" i="97"/>
  <c r="BV51" i="97"/>
  <c r="BU51" i="97"/>
  <c r="BT51" i="97"/>
  <c r="BS51" i="97"/>
  <c r="CD50" i="97"/>
  <c r="CC50" i="97"/>
  <c r="CB50" i="97"/>
  <c r="CA50" i="97"/>
  <c r="BZ50" i="97"/>
  <c r="BY50" i="97"/>
  <c r="BX50" i="97"/>
  <c r="BW50" i="97"/>
  <c r="BV50" i="97"/>
  <c r="BU50" i="97"/>
  <c r="BT50" i="97"/>
  <c r="BS50" i="97"/>
  <c r="CD49" i="97"/>
  <c r="CC49" i="97"/>
  <c r="CB49" i="97"/>
  <c r="CA49" i="97"/>
  <c r="BZ49" i="97"/>
  <c r="BY49" i="97"/>
  <c r="BX49" i="97"/>
  <c r="BW49" i="97"/>
  <c r="BV49" i="97"/>
  <c r="BU49" i="97"/>
  <c r="BT49" i="97"/>
  <c r="BS49" i="97"/>
  <c r="CD48" i="97"/>
  <c r="CC48" i="97"/>
  <c r="CB48" i="97"/>
  <c r="CA48" i="97"/>
  <c r="BZ48" i="97"/>
  <c r="BY48" i="97"/>
  <c r="BX48" i="97"/>
  <c r="BW48" i="97"/>
  <c r="BV48" i="97"/>
  <c r="BU48" i="97"/>
  <c r="BT48" i="97"/>
  <c r="BS48" i="97"/>
  <c r="CD47" i="97"/>
  <c r="CC47" i="97"/>
  <c r="CB47" i="97"/>
  <c r="CA47" i="97"/>
  <c r="BZ47" i="97"/>
  <c r="BY47" i="97"/>
  <c r="BX47" i="97"/>
  <c r="BW47" i="97"/>
  <c r="BV47" i="97"/>
  <c r="BU47" i="97"/>
  <c r="BT47" i="97"/>
  <c r="BS47" i="97"/>
  <c r="CD46" i="97"/>
  <c r="CC46" i="97"/>
  <c r="CB46" i="97"/>
  <c r="CA46" i="97"/>
  <c r="BZ46" i="97"/>
  <c r="BY46" i="97"/>
  <c r="BX46" i="97"/>
  <c r="BW46" i="97"/>
  <c r="BV46" i="97"/>
  <c r="BU46" i="97"/>
  <c r="BT46" i="97"/>
  <c r="BS46" i="97"/>
  <c r="CD45" i="97"/>
  <c r="CC45" i="97"/>
  <c r="CB45" i="97"/>
  <c r="CA45" i="97"/>
  <c r="BZ45" i="97"/>
  <c r="BY45" i="97"/>
  <c r="BX45" i="97"/>
  <c r="BW45" i="97"/>
  <c r="BV45" i="97"/>
  <c r="BU45" i="97"/>
  <c r="BT45" i="97"/>
  <c r="BS45" i="97"/>
  <c r="BE73" i="97" a="1"/>
  <c r="BE73" i="97" s="1"/>
  <c r="AQ73" i="97" a="1"/>
  <c r="AQ73" i="97" s="1"/>
  <c r="BS73" i="97" s="1"/>
  <c r="BS74" i="97" l="1"/>
  <c r="BS76" i="97"/>
  <c r="BS77" i="97"/>
  <c r="BS75" i="97"/>
  <c r="BS46" i="25"/>
  <c r="BT46" i="25"/>
  <c r="BU46" i="25"/>
  <c r="BV46" i="25"/>
  <c r="BW46" i="25"/>
  <c r="BX46" i="25"/>
  <c r="BY46" i="25"/>
  <c r="BZ46" i="25"/>
  <c r="CA46" i="25"/>
  <c r="CB46" i="25"/>
  <c r="CC46" i="25"/>
  <c r="CD46" i="25"/>
  <c r="BS47" i="25"/>
  <c r="BT47" i="25"/>
  <c r="BU47" i="25"/>
  <c r="BV47" i="25"/>
  <c r="BW47" i="25"/>
  <c r="BX47" i="25"/>
  <c r="BY47" i="25"/>
  <c r="BZ47" i="25"/>
  <c r="CA47" i="25"/>
  <c r="CB47" i="25"/>
  <c r="CC47" i="25"/>
  <c r="CD47" i="25"/>
  <c r="BS48" i="25"/>
  <c r="BT48" i="25"/>
  <c r="BU48" i="25"/>
  <c r="BV48" i="25"/>
  <c r="BW48" i="25"/>
  <c r="BX48" i="25"/>
  <c r="BY48" i="25"/>
  <c r="BZ48" i="25"/>
  <c r="CA48" i="25"/>
  <c r="CB48" i="25"/>
  <c r="CC48" i="25"/>
  <c r="CD48" i="25"/>
  <c r="BS49" i="25"/>
  <c r="BT49" i="25"/>
  <c r="BU49" i="25"/>
  <c r="BV49" i="25"/>
  <c r="BW49" i="25"/>
  <c r="BX49" i="25"/>
  <c r="BY49" i="25"/>
  <c r="BZ49" i="25"/>
  <c r="CA49" i="25"/>
  <c r="CB49" i="25"/>
  <c r="CC49" i="25"/>
  <c r="CD49" i="25"/>
  <c r="BS50" i="25"/>
  <c r="BT50" i="25"/>
  <c r="BU50" i="25"/>
  <c r="BV50" i="25"/>
  <c r="BW50" i="25"/>
  <c r="BX50" i="25"/>
  <c r="BY50" i="25"/>
  <c r="BZ50" i="25"/>
  <c r="CA50" i="25"/>
  <c r="CB50" i="25"/>
  <c r="CC50" i="25"/>
  <c r="CD50" i="25"/>
  <c r="BS51" i="25"/>
  <c r="BT51" i="25"/>
  <c r="BU51" i="25"/>
  <c r="BV51" i="25"/>
  <c r="BW51" i="25"/>
  <c r="BX51" i="25"/>
  <c r="BY51" i="25"/>
  <c r="BZ51" i="25"/>
  <c r="CA51" i="25"/>
  <c r="CB51" i="25"/>
  <c r="CC51" i="25"/>
  <c r="CD51" i="25"/>
  <c r="BS52" i="25"/>
  <c r="BT52" i="25"/>
  <c r="BU52" i="25"/>
  <c r="BV52" i="25"/>
  <c r="BW52" i="25"/>
  <c r="BX52" i="25"/>
  <c r="BY52" i="25"/>
  <c r="BZ52" i="25"/>
  <c r="CA52" i="25"/>
  <c r="CB52" i="25"/>
  <c r="CC52" i="25"/>
  <c r="CD52" i="25"/>
  <c r="BS53" i="25"/>
  <c r="BT53" i="25"/>
  <c r="BU53" i="25"/>
  <c r="BV53" i="25"/>
  <c r="BW53" i="25"/>
  <c r="BX53" i="25"/>
  <c r="BY53" i="25"/>
  <c r="BZ53" i="25"/>
  <c r="CA53" i="25"/>
  <c r="CB53" i="25"/>
  <c r="CC53" i="25"/>
  <c r="CD53" i="25"/>
  <c r="BS54" i="25"/>
  <c r="BT54" i="25"/>
  <c r="BU54" i="25"/>
  <c r="BV54" i="25"/>
  <c r="BW54" i="25"/>
  <c r="BX54" i="25"/>
  <c r="BY54" i="25"/>
  <c r="BZ54" i="25"/>
  <c r="CA54" i="25"/>
  <c r="CB54" i="25"/>
  <c r="CC54" i="25"/>
  <c r="CD54" i="25"/>
  <c r="BS55" i="25"/>
  <c r="BT55" i="25"/>
  <c r="BU55" i="25"/>
  <c r="BV55" i="25"/>
  <c r="BW55" i="25"/>
  <c r="BX55" i="25"/>
  <c r="BY55" i="25"/>
  <c r="BZ55" i="25"/>
  <c r="CA55" i="25"/>
  <c r="CB55" i="25"/>
  <c r="CC55" i="25"/>
  <c r="CD55" i="25"/>
  <c r="BS56" i="25"/>
  <c r="BT56" i="25"/>
  <c r="BU56" i="25"/>
  <c r="BV56" i="25"/>
  <c r="BW56" i="25"/>
  <c r="BX56" i="25"/>
  <c r="BY56" i="25"/>
  <c r="BZ56" i="25"/>
  <c r="CA56" i="25"/>
  <c r="CB56" i="25"/>
  <c r="CC56" i="25"/>
  <c r="CD56" i="25"/>
  <c r="BS57" i="25"/>
  <c r="BT57" i="25"/>
  <c r="BU57" i="25"/>
  <c r="BV57" i="25"/>
  <c r="BW57" i="25"/>
  <c r="BX57" i="25"/>
  <c r="BY57" i="25"/>
  <c r="BZ57" i="25"/>
  <c r="CA57" i="25"/>
  <c r="CB57" i="25"/>
  <c r="CC57" i="25"/>
  <c r="CD57" i="25"/>
  <c r="BS58" i="25"/>
  <c r="BT58" i="25"/>
  <c r="BU58" i="25"/>
  <c r="BV58" i="25"/>
  <c r="BW58" i="25"/>
  <c r="BX58" i="25"/>
  <c r="BY58" i="25"/>
  <c r="BZ58" i="25"/>
  <c r="CA58" i="25"/>
  <c r="CB58" i="25"/>
  <c r="CC58" i="25"/>
  <c r="CD58" i="25"/>
  <c r="BS59" i="25"/>
  <c r="BT59" i="25"/>
  <c r="BU59" i="25"/>
  <c r="BV59" i="25"/>
  <c r="BW59" i="25"/>
  <c r="BX59" i="25"/>
  <c r="BY59" i="25"/>
  <c r="BZ59" i="25"/>
  <c r="CA59" i="25"/>
  <c r="CB59" i="25"/>
  <c r="CC59" i="25"/>
  <c r="CD59" i="25"/>
  <c r="BS60" i="25"/>
  <c r="BT60" i="25"/>
  <c r="BU60" i="25"/>
  <c r="BV60" i="25"/>
  <c r="BW60" i="25"/>
  <c r="BX60" i="25"/>
  <c r="BY60" i="25"/>
  <c r="BZ60" i="25"/>
  <c r="CA60" i="25"/>
  <c r="CB60" i="25"/>
  <c r="CC60" i="25"/>
  <c r="CD60" i="25"/>
  <c r="BS61" i="25"/>
  <c r="BT61" i="25"/>
  <c r="BU61" i="25"/>
  <c r="BV61" i="25"/>
  <c r="BW61" i="25"/>
  <c r="BX61" i="25"/>
  <c r="BY61" i="25"/>
  <c r="BZ61" i="25"/>
  <c r="CA61" i="25"/>
  <c r="CB61" i="25"/>
  <c r="CC61" i="25"/>
  <c r="CD61" i="25"/>
  <c r="BS62" i="25"/>
  <c r="BT62" i="25"/>
  <c r="BU62" i="25"/>
  <c r="BV62" i="25"/>
  <c r="BW62" i="25"/>
  <c r="BX62" i="25"/>
  <c r="BY62" i="25"/>
  <c r="BZ62" i="25"/>
  <c r="CA62" i="25"/>
  <c r="CB62" i="25"/>
  <c r="CC62" i="25"/>
  <c r="CD62" i="25"/>
  <c r="BS63" i="25"/>
  <c r="BT63" i="25"/>
  <c r="BU63" i="25"/>
  <c r="BV63" i="25"/>
  <c r="BW63" i="25"/>
  <c r="BX63" i="25"/>
  <c r="BY63" i="25"/>
  <c r="BZ63" i="25"/>
  <c r="CA63" i="25"/>
  <c r="CB63" i="25"/>
  <c r="CC63" i="25"/>
  <c r="CD63" i="25"/>
  <c r="BS64" i="25"/>
  <c r="BT64" i="25"/>
  <c r="BU64" i="25"/>
  <c r="BV64" i="25"/>
  <c r="BW64" i="25"/>
  <c r="BX64" i="25"/>
  <c r="BY64" i="25"/>
  <c r="BZ64" i="25"/>
  <c r="CA64" i="25"/>
  <c r="CB64" i="25"/>
  <c r="CC64" i="25"/>
  <c r="CD64" i="25"/>
  <c r="BS65" i="25"/>
  <c r="BT65" i="25"/>
  <c r="BU65" i="25"/>
  <c r="BV65" i="25"/>
  <c r="BW65" i="25"/>
  <c r="BX65" i="25"/>
  <c r="BY65" i="25"/>
  <c r="BZ65" i="25"/>
  <c r="CA65" i="25"/>
  <c r="CB65" i="25"/>
  <c r="CC65" i="25"/>
  <c r="CD65" i="25"/>
  <c r="BS66" i="25"/>
  <c r="BT66" i="25"/>
  <c r="BU66" i="25"/>
  <c r="BV66" i="25"/>
  <c r="BW66" i="25"/>
  <c r="BX66" i="25"/>
  <c r="BY66" i="25"/>
  <c r="BZ66" i="25"/>
  <c r="CA66" i="25"/>
  <c r="CB66" i="25"/>
  <c r="CC66" i="25"/>
  <c r="CD66" i="25"/>
  <c r="BS67" i="25"/>
  <c r="BT67" i="25"/>
  <c r="BU67" i="25"/>
  <c r="BV67" i="25"/>
  <c r="BW67" i="25"/>
  <c r="BX67" i="25"/>
  <c r="BY67" i="25"/>
  <c r="BZ67" i="25"/>
  <c r="CA67" i="25"/>
  <c r="CB67" i="25"/>
  <c r="CC67" i="25"/>
  <c r="CD67" i="25"/>
  <c r="BS68" i="25"/>
  <c r="BT68" i="25"/>
  <c r="BU68" i="25"/>
  <c r="BV68" i="25"/>
  <c r="BW68" i="25"/>
  <c r="BX68" i="25"/>
  <c r="BY68" i="25"/>
  <c r="BZ68" i="25"/>
  <c r="CA68" i="25"/>
  <c r="CB68" i="25"/>
  <c r="CC68" i="25"/>
  <c r="CD68" i="25"/>
  <c r="BS69" i="25"/>
  <c r="BT69" i="25"/>
  <c r="BU69" i="25"/>
  <c r="BV69" i="25"/>
  <c r="BW69" i="25"/>
  <c r="BX69" i="25"/>
  <c r="BY69" i="25"/>
  <c r="BZ69" i="25"/>
  <c r="CA69" i="25"/>
  <c r="CB69" i="25"/>
  <c r="CC69" i="25"/>
  <c r="CD69" i="25"/>
  <c r="BS70" i="25"/>
  <c r="BT70" i="25"/>
  <c r="BU70" i="25"/>
  <c r="BV70" i="25"/>
  <c r="BW70" i="25"/>
  <c r="BX70" i="25"/>
  <c r="BY70" i="25"/>
  <c r="BZ70" i="25"/>
  <c r="CA70" i="25"/>
  <c r="CB70" i="25"/>
  <c r="CC70" i="25"/>
  <c r="CD70" i="25"/>
  <c r="BS71" i="25"/>
  <c r="BT71" i="25"/>
  <c r="BU71" i="25"/>
  <c r="BV71" i="25"/>
  <c r="BW71" i="25"/>
  <c r="BX71" i="25"/>
  <c r="BY71" i="25"/>
  <c r="BZ71" i="25"/>
  <c r="CA71" i="25"/>
  <c r="CB71" i="25"/>
  <c r="CC71" i="25"/>
  <c r="CD71" i="25"/>
  <c r="BS72" i="25"/>
  <c r="BT72" i="25"/>
  <c r="BU72" i="25"/>
  <c r="BV72" i="25"/>
  <c r="BW72" i="25"/>
  <c r="BX72" i="25"/>
  <c r="BY72" i="25"/>
  <c r="BZ72" i="25"/>
  <c r="CA72" i="25"/>
  <c r="CB72" i="25"/>
  <c r="CC72" i="25"/>
  <c r="CD72" i="25"/>
  <c r="BS73" i="25"/>
  <c r="BT73" i="25"/>
  <c r="BU73" i="25"/>
  <c r="BV73" i="25"/>
  <c r="BW73" i="25"/>
  <c r="BX73" i="25"/>
  <c r="BY73" i="25"/>
  <c r="BZ73" i="25"/>
  <c r="CA73" i="25"/>
  <c r="CB73" i="25"/>
  <c r="CC73" i="25"/>
  <c r="CD73" i="25"/>
  <c r="BS74" i="25"/>
  <c r="BT74" i="25"/>
  <c r="BU74" i="25"/>
  <c r="BV74" i="25"/>
  <c r="BW74" i="25"/>
  <c r="BX74" i="25"/>
  <c r="BY74" i="25"/>
  <c r="BZ74" i="25"/>
  <c r="CA74" i="25"/>
  <c r="CB74" i="25"/>
  <c r="CC74" i="25"/>
  <c r="CD74" i="25"/>
  <c r="BS75" i="25"/>
  <c r="BT75" i="25"/>
  <c r="BU75" i="25"/>
  <c r="BV75" i="25"/>
  <c r="BW75" i="25"/>
  <c r="BX75" i="25"/>
  <c r="BY75" i="25"/>
  <c r="BZ75" i="25"/>
  <c r="CA75" i="25"/>
  <c r="CB75" i="25"/>
  <c r="CC75" i="25"/>
  <c r="CD75" i="25"/>
  <c r="BS76" i="25"/>
  <c r="BT76" i="25"/>
  <c r="BU76" i="25"/>
  <c r="BV76" i="25"/>
  <c r="BW76" i="25"/>
  <c r="BX76" i="25"/>
  <c r="BY76" i="25"/>
  <c r="BZ76" i="25"/>
  <c r="CA76" i="25"/>
  <c r="CB76" i="25"/>
  <c r="CC76" i="25"/>
  <c r="CD76" i="25"/>
  <c r="BS77" i="25"/>
  <c r="BT77" i="25"/>
  <c r="BU77" i="25"/>
  <c r="BV77" i="25"/>
  <c r="BW77" i="25"/>
  <c r="BX77" i="25"/>
  <c r="BY77" i="25"/>
  <c r="BZ77" i="25"/>
  <c r="CA77" i="25"/>
  <c r="CB77" i="25"/>
  <c r="CC77" i="25"/>
  <c r="CD77" i="25"/>
  <c r="BT45" i="25"/>
  <c r="BU45" i="25"/>
  <c r="BV45" i="25"/>
  <c r="BW45" i="25"/>
  <c r="BX45" i="25"/>
  <c r="BY45" i="25"/>
  <c r="BZ45" i="25"/>
  <c r="CA45" i="25"/>
  <c r="CB45" i="25"/>
  <c r="CC45" i="25"/>
  <c r="CD45" i="25"/>
  <c r="BS45" i="25"/>
  <c r="AA14" i="96"/>
  <c r="D79" i="108" l="1" a="1"/>
  <c r="D79" i="108" s="1"/>
  <c r="D80" i="108" a="1"/>
  <c r="D80" i="108" s="1"/>
  <c r="D81" i="108" a="1"/>
  <c r="D81" i="108" s="1"/>
  <c r="D82" i="108" a="1"/>
  <c r="D82" i="108" s="1"/>
  <c r="B79" i="108"/>
  <c r="B80" i="108"/>
  <c r="B81" i="108"/>
  <c r="B82" i="108"/>
  <c r="C80" i="106"/>
  <c r="C81" i="106"/>
  <c r="C82" i="106"/>
  <c r="C83" i="106"/>
  <c r="C1" i="108"/>
  <c r="D16" i="106" l="1"/>
  <c r="A86" i="112"/>
  <c r="A83" i="112"/>
  <c r="A84" i="112"/>
  <c r="A85" i="112"/>
  <c r="D13" i="106"/>
  <c r="D58" i="106"/>
  <c r="D33" i="106"/>
  <c r="D68" i="106"/>
  <c r="D32" i="106"/>
  <c r="D65" i="106"/>
  <c r="D63" i="106"/>
  <c r="D39" i="106"/>
  <c r="D27" i="106"/>
  <c r="D15" i="106"/>
  <c r="D74" i="106"/>
  <c r="D62" i="106"/>
  <c r="D50" i="106"/>
  <c r="D38" i="106"/>
  <c r="D26" i="106"/>
  <c r="D14" i="106"/>
  <c r="D75" i="106"/>
  <c r="D73" i="106"/>
  <c r="D49" i="106"/>
  <c r="D37" i="106"/>
  <c r="D4" i="106"/>
  <c r="D72" i="106"/>
  <c r="D60" i="106"/>
  <c r="D48" i="106"/>
  <c r="D36" i="106"/>
  <c r="D24" i="106"/>
  <c r="D12" i="106"/>
  <c r="D57" i="106"/>
  <c r="D9" i="106"/>
  <c r="D20" i="106"/>
  <c r="D77" i="106"/>
  <c r="D51" i="106"/>
  <c r="D61" i="106"/>
  <c r="D25" i="106"/>
  <c r="D83" i="106"/>
  <c r="D71" i="106"/>
  <c r="D59" i="106"/>
  <c r="D47" i="106"/>
  <c r="D35" i="106"/>
  <c r="D23" i="106"/>
  <c r="D11" i="106"/>
  <c r="D70" i="106"/>
  <c r="D46" i="106"/>
  <c r="D34" i="106"/>
  <c r="D22" i="106"/>
  <c r="D10" i="106"/>
  <c r="D69" i="106"/>
  <c r="D8" i="106"/>
  <c r="D81" i="106"/>
  <c r="D21" i="106"/>
  <c r="D56" i="106"/>
  <c r="D79" i="106"/>
  <c r="D67" i="106"/>
  <c r="D55" i="106"/>
  <c r="D43" i="106"/>
  <c r="D31" i="106"/>
  <c r="D19" i="106"/>
  <c r="D7" i="106"/>
  <c r="D78" i="106"/>
  <c r="D66" i="106"/>
  <c r="D54" i="106"/>
  <c r="D42" i="106"/>
  <c r="D30" i="106"/>
  <c r="D18" i="106"/>
  <c r="D6" i="106"/>
  <c r="D82" i="106"/>
  <c r="D45" i="106"/>
  <c r="D80" i="106"/>
  <c r="D44" i="106"/>
  <c r="D53" i="106"/>
  <c r="D41" i="106"/>
  <c r="D29" i="106"/>
  <c r="D17" i="106"/>
  <c r="D5" i="106"/>
  <c r="D76" i="106"/>
  <c r="D64" i="106"/>
  <c r="D52" i="106"/>
  <c r="D40" i="106"/>
  <c r="D28" i="106"/>
  <c r="AD46" i="114" l="1"/>
  <c r="AD45" i="114"/>
  <c r="AD44" i="114"/>
  <c r="AD43" i="114"/>
  <c r="AD42" i="114"/>
  <c r="AD41" i="114"/>
  <c r="AD40" i="114"/>
  <c r="AD39" i="114"/>
  <c r="AD38" i="114"/>
  <c r="AD37" i="114"/>
  <c r="AD36" i="114"/>
  <c r="AD35" i="114"/>
  <c r="AD34" i="114"/>
  <c r="AD33" i="114"/>
  <c r="AD32" i="114"/>
  <c r="AD31" i="114"/>
  <c r="AD30" i="114"/>
  <c r="AD29" i="114"/>
  <c r="AD28" i="114"/>
  <c r="AD27" i="114"/>
  <c r="AD26" i="114"/>
  <c r="AD25" i="114"/>
  <c r="AD24" i="114"/>
  <c r="AD23" i="114"/>
  <c r="AD22" i="114"/>
  <c r="AD21" i="114"/>
  <c r="AD20" i="114"/>
  <c r="AD19" i="114"/>
  <c r="AD18" i="114"/>
  <c r="AD17" i="114"/>
  <c r="AD16" i="114"/>
  <c r="AD15" i="114"/>
  <c r="AD14" i="114"/>
  <c r="P46" i="114"/>
  <c r="P45" i="114"/>
  <c r="P44" i="114"/>
  <c r="P43" i="114"/>
  <c r="P42" i="114"/>
  <c r="P41" i="114"/>
  <c r="P40" i="114"/>
  <c r="P39" i="114"/>
  <c r="P38" i="114"/>
  <c r="P37" i="114"/>
  <c r="P36" i="114"/>
  <c r="P35" i="114"/>
  <c r="P34" i="114"/>
  <c r="P33" i="114"/>
  <c r="P32" i="114"/>
  <c r="P31" i="114"/>
  <c r="P30" i="114"/>
  <c r="P29" i="114"/>
  <c r="P28" i="114"/>
  <c r="P27" i="114"/>
  <c r="P26" i="114"/>
  <c r="P25" i="114"/>
  <c r="P24" i="114"/>
  <c r="P23" i="114"/>
  <c r="P22" i="114"/>
  <c r="P21" i="114"/>
  <c r="P20" i="114"/>
  <c r="P19" i="114"/>
  <c r="P18" i="114"/>
  <c r="P17" i="114"/>
  <c r="P16" i="114"/>
  <c r="P15" i="114"/>
  <c r="P14" i="114"/>
  <c r="B46" i="114"/>
  <c r="B45" i="114"/>
  <c r="B44" i="114"/>
  <c r="B43" i="114"/>
  <c r="B42" i="114"/>
  <c r="B41" i="114"/>
  <c r="B40" i="114"/>
  <c r="B39" i="114"/>
  <c r="B38" i="114"/>
  <c r="B37" i="114"/>
  <c r="B36" i="114"/>
  <c r="B35" i="114"/>
  <c r="B34" i="114"/>
  <c r="B33" i="114"/>
  <c r="B32" i="114"/>
  <c r="B31" i="114"/>
  <c r="B30" i="114"/>
  <c r="B29" i="114"/>
  <c r="B28" i="114"/>
  <c r="B27" i="114"/>
  <c r="B26" i="114"/>
  <c r="B25" i="114"/>
  <c r="B24" i="114"/>
  <c r="B23" i="114"/>
  <c r="B22" i="114"/>
  <c r="B21" i="114"/>
  <c r="B20" i="114"/>
  <c r="B19" i="114"/>
  <c r="B18" i="114"/>
  <c r="B17" i="114"/>
  <c r="B16" i="114"/>
  <c r="B15" i="114"/>
  <c r="B14" i="114"/>
  <c r="R80" i="106" a="1"/>
  <c r="R80" i="106" s="1"/>
  <c r="T80" i="106" a="1"/>
  <c r="T80" i="106" s="1"/>
  <c r="R81" i="106" a="1"/>
  <c r="R81" i="106" s="1"/>
  <c r="T81" i="106" a="1"/>
  <c r="T81" i="106" s="1"/>
  <c r="R82" i="106" a="1"/>
  <c r="R82" i="106" s="1"/>
  <c r="T82" i="106" a="1"/>
  <c r="T82" i="106" s="1"/>
  <c r="R83" i="106" a="1"/>
  <c r="R83" i="106" s="1"/>
  <c r="T83" i="106" a="1"/>
  <c r="T83" i="106" s="1"/>
  <c r="N80" i="106" a="1"/>
  <c r="N80" i="106" s="1"/>
  <c r="N81" i="106" a="1"/>
  <c r="N81" i="106" s="1"/>
  <c r="N82" i="106" a="1"/>
  <c r="N82" i="106" s="1"/>
  <c r="N83" i="106" a="1"/>
  <c r="N83" i="106" s="1"/>
  <c r="M80" i="106" a="1"/>
  <c r="M80" i="106" s="1"/>
  <c r="L80" i="106" s="1" a="1"/>
  <c r="L80" i="106" s="1"/>
  <c r="M81" i="106" a="1"/>
  <c r="M81" i="106" s="1"/>
  <c r="L81" i="106" s="1" a="1"/>
  <c r="L81" i="106" s="1"/>
  <c r="M82" i="106" a="1"/>
  <c r="M82" i="106" s="1"/>
  <c r="L82" i="106" s="1" a="1"/>
  <c r="L82" i="106" s="1"/>
  <c r="M83" i="106" a="1"/>
  <c r="M83" i="106" s="1"/>
  <c r="L83" i="106" s="1" a="1"/>
  <c r="L83" i="106" s="1"/>
  <c r="K80" i="106" a="1"/>
  <c r="K80" i="106" s="1"/>
  <c r="E79" i="108" s="1" a="1"/>
  <c r="E79" i="108" s="1"/>
  <c r="K81" i="106" a="1"/>
  <c r="K81" i="106" s="1"/>
  <c r="E80" i="108" s="1" a="1"/>
  <c r="E80" i="108" s="1"/>
  <c r="K82" i="106" a="1"/>
  <c r="K82" i="106" s="1"/>
  <c r="E81" i="108" s="1" a="1"/>
  <c r="E81" i="108" s="1"/>
  <c r="K83" i="106" a="1"/>
  <c r="K83" i="106" s="1"/>
  <c r="E82" i="108" s="1" a="1"/>
  <c r="E82" i="108" s="1"/>
  <c r="J80" i="106" a="1"/>
  <c r="J80" i="106" s="1"/>
  <c r="F79" i="108" s="1" a="1"/>
  <c r="F79" i="108" s="1"/>
  <c r="J81" i="106" a="1"/>
  <c r="J81" i="106" s="1"/>
  <c r="F80" i="108" s="1" a="1"/>
  <c r="F80" i="108" s="1"/>
  <c r="J82" i="106" a="1"/>
  <c r="J82" i="106" s="1"/>
  <c r="F81" i="108" s="1" a="1"/>
  <c r="F81" i="108" s="1"/>
  <c r="J83" i="106" a="1"/>
  <c r="J83" i="106" s="1"/>
  <c r="F82" i="108" s="1" a="1"/>
  <c r="F82" i="108" s="1"/>
  <c r="G80" i="106" a="1"/>
  <c r="G80" i="106" s="1"/>
  <c r="G81" i="106" a="1"/>
  <c r="G81" i="106" s="1"/>
  <c r="G82" i="106" a="1"/>
  <c r="G82" i="106" s="1"/>
  <c r="G83" i="106" a="1"/>
  <c r="G83" i="106" s="1"/>
  <c r="O83" i="106" l="1" a="1"/>
  <c r="O83" i="106" s="1"/>
  <c r="Q83" i="106" s="1" a="1"/>
  <c r="Q83" i="106" s="1"/>
  <c r="H82" i="108" s="1" a="1"/>
  <c r="H82" i="108" s="1"/>
  <c r="G82" i="108" a="1"/>
  <c r="G82" i="108" s="1"/>
  <c r="O81" i="106" a="1"/>
  <c r="O81" i="106" s="1"/>
  <c r="U81" i="106" s="1"/>
  <c r="W81" i="106" s="1" a="1"/>
  <c r="W81" i="106" s="1"/>
  <c r="X81" i="106" s="1"/>
  <c r="CE81" i="106" s="1" a="1"/>
  <c r="CE81" i="106" s="1"/>
  <c r="G80" i="108" a="1"/>
  <c r="G80" i="108" s="1"/>
  <c r="O80" i="106" a="1"/>
  <c r="O80" i="106" s="1"/>
  <c r="V80" i="106" s="1"/>
  <c r="G79" i="108" a="1"/>
  <c r="G79" i="108" s="1"/>
  <c r="I79" i="108" s="1" a="1"/>
  <c r="I79" i="108" s="1"/>
  <c r="O82" i="106" a="1"/>
  <c r="O82" i="106" s="1"/>
  <c r="V82" i="106" s="1"/>
  <c r="G81" i="108" a="1"/>
  <c r="G81" i="108" s="1"/>
  <c r="Y83" i="106"/>
  <c r="Y82" i="106"/>
  <c r="Y81" i="106"/>
  <c r="Y80" i="106"/>
  <c r="L82" i="97"/>
  <c r="L83" i="97"/>
  <c r="L84" i="97"/>
  <c r="L85" i="97"/>
  <c r="L86" i="97"/>
  <c r="L87" i="97"/>
  <c r="L88" i="97"/>
  <c r="L89" i="97"/>
  <c r="L90" i="97"/>
  <c r="L91" i="97"/>
  <c r="L92" i="97"/>
  <c r="L93" i="97"/>
  <c r="L94" i="97"/>
  <c r="L95" i="97"/>
  <c r="L96" i="97"/>
  <c r="L97" i="97"/>
  <c r="L98" i="97"/>
  <c r="L99" i="97"/>
  <c r="L100" i="97"/>
  <c r="L101" i="97"/>
  <c r="L102" i="97"/>
  <c r="L103" i="97"/>
  <c r="L104" i="97"/>
  <c r="L105" i="97"/>
  <c r="L106" i="97"/>
  <c r="L107" i="97"/>
  <c r="L108" i="97"/>
  <c r="L109" i="97"/>
  <c r="L110" i="97"/>
  <c r="L111" i="97"/>
  <c r="L112" i="97"/>
  <c r="L113" i="97"/>
  <c r="L114" i="97"/>
  <c r="CC81" i="106" l="1" a="1"/>
  <c r="CC81" i="106" s="1"/>
  <c r="CG81" i="106" a="1"/>
  <c r="CG81" i="106" s="1"/>
  <c r="CD81" i="106" a="1"/>
  <c r="CD81" i="106" s="1"/>
  <c r="U83" i="106"/>
  <c r="W83" i="106" s="1" a="1"/>
  <c r="W83" i="106" s="1"/>
  <c r="X83" i="106" s="1"/>
  <c r="CF81" i="106" a="1"/>
  <c r="CF81" i="106" s="1"/>
  <c r="CB81" i="106" a="1"/>
  <c r="CB81" i="106" s="1"/>
  <c r="Q80" i="106" a="1"/>
  <c r="Q80" i="106" s="1"/>
  <c r="H79" i="108" s="1" a="1"/>
  <c r="H79" i="108" s="1"/>
  <c r="V83" i="106"/>
  <c r="I82" i="108" a="1"/>
  <c r="I82" i="108" s="1"/>
  <c r="S82" i="108" s="1" a="1"/>
  <c r="S82" i="108" s="1"/>
  <c r="U80" i="106"/>
  <c r="W80" i="106" s="1" a="1"/>
  <c r="W80" i="106" s="1"/>
  <c r="X80" i="106" s="1"/>
  <c r="BB80" i="106" s="1" a="1"/>
  <c r="BB80" i="106" s="1"/>
  <c r="I80" i="108" a="1"/>
  <c r="I80" i="108" s="1"/>
  <c r="AM80" i="108" s="1" a="1"/>
  <c r="AM80" i="108" s="1"/>
  <c r="V81" i="106"/>
  <c r="Q81" i="106" a="1"/>
  <c r="Q81" i="106" s="1"/>
  <c r="H80" i="108" s="1" a="1"/>
  <c r="H80" i="108" s="1"/>
  <c r="I81" i="108" a="1"/>
  <c r="I81" i="108" s="1"/>
  <c r="BU83" i="106" a="1"/>
  <c r="BU83" i="106" s="1"/>
  <c r="AO83" i="106" a="1"/>
  <c r="AO83" i="106" s="1"/>
  <c r="AZ83" i="106" a="1"/>
  <c r="AZ83" i="106" s="1"/>
  <c r="BK83" i="106" a="1"/>
  <c r="BK83" i="106" s="1"/>
  <c r="BV83" i="106" a="1"/>
  <c r="BV83" i="106" s="1"/>
  <c r="AE83" i="106" a="1"/>
  <c r="AE83" i="106" s="1"/>
  <c r="AD83" i="106" a="1"/>
  <c r="AD83" i="106" s="1"/>
  <c r="AF83" i="106" a="1"/>
  <c r="AF83" i="106" s="1"/>
  <c r="AQ83" i="106" a="1"/>
  <c r="AQ83" i="106" s="1"/>
  <c r="BB83" i="106" a="1"/>
  <c r="BB83" i="106" s="1"/>
  <c r="BM83" i="106" a="1"/>
  <c r="BM83" i="106" s="1"/>
  <c r="BX83" i="106" a="1"/>
  <c r="BX83" i="106" s="1"/>
  <c r="BG83" i="106" a="1"/>
  <c r="BG83" i="106" s="1"/>
  <c r="AX83" i="106" a="1"/>
  <c r="AX83" i="106" s="1"/>
  <c r="BJ83" i="106" a="1"/>
  <c r="BJ83" i="106" s="1"/>
  <c r="AG83" i="106" a="1"/>
  <c r="AG83" i="106" s="1"/>
  <c r="AR83" i="106" a="1"/>
  <c r="AR83" i="106" s="1"/>
  <c r="BC83" i="106" a="1"/>
  <c r="BC83" i="106" s="1"/>
  <c r="BN83" i="106" a="1"/>
  <c r="BN83" i="106" s="1"/>
  <c r="BY83" i="106" a="1"/>
  <c r="BY83" i="106" s="1"/>
  <c r="Z83" i="106" a="1"/>
  <c r="Z83" i="106" s="1"/>
  <c r="AM83" i="106" a="1"/>
  <c r="AM83" i="106" s="1"/>
  <c r="AY83" i="106" a="1"/>
  <c r="AY83" i="106" s="1"/>
  <c r="BL83" i="106" a="1"/>
  <c r="BL83" i="106" s="1"/>
  <c r="AH83" i="106" a="1"/>
  <c r="AH83" i="106" s="1"/>
  <c r="AS83" i="106" a="1"/>
  <c r="AS83" i="106" s="1"/>
  <c r="BD83" i="106" a="1"/>
  <c r="BD83" i="106" s="1"/>
  <c r="BO83" i="106" a="1"/>
  <c r="BO83" i="106" s="1"/>
  <c r="BZ83" i="106" a="1"/>
  <c r="BZ83" i="106" s="1"/>
  <c r="BI83" i="106" a="1"/>
  <c r="BI83" i="106" s="1"/>
  <c r="AI83" i="106" a="1"/>
  <c r="AI83" i="106" s="1"/>
  <c r="AT83" i="106" a="1"/>
  <c r="AT83" i="106" s="1"/>
  <c r="BE83" i="106" a="1"/>
  <c r="BE83" i="106" s="1"/>
  <c r="BP83" i="106" a="1"/>
  <c r="BP83" i="106" s="1"/>
  <c r="CA83" i="106" a="1"/>
  <c r="CA83" i="106" s="1"/>
  <c r="AU83" i="106" a="1"/>
  <c r="AU83" i="106" s="1"/>
  <c r="BQ83" i="106" a="1"/>
  <c r="BQ83" i="106" s="1"/>
  <c r="AJ83" i="106" a="1"/>
  <c r="AJ83" i="106" s="1"/>
  <c r="BF83" i="106" a="1"/>
  <c r="BF83" i="106" s="1"/>
  <c r="AB83" i="106" a="1"/>
  <c r="AB83" i="106" s="1"/>
  <c r="BT83" i="106" a="1"/>
  <c r="BT83" i="106" s="1"/>
  <c r="AP83" i="106" a="1"/>
  <c r="AP83" i="106" s="1"/>
  <c r="AK83" i="106" a="1"/>
  <c r="AK83" i="106" s="1"/>
  <c r="AV83" i="106" a="1"/>
  <c r="AV83" i="106" s="1"/>
  <c r="AA83" i="106" a="1"/>
  <c r="AA83" i="106" s="1"/>
  <c r="AL83" i="106" a="1"/>
  <c r="AL83" i="106" s="1"/>
  <c r="AW83" i="106" a="1"/>
  <c r="AW83" i="106" s="1"/>
  <c r="BH83" i="106" a="1"/>
  <c r="BH83" i="106" s="1"/>
  <c r="BR83" i="106" a="1"/>
  <c r="BR83" i="106" s="1"/>
  <c r="AC83" i="106" a="1"/>
  <c r="AC83" i="106" s="1"/>
  <c r="BS83" i="106" a="1"/>
  <c r="BS83" i="106" s="1"/>
  <c r="AN83" i="106" a="1"/>
  <c r="AN83" i="106" s="1"/>
  <c r="BA83" i="106" a="1"/>
  <c r="BA83" i="106" s="1"/>
  <c r="BW83" i="106" a="1"/>
  <c r="BW83" i="106" s="1"/>
  <c r="R79" i="108" a="1"/>
  <c r="R79" i="108" s="1"/>
  <c r="AA79" i="108" a="1"/>
  <c r="AA79" i="108" s="1"/>
  <c r="AJ79" i="108" a="1"/>
  <c r="AJ79" i="108" s="1"/>
  <c r="U79" i="108" a="1"/>
  <c r="U79" i="108" s="1"/>
  <c r="AK79" i="108" a="1"/>
  <c r="AK79" i="108" s="1"/>
  <c r="AD79" i="108" a="1"/>
  <c r="AD79" i="108" s="1"/>
  <c r="J79" i="108" a="1"/>
  <c r="J79" i="108" s="1"/>
  <c r="S79" i="108" a="1"/>
  <c r="S79" i="108" s="1"/>
  <c r="AB79" i="108" a="1"/>
  <c r="AB79" i="108" s="1"/>
  <c r="AL79" i="108" a="1"/>
  <c r="AL79" i="108" s="1"/>
  <c r="M79" i="108" a="1"/>
  <c r="M79" i="108" s="1"/>
  <c r="K79" i="108" a="1"/>
  <c r="K79" i="108" s="1"/>
  <c r="T79" i="108" a="1"/>
  <c r="T79" i="108" s="1"/>
  <c r="AC79" i="108" a="1"/>
  <c r="AC79" i="108" s="1"/>
  <c r="AM79" i="108" a="1"/>
  <c r="AM79" i="108" s="1"/>
  <c r="N79" i="108" a="1"/>
  <c r="N79" i="108" s="1"/>
  <c r="W79" i="108" a="1"/>
  <c r="W79" i="108" s="1"/>
  <c r="AF79" i="108" a="1"/>
  <c r="AF79" i="108" s="1"/>
  <c r="O79" i="108" a="1"/>
  <c r="O79" i="108" s="1"/>
  <c r="X79" i="108" a="1"/>
  <c r="X79" i="108" s="1"/>
  <c r="AG79" i="108" a="1"/>
  <c r="AG79" i="108" s="1"/>
  <c r="P79" i="108" a="1"/>
  <c r="P79" i="108" s="1"/>
  <c r="Y79" i="108" a="1"/>
  <c r="Y79" i="108" s="1"/>
  <c r="AH79" i="108" a="1"/>
  <c r="AH79" i="108" s="1"/>
  <c r="Q79" i="108" a="1"/>
  <c r="Q79" i="108" s="1"/>
  <c r="Z79" i="108" a="1"/>
  <c r="Z79" i="108" s="1"/>
  <c r="AI79" i="108" a="1"/>
  <c r="AI79" i="108" s="1"/>
  <c r="L79" i="108" a="1"/>
  <c r="L79" i="108" s="1"/>
  <c r="V79" i="108" a="1"/>
  <c r="V79" i="108" s="1"/>
  <c r="AE79" i="108" a="1"/>
  <c r="AE79" i="108" s="1"/>
  <c r="AF81" i="106" a="1"/>
  <c r="AF81" i="106" s="1"/>
  <c r="AR81" i="106" a="1"/>
  <c r="AR81" i="106" s="1"/>
  <c r="BD81" i="106" a="1"/>
  <c r="BD81" i="106" s="1"/>
  <c r="BZ81" i="106" a="1"/>
  <c r="BZ81" i="106" s="1"/>
  <c r="AG81" i="106" a="1"/>
  <c r="AG81" i="106" s="1"/>
  <c r="AS81" i="106" a="1"/>
  <c r="AS81" i="106" s="1"/>
  <c r="BE81" i="106" a="1"/>
  <c r="BE81" i="106" s="1"/>
  <c r="BP81" i="106" a="1"/>
  <c r="BP81" i="106" s="1"/>
  <c r="CA81" i="106" a="1"/>
  <c r="CA81" i="106" s="1"/>
  <c r="AH81" i="106" a="1"/>
  <c r="AH81" i="106" s="1"/>
  <c r="AT81" i="106" a="1"/>
  <c r="AT81" i="106" s="1"/>
  <c r="BF81" i="106" a="1"/>
  <c r="BF81" i="106" s="1"/>
  <c r="BQ81" i="106" a="1"/>
  <c r="BQ81" i="106" s="1"/>
  <c r="AI81" i="106" a="1"/>
  <c r="AI81" i="106" s="1"/>
  <c r="AU81" i="106" a="1"/>
  <c r="AU81" i="106" s="1"/>
  <c r="BG81" i="106" a="1"/>
  <c r="BG81" i="106" s="1"/>
  <c r="BR81" i="106" a="1"/>
  <c r="BR81" i="106" s="1"/>
  <c r="BX81" i="106" a="1"/>
  <c r="BX81" i="106" s="1"/>
  <c r="AJ81" i="106" a="1"/>
  <c r="AJ81" i="106" s="1"/>
  <c r="AV81" i="106" a="1"/>
  <c r="AV81" i="106" s="1"/>
  <c r="BH81" i="106" a="1"/>
  <c r="BH81" i="106" s="1"/>
  <c r="BS81" i="106" a="1"/>
  <c r="BS81" i="106" s="1"/>
  <c r="BN81" i="106" a="1"/>
  <c r="BN81" i="106" s="1"/>
  <c r="AK81" i="106" a="1"/>
  <c r="AK81" i="106" s="1"/>
  <c r="AW81" i="106" a="1"/>
  <c r="AW81" i="106" s="1"/>
  <c r="BI81" i="106" a="1"/>
  <c r="BI81" i="106" s="1"/>
  <c r="BT81" i="106" a="1"/>
  <c r="BT81" i="106" s="1"/>
  <c r="AE81" i="106" a="1"/>
  <c r="AE81" i="106" s="1"/>
  <c r="AA81" i="106" a="1"/>
  <c r="AA81" i="106" s="1"/>
  <c r="AL81" i="106" a="1"/>
  <c r="AL81" i="106" s="1"/>
  <c r="AX81" i="106" a="1"/>
  <c r="AX81" i="106" s="1"/>
  <c r="BJ81" i="106" a="1"/>
  <c r="BJ81" i="106" s="1"/>
  <c r="BU81" i="106" a="1"/>
  <c r="BU81" i="106" s="1"/>
  <c r="BB81" i="106" a="1"/>
  <c r="BB81" i="106" s="1"/>
  <c r="BC81" i="106" a="1"/>
  <c r="BC81" i="106" s="1"/>
  <c r="AM81" i="106" a="1"/>
  <c r="AM81" i="106" s="1"/>
  <c r="AY81" i="106" a="1"/>
  <c r="AY81" i="106" s="1"/>
  <c r="BK81" i="106" a="1"/>
  <c r="BK81" i="106" s="1"/>
  <c r="BV81" i="106" a="1"/>
  <c r="BV81" i="106" s="1"/>
  <c r="AD81" i="106" a="1"/>
  <c r="AD81" i="106" s="1"/>
  <c r="BY81" i="106" a="1"/>
  <c r="BY81" i="106" s="1"/>
  <c r="AB81" i="106" a="1"/>
  <c r="AB81" i="106" s="1"/>
  <c r="AN81" i="106" a="1"/>
  <c r="AN81" i="106" s="1"/>
  <c r="AZ81" i="106" a="1"/>
  <c r="AZ81" i="106" s="1"/>
  <c r="BL81" i="106" a="1"/>
  <c r="BL81" i="106" s="1"/>
  <c r="Z81" i="106" a="1"/>
  <c r="Z81" i="106" s="1"/>
  <c r="AC81" i="106" a="1"/>
  <c r="AC81" i="106" s="1"/>
  <c r="AO81" i="106" a="1"/>
  <c r="AO81" i="106" s="1"/>
  <c r="BA81" i="106" a="1"/>
  <c r="BA81" i="106" s="1"/>
  <c r="BM81" i="106" a="1"/>
  <c r="BM81" i="106" s="1"/>
  <c r="BW81" i="106" a="1"/>
  <c r="BW81" i="106" s="1"/>
  <c r="AP81" i="106" a="1"/>
  <c r="AP81" i="106" s="1"/>
  <c r="AQ81" i="106" a="1"/>
  <c r="AQ81" i="106" s="1"/>
  <c r="BO81" i="106" a="1"/>
  <c r="BO81" i="106" s="1"/>
  <c r="U82" i="106"/>
  <c r="W82" i="106" s="1" a="1"/>
  <c r="W82" i="106" s="1"/>
  <c r="X82" i="106" s="1"/>
  <c r="CD82" i="106" s="1" a="1"/>
  <c r="CD82" i="106" s="1"/>
  <c r="Q82" i="106" a="1"/>
  <c r="Q82" i="106" s="1"/>
  <c r="H81" i="108" s="1" a="1"/>
  <c r="H81" i="108" s="1"/>
  <c r="CB83" i="106" a="1"/>
  <c r="CB83" i="106" s="1"/>
  <c r="CC83" i="106" a="1"/>
  <c r="CC83" i="106" s="1"/>
  <c r="CD83" i="106" a="1"/>
  <c r="CD83" i="106" s="1"/>
  <c r="CF83" i="106" a="1"/>
  <c r="CF83" i="106" s="1"/>
  <c r="CG83" i="106" a="1"/>
  <c r="CG83" i="106" s="1"/>
  <c r="CE83" i="106" a="1"/>
  <c r="CE83" i="106" s="1"/>
  <c r="CB80" i="106" l="1" a="1"/>
  <c r="CB80" i="106" s="1"/>
  <c r="CF80" i="106" a="1"/>
  <c r="CF80" i="106" s="1"/>
  <c r="CG80" i="106" a="1"/>
  <c r="CG80" i="106" s="1"/>
  <c r="CE80" i="106" a="1"/>
  <c r="CE80" i="106" s="1"/>
  <c r="BS80" i="106" a="1"/>
  <c r="BS80" i="106" s="1"/>
  <c r="AL80" i="106" a="1"/>
  <c r="AL80" i="106" s="1"/>
  <c r="BU80" i="106" a="1"/>
  <c r="BU80" i="106" s="1"/>
  <c r="BW80" i="106" a="1"/>
  <c r="BW80" i="106" s="1"/>
  <c r="BR80" i="106" a="1"/>
  <c r="BR80" i="106" s="1"/>
  <c r="CA80" i="106" a="1"/>
  <c r="CA80" i="106" s="1"/>
  <c r="BP80" i="106" a="1"/>
  <c r="BP80" i="106" s="1"/>
  <c r="AS80" i="106" a="1"/>
  <c r="AS80" i="106" s="1"/>
  <c r="AH80" i="106" a="1"/>
  <c r="AH80" i="106" s="1"/>
  <c r="AO80" i="106" a="1"/>
  <c r="AO80" i="106" s="1"/>
  <c r="AQ80" i="106" a="1"/>
  <c r="AQ80" i="106" s="1"/>
  <c r="AF80" i="106" a="1"/>
  <c r="AF80" i="106" s="1"/>
  <c r="BH80" i="106" a="1"/>
  <c r="BH80" i="106" s="1"/>
  <c r="BE80" i="106" a="1"/>
  <c r="BE80" i="106" s="1"/>
  <c r="BJ80" i="106" a="1"/>
  <c r="BJ80" i="106" s="1"/>
  <c r="BL80" i="106" a="1"/>
  <c r="BL80" i="106" s="1"/>
  <c r="BG80" i="106" a="1"/>
  <c r="BG80" i="106" s="1"/>
  <c r="AT80" i="106" a="1"/>
  <c r="AT80" i="106" s="1"/>
  <c r="BY80" i="106" a="1"/>
  <c r="BY80" i="106" s="1"/>
  <c r="BA80" i="106" a="1"/>
  <c r="BA80" i="106" s="1"/>
  <c r="AY80" i="106" a="1"/>
  <c r="AY80" i="106" s="1"/>
  <c r="AV80" i="106" a="1"/>
  <c r="AV80" i="106" s="1"/>
  <c r="AI80" i="106" a="1"/>
  <c r="AI80" i="106" s="1"/>
  <c r="BN80" i="106" a="1"/>
  <c r="BN80" i="106" s="1"/>
  <c r="AP80" i="106" a="1"/>
  <c r="AP80" i="106" s="1"/>
  <c r="AN80" i="106" a="1"/>
  <c r="AN80" i="106" s="1"/>
  <c r="AK80" i="106" a="1"/>
  <c r="AK80" i="106" s="1"/>
  <c r="Z80" i="106" a="1"/>
  <c r="Z80" i="106" s="1"/>
  <c r="BC80" i="106" a="1"/>
  <c r="BC80" i="106" s="1"/>
  <c r="AE80" i="106" a="1"/>
  <c r="AE80" i="106" s="1"/>
  <c r="BT80" i="106" a="1"/>
  <c r="BT80" i="106" s="1"/>
  <c r="AB80" i="106" a="1"/>
  <c r="AB80" i="106" s="1"/>
  <c r="AC80" i="106" a="1"/>
  <c r="AC80" i="106" s="1"/>
  <c r="AR80" i="106" a="1"/>
  <c r="AR80" i="106" s="1"/>
  <c r="BV80" i="106" a="1"/>
  <c r="BV80" i="106" s="1"/>
  <c r="BI80" i="106" a="1"/>
  <c r="BI80" i="106" s="1"/>
  <c r="BQ80" i="106" a="1"/>
  <c r="BQ80" i="106" s="1"/>
  <c r="AX80" i="106" a="1"/>
  <c r="AX80" i="106" s="1"/>
  <c r="AG80" i="106" a="1"/>
  <c r="AG80" i="106" s="1"/>
  <c r="BK80" i="106" a="1"/>
  <c r="BK80" i="106" s="1"/>
  <c r="CD80" i="106" a="1"/>
  <c r="CD80" i="106" s="1"/>
  <c r="CC80" i="106" a="1"/>
  <c r="CC80" i="106" s="1"/>
  <c r="AW80" i="106" a="1"/>
  <c r="AW80" i="106" s="1"/>
  <c r="BF80" i="106" a="1"/>
  <c r="BF80" i="106" s="1"/>
  <c r="BZ80" i="106" a="1"/>
  <c r="BZ80" i="106" s="1"/>
  <c r="BX80" i="106" a="1"/>
  <c r="BX80" i="106" s="1"/>
  <c r="AZ80" i="106" a="1"/>
  <c r="AZ80" i="106" s="1"/>
  <c r="AM80" i="106" a="1"/>
  <c r="AM80" i="106" s="1"/>
  <c r="AU80" i="106" a="1"/>
  <c r="AU80" i="106" s="1"/>
  <c r="BO80" i="106" a="1"/>
  <c r="BO80" i="106" s="1"/>
  <c r="BM80" i="106" a="1"/>
  <c r="BM80" i="106" s="1"/>
  <c r="AD80" i="106" a="1"/>
  <c r="AD80" i="106" s="1"/>
  <c r="AA80" i="106" a="1"/>
  <c r="AA80" i="106" s="1"/>
  <c r="AJ80" i="106" a="1"/>
  <c r="AJ80" i="106" s="1"/>
  <c r="BD80" i="106" a="1"/>
  <c r="BD80" i="106" s="1"/>
  <c r="AJ82" i="108" a="1"/>
  <c r="AJ82" i="108" s="1"/>
  <c r="AG82" i="108" a="1"/>
  <c r="AG82" i="108" s="1"/>
  <c r="AH82" i="108" a="1"/>
  <c r="AH82" i="108" s="1"/>
  <c r="AC82" i="108" a="1"/>
  <c r="AC82" i="108" s="1"/>
  <c r="AE82" i="108" a="1"/>
  <c r="AE82" i="108" s="1"/>
  <c r="AF82" i="108" a="1"/>
  <c r="AF82" i="108" s="1"/>
  <c r="AK82" i="108" a="1"/>
  <c r="AK82" i="108" s="1"/>
  <c r="U82" i="108" a="1"/>
  <c r="U82" i="108" s="1"/>
  <c r="P82" i="108" a="1"/>
  <c r="P82" i="108" s="1"/>
  <c r="R82" i="108" a="1"/>
  <c r="R82" i="108" s="1"/>
  <c r="Z82" i="108" a="1"/>
  <c r="Z82" i="108" s="1"/>
  <c r="K82" i="108" a="1"/>
  <c r="K82" i="108" s="1"/>
  <c r="V82" i="108" a="1"/>
  <c r="V82" i="108" s="1"/>
  <c r="Q82" i="108" a="1"/>
  <c r="Q82" i="108" s="1"/>
  <c r="AI82" i="108" a="1"/>
  <c r="AI82" i="108" s="1"/>
  <c r="AD82" i="108" a="1"/>
  <c r="AD82" i="108" s="1"/>
  <c r="L82" i="108" a="1"/>
  <c r="L82" i="108" s="1"/>
  <c r="X82" i="108" a="1"/>
  <c r="X82" i="108" s="1"/>
  <c r="AA82" i="108" a="1"/>
  <c r="AA82" i="108" s="1"/>
  <c r="J82" i="108" a="1"/>
  <c r="J82" i="108" s="1"/>
  <c r="AB82" i="108" a="1"/>
  <c r="AB82" i="108" s="1"/>
  <c r="M82" i="108" a="1"/>
  <c r="M82" i="108" s="1"/>
  <c r="Y82" i="108" a="1"/>
  <c r="Y82" i="108" s="1"/>
  <c r="T82" i="108" a="1"/>
  <c r="T82" i="108" s="1"/>
  <c r="AM82" i="108" a="1"/>
  <c r="AM82" i="108" s="1"/>
  <c r="O82" i="108" a="1"/>
  <c r="O82" i="108" s="1"/>
  <c r="W82" i="108" a="1"/>
  <c r="W82" i="108" s="1"/>
  <c r="AL82" i="108" a="1"/>
  <c r="AL82" i="108" s="1"/>
  <c r="N82" i="108" a="1"/>
  <c r="N82" i="108" s="1"/>
  <c r="N80" i="108" a="1"/>
  <c r="N80" i="108" s="1"/>
  <c r="W80" i="108" a="1"/>
  <c r="W80" i="108" s="1"/>
  <c r="M80" i="108" a="1"/>
  <c r="M80" i="108" s="1"/>
  <c r="AG80" i="108" a="1"/>
  <c r="AG80" i="108" s="1"/>
  <c r="V80" i="108" a="1"/>
  <c r="V80" i="108" s="1"/>
  <c r="AB80" i="108" a="1"/>
  <c r="AB80" i="108" s="1"/>
  <c r="R80" i="108" a="1"/>
  <c r="R80" i="108" s="1"/>
  <c r="AE80" i="108" a="1"/>
  <c r="AE80" i="108" s="1"/>
  <c r="AL80" i="108" a="1"/>
  <c r="AL80" i="108" s="1"/>
  <c r="J80" i="108" a="1"/>
  <c r="J80" i="108" s="1"/>
  <c r="AJ80" i="108" a="1"/>
  <c r="AJ80" i="108" s="1"/>
  <c r="L80" i="108" a="1"/>
  <c r="L80" i="108" s="1"/>
  <c r="Q80" i="108" a="1"/>
  <c r="Q80" i="108" s="1"/>
  <c r="Z80" i="108" a="1"/>
  <c r="Z80" i="108" s="1"/>
  <c r="U80" i="108" a="1"/>
  <c r="U80" i="108" s="1"/>
  <c r="AD80" i="108" a="1"/>
  <c r="AD80" i="108" s="1"/>
  <c r="AI80" i="108" a="1"/>
  <c r="AI80" i="108" s="1"/>
  <c r="AC80" i="108" a="1"/>
  <c r="AC80" i="108" s="1"/>
  <c r="AK80" i="108" a="1"/>
  <c r="AK80" i="108" s="1"/>
  <c r="Y80" i="108" a="1"/>
  <c r="Y80" i="108" s="1"/>
  <c r="S80" i="108" a="1"/>
  <c r="S80" i="108" s="1"/>
  <c r="AA80" i="108" a="1"/>
  <c r="AA80" i="108" s="1"/>
  <c r="O80" i="108" a="1"/>
  <c r="O80" i="108" s="1"/>
  <c r="AF80" i="108" a="1"/>
  <c r="AF80" i="108" s="1"/>
  <c r="P80" i="108" a="1"/>
  <c r="P80" i="108" s="1"/>
  <c r="AH80" i="108" a="1"/>
  <c r="AH80" i="108" s="1"/>
  <c r="K80" i="108" a="1"/>
  <c r="K80" i="108" s="1"/>
  <c r="X80" i="108" a="1"/>
  <c r="X80" i="108" s="1"/>
  <c r="T80" i="108" a="1"/>
  <c r="T80" i="108" s="1"/>
  <c r="CG82" i="106" a="1"/>
  <c r="CG82" i="106" s="1"/>
  <c r="CF82" i="106" a="1"/>
  <c r="CF82" i="106" s="1"/>
  <c r="CE82" i="106" a="1"/>
  <c r="CE82" i="106" s="1"/>
  <c r="Q81" i="108" a="1"/>
  <c r="Q81" i="108" s="1"/>
  <c r="AL81" i="108" a="1"/>
  <c r="AL81" i="108" s="1"/>
  <c r="J81" i="108" a="1"/>
  <c r="J81" i="108" s="1"/>
  <c r="R81" i="108" a="1"/>
  <c r="R81" i="108" s="1"/>
  <c r="AB81" i="108" a="1"/>
  <c r="AB81" i="108" s="1"/>
  <c r="AM81" i="108" a="1"/>
  <c r="AM81" i="108" s="1"/>
  <c r="AE81" i="108" a="1"/>
  <c r="AE81" i="108" s="1"/>
  <c r="S81" i="108" a="1"/>
  <c r="S81" i="108" s="1"/>
  <c r="AC81" i="108" a="1"/>
  <c r="AC81" i="108" s="1"/>
  <c r="K81" i="108" a="1"/>
  <c r="K81" i="108" s="1"/>
  <c r="L81" i="108" a="1"/>
  <c r="L81" i="108" s="1"/>
  <c r="V81" i="108" a="1"/>
  <c r="V81" i="108" s="1"/>
  <c r="T81" i="108" a="1"/>
  <c r="T81" i="108" s="1"/>
  <c r="AD81" i="108" a="1"/>
  <c r="AD81" i="108" s="1"/>
  <c r="AF81" i="108" a="1"/>
  <c r="AF81" i="108" s="1"/>
  <c r="M81" i="108" a="1"/>
  <c r="M81" i="108" s="1"/>
  <c r="W81" i="108" a="1"/>
  <c r="W81" i="108" s="1"/>
  <c r="N81" i="108" a="1"/>
  <c r="N81" i="108" s="1"/>
  <c r="X81" i="108" a="1"/>
  <c r="X81" i="108" s="1"/>
  <c r="AH81" i="108" a="1"/>
  <c r="AH81" i="108" s="1"/>
  <c r="O81" i="108" a="1"/>
  <c r="O81" i="108" s="1"/>
  <c r="Y81" i="108" a="1"/>
  <c r="Y81" i="108" s="1"/>
  <c r="AI81" i="108" a="1"/>
  <c r="AI81" i="108" s="1"/>
  <c r="Z81" i="108" a="1"/>
  <c r="Z81" i="108" s="1"/>
  <c r="AJ81" i="108" a="1"/>
  <c r="AJ81" i="108" s="1"/>
  <c r="P81" i="108" a="1"/>
  <c r="P81" i="108" s="1"/>
  <c r="AA81" i="108" a="1"/>
  <c r="AA81" i="108" s="1"/>
  <c r="AK81" i="108" a="1"/>
  <c r="AK81" i="108" s="1"/>
  <c r="U81" i="108" a="1"/>
  <c r="U81" i="108" s="1"/>
  <c r="AG81" i="108" a="1"/>
  <c r="AG81" i="108" s="1"/>
  <c r="AK82" i="106" a="1"/>
  <c r="AK82" i="106" s="1"/>
  <c r="AV82" i="106" a="1"/>
  <c r="AV82" i="106" s="1"/>
  <c r="BH82" i="106" a="1"/>
  <c r="BH82" i="106" s="1"/>
  <c r="BS82" i="106" a="1"/>
  <c r="BS82" i="106" s="1"/>
  <c r="AL82" i="106" a="1"/>
  <c r="AL82" i="106" s="1"/>
  <c r="AW82" i="106" a="1"/>
  <c r="AW82" i="106" s="1"/>
  <c r="BI82" i="106" a="1"/>
  <c r="BI82" i="106" s="1"/>
  <c r="BT82" i="106" a="1"/>
  <c r="BT82" i="106" s="1"/>
  <c r="AX82" i="106" a="1"/>
  <c r="AX82" i="106" s="1"/>
  <c r="BU82" i="106" a="1"/>
  <c r="BU82" i="106" s="1"/>
  <c r="AB82" i="106" a="1"/>
  <c r="AB82" i="106" s="1"/>
  <c r="AY82" i="106" a="1"/>
  <c r="AY82" i="106" s="1"/>
  <c r="BK82" i="106" a="1"/>
  <c r="BK82" i="106" s="1"/>
  <c r="BV82" i="106" a="1"/>
  <c r="BV82" i="106" s="1"/>
  <c r="Z82" i="106" a="1"/>
  <c r="Z82" i="106" s="1"/>
  <c r="AU82" i="106" a="1"/>
  <c r="AU82" i="106" s="1"/>
  <c r="AA82" i="106" a="1"/>
  <c r="AA82" i="106" s="1"/>
  <c r="AC82" i="106" a="1"/>
  <c r="AC82" i="106" s="1"/>
  <c r="AN82" i="106" a="1"/>
  <c r="AN82" i="106" s="1"/>
  <c r="AZ82" i="106" a="1"/>
  <c r="AZ82" i="106" s="1"/>
  <c r="BL82" i="106" a="1"/>
  <c r="BL82" i="106" s="1"/>
  <c r="BW82" i="106" a="1"/>
  <c r="BW82" i="106" s="1"/>
  <c r="AJ82" i="106" a="1"/>
  <c r="AJ82" i="106" s="1"/>
  <c r="AD82" i="106" a="1"/>
  <c r="AD82" i="106" s="1"/>
  <c r="AO82" i="106" a="1"/>
  <c r="AO82" i="106" s="1"/>
  <c r="BA82" i="106" a="1"/>
  <c r="BA82" i="106" s="1"/>
  <c r="BM82" i="106" a="1"/>
  <c r="BM82" i="106" s="1"/>
  <c r="BX82" i="106" a="1"/>
  <c r="BX82" i="106" s="1"/>
  <c r="AT82" i="106" a="1"/>
  <c r="AT82" i="106" s="1"/>
  <c r="BG82" i="106" a="1"/>
  <c r="BG82" i="106" s="1"/>
  <c r="AM82" i="106" a="1"/>
  <c r="AM82" i="106" s="1"/>
  <c r="AE82" i="106" a="1"/>
  <c r="AE82" i="106" s="1"/>
  <c r="AP82" i="106" a="1"/>
  <c r="AP82" i="106" s="1"/>
  <c r="BB82" i="106" a="1"/>
  <c r="BB82" i="106" s="1"/>
  <c r="BN82" i="106" a="1"/>
  <c r="BN82" i="106" s="1"/>
  <c r="BY82" i="106" a="1"/>
  <c r="BY82" i="106" s="1"/>
  <c r="BF82" i="106" a="1"/>
  <c r="BF82" i="106" s="1"/>
  <c r="BR82" i="106" a="1"/>
  <c r="BR82" i="106" s="1"/>
  <c r="BJ82" i="106" a="1"/>
  <c r="BJ82" i="106" s="1"/>
  <c r="AF82" i="106" a="1"/>
  <c r="AF82" i="106" s="1"/>
  <c r="AQ82" i="106" a="1"/>
  <c r="AQ82" i="106" s="1"/>
  <c r="BC82" i="106" a="1"/>
  <c r="BC82" i="106" s="1"/>
  <c r="BO82" i="106" a="1"/>
  <c r="BO82" i="106" s="1"/>
  <c r="BZ82" i="106" a="1"/>
  <c r="BZ82" i="106" s="1"/>
  <c r="AG82" i="106" a="1"/>
  <c r="AG82" i="106" s="1"/>
  <c r="AR82" i="106" a="1"/>
  <c r="AR82" i="106" s="1"/>
  <c r="BD82" i="106" a="1"/>
  <c r="BD82" i="106" s="1"/>
  <c r="BP82" i="106" a="1"/>
  <c r="BP82" i="106" s="1"/>
  <c r="CA82" i="106" a="1"/>
  <c r="CA82" i="106" s="1"/>
  <c r="AH82" i="106" a="1"/>
  <c r="AH82" i="106" s="1"/>
  <c r="AS82" i="106" a="1"/>
  <c r="AS82" i="106" s="1"/>
  <c r="BE82" i="106" a="1"/>
  <c r="BE82" i="106" s="1"/>
  <c r="BQ82" i="106" a="1"/>
  <c r="BQ82" i="106" s="1"/>
  <c r="AI82" i="106" a="1"/>
  <c r="AI82" i="106" s="1"/>
  <c r="CC82" i="106" a="1"/>
  <c r="CC82" i="106" s="1"/>
  <c r="CB82" i="106" a="1"/>
  <c r="CB82" i="106" s="1"/>
  <c r="B9" i="98"/>
  <c r="B10" i="98"/>
  <c r="B10" i="25" l="1"/>
  <c r="C16" i="96" s="1"/>
  <c r="C16" i="114" s="1"/>
  <c r="B9" i="25"/>
  <c r="C15" i="96" s="1"/>
  <c r="C15" i="114" s="1"/>
  <c r="B10" i="97"/>
  <c r="B9" i="97"/>
  <c r="J10" i="105"/>
  <c r="F12" i="62" s="1"/>
  <c r="F44" i="64" l="1"/>
  <c r="G44" i="64" s="1"/>
  <c r="F43" i="64"/>
  <c r="G43" i="64" s="1"/>
  <c r="F45" i="64"/>
  <c r="G45" i="64" s="1"/>
  <c r="D66" i="108" a="1"/>
  <c r="D66" i="108" s="1"/>
  <c r="D67" i="108" a="1"/>
  <c r="D67" i="108" s="1"/>
  <c r="D68" i="108" a="1"/>
  <c r="D68" i="108" s="1"/>
  <c r="D69" i="108" a="1"/>
  <c r="D69" i="108" s="1"/>
  <c r="D70" i="108" a="1"/>
  <c r="D70" i="108" s="1"/>
  <c r="D71" i="108" a="1"/>
  <c r="D71" i="108" s="1"/>
  <c r="D72" i="108" a="1"/>
  <c r="D72" i="108" s="1"/>
  <c r="D73" i="108" a="1"/>
  <c r="D73" i="108" s="1"/>
  <c r="D74" i="108" a="1"/>
  <c r="D74" i="108" s="1"/>
  <c r="D75" i="108" a="1"/>
  <c r="D75" i="108" s="1"/>
  <c r="D76" i="108" a="1"/>
  <c r="D76" i="108" s="1"/>
  <c r="D77" i="108" a="1"/>
  <c r="D77" i="108" s="1"/>
  <c r="D78" i="108" a="1"/>
  <c r="D78" i="108" s="1"/>
  <c r="D4" i="108" a="1"/>
  <c r="D4" i="108" s="1"/>
  <c r="D5" i="108" a="1"/>
  <c r="D5" i="108" s="1"/>
  <c r="D6" i="108" a="1"/>
  <c r="D6" i="108" s="1"/>
  <c r="D7" i="108" a="1"/>
  <c r="D7" i="108" s="1"/>
  <c r="D8" i="108" a="1"/>
  <c r="D8" i="108" s="1"/>
  <c r="D9" i="108" a="1"/>
  <c r="D9" i="108" s="1"/>
  <c r="D10" i="108" a="1"/>
  <c r="D10" i="108" s="1"/>
  <c r="D11" i="108" a="1"/>
  <c r="D11" i="108" s="1"/>
  <c r="D12" i="108" a="1"/>
  <c r="D12" i="108" s="1"/>
  <c r="D13" i="108" a="1"/>
  <c r="D13" i="108" s="1"/>
  <c r="D14" i="108" a="1"/>
  <c r="D14" i="108" s="1"/>
  <c r="D15" i="108" a="1"/>
  <c r="D15" i="108" s="1"/>
  <c r="D16" i="108" a="1"/>
  <c r="D16" i="108" s="1"/>
  <c r="D17" i="108" a="1"/>
  <c r="D17" i="108" s="1"/>
  <c r="D18" i="108" a="1"/>
  <c r="D18" i="108" s="1"/>
  <c r="D19" i="108" a="1"/>
  <c r="D19" i="108" s="1"/>
  <c r="D20" i="108" a="1"/>
  <c r="D20" i="108" s="1"/>
  <c r="D21" i="108" a="1"/>
  <c r="D21" i="108" s="1"/>
  <c r="D22" i="108" a="1"/>
  <c r="D22" i="108" s="1"/>
  <c r="D23" i="108" a="1"/>
  <c r="D23" i="108" s="1"/>
  <c r="D24" i="108" a="1"/>
  <c r="D24" i="108" s="1"/>
  <c r="D25" i="108" a="1"/>
  <c r="D25" i="108" s="1"/>
  <c r="D26" i="108" a="1"/>
  <c r="D26" i="108" s="1"/>
  <c r="D27" i="108" a="1"/>
  <c r="D27" i="108" s="1"/>
  <c r="D28" i="108" a="1"/>
  <c r="D28" i="108" s="1"/>
  <c r="D29" i="108" a="1"/>
  <c r="D29" i="108" s="1"/>
  <c r="D30" i="108" a="1"/>
  <c r="D30" i="108" s="1"/>
  <c r="D31" i="108" a="1"/>
  <c r="D31" i="108" s="1"/>
  <c r="D32" i="108" a="1"/>
  <c r="D32" i="108" s="1"/>
  <c r="D33" i="108" a="1"/>
  <c r="D33" i="108" s="1"/>
  <c r="D34" i="108" a="1"/>
  <c r="D34" i="108" s="1"/>
  <c r="D35" i="108" a="1"/>
  <c r="D35" i="108" s="1"/>
  <c r="D36" i="108" a="1"/>
  <c r="D36" i="108" s="1"/>
  <c r="D37" i="108" a="1"/>
  <c r="D37" i="108" s="1"/>
  <c r="D38" i="108" a="1"/>
  <c r="D38" i="108" s="1"/>
  <c r="D39" i="108" a="1"/>
  <c r="D39" i="108" s="1"/>
  <c r="D40" i="108" a="1"/>
  <c r="D40" i="108" s="1"/>
  <c r="D41" i="108" a="1"/>
  <c r="D41" i="108" s="1"/>
  <c r="D42" i="108" a="1"/>
  <c r="D42" i="108" s="1"/>
  <c r="D43" i="108" a="1"/>
  <c r="D43" i="108" s="1"/>
  <c r="D44" i="108" a="1"/>
  <c r="D44" i="108" s="1"/>
  <c r="D45" i="108" a="1"/>
  <c r="D45" i="108" s="1"/>
  <c r="D46" i="108" a="1"/>
  <c r="D46" i="108" s="1"/>
  <c r="D47" i="108" a="1"/>
  <c r="D47" i="108" s="1"/>
  <c r="D48" i="108" a="1"/>
  <c r="D48" i="108" s="1"/>
  <c r="D49" i="108" a="1"/>
  <c r="D49" i="108" s="1"/>
  <c r="D50" i="108" a="1"/>
  <c r="D50" i="108" s="1"/>
  <c r="D51" i="108" a="1"/>
  <c r="D51" i="108" s="1"/>
  <c r="D52" i="108" a="1"/>
  <c r="D52" i="108" s="1"/>
  <c r="D53" i="108" a="1"/>
  <c r="D53" i="108" s="1"/>
  <c r="D54" i="108" a="1"/>
  <c r="D54" i="108" s="1"/>
  <c r="D55" i="108" a="1"/>
  <c r="D55" i="108" s="1"/>
  <c r="D56" i="108" a="1"/>
  <c r="D56" i="108" s="1"/>
  <c r="D57" i="108" a="1"/>
  <c r="D57" i="108" s="1"/>
  <c r="D58" i="108" a="1"/>
  <c r="D58" i="108" s="1"/>
  <c r="D59" i="108" a="1"/>
  <c r="D59" i="108" s="1"/>
  <c r="D60" i="108" a="1"/>
  <c r="D60" i="108" s="1"/>
  <c r="D61" i="108" a="1"/>
  <c r="D61" i="108" s="1"/>
  <c r="D62" i="108" a="1"/>
  <c r="D62" i="108" s="1"/>
  <c r="D63" i="108" a="1"/>
  <c r="D63" i="108" s="1"/>
  <c r="D64" i="108" a="1"/>
  <c r="D64" i="108" s="1"/>
  <c r="D65" i="108" a="1"/>
  <c r="D65" i="108" s="1"/>
  <c r="D3" i="108" a="1"/>
  <c r="D3" i="108" s="1"/>
  <c r="B66" i="108"/>
  <c r="B67" i="108"/>
  <c r="B68" i="108"/>
  <c r="B69" i="108"/>
  <c r="B70" i="108"/>
  <c r="B71" i="108"/>
  <c r="B72" i="108"/>
  <c r="B73" i="108"/>
  <c r="B74" i="108"/>
  <c r="B75" i="108"/>
  <c r="B76" i="108"/>
  <c r="B77" i="108"/>
  <c r="B78" i="108"/>
  <c r="B4" i="108"/>
  <c r="B5" i="108"/>
  <c r="B6" i="108"/>
  <c r="B7" i="108"/>
  <c r="B8" i="108"/>
  <c r="B9" i="108"/>
  <c r="B10" i="108"/>
  <c r="B11" i="108"/>
  <c r="B12" i="108"/>
  <c r="B13" i="108"/>
  <c r="B14" i="108"/>
  <c r="B15" i="108"/>
  <c r="B16" i="108"/>
  <c r="B17" i="108"/>
  <c r="B18" i="108"/>
  <c r="B19" i="108"/>
  <c r="B20" i="108"/>
  <c r="B21" i="108"/>
  <c r="B22" i="108"/>
  <c r="B23" i="108"/>
  <c r="B24" i="108"/>
  <c r="B25" i="108"/>
  <c r="B26" i="108"/>
  <c r="B27" i="108"/>
  <c r="B28" i="108"/>
  <c r="B29" i="108"/>
  <c r="B30" i="108"/>
  <c r="B31" i="108"/>
  <c r="B32" i="108"/>
  <c r="B33" i="108"/>
  <c r="B34" i="108"/>
  <c r="B35" i="108"/>
  <c r="B36" i="108"/>
  <c r="B37" i="108"/>
  <c r="B38" i="108"/>
  <c r="B39" i="108"/>
  <c r="B40" i="108"/>
  <c r="B41" i="108"/>
  <c r="B42" i="108"/>
  <c r="B43" i="108"/>
  <c r="B44" i="108"/>
  <c r="B45" i="108"/>
  <c r="B46" i="108"/>
  <c r="B47" i="108"/>
  <c r="B48" i="108"/>
  <c r="B49" i="108"/>
  <c r="B50" i="108"/>
  <c r="B51" i="108"/>
  <c r="B52" i="108"/>
  <c r="B53" i="108"/>
  <c r="B54" i="108"/>
  <c r="B55" i="108"/>
  <c r="B56" i="108"/>
  <c r="B57" i="108"/>
  <c r="B58" i="108"/>
  <c r="B59" i="108"/>
  <c r="B60" i="108"/>
  <c r="B61" i="108"/>
  <c r="B62" i="108"/>
  <c r="B63" i="108"/>
  <c r="B64" i="108"/>
  <c r="B65" i="108"/>
  <c r="B3" i="108"/>
  <c r="A8" i="112"/>
  <c r="A9" i="112"/>
  <c r="A10" i="112"/>
  <c r="A11" i="112"/>
  <c r="A12" i="112"/>
  <c r="A13" i="112"/>
  <c r="A14" i="112"/>
  <c r="A15" i="112"/>
  <c r="A16" i="112"/>
  <c r="A17" i="112"/>
  <c r="A18" i="112"/>
  <c r="A19" i="112"/>
  <c r="A20" i="112"/>
  <c r="A21" i="112"/>
  <c r="A22" i="112"/>
  <c r="A23" i="112"/>
  <c r="A24" i="112"/>
  <c r="A25" i="112"/>
  <c r="A26" i="112"/>
  <c r="A27" i="112"/>
  <c r="A28" i="112"/>
  <c r="A29" i="112"/>
  <c r="A30" i="112"/>
  <c r="A31" i="112"/>
  <c r="A32" i="112"/>
  <c r="A33" i="112"/>
  <c r="A34" i="112"/>
  <c r="A35" i="112"/>
  <c r="A36" i="112"/>
  <c r="A37" i="112"/>
  <c r="A38" i="112"/>
  <c r="A39" i="112"/>
  <c r="A40" i="112"/>
  <c r="A41" i="112"/>
  <c r="A42" i="112"/>
  <c r="A43" i="112"/>
  <c r="A44" i="112"/>
  <c r="A45" i="112"/>
  <c r="A46" i="112"/>
  <c r="A47" i="112"/>
  <c r="A48" i="112"/>
  <c r="A49" i="112"/>
  <c r="A50" i="112"/>
  <c r="A51" i="112"/>
  <c r="A52" i="112"/>
  <c r="A53" i="112"/>
  <c r="A54" i="112"/>
  <c r="A55" i="112"/>
  <c r="A56" i="112"/>
  <c r="A57" i="112"/>
  <c r="A58" i="112"/>
  <c r="A59" i="112"/>
  <c r="A60" i="112"/>
  <c r="A61" i="112"/>
  <c r="A62" i="112"/>
  <c r="A63" i="112"/>
  <c r="A64" i="112"/>
  <c r="A65" i="112"/>
  <c r="A66" i="112"/>
  <c r="A67" i="112"/>
  <c r="A68" i="112"/>
  <c r="A69" i="112"/>
  <c r="A70" i="112"/>
  <c r="A71" i="112"/>
  <c r="A72" i="112"/>
  <c r="A73" i="112"/>
  <c r="A74" i="112"/>
  <c r="A75" i="112"/>
  <c r="A76" i="112"/>
  <c r="A77" i="112"/>
  <c r="A78" i="112"/>
  <c r="A79" i="112"/>
  <c r="A80" i="112"/>
  <c r="A81" i="112"/>
  <c r="A82" i="112"/>
  <c r="A7" i="112"/>
  <c r="T67" i="106" a="1"/>
  <c r="T67" i="106" s="1"/>
  <c r="T68" i="106" a="1"/>
  <c r="T68" i="106" s="1"/>
  <c r="T69" i="106" a="1"/>
  <c r="T69" i="106" s="1"/>
  <c r="T70" i="106" a="1"/>
  <c r="T70" i="106" s="1"/>
  <c r="T71" i="106" a="1"/>
  <c r="T71" i="106" s="1"/>
  <c r="T72" i="106" a="1"/>
  <c r="T72" i="106" s="1"/>
  <c r="T73" i="106" a="1"/>
  <c r="T73" i="106" s="1"/>
  <c r="T74" i="106" a="1"/>
  <c r="T74" i="106" s="1"/>
  <c r="T75" i="106" a="1"/>
  <c r="T75" i="106" s="1"/>
  <c r="T76" i="106" a="1"/>
  <c r="T76" i="106" s="1"/>
  <c r="T77" i="106" a="1"/>
  <c r="T77" i="106" s="1"/>
  <c r="T78" i="106" a="1"/>
  <c r="T78" i="106" s="1"/>
  <c r="T79" i="106" a="1"/>
  <c r="T79" i="106" s="1"/>
  <c r="T5" i="106" a="1"/>
  <c r="T5" i="106" s="1"/>
  <c r="T6" i="106" a="1"/>
  <c r="T6" i="106" s="1"/>
  <c r="T7" i="106" a="1"/>
  <c r="T7" i="106" s="1"/>
  <c r="T8" i="106" a="1"/>
  <c r="T8" i="106" s="1"/>
  <c r="T9" i="106" a="1"/>
  <c r="T9" i="106" s="1"/>
  <c r="T10" i="106" a="1"/>
  <c r="T10" i="106" s="1"/>
  <c r="T11" i="106" a="1"/>
  <c r="T11" i="106" s="1"/>
  <c r="T12" i="106" a="1"/>
  <c r="T12" i="106" s="1"/>
  <c r="T13" i="106" a="1"/>
  <c r="T13" i="106" s="1"/>
  <c r="T14" i="106" a="1"/>
  <c r="T14" i="106" s="1"/>
  <c r="T15" i="106" a="1"/>
  <c r="T15" i="106" s="1"/>
  <c r="T16" i="106" a="1"/>
  <c r="T16" i="106" s="1"/>
  <c r="T17" i="106" a="1"/>
  <c r="T17" i="106" s="1"/>
  <c r="T18" i="106" a="1"/>
  <c r="T18" i="106" s="1"/>
  <c r="T19" i="106" a="1"/>
  <c r="T19" i="106" s="1"/>
  <c r="T20" i="106" a="1"/>
  <c r="T20" i="106" s="1"/>
  <c r="T21" i="106" a="1"/>
  <c r="T21" i="106" s="1"/>
  <c r="T22" i="106" a="1"/>
  <c r="T22" i="106" s="1"/>
  <c r="T23" i="106" a="1"/>
  <c r="T23" i="106" s="1"/>
  <c r="T24" i="106" a="1"/>
  <c r="T24" i="106" s="1"/>
  <c r="T25" i="106" a="1"/>
  <c r="T25" i="106" s="1"/>
  <c r="T26" i="106" a="1"/>
  <c r="T26" i="106" s="1"/>
  <c r="T27" i="106" a="1"/>
  <c r="T27" i="106" s="1"/>
  <c r="T28" i="106" a="1"/>
  <c r="T28" i="106" s="1"/>
  <c r="T29" i="106" a="1"/>
  <c r="T29" i="106" s="1"/>
  <c r="T30" i="106" a="1"/>
  <c r="T30" i="106" s="1"/>
  <c r="T31" i="106" a="1"/>
  <c r="T31" i="106" s="1"/>
  <c r="T32" i="106" a="1"/>
  <c r="T32" i="106" s="1"/>
  <c r="T33" i="106" a="1"/>
  <c r="T33" i="106" s="1"/>
  <c r="T34" i="106" a="1"/>
  <c r="T34" i="106" s="1"/>
  <c r="T35" i="106" a="1"/>
  <c r="T35" i="106" s="1"/>
  <c r="T36" i="106" a="1"/>
  <c r="T36" i="106" s="1"/>
  <c r="T37" i="106" a="1"/>
  <c r="T37" i="106" s="1"/>
  <c r="T38" i="106" a="1"/>
  <c r="T38" i="106" s="1"/>
  <c r="T39" i="106" a="1"/>
  <c r="T39" i="106" s="1"/>
  <c r="T40" i="106" a="1"/>
  <c r="T40" i="106" s="1"/>
  <c r="T41" i="106" a="1"/>
  <c r="T41" i="106" s="1"/>
  <c r="T42" i="106" a="1"/>
  <c r="T42" i="106" s="1"/>
  <c r="T43" i="106" a="1"/>
  <c r="T43" i="106" s="1"/>
  <c r="T44" i="106" a="1"/>
  <c r="T44" i="106" s="1"/>
  <c r="T45" i="106" a="1"/>
  <c r="T45" i="106" s="1"/>
  <c r="T46" i="106" a="1"/>
  <c r="T46" i="106" s="1"/>
  <c r="T47" i="106" a="1"/>
  <c r="T47" i="106" s="1"/>
  <c r="T48" i="106" a="1"/>
  <c r="T48" i="106" s="1"/>
  <c r="T49" i="106" a="1"/>
  <c r="T49" i="106" s="1"/>
  <c r="T50" i="106" a="1"/>
  <c r="T50" i="106" s="1"/>
  <c r="T51" i="106" a="1"/>
  <c r="T51" i="106" s="1"/>
  <c r="T52" i="106" a="1"/>
  <c r="T52" i="106" s="1"/>
  <c r="T53" i="106" a="1"/>
  <c r="T53" i="106" s="1"/>
  <c r="T54" i="106" a="1"/>
  <c r="T54" i="106" s="1"/>
  <c r="T55" i="106" a="1"/>
  <c r="T55" i="106" s="1"/>
  <c r="T56" i="106" a="1"/>
  <c r="T56" i="106" s="1"/>
  <c r="T57" i="106" a="1"/>
  <c r="T57" i="106" s="1"/>
  <c r="T58" i="106" a="1"/>
  <c r="T58" i="106" s="1"/>
  <c r="T59" i="106" a="1"/>
  <c r="T59" i="106" s="1"/>
  <c r="T60" i="106" a="1"/>
  <c r="T60" i="106" s="1"/>
  <c r="T61" i="106" a="1"/>
  <c r="T61" i="106" s="1"/>
  <c r="T62" i="106" a="1"/>
  <c r="T62" i="106" s="1"/>
  <c r="T63" i="106" a="1"/>
  <c r="T63" i="106" s="1"/>
  <c r="T64" i="106" a="1"/>
  <c r="T64" i="106" s="1"/>
  <c r="T65" i="106" a="1"/>
  <c r="T65" i="106" s="1"/>
  <c r="T66" i="106" a="1"/>
  <c r="T66" i="106" s="1"/>
  <c r="T4" i="106" a="1"/>
  <c r="T4" i="106" s="1"/>
  <c r="R67" i="106" a="1"/>
  <c r="R67" i="106" s="1"/>
  <c r="R68" i="106" a="1"/>
  <c r="R68" i="106" s="1"/>
  <c r="R69" i="106" a="1"/>
  <c r="R69" i="106" s="1"/>
  <c r="R70" i="106" a="1"/>
  <c r="R70" i="106" s="1"/>
  <c r="R71" i="106" a="1"/>
  <c r="R71" i="106" s="1"/>
  <c r="R72" i="106" a="1"/>
  <c r="R72" i="106" s="1"/>
  <c r="R73" i="106" a="1"/>
  <c r="R73" i="106" s="1"/>
  <c r="R74" i="106" a="1"/>
  <c r="R74" i="106" s="1"/>
  <c r="R75" i="106" a="1"/>
  <c r="R75" i="106" s="1"/>
  <c r="R76" i="106" a="1"/>
  <c r="R76" i="106" s="1"/>
  <c r="R77" i="106" a="1"/>
  <c r="R77" i="106" s="1"/>
  <c r="R78" i="106" a="1"/>
  <c r="R78" i="106" s="1"/>
  <c r="R79" i="106" a="1"/>
  <c r="R79" i="106" s="1"/>
  <c r="R5" i="106" a="1"/>
  <c r="R5" i="106" s="1"/>
  <c r="R6" i="106" a="1"/>
  <c r="R6" i="106" s="1"/>
  <c r="R7" i="106" a="1"/>
  <c r="R7" i="106" s="1"/>
  <c r="R8" i="106" a="1"/>
  <c r="R8" i="106" s="1"/>
  <c r="R9" i="106" a="1"/>
  <c r="R9" i="106" s="1"/>
  <c r="R10" i="106" a="1"/>
  <c r="R10" i="106" s="1"/>
  <c r="R11" i="106" a="1"/>
  <c r="R11" i="106" s="1"/>
  <c r="R12" i="106" a="1"/>
  <c r="R12" i="106" s="1"/>
  <c r="R13" i="106" a="1"/>
  <c r="R13" i="106" s="1"/>
  <c r="R14" i="106" a="1"/>
  <c r="R14" i="106" s="1"/>
  <c r="R15" i="106" a="1"/>
  <c r="R15" i="106" s="1"/>
  <c r="R16" i="106" a="1"/>
  <c r="R16" i="106" s="1"/>
  <c r="R17" i="106" a="1"/>
  <c r="R17" i="106" s="1"/>
  <c r="R18" i="106" a="1"/>
  <c r="R18" i="106" s="1"/>
  <c r="R19" i="106" a="1"/>
  <c r="R19" i="106" s="1"/>
  <c r="R20" i="106" a="1"/>
  <c r="R20" i="106" s="1"/>
  <c r="R21" i="106" a="1"/>
  <c r="R21" i="106" s="1"/>
  <c r="R22" i="106" a="1"/>
  <c r="R22" i="106" s="1"/>
  <c r="R23" i="106" a="1"/>
  <c r="R23" i="106" s="1"/>
  <c r="R24" i="106" a="1"/>
  <c r="R24" i="106" s="1"/>
  <c r="R25" i="106" a="1"/>
  <c r="R25" i="106" s="1"/>
  <c r="R26" i="106" a="1"/>
  <c r="R26" i="106" s="1"/>
  <c r="R27" i="106" a="1"/>
  <c r="R27" i="106" s="1"/>
  <c r="R28" i="106" a="1"/>
  <c r="R28" i="106" s="1"/>
  <c r="R29" i="106" a="1"/>
  <c r="R29" i="106" s="1"/>
  <c r="R30" i="106" a="1"/>
  <c r="R30" i="106" s="1"/>
  <c r="R31" i="106" a="1"/>
  <c r="R31" i="106" s="1"/>
  <c r="R32" i="106" a="1"/>
  <c r="R32" i="106" s="1"/>
  <c r="R33" i="106" a="1"/>
  <c r="R33" i="106" s="1"/>
  <c r="R34" i="106" a="1"/>
  <c r="R34" i="106" s="1"/>
  <c r="R35" i="106" a="1"/>
  <c r="R35" i="106" s="1"/>
  <c r="R36" i="106" a="1"/>
  <c r="R36" i="106" s="1"/>
  <c r="R37" i="106" a="1"/>
  <c r="R37" i="106" s="1"/>
  <c r="R38" i="106" a="1"/>
  <c r="R38" i="106" s="1"/>
  <c r="R39" i="106" a="1"/>
  <c r="R39" i="106" s="1"/>
  <c r="R40" i="106" a="1"/>
  <c r="R40" i="106" s="1"/>
  <c r="R41" i="106" a="1"/>
  <c r="R41" i="106" s="1"/>
  <c r="R42" i="106" a="1"/>
  <c r="R42" i="106" s="1"/>
  <c r="R43" i="106" a="1"/>
  <c r="R43" i="106" s="1"/>
  <c r="R44" i="106" a="1"/>
  <c r="R44" i="106" s="1"/>
  <c r="R45" i="106" a="1"/>
  <c r="R45" i="106" s="1"/>
  <c r="R46" i="106" a="1"/>
  <c r="R46" i="106" s="1"/>
  <c r="R47" i="106" a="1"/>
  <c r="R47" i="106" s="1"/>
  <c r="R48" i="106" a="1"/>
  <c r="R48" i="106" s="1"/>
  <c r="R49" i="106" a="1"/>
  <c r="R49" i="106" s="1"/>
  <c r="R50" i="106" a="1"/>
  <c r="R50" i="106" s="1"/>
  <c r="R51" i="106" a="1"/>
  <c r="R51" i="106" s="1"/>
  <c r="R52" i="106" a="1"/>
  <c r="R52" i="106" s="1"/>
  <c r="R53" i="106" a="1"/>
  <c r="R53" i="106" s="1"/>
  <c r="R54" i="106" a="1"/>
  <c r="R54" i="106" s="1"/>
  <c r="R55" i="106" a="1"/>
  <c r="R55" i="106" s="1"/>
  <c r="R56" i="106" a="1"/>
  <c r="R56" i="106" s="1"/>
  <c r="R57" i="106" a="1"/>
  <c r="R57" i="106" s="1"/>
  <c r="R58" i="106" a="1"/>
  <c r="R58" i="106" s="1"/>
  <c r="R59" i="106" a="1"/>
  <c r="R59" i="106" s="1"/>
  <c r="R60" i="106" a="1"/>
  <c r="R60" i="106" s="1"/>
  <c r="R61" i="106" a="1"/>
  <c r="R61" i="106" s="1"/>
  <c r="R62" i="106" a="1"/>
  <c r="R62" i="106" s="1"/>
  <c r="R63" i="106" a="1"/>
  <c r="R63" i="106" s="1"/>
  <c r="R64" i="106" a="1"/>
  <c r="R64" i="106" s="1"/>
  <c r="R65" i="106" a="1"/>
  <c r="R65" i="106" s="1"/>
  <c r="R66" i="106" a="1"/>
  <c r="R66" i="106" s="1"/>
  <c r="R4" i="106" a="1"/>
  <c r="R4" i="106" s="1"/>
  <c r="N67" i="106" a="1"/>
  <c r="N67" i="106" s="1"/>
  <c r="N68" i="106" a="1"/>
  <c r="N68" i="106" s="1"/>
  <c r="N69" i="106" a="1"/>
  <c r="N69" i="106" s="1"/>
  <c r="N70" i="106" a="1"/>
  <c r="N70" i="106" s="1"/>
  <c r="N71" i="106" a="1"/>
  <c r="N71" i="106" s="1"/>
  <c r="N72" i="106" a="1"/>
  <c r="N72" i="106" s="1"/>
  <c r="N73" i="106" a="1"/>
  <c r="N73" i="106" s="1"/>
  <c r="N74" i="106" a="1"/>
  <c r="N74" i="106" s="1"/>
  <c r="N75" i="106" a="1"/>
  <c r="N75" i="106" s="1"/>
  <c r="N76" i="106" a="1"/>
  <c r="N76" i="106" s="1"/>
  <c r="N77" i="106" a="1"/>
  <c r="N77" i="106" s="1"/>
  <c r="N78" i="106" a="1"/>
  <c r="N78" i="106" s="1"/>
  <c r="N79" i="106" a="1"/>
  <c r="N79" i="106" s="1"/>
  <c r="N5" i="106" a="1"/>
  <c r="N5" i="106" s="1"/>
  <c r="N6" i="106" a="1"/>
  <c r="N6" i="106" s="1"/>
  <c r="N7" i="106" a="1"/>
  <c r="N7" i="106" s="1"/>
  <c r="N8" i="106" a="1"/>
  <c r="N8" i="106" s="1"/>
  <c r="N9" i="106" a="1"/>
  <c r="N9" i="106" s="1"/>
  <c r="N10" i="106" a="1"/>
  <c r="N10" i="106" s="1"/>
  <c r="N11" i="106" a="1"/>
  <c r="N11" i="106" s="1"/>
  <c r="N12" i="106" a="1"/>
  <c r="N12" i="106" s="1"/>
  <c r="N13" i="106" a="1"/>
  <c r="N13" i="106" s="1"/>
  <c r="N14" i="106" a="1"/>
  <c r="N14" i="106" s="1"/>
  <c r="N15" i="106" a="1"/>
  <c r="N15" i="106" s="1"/>
  <c r="N16" i="106" a="1"/>
  <c r="N16" i="106" s="1"/>
  <c r="N17" i="106" a="1"/>
  <c r="N17" i="106" s="1"/>
  <c r="N18" i="106" a="1"/>
  <c r="N18" i="106" s="1"/>
  <c r="N19" i="106" a="1"/>
  <c r="N19" i="106" s="1"/>
  <c r="N20" i="106" a="1"/>
  <c r="N20" i="106" s="1"/>
  <c r="N21" i="106" a="1"/>
  <c r="N21" i="106" s="1"/>
  <c r="N22" i="106" a="1"/>
  <c r="N22" i="106" s="1"/>
  <c r="N23" i="106" a="1"/>
  <c r="N23" i="106" s="1"/>
  <c r="N24" i="106" a="1"/>
  <c r="N24" i="106" s="1"/>
  <c r="N25" i="106" a="1"/>
  <c r="N25" i="106" s="1"/>
  <c r="N26" i="106" a="1"/>
  <c r="N26" i="106" s="1"/>
  <c r="N27" i="106" a="1"/>
  <c r="N27" i="106" s="1"/>
  <c r="N28" i="106" a="1"/>
  <c r="N28" i="106" s="1"/>
  <c r="N29" i="106" a="1"/>
  <c r="N29" i="106" s="1"/>
  <c r="N30" i="106" a="1"/>
  <c r="N30" i="106" s="1"/>
  <c r="N31" i="106" a="1"/>
  <c r="N31" i="106" s="1"/>
  <c r="N32" i="106" a="1"/>
  <c r="N32" i="106" s="1"/>
  <c r="N33" i="106" a="1"/>
  <c r="N33" i="106" s="1"/>
  <c r="N34" i="106" a="1"/>
  <c r="N34" i="106" s="1"/>
  <c r="N35" i="106" a="1"/>
  <c r="N35" i="106" s="1"/>
  <c r="N36" i="106" a="1"/>
  <c r="N36" i="106" s="1"/>
  <c r="N37" i="106" a="1"/>
  <c r="N37" i="106" s="1"/>
  <c r="N38" i="106" a="1"/>
  <c r="N38" i="106" s="1"/>
  <c r="N39" i="106" a="1"/>
  <c r="N39" i="106" s="1"/>
  <c r="N40" i="106" a="1"/>
  <c r="N40" i="106" s="1"/>
  <c r="N41" i="106" a="1"/>
  <c r="N41" i="106" s="1"/>
  <c r="N42" i="106" a="1"/>
  <c r="N42" i="106" s="1"/>
  <c r="N43" i="106" a="1"/>
  <c r="N43" i="106" s="1"/>
  <c r="N44" i="106" a="1"/>
  <c r="N44" i="106" s="1"/>
  <c r="N45" i="106" a="1"/>
  <c r="N45" i="106" s="1"/>
  <c r="N46" i="106" a="1"/>
  <c r="N46" i="106" s="1"/>
  <c r="N47" i="106" a="1"/>
  <c r="N47" i="106" s="1"/>
  <c r="N48" i="106" a="1"/>
  <c r="N48" i="106" s="1"/>
  <c r="N49" i="106" a="1"/>
  <c r="N49" i="106" s="1"/>
  <c r="N50" i="106" a="1"/>
  <c r="N50" i="106" s="1"/>
  <c r="N51" i="106" a="1"/>
  <c r="N51" i="106" s="1"/>
  <c r="N52" i="106" a="1"/>
  <c r="N52" i="106" s="1"/>
  <c r="N53" i="106" a="1"/>
  <c r="N53" i="106" s="1"/>
  <c r="N54" i="106" a="1"/>
  <c r="N54" i="106" s="1"/>
  <c r="N55" i="106" a="1"/>
  <c r="N55" i="106" s="1"/>
  <c r="N56" i="106" a="1"/>
  <c r="N56" i="106" s="1"/>
  <c r="N57" i="106" a="1"/>
  <c r="N57" i="106" s="1"/>
  <c r="N58" i="106" a="1"/>
  <c r="N58" i="106" s="1"/>
  <c r="N59" i="106" a="1"/>
  <c r="N59" i="106" s="1"/>
  <c r="N60" i="106" a="1"/>
  <c r="N60" i="106" s="1"/>
  <c r="N61" i="106" a="1"/>
  <c r="N61" i="106" s="1"/>
  <c r="N62" i="106" a="1"/>
  <c r="N62" i="106" s="1"/>
  <c r="N63" i="106" a="1"/>
  <c r="N63" i="106" s="1"/>
  <c r="N64" i="106" a="1"/>
  <c r="N64" i="106" s="1"/>
  <c r="N65" i="106" a="1"/>
  <c r="N65" i="106" s="1"/>
  <c r="N66" i="106" a="1"/>
  <c r="N66" i="106" s="1"/>
  <c r="N4" i="106" a="1"/>
  <c r="N4" i="106" s="1"/>
  <c r="J67" i="106" a="1"/>
  <c r="J67" i="106" s="1"/>
  <c r="F66" i="108" s="1" a="1"/>
  <c r="F66" i="108" s="1"/>
  <c r="K67" i="106" a="1"/>
  <c r="K67" i="106" s="1"/>
  <c r="E66" i="108" s="1" a="1"/>
  <c r="E66" i="108" s="1"/>
  <c r="M67" i="106" a="1"/>
  <c r="M67" i="106" s="1"/>
  <c r="L67" i="106" s="1" a="1"/>
  <c r="L67" i="106" s="1"/>
  <c r="J68" i="106" a="1"/>
  <c r="J68" i="106" s="1"/>
  <c r="F67" i="108" s="1" a="1"/>
  <c r="F67" i="108" s="1"/>
  <c r="K68" i="106" a="1"/>
  <c r="K68" i="106" s="1"/>
  <c r="E67" i="108" s="1" a="1"/>
  <c r="E67" i="108" s="1"/>
  <c r="M68" i="106" a="1"/>
  <c r="M68" i="106" s="1"/>
  <c r="L68" i="106" s="1" a="1"/>
  <c r="L68" i="106" s="1"/>
  <c r="J69" i="106" a="1"/>
  <c r="J69" i="106" s="1"/>
  <c r="F68" i="108" s="1" a="1"/>
  <c r="F68" i="108" s="1"/>
  <c r="K69" i="106" a="1"/>
  <c r="K69" i="106" s="1"/>
  <c r="E68" i="108" s="1" a="1"/>
  <c r="E68" i="108" s="1"/>
  <c r="M69" i="106" a="1"/>
  <c r="M69" i="106" s="1"/>
  <c r="L69" i="106" s="1" a="1"/>
  <c r="L69" i="106" s="1"/>
  <c r="J70" i="106" a="1"/>
  <c r="J70" i="106" s="1"/>
  <c r="F69" i="108" s="1" a="1"/>
  <c r="F69" i="108" s="1"/>
  <c r="K70" i="106" a="1"/>
  <c r="K70" i="106" s="1"/>
  <c r="E69" i="108" s="1" a="1"/>
  <c r="E69" i="108" s="1"/>
  <c r="M70" i="106" a="1"/>
  <c r="M70" i="106" s="1"/>
  <c r="L70" i="106" s="1" a="1"/>
  <c r="L70" i="106" s="1"/>
  <c r="J71" i="106" a="1"/>
  <c r="J71" i="106" s="1"/>
  <c r="F70" i="108" s="1" a="1"/>
  <c r="F70" i="108" s="1"/>
  <c r="K71" i="106" a="1"/>
  <c r="K71" i="106" s="1"/>
  <c r="E70" i="108" s="1" a="1"/>
  <c r="E70" i="108" s="1"/>
  <c r="M71" i="106" a="1"/>
  <c r="M71" i="106" s="1"/>
  <c r="L71" i="106" s="1" a="1"/>
  <c r="L71" i="106" s="1"/>
  <c r="J72" i="106" a="1"/>
  <c r="J72" i="106" s="1"/>
  <c r="F71" i="108" s="1" a="1"/>
  <c r="F71" i="108" s="1"/>
  <c r="K72" i="106" a="1"/>
  <c r="K72" i="106" s="1"/>
  <c r="E71" i="108" s="1" a="1"/>
  <c r="E71" i="108" s="1"/>
  <c r="M72" i="106" a="1"/>
  <c r="M72" i="106" s="1"/>
  <c r="L72" i="106" s="1" a="1"/>
  <c r="L72" i="106" s="1"/>
  <c r="J73" i="106" a="1"/>
  <c r="J73" i="106" s="1"/>
  <c r="F72" i="108" s="1" a="1"/>
  <c r="F72" i="108" s="1"/>
  <c r="K73" i="106" a="1"/>
  <c r="K73" i="106" s="1"/>
  <c r="E72" i="108" s="1" a="1"/>
  <c r="E72" i="108" s="1"/>
  <c r="M73" i="106" a="1"/>
  <c r="M73" i="106" s="1"/>
  <c r="L73" i="106" s="1" a="1"/>
  <c r="L73" i="106" s="1"/>
  <c r="J74" i="106" a="1"/>
  <c r="J74" i="106" s="1"/>
  <c r="F73" i="108" s="1" a="1"/>
  <c r="F73" i="108" s="1"/>
  <c r="K74" i="106" a="1"/>
  <c r="K74" i="106" s="1"/>
  <c r="E73" i="108" s="1" a="1"/>
  <c r="E73" i="108" s="1"/>
  <c r="M74" i="106" a="1"/>
  <c r="M74" i="106" s="1"/>
  <c r="L74" i="106" s="1" a="1"/>
  <c r="L74" i="106" s="1"/>
  <c r="J75" i="106" a="1"/>
  <c r="J75" i="106" s="1"/>
  <c r="F74" i="108" s="1" a="1"/>
  <c r="F74" i="108" s="1"/>
  <c r="K75" i="106" a="1"/>
  <c r="K75" i="106" s="1"/>
  <c r="E74" i="108" s="1" a="1"/>
  <c r="E74" i="108" s="1"/>
  <c r="M75" i="106" a="1"/>
  <c r="M75" i="106" s="1"/>
  <c r="L75" i="106" s="1" a="1"/>
  <c r="L75" i="106" s="1"/>
  <c r="J76" i="106" a="1"/>
  <c r="J76" i="106" s="1"/>
  <c r="F75" i="108" s="1" a="1"/>
  <c r="F75" i="108" s="1"/>
  <c r="K76" i="106" a="1"/>
  <c r="K76" i="106" s="1"/>
  <c r="E75" i="108" s="1" a="1"/>
  <c r="E75" i="108" s="1"/>
  <c r="M76" i="106" a="1"/>
  <c r="M76" i="106" s="1"/>
  <c r="L76" i="106" s="1" a="1"/>
  <c r="L76" i="106" s="1"/>
  <c r="J77" i="106" a="1"/>
  <c r="J77" i="106" s="1"/>
  <c r="F76" i="108" s="1" a="1"/>
  <c r="F76" i="108" s="1"/>
  <c r="K77" i="106" a="1"/>
  <c r="K77" i="106" s="1"/>
  <c r="E76" i="108" s="1" a="1"/>
  <c r="E76" i="108" s="1"/>
  <c r="M77" i="106" a="1"/>
  <c r="M77" i="106" s="1"/>
  <c r="L77" i="106" s="1" a="1"/>
  <c r="L77" i="106" s="1"/>
  <c r="J78" i="106" a="1"/>
  <c r="J78" i="106" s="1"/>
  <c r="F77" i="108" s="1" a="1"/>
  <c r="F77" i="108" s="1"/>
  <c r="K78" i="106" a="1"/>
  <c r="K78" i="106" s="1"/>
  <c r="E77" i="108" s="1" a="1"/>
  <c r="E77" i="108" s="1"/>
  <c r="M78" i="106" a="1"/>
  <c r="M78" i="106" s="1"/>
  <c r="L78" i="106" s="1" a="1"/>
  <c r="L78" i="106" s="1"/>
  <c r="J79" i="106" a="1"/>
  <c r="J79" i="106" s="1"/>
  <c r="F78" i="108" s="1" a="1"/>
  <c r="F78" i="108" s="1"/>
  <c r="K79" i="106" a="1"/>
  <c r="K79" i="106" s="1"/>
  <c r="E78" i="108" s="1" a="1"/>
  <c r="E78" i="108" s="1"/>
  <c r="M79" i="106" a="1"/>
  <c r="M79" i="106" s="1"/>
  <c r="L79" i="106" s="1" a="1"/>
  <c r="L79" i="106" s="1"/>
  <c r="J5" i="106" a="1"/>
  <c r="J5" i="106" s="1"/>
  <c r="K5" i="106" a="1"/>
  <c r="K5" i="106" s="1"/>
  <c r="M5" i="106" a="1"/>
  <c r="M5" i="106" s="1"/>
  <c r="L5" i="106" s="1" a="1"/>
  <c r="L5" i="106" s="1"/>
  <c r="J6" i="106" a="1"/>
  <c r="J6" i="106" s="1"/>
  <c r="K6" i="106" a="1"/>
  <c r="K6" i="106" s="1"/>
  <c r="M6" i="106" a="1"/>
  <c r="M6" i="106" s="1"/>
  <c r="L6" i="106" s="1" a="1"/>
  <c r="L6" i="106" s="1"/>
  <c r="J7" i="106" a="1"/>
  <c r="J7" i="106" s="1"/>
  <c r="K7" i="106" a="1"/>
  <c r="K7" i="106" s="1"/>
  <c r="M7" i="106" a="1"/>
  <c r="M7" i="106" s="1"/>
  <c r="L7" i="106" s="1" a="1"/>
  <c r="L7" i="106" s="1"/>
  <c r="J8" i="106" a="1"/>
  <c r="J8" i="106" s="1"/>
  <c r="K8" i="106" a="1"/>
  <c r="K8" i="106" s="1"/>
  <c r="M8" i="106" a="1"/>
  <c r="M8" i="106" s="1"/>
  <c r="L8" i="106" s="1" a="1"/>
  <c r="L8" i="106" s="1"/>
  <c r="J9" i="106" a="1"/>
  <c r="J9" i="106" s="1"/>
  <c r="K9" i="106" a="1"/>
  <c r="K9" i="106" s="1"/>
  <c r="M9" i="106" a="1"/>
  <c r="M9" i="106" s="1"/>
  <c r="L9" i="106" s="1" a="1"/>
  <c r="L9" i="106" s="1"/>
  <c r="J10" i="106" a="1"/>
  <c r="J10" i="106" s="1"/>
  <c r="K10" i="106" a="1"/>
  <c r="K10" i="106" s="1"/>
  <c r="M10" i="106" a="1"/>
  <c r="M10" i="106" s="1"/>
  <c r="L10" i="106" s="1" a="1"/>
  <c r="L10" i="106" s="1"/>
  <c r="J11" i="106" a="1"/>
  <c r="J11" i="106" s="1"/>
  <c r="K11" i="106" a="1"/>
  <c r="K11" i="106" s="1"/>
  <c r="M11" i="106" a="1"/>
  <c r="M11" i="106" s="1"/>
  <c r="L11" i="106" s="1" a="1"/>
  <c r="L11" i="106" s="1"/>
  <c r="J12" i="106" a="1"/>
  <c r="J12" i="106" s="1"/>
  <c r="K12" i="106" a="1"/>
  <c r="K12" i="106" s="1"/>
  <c r="M12" i="106" a="1"/>
  <c r="M12" i="106" s="1"/>
  <c r="L12" i="106" s="1" a="1"/>
  <c r="L12" i="106" s="1"/>
  <c r="J13" i="106" a="1"/>
  <c r="J13" i="106" s="1"/>
  <c r="K13" i="106" a="1"/>
  <c r="K13" i="106" s="1"/>
  <c r="M13" i="106" a="1"/>
  <c r="M13" i="106" s="1"/>
  <c r="L13" i="106" s="1" a="1"/>
  <c r="L13" i="106" s="1"/>
  <c r="J14" i="106" a="1"/>
  <c r="J14" i="106" s="1"/>
  <c r="K14" i="106" a="1"/>
  <c r="K14" i="106" s="1"/>
  <c r="M14" i="106" a="1"/>
  <c r="M14" i="106" s="1"/>
  <c r="L14" i="106" s="1" a="1"/>
  <c r="L14" i="106" s="1"/>
  <c r="J15" i="106" a="1"/>
  <c r="J15" i="106" s="1"/>
  <c r="K15" i="106" a="1"/>
  <c r="K15" i="106" s="1"/>
  <c r="M15" i="106" a="1"/>
  <c r="M15" i="106" s="1"/>
  <c r="L15" i="106" s="1" a="1"/>
  <c r="L15" i="106" s="1"/>
  <c r="J16" i="106" a="1"/>
  <c r="J16" i="106" s="1"/>
  <c r="K16" i="106" a="1"/>
  <c r="K16" i="106" s="1"/>
  <c r="M16" i="106" a="1"/>
  <c r="M16" i="106" s="1"/>
  <c r="L16" i="106" s="1" a="1"/>
  <c r="L16" i="106" s="1"/>
  <c r="J17" i="106" a="1"/>
  <c r="J17" i="106" s="1"/>
  <c r="K17" i="106" a="1"/>
  <c r="K17" i="106" s="1"/>
  <c r="M17" i="106" a="1"/>
  <c r="M17" i="106" s="1"/>
  <c r="L17" i="106" s="1" a="1"/>
  <c r="L17" i="106" s="1"/>
  <c r="J18" i="106" a="1"/>
  <c r="J18" i="106" s="1"/>
  <c r="K18" i="106" a="1"/>
  <c r="K18" i="106" s="1"/>
  <c r="M18" i="106" a="1"/>
  <c r="M18" i="106" s="1"/>
  <c r="L18" i="106" s="1" a="1"/>
  <c r="L18" i="106" s="1"/>
  <c r="J19" i="106" a="1"/>
  <c r="J19" i="106" s="1"/>
  <c r="K19" i="106" a="1"/>
  <c r="K19" i="106" s="1"/>
  <c r="M19" i="106" a="1"/>
  <c r="M19" i="106" s="1"/>
  <c r="L19" i="106" s="1" a="1"/>
  <c r="L19" i="106" s="1"/>
  <c r="J20" i="106" a="1"/>
  <c r="J20" i="106" s="1"/>
  <c r="K20" i="106" a="1"/>
  <c r="K20" i="106" s="1"/>
  <c r="M20" i="106" a="1"/>
  <c r="M20" i="106" s="1"/>
  <c r="L20" i="106" s="1" a="1"/>
  <c r="L20" i="106" s="1"/>
  <c r="J21" i="106" a="1"/>
  <c r="J21" i="106" s="1"/>
  <c r="K21" i="106" a="1"/>
  <c r="K21" i="106" s="1"/>
  <c r="M21" i="106" a="1"/>
  <c r="M21" i="106" s="1"/>
  <c r="L21" i="106" s="1" a="1"/>
  <c r="L21" i="106" s="1"/>
  <c r="J22" i="106" a="1"/>
  <c r="J22" i="106" s="1"/>
  <c r="K22" i="106" a="1"/>
  <c r="K22" i="106" s="1"/>
  <c r="M22" i="106" a="1"/>
  <c r="M22" i="106" s="1"/>
  <c r="L22" i="106" s="1" a="1"/>
  <c r="L22" i="106" s="1"/>
  <c r="J23" i="106" a="1"/>
  <c r="J23" i="106" s="1"/>
  <c r="K23" i="106" a="1"/>
  <c r="K23" i="106" s="1"/>
  <c r="M23" i="106" a="1"/>
  <c r="M23" i="106" s="1"/>
  <c r="L23" i="106" s="1" a="1"/>
  <c r="L23" i="106" s="1"/>
  <c r="J24" i="106" a="1"/>
  <c r="J24" i="106" s="1"/>
  <c r="K24" i="106" a="1"/>
  <c r="K24" i="106" s="1"/>
  <c r="M24" i="106" a="1"/>
  <c r="M24" i="106" s="1"/>
  <c r="L24" i="106" s="1" a="1"/>
  <c r="L24" i="106" s="1"/>
  <c r="J25" i="106" a="1"/>
  <c r="J25" i="106" s="1"/>
  <c r="K25" i="106" a="1"/>
  <c r="K25" i="106" s="1"/>
  <c r="M25" i="106" a="1"/>
  <c r="M25" i="106" s="1"/>
  <c r="L25" i="106" s="1" a="1"/>
  <c r="L25" i="106" s="1"/>
  <c r="J26" i="106" a="1"/>
  <c r="J26" i="106" s="1"/>
  <c r="K26" i="106" a="1"/>
  <c r="K26" i="106" s="1"/>
  <c r="M26" i="106" a="1"/>
  <c r="M26" i="106" s="1"/>
  <c r="L26" i="106" s="1" a="1"/>
  <c r="L26" i="106" s="1"/>
  <c r="J27" i="106" a="1"/>
  <c r="J27" i="106" s="1"/>
  <c r="K27" i="106" a="1"/>
  <c r="K27" i="106" s="1"/>
  <c r="M27" i="106" a="1"/>
  <c r="M27" i="106" s="1"/>
  <c r="L27" i="106" s="1" a="1"/>
  <c r="L27" i="106" s="1"/>
  <c r="J28" i="106" a="1"/>
  <c r="J28" i="106" s="1"/>
  <c r="K28" i="106" a="1"/>
  <c r="K28" i="106" s="1"/>
  <c r="M28" i="106" a="1"/>
  <c r="M28" i="106" s="1"/>
  <c r="L28" i="106" s="1" a="1"/>
  <c r="L28" i="106" s="1"/>
  <c r="J29" i="106" a="1"/>
  <c r="J29" i="106" s="1"/>
  <c r="K29" i="106" a="1"/>
  <c r="K29" i="106" s="1"/>
  <c r="M29" i="106" a="1"/>
  <c r="M29" i="106" s="1"/>
  <c r="L29" i="106" s="1" a="1"/>
  <c r="L29" i="106" s="1"/>
  <c r="J30" i="106" a="1"/>
  <c r="J30" i="106" s="1"/>
  <c r="K30" i="106" a="1"/>
  <c r="K30" i="106" s="1"/>
  <c r="M30" i="106" a="1"/>
  <c r="M30" i="106" s="1"/>
  <c r="L30" i="106" s="1" a="1"/>
  <c r="L30" i="106" s="1"/>
  <c r="J31" i="106" a="1"/>
  <c r="J31" i="106" s="1"/>
  <c r="K31" i="106" a="1"/>
  <c r="K31" i="106" s="1"/>
  <c r="M31" i="106" a="1"/>
  <c r="M31" i="106" s="1"/>
  <c r="L31" i="106" s="1" a="1"/>
  <c r="L31" i="106" s="1"/>
  <c r="J32" i="106" a="1"/>
  <c r="J32" i="106" s="1"/>
  <c r="K32" i="106" a="1"/>
  <c r="K32" i="106" s="1"/>
  <c r="M32" i="106" a="1"/>
  <c r="M32" i="106" s="1"/>
  <c r="L32" i="106" s="1" a="1"/>
  <c r="L32" i="106" s="1"/>
  <c r="J33" i="106" a="1"/>
  <c r="J33" i="106" s="1"/>
  <c r="K33" i="106" a="1"/>
  <c r="K33" i="106" s="1"/>
  <c r="M33" i="106" a="1"/>
  <c r="M33" i="106" s="1"/>
  <c r="L33" i="106" s="1" a="1"/>
  <c r="L33" i="106" s="1"/>
  <c r="J34" i="106" a="1"/>
  <c r="J34" i="106" s="1"/>
  <c r="K34" i="106" a="1"/>
  <c r="K34" i="106" s="1"/>
  <c r="M34" i="106" a="1"/>
  <c r="M34" i="106" s="1"/>
  <c r="L34" i="106" s="1" a="1"/>
  <c r="L34" i="106" s="1"/>
  <c r="J35" i="106" a="1"/>
  <c r="J35" i="106" s="1"/>
  <c r="K35" i="106" a="1"/>
  <c r="K35" i="106" s="1"/>
  <c r="M35" i="106" a="1"/>
  <c r="M35" i="106" s="1"/>
  <c r="L35" i="106" s="1" a="1"/>
  <c r="L35" i="106" s="1"/>
  <c r="J36" i="106" a="1"/>
  <c r="J36" i="106" s="1"/>
  <c r="K36" i="106" a="1"/>
  <c r="K36" i="106" s="1"/>
  <c r="M36" i="106" a="1"/>
  <c r="M36" i="106" s="1"/>
  <c r="L36" i="106" s="1" a="1"/>
  <c r="L36" i="106" s="1"/>
  <c r="J37" i="106" a="1"/>
  <c r="J37" i="106" s="1"/>
  <c r="K37" i="106" a="1"/>
  <c r="K37" i="106" s="1"/>
  <c r="M37" i="106" a="1"/>
  <c r="M37" i="106" s="1"/>
  <c r="L37" i="106" s="1" a="1"/>
  <c r="L37" i="106" s="1"/>
  <c r="J38" i="106" a="1"/>
  <c r="J38" i="106" s="1"/>
  <c r="K38" i="106" a="1"/>
  <c r="K38" i="106" s="1"/>
  <c r="M38" i="106" a="1"/>
  <c r="M38" i="106" s="1"/>
  <c r="L38" i="106" s="1" a="1"/>
  <c r="L38" i="106" s="1"/>
  <c r="J39" i="106" a="1"/>
  <c r="J39" i="106" s="1"/>
  <c r="K39" i="106" a="1"/>
  <c r="K39" i="106" s="1"/>
  <c r="M39" i="106" a="1"/>
  <c r="M39" i="106" s="1"/>
  <c r="L39" i="106" s="1" a="1"/>
  <c r="L39" i="106" s="1"/>
  <c r="J40" i="106" a="1"/>
  <c r="J40" i="106" s="1"/>
  <c r="K40" i="106" a="1"/>
  <c r="K40" i="106" s="1"/>
  <c r="M40" i="106" a="1"/>
  <c r="M40" i="106" s="1"/>
  <c r="L40" i="106" s="1" a="1"/>
  <c r="L40" i="106" s="1"/>
  <c r="J41" i="106" a="1"/>
  <c r="J41" i="106" s="1"/>
  <c r="K41" i="106" a="1"/>
  <c r="K41" i="106" s="1"/>
  <c r="M41" i="106" a="1"/>
  <c r="M41" i="106" s="1"/>
  <c r="L41" i="106" s="1" a="1"/>
  <c r="L41" i="106" s="1"/>
  <c r="J42" i="106" a="1"/>
  <c r="J42" i="106" s="1"/>
  <c r="K42" i="106" a="1"/>
  <c r="K42" i="106" s="1"/>
  <c r="M42" i="106" a="1"/>
  <c r="M42" i="106" s="1"/>
  <c r="L42" i="106" s="1" a="1"/>
  <c r="L42" i="106" s="1"/>
  <c r="J43" i="106" a="1"/>
  <c r="J43" i="106" s="1"/>
  <c r="K43" i="106" a="1"/>
  <c r="K43" i="106" s="1"/>
  <c r="M43" i="106" a="1"/>
  <c r="M43" i="106" s="1"/>
  <c r="L43" i="106" s="1" a="1"/>
  <c r="L43" i="106" s="1"/>
  <c r="J44" i="106" a="1"/>
  <c r="J44" i="106" s="1"/>
  <c r="K44" i="106" a="1"/>
  <c r="K44" i="106" s="1"/>
  <c r="M44" i="106" a="1"/>
  <c r="M44" i="106" s="1"/>
  <c r="L44" i="106" s="1" a="1"/>
  <c r="L44" i="106" s="1"/>
  <c r="J45" i="106" a="1"/>
  <c r="J45" i="106" s="1"/>
  <c r="K45" i="106" a="1"/>
  <c r="K45" i="106" s="1"/>
  <c r="M45" i="106" a="1"/>
  <c r="M45" i="106" s="1"/>
  <c r="L45" i="106" s="1" a="1"/>
  <c r="L45" i="106" s="1"/>
  <c r="J46" i="106" a="1"/>
  <c r="J46" i="106" s="1"/>
  <c r="K46" i="106" a="1"/>
  <c r="K46" i="106" s="1"/>
  <c r="M46" i="106" a="1"/>
  <c r="M46" i="106" s="1"/>
  <c r="L46" i="106" s="1" a="1"/>
  <c r="L46" i="106" s="1"/>
  <c r="J47" i="106" a="1"/>
  <c r="J47" i="106" s="1"/>
  <c r="K47" i="106" a="1"/>
  <c r="K47" i="106" s="1"/>
  <c r="M47" i="106" a="1"/>
  <c r="M47" i="106" s="1"/>
  <c r="L47" i="106" s="1" a="1"/>
  <c r="L47" i="106" s="1"/>
  <c r="J48" i="106" a="1"/>
  <c r="J48" i="106" s="1"/>
  <c r="K48" i="106" a="1"/>
  <c r="K48" i="106" s="1"/>
  <c r="M48" i="106" a="1"/>
  <c r="M48" i="106" s="1"/>
  <c r="L48" i="106" s="1" a="1"/>
  <c r="L48" i="106" s="1"/>
  <c r="J49" i="106" a="1"/>
  <c r="J49" i="106" s="1"/>
  <c r="K49" i="106" a="1"/>
  <c r="K49" i="106" s="1"/>
  <c r="M49" i="106" a="1"/>
  <c r="M49" i="106" s="1"/>
  <c r="L49" i="106" s="1" a="1"/>
  <c r="L49" i="106" s="1"/>
  <c r="J50" i="106" a="1"/>
  <c r="J50" i="106" s="1"/>
  <c r="K50" i="106" a="1"/>
  <c r="K50" i="106" s="1"/>
  <c r="M50" i="106" a="1"/>
  <c r="M50" i="106" s="1"/>
  <c r="L50" i="106" s="1" a="1"/>
  <c r="L50" i="106" s="1"/>
  <c r="J51" i="106" a="1"/>
  <c r="J51" i="106" s="1"/>
  <c r="K51" i="106" a="1"/>
  <c r="K51" i="106" s="1"/>
  <c r="Y51" i="106" s="1"/>
  <c r="L51" i="106" a="1"/>
  <c r="L51" i="106" s="1"/>
  <c r="J52" i="106" a="1"/>
  <c r="J52" i="106" s="1"/>
  <c r="K52" i="106" a="1"/>
  <c r="K52" i="106" s="1"/>
  <c r="M52" i="106" a="1"/>
  <c r="M52" i="106" s="1"/>
  <c r="L52" i="106" s="1" a="1"/>
  <c r="L52" i="106" s="1"/>
  <c r="J53" i="106" a="1"/>
  <c r="J53" i="106" s="1"/>
  <c r="K53" i="106" a="1"/>
  <c r="K53" i="106" s="1"/>
  <c r="M53" i="106" a="1"/>
  <c r="M53" i="106" s="1"/>
  <c r="L53" i="106" s="1" a="1"/>
  <c r="L53" i="106" s="1"/>
  <c r="J54" i="106" a="1"/>
  <c r="J54" i="106" s="1"/>
  <c r="K54" i="106" a="1"/>
  <c r="K54" i="106" s="1"/>
  <c r="M54" i="106" a="1"/>
  <c r="M54" i="106" s="1"/>
  <c r="L54" i="106" s="1" a="1"/>
  <c r="L54" i="106" s="1"/>
  <c r="J55" i="106" a="1"/>
  <c r="J55" i="106" s="1"/>
  <c r="K55" i="106" a="1"/>
  <c r="K55" i="106" s="1"/>
  <c r="M55" i="106" a="1"/>
  <c r="M55" i="106" s="1"/>
  <c r="L55" i="106" s="1" a="1"/>
  <c r="L55" i="106" s="1"/>
  <c r="J56" i="106" a="1"/>
  <c r="J56" i="106" s="1"/>
  <c r="K56" i="106" a="1"/>
  <c r="K56" i="106" s="1"/>
  <c r="M56" i="106" a="1"/>
  <c r="M56" i="106" s="1"/>
  <c r="L56" i="106" s="1" a="1"/>
  <c r="L56" i="106" s="1"/>
  <c r="J57" i="106" a="1"/>
  <c r="J57" i="106" s="1"/>
  <c r="K57" i="106" a="1"/>
  <c r="K57" i="106" s="1"/>
  <c r="M57" i="106" a="1"/>
  <c r="M57" i="106" s="1"/>
  <c r="L57" i="106" s="1" a="1"/>
  <c r="L57" i="106" s="1"/>
  <c r="J58" i="106" a="1"/>
  <c r="J58" i="106" s="1"/>
  <c r="K58" i="106" a="1"/>
  <c r="K58" i="106" s="1"/>
  <c r="M58" i="106" a="1"/>
  <c r="M58" i="106" s="1"/>
  <c r="L58" i="106" s="1" a="1"/>
  <c r="L58" i="106" s="1"/>
  <c r="J59" i="106" a="1"/>
  <c r="J59" i="106" s="1"/>
  <c r="K59" i="106" a="1"/>
  <c r="K59" i="106" s="1"/>
  <c r="M59" i="106" a="1"/>
  <c r="M59" i="106" s="1"/>
  <c r="L59" i="106" s="1" a="1"/>
  <c r="L59" i="106" s="1"/>
  <c r="J60" i="106" a="1"/>
  <c r="J60" i="106" s="1"/>
  <c r="K60" i="106" a="1"/>
  <c r="K60" i="106" s="1"/>
  <c r="M60" i="106" a="1"/>
  <c r="M60" i="106" s="1"/>
  <c r="L60" i="106" s="1" a="1"/>
  <c r="L60" i="106" s="1"/>
  <c r="J61" i="106" a="1"/>
  <c r="J61" i="106" s="1"/>
  <c r="K61" i="106" a="1"/>
  <c r="K61" i="106" s="1"/>
  <c r="M61" i="106" a="1"/>
  <c r="M61" i="106" s="1"/>
  <c r="L61" i="106" s="1" a="1"/>
  <c r="L61" i="106" s="1"/>
  <c r="J62" i="106" a="1"/>
  <c r="J62" i="106" s="1"/>
  <c r="K62" i="106" a="1"/>
  <c r="K62" i="106" s="1"/>
  <c r="M62" i="106" a="1"/>
  <c r="M62" i="106" s="1"/>
  <c r="L62" i="106" s="1" a="1"/>
  <c r="L62" i="106" s="1"/>
  <c r="J63" i="106" a="1"/>
  <c r="J63" i="106" s="1"/>
  <c r="K63" i="106" a="1"/>
  <c r="K63" i="106" s="1"/>
  <c r="M63" i="106" a="1"/>
  <c r="M63" i="106" s="1"/>
  <c r="L63" i="106" s="1" a="1"/>
  <c r="L63" i="106" s="1"/>
  <c r="J64" i="106" a="1"/>
  <c r="J64" i="106" s="1"/>
  <c r="K64" i="106" a="1"/>
  <c r="K64" i="106" s="1"/>
  <c r="M64" i="106" a="1"/>
  <c r="M64" i="106" s="1"/>
  <c r="L64" i="106" s="1" a="1"/>
  <c r="L64" i="106" s="1"/>
  <c r="J65" i="106" a="1"/>
  <c r="J65" i="106" s="1"/>
  <c r="K65" i="106" a="1"/>
  <c r="K65" i="106" s="1"/>
  <c r="M65" i="106" a="1"/>
  <c r="M65" i="106" s="1"/>
  <c r="L65" i="106" s="1" a="1"/>
  <c r="L65" i="106" s="1"/>
  <c r="J66" i="106" a="1"/>
  <c r="J66" i="106" s="1"/>
  <c r="K66" i="106" a="1"/>
  <c r="K66" i="106" s="1"/>
  <c r="M66" i="106" a="1"/>
  <c r="M66" i="106" s="1"/>
  <c r="L66" i="106" s="1" a="1"/>
  <c r="L66" i="106" s="1"/>
  <c r="K4" i="106" a="1"/>
  <c r="K4" i="106" s="1"/>
  <c r="M4" i="106" a="1"/>
  <c r="M4" i="106" s="1"/>
  <c r="L4" i="106" s="1" a="1"/>
  <c r="L4" i="106" s="1"/>
  <c r="J4" i="106" a="1"/>
  <c r="J4" i="106" s="1"/>
  <c r="I67" i="106" a="1"/>
  <c r="I67" i="106" s="1"/>
  <c r="I68" i="106" a="1"/>
  <c r="I68" i="106" s="1"/>
  <c r="I69" i="106" a="1"/>
  <c r="I69" i="106" s="1"/>
  <c r="I70" i="106" a="1"/>
  <c r="I70" i="106" s="1"/>
  <c r="I71" i="106" a="1"/>
  <c r="I71" i="106" s="1"/>
  <c r="I72" i="106" a="1"/>
  <c r="I72" i="106" s="1"/>
  <c r="I73" i="106" a="1"/>
  <c r="I73" i="106" s="1"/>
  <c r="I74" i="106" a="1"/>
  <c r="I74" i="106" s="1"/>
  <c r="I75" i="106" a="1"/>
  <c r="I75" i="106" s="1"/>
  <c r="I76" i="106" a="1"/>
  <c r="I76" i="106" s="1"/>
  <c r="I77" i="106" a="1"/>
  <c r="I77" i="106" s="1"/>
  <c r="I78" i="106" a="1"/>
  <c r="I78" i="106" s="1"/>
  <c r="I79" i="106" a="1"/>
  <c r="I79" i="106" s="1"/>
  <c r="H67" i="106" a="1"/>
  <c r="H67" i="106" s="1"/>
  <c r="H68" i="106" a="1"/>
  <c r="H68" i="106" s="1"/>
  <c r="H69" i="106" a="1"/>
  <c r="H69" i="106" s="1"/>
  <c r="H70" i="106" a="1"/>
  <c r="H70" i="106" s="1"/>
  <c r="H71" i="106" a="1"/>
  <c r="H71" i="106" s="1"/>
  <c r="H72" i="106" a="1"/>
  <c r="H72" i="106" s="1"/>
  <c r="H73" i="106" a="1"/>
  <c r="H73" i="106" s="1"/>
  <c r="H74" i="106" a="1"/>
  <c r="H74" i="106" s="1"/>
  <c r="H75" i="106" a="1"/>
  <c r="H75" i="106" s="1"/>
  <c r="H76" i="106" a="1"/>
  <c r="H76" i="106" s="1"/>
  <c r="H77" i="106" a="1"/>
  <c r="H77" i="106" s="1"/>
  <c r="H78" i="106" a="1"/>
  <c r="H78" i="106" s="1"/>
  <c r="H79" i="106" a="1"/>
  <c r="H79" i="106" s="1"/>
  <c r="I5" i="106" a="1"/>
  <c r="I5" i="106" s="1"/>
  <c r="I6" i="106" a="1"/>
  <c r="I6" i="106" s="1"/>
  <c r="I7" i="106" a="1"/>
  <c r="I7" i="106" s="1"/>
  <c r="I8" i="106" a="1"/>
  <c r="I8" i="106" s="1"/>
  <c r="I9" i="106" a="1"/>
  <c r="I9" i="106" s="1"/>
  <c r="I10" i="106" a="1"/>
  <c r="I10" i="106" s="1"/>
  <c r="I11" i="106" a="1"/>
  <c r="I11" i="106" s="1"/>
  <c r="I12" i="106" a="1"/>
  <c r="I12" i="106" s="1"/>
  <c r="I13" i="106" a="1"/>
  <c r="I13" i="106" s="1"/>
  <c r="I14" i="106" a="1"/>
  <c r="I14" i="106" s="1"/>
  <c r="I15" i="106" a="1"/>
  <c r="I15" i="106" s="1"/>
  <c r="I16" i="106" a="1"/>
  <c r="I16" i="106" s="1"/>
  <c r="I17" i="106" a="1"/>
  <c r="I17" i="106" s="1"/>
  <c r="I18" i="106" a="1"/>
  <c r="I18" i="106" s="1"/>
  <c r="I19" i="106" a="1"/>
  <c r="I19" i="106" s="1"/>
  <c r="I20" i="106" a="1"/>
  <c r="I20" i="106" s="1"/>
  <c r="I21" i="106" a="1"/>
  <c r="I21" i="106" s="1"/>
  <c r="I22" i="106" a="1"/>
  <c r="I22" i="106" s="1"/>
  <c r="I23" i="106" a="1"/>
  <c r="I23" i="106" s="1"/>
  <c r="I24" i="106" a="1"/>
  <c r="I24" i="106" s="1"/>
  <c r="I25" i="106" a="1"/>
  <c r="I25" i="106" s="1"/>
  <c r="I26" i="106" a="1"/>
  <c r="I26" i="106" s="1"/>
  <c r="I27" i="106" a="1"/>
  <c r="I27" i="106" s="1"/>
  <c r="I28" i="106" a="1"/>
  <c r="I28" i="106" s="1"/>
  <c r="I29" i="106" a="1"/>
  <c r="I29" i="106" s="1"/>
  <c r="I30" i="106" a="1"/>
  <c r="I30" i="106" s="1"/>
  <c r="I31" i="106" a="1"/>
  <c r="I31" i="106" s="1"/>
  <c r="I32" i="106" a="1"/>
  <c r="I32" i="106" s="1"/>
  <c r="I33" i="106" a="1"/>
  <c r="I33" i="106" s="1"/>
  <c r="I34" i="106" a="1"/>
  <c r="I34" i="106" s="1"/>
  <c r="I35" i="106" a="1"/>
  <c r="I35" i="106" s="1"/>
  <c r="I36" i="106" a="1"/>
  <c r="I36" i="106" s="1"/>
  <c r="I37" i="106" a="1"/>
  <c r="I37" i="106" s="1"/>
  <c r="I38" i="106" a="1"/>
  <c r="I38" i="106" s="1"/>
  <c r="I39" i="106" a="1"/>
  <c r="I39" i="106" s="1"/>
  <c r="I40" i="106" a="1"/>
  <c r="I40" i="106" s="1"/>
  <c r="I41" i="106" a="1"/>
  <c r="I41" i="106" s="1"/>
  <c r="I42" i="106" a="1"/>
  <c r="I42" i="106" s="1"/>
  <c r="I43" i="106" a="1"/>
  <c r="I43" i="106" s="1"/>
  <c r="I44" i="106" a="1"/>
  <c r="I44" i="106" s="1"/>
  <c r="I45" i="106" a="1"/>
  <c r="I45" i="106" s="1"/>
  <c r="I46" i="106" a="1"/>
  <c r="I46" i="106" s="1"/>
  <c r="I47" i="106" a="1"/>
  <c r="I47" i="106" s="1"/>
  <c r="I48" i="106" a="1"/>
  <c r="I48" i="106" s="1"/>
  <c r="I49" i="106" a="1"/>
  <c r="I49" i="106" s="1"/>
  <c r="I50" i="106" a="1"/>
  <c r="I50" i="106" s="1"/>
  <c r="I51" i="106" a="1"/>
  <c r="I51" i="106" s="1"/>
  <c r="I52" i="106" a="1"/>
  <c r="I52" i="106" s="1"/>
  <c r="I53" i="106" a="1"/>
  <c r="I53" i="106" s="1"/>
  <c r="I54" i="106" a="1"/>
  <c r="I54" i="106" s="1"/>
  <c r="I55" i="106" a="1"/>
  <c r="I55" i="106" s="1"/>
  <c r="I56" i="106" a="1"/>
  <c r="I56" i="106" s="1"/>
  <c r="I57" i="106" a="1"/>
  <c r="I57" i="106" s="1"/>
  <c r="I58" i="106" a="1"/>
  <c r="I58" i="106" s="1"/>
  <c r="I59" i="106" a="1"/>
  <c r="I59" i="106" s="1"/>
  <c r="I60" i="106" a="1"/>
  <c r="I60" i="106" s="1"/>
  <c r="I61" i="106" a="1"/>
  <c r="I61" i="106" s="1"/>
  <c r="I62" i="106" a="1"/>
  <c r="I62" i="106" s="1"/>
  <c r="I63" i="106" a="1"/>
  <c r="I63" i="106" s="1"/>
  <c r="I64" i="106" a="1"/>
  <c r="I64" i="106" s="1"/>
  <c r="I65" i="106" a="1"/>
  <c r="I65" i="106" s="1"/>
  <c r="I66" i="106" a="1"/>
  <c r="I66" i="106" s="1"/>
  <c r="H5" i="106" a="1"/>
  <c r="H5" i="106" s="1"/>
  <c r="H6" i="106" a="1"/>
  <c r="H6" i="106" s="1"/>
  <c r="H7" i="106" a="1"/>
  <c r="H7" i="106" s="1"/>
  <c r="H8" i="106" a="1"/>
  <c r="H8" i="106" s="1"/>
  <c r="H9" i="106" a="1"/>
  <c r="H9" i="106" s="1"/>
  <c r="H10" i="106" a="1"/>
  <c r="H10" i="106" s="1"/>
  <c r="H11" i="106" a="1"/>
  <c r="H11" i="106" s="1"/>
  <c r="H12" i="106" a="1"/>
  <c r="H12" i="106" s="1"/>
  <c r="H13" i="106" a="1"/>
  <c r="H13" i="106" s="1"/>
  <c r="H14" i="106" a="1"/>
  <c r="H14" i="106" s="1"/>
  <c r="H15" i="106" a="1"/>
  <c r="H15" i="106" s="1"/>
  <c r="H16" i="106" a="1"/>
  <c r="H16" i="106" s="1"/>
  <c r="H17" i="106" a="1"/>
  <c r="H17" i="106" s="1"/>
  <c r="H18" i="106" a="1"/>
  <c r="H18" i="106" s="1"/>
  <c r="H19" i="106" a="1"/>
  <c r="H19" i="106" s="1"/>
  <c r="H20" i="106" a="1"/>
  <c r="H20" i="106" s="1"/>
  <c r="H21" i="106" a="1"/>
  <c r="H21" i="106" s="1"/>
  <c r="H22" i="106" a="1"/>
  <c r="H22" i="106" s="1"/>
  <c r="H23" i="106" a="1"/>
  <c r="H23" i="106" s="1"/>
  <c r="H24" i="106" a="1"/>
  <c r="H24" i="106" s="1"/>
  <c r="H25" i="106" a="1"/>
  <c r="H25" i="106" s="1"/>
  <c r="H26" i="106" a="1"/>
  <c r="H26" i="106" s="1"/>
  <c r="H27" i="106" a="1"/>
  <c r="H27" i="106" s="1"/>
  <c r="H28" i="106" a="1"/>
  <c r="H28" i="106" s="1"/>
  <c r="H29" i="106" a="1"/>
  <c r="H29" i="106" s="1"/>
  <c r="H30" i="106" a="1"/>
  <c r="H30" i="106" s="1"/>
  <c r="H31" i="106" a="1"/>
  <c r="H31" i="106" s="1"/>
  <c r="H32" i="106" a="1"/>
  <c r="H32" i="106" s="1"/>
  <c r="H33" i="106" a="1"/>
  <c r="H33" i="106" s="1"/>
  <c r="H34" i="106" a="1"/>
  <c r="H34" i="106" s="1"/>
  <c r="H35" i="106" a="1"/>
  <c r="H35" i="106" s="1"/>
  <c r="H36" i="106" a="1"/>
  <c r="H36" i="106" s="1"/>
  <c r="H37" i="106" a="1"/>
  <c r="H37" i="106" s="1"/>
  <c r="H38" i="106" a="1"/>
  <c r="H38" i="106" s="1"/>
  <c r="H39" i="106" a="1"/>
  <c r="H39" i="106" s="1"/>
  <c r="H40" i="106" a="1"/>
  <c r="H40" i="106" s="1"/>
  <c r="H41" i="106" a="1"/>
  <c r="H41" i="106" s="1"/>
  <c r="H42" i="106" a="1"/>
  <c r="H42" i="106" s="1"/>
  <c r="H43" i="106" a="1"/>
  <c r="H43" i="106" s="1"/>
  <c r="H44" i="106" a="1"/>
  <c r="H44" i="106" s="1"/>
  <c r="H45" i="106" a="1"/>
  <c r="H45" i="106" s="1"/>
  <c r="H46" i="106" a="1"/>
  <c r="H46" i="106" s="1"/>
  <c r="H47" i="106" a="1"/>
  <c r="H47" i="106" s="1"/>
  <c r="H48" i="106" a="1"/>
  <c r="H48" i="106" s="1"/>
  <c r="H49" i="106" a="1"/>
  <c r="H49" i="106" s="1"/>
  <c r="H50" i="106" a="1"/>
  <c r="H50" i="106" s="1"/>
  <c r="H51" i="106" a="1"/>
  <c r="H51" i="106" s="1"/>
  <c r="H52" i="106" a="1"/>
  <c r="H52" i="106" s="1"/>
  <c r="H53" i="106" a="1"/>
  <c r="H53" i="106" s="1"/>
  <c r="H54" i="106" a="1"/>
  <c r="H54" i="106" s="1"/>
  <c r="H55" i="106" a="1"/>
  <c r="H55" i="106" s="1"/>
  <c r="H56" i="106" a="1"/>
  <c r="H56" i="106" s="1"/>
  <c r="H57" i="106" a="1"/>
  <c r="H57" i="106" s="1"/>
  <c r="H58" i="106" a="1"/>
  <c r="H58" i="106" s="1"/>
  <c r="H59" i="106" a="1"/>
  <c r="H59" i="106" s="1"/>
  <c r="H60" i="106" a="1"/>
  <c r="H60" i="106" s="1"/>
  <c r="H61" i="106" a="1"/>
  <c r="H61" i="106" s="1"/>
  <c r="H62" i="106" a="1"/>
  <c r="H62" i="106" s="1"/>
  <c r="H63" i="106" a="1"/>
  <c r="H63" i="106" s="1"/>
  <c r="H64" i="106" a="1"/>
  <c r="H64" i="106" s="1"/>
  <c r="H65" i="106" a="1"/>
  <c r="H65" i="106" s="1"/>
  <c r="H66" i="106" a="1"/>
  <c r="H66" i="106" s="1"/>
  <c r="I4" i="106" a="1"/>
  <c r="I4" i="106" s="1"/>
  <c r="H4" i="106" a="1"/>
  <c r="H4" i="106" s="1"/>
  <c r="G67" i="106" a="1"/>
  <c r="G67" i="106" s="1"/>
  <c r="O67" i="106" s="1" a="1"/>
  <c r="O67" i="106" s="1"/>
  <c r="G68" i="106" a="1"/>
  <c r="G68" i="106" s="1"/>
  <c r="O68" i="106" s="1" a="1"/>
  <c r="O68" i="106" s="1"/>
  <c r="V68" i="106" s="1"/>
  <c r="G69" i="106" a="1"/>
  <c r="G69" i="106" s="1"/>
  <c r="O69" i="106" s="1" a="1"/>
  <c r="O69" i="106" s="1"/>
  <c r="V69" i="106" s="1"/>
  <c r="G70" i="106" a="1"/>
  <c r="G70" i="106" s="1"/>
  <c r="O70" i="106" s="1" a="1"/>
  <c r="O70" i="106" s="1"/>
  <c r="V70" i="106" s="1"/>
  <c r="G71" i="106" a="1"/>
  <c r="G71" i="106" s="1"/>
  <c r="O71" i="106" s="1" a="1"/>
  <c r="O71" i="106" s="1"/>
  <c r="V71" i="106" s="1"/>
  <c r="G72" i="106" a="1"/>
  <c r="G72" i="106" s="1"/>
  <c r="O72" i="106" s="1" a="1"/>
  <c r="O72" i="106" s="1"/>
  <c r="Q72" i="106" s="1" a="1"/>
  <c r="Q72" i="106" s="1"/>
  <c r="H71" i="108" s="1" a="1"/>
  <c r="H71" i="108" s="1"/>
  <c r="G73" i="106" a="1"/>
  <c r="G73" i="106" s="1"/>
  <c r="O73" i="106" s="1" a="1"/>
  <c r="O73" i="106" s="1"/>
  <c r="V73" i="106" s="1"/>
  <c r="G74" i="106" a="1"/>
  <c r="G74" i="106" s="1"/>
  <c r="O74" i="106" s="1" a="1"/>
  <c r="O74" i="106" s="1"/>
  <c r="G75" i="106" a="1"/>
  <c r="G75" i="106" s="1"/>
  <c r="O75" i="106" s="1" a="1"/>
  <c r="O75" i="106" s="1"/>
  <c r="V75" i="106" s="1"/>
  <c r="G76" i="106" a="1"/>
  <c r="G76" i="106" s="1"/>
  <c r="O76" i="106" s="1" a="1"/>
  <c r="O76" i="106" s="1"/>
  <c r="Q76" i="106" s="1" a="1"/>
  <c r="Q76" i="106" s="1"/>
  <c r="H75" i="108" s="1" a="1"/>
  <c r="H75" i="108" s="1"/>
  <c r="G77" i="106" a="1"/>
  <c r="G77" i="106" s="1"/>
  <c r="O77" i="106" s="1" a="1"/>
  <c r="O77" i="106" s="1"/>
  <c r="V77" i="106" s="1"/>
  <c r="G78" i="106" a="1"/>
  <c r="G78" i="106" s="1"/>
  <c r="O78" i="106" s="1" a="1"/>
  <c r="O78" i="106" s="1"/>
  <c r="V78" i="106" s="1"/>
  <c r="G79" i="106" a="1"/>
  <c r="G79" i="106" s="1"/>
  <c r="O79" i="106" s="1" a="1"/>
  <c r="O79" i="106" s="1"/>
  <c r="G5" i="106" a="1"/>
  <c r="G5" i="106" s="1"/>
  <c r="O5" i="106" s="1" a="1"/>
  <c r="O5" i="106" s="1"/>
  <c r="U5" i="106" s="1"/>
  <c r="G6" i="106" a="1"/>
  <c r="G6" i="106" s="1"/>
  <c r="O6" i="106" s="1" a="1"/>
  <c r="O6" i="106" s="1"/>
  <c r="Q6" i="106" s="1" a="1"/>
  <c r="Q6" i="106" s="1"/>
  <c r="H5" i="108" s="1" a="1"/>
  <c r="H5" i="108" s="1"/>
  <c r="G7" i="106" a="1"/>
  <c r="G7" i="106" s="1"/>
  <c r="O7" i="106" s="1" a="1"/>
  <c r="O7" i="106" s="1"/>
  <c r="U7" i="106" s="1"/>
  <c r="G8" i="106" a="1"/>
  <c r="G8" i="106" s="1"/>
  <c r="O8" i="106" s="1" a="1"/>
  <c r="O8" i="106" s="1"/>
  <c r="U8" i="106" s="1"/>
  <c r="G9" i="106" a="1"/>
  <c r="G9" i="106" s="1"/>
  <c r="O9" i="106" s="1" a="1"/>
  <c r="O9" i="106" s="1"/>
  <c r="Q9" i="106" s="1" a="1"/>
  <c r="Q9" i="106" s="1"/>
  <c r="H8" i="108" s="1" a="1"/>
  <c r="H8" i="108" s="1"/>
  <c r="G10" i="106" a="1"/>
  <c r="G10" i="106" s="1"/>
  <c r="O10" i="106" s="1" a="1"/>
  <c r="O10" i="106" s="1"/>
  <c r="G11" i="106" a="1"/>
  <c r="G11" i="106" s="1"/>
  <c r="O11" i="106" s="1" a="1"/>
  <c r="O11" i="106" s="1"/>
  <c r="U11" i="106" s="1"/>
  <c r="G12" i="106" a="1"/>
  <c r="G12" i="106" s="1"/>
  <c r="O12" i="106" s="1" a="1"/>
  <c r="O12" i="106" s="1"/>
  <c r="Q12" i="106" s="1" a="1"/>
  <c r="Q12" i="106" s="1"/>
  <c r="H11" i="108" s="1" a="1"/>
  <c r="H11" i="108" s="1"/>
  <c r="G13" i="106" a="1"/>
  <c r="G13" i="106" s="1"/>
  <c r="O13" i="106" s="1" a="1"/>
  <c r="O13" i="106" s="1"/>
  <c r="U13" i="106" s="1"/>
  <c r="G14" i="106" a="1"/>
  <c r="G14" i="106" s="1"/>
  <c r="O14" i="106" s="1" a="1"/>
  <c r="O14" i="106" s="1"/>
  <c r="Q14" i="106" s="1" a="1"/>
  <c r="Q14" i="106" s="1"/>
  <c r="H13" i="108" s="1" a="1"/>
  <c r="H13" i="108" s="1"/>
  <c r="G15" i="106" a="1"/>
  <c r="G15" i="106" s="1"/>
  <c r="O15" i="106" s="1" a="1"/>
  <c r="O15" i="106" s="1"/>
  <c r="U15" i="106" s="1"/>
  <c r="G16" i="106" a="1"/>
  <c r="G16" i="106" s="1"/>
  <c r="O16" i="106" s="1" a="1"/>
  <c r="O16" i="106" s="1"/>
  <c r="U16" i="106" s="1"/>
  <c r="G17" i="106" a="1"/>
  <c r="G17" i="106" s="1"/>
  <c r="O17" i="106" s="1" a="1"/>
  <c r="O17" i="106" s="1"/>
  <c r="U17" i="106" s="1"/>
  <c r="G18" i="106" a="1"/>
  <c r="G18" i="106" s="1"/>
  <c r="O18" i="106" s="1" a="1"/>
  <c r="O18" i="106" s="1"/>
  <c r="Q18" i="106" s="1" a="1"/>
  <c r="Q18" i="106" s="1"/>
  <c r="H17" i="108" s="1" a="1"/>
  <c r="H17" i="108" s="1"/>
  <c r="G19" i="106" a="1"/>
  <c r="G19" i="106" s="1"/>
  <c r="O19" i="106" s="1" a="1"/>
  <c r="O19" i="106" s="1"/>
  <c r="U19" i="106" s="1"/>
  <c r="G20" i="106" a="1"/>
  <c r="G20" i="106" s="1"/>
  <c r="O20" i="106" s="1" a="1"/>
  <c r="O20" i="106" s="1"/>
  <c r="U20" i="106" s="1"/>
  <c r="G21" i="106" a="1"/>
  <c r="G21" i="106" s="1"/>
  <c r="O21" i="106" s="1" a="1"/>
  <c r="O21" i="106" s="1"/>
  <c r="Q21" i="106" s="1" a="1"/>
  <c r="Q21" i="106" s="1"/>
  <c r="H20" i="108" s="1" a="1"/>
  <c r="H20" i="108" s="1"/>
  <c r="G22" i="106" a="1"/>
  <c r="G22" i="106" s="1"/>
  <c r="O22" i="106" s="1" a="1"/>
  <c r="O22" i="106" s="1"/>
  <c r="Q22" i="106" s="1" a="1"/>
  <c r="Q22" i="106" s="1"/>
  <c r="H21" i="108" s="1" a="1"/>
  <c r="H21" i="108" s="1"/>
  <c r="G23" i="106" a="1"/>
  <c r="G23" i="106" s="1"/>
  <c r="O23" i="106" s="1" a="1"/>
  <c r="O23" i="106" s="1"/>
  <c r="Q23" i="106" s="1" a="1"/>
  <c r="Q23" i="106" s="1"/>
  <c r="H22" i="108" s="1" a="1"/>
  <c r="H22" i="108" s="1"/>
  <c r="G24" i="106" a="1"/>
  <c r="G24" i="106" s="1"/>
  <c r="O24" i="106" s="1" a="1"/>
  <c r="O24" i="106" s="1"/>
  <c r="U24" i="106" s="1"/>
  <c r="G25" i="106" a="1"/>
  <c r="G25" i="106" s="1"/>
  <c r="O25" i="106" s="1" a="1"/>
  <c r="O25" i="106" s="1"/>
  <c r="Q25" i="106" s="1" a="1"/>
  <c r="Q25" i="106" s="1"/>
  <c r="H24" i="108" s="1" a="1"/>
  <c r="H24" i="108" s="1"/>
  <c r="G26" i="106" a="1"/>
  <c r="G26" i="106" s="1"/>
  <c r="O26" i="106" s="1" a="1"/>
  <c r="O26" i="106" s="1"/>
  <c r="Q26" i="106" s="1" a="1"/>
  <c r="Q26" i="106" s="1"/>
  <c r="H25" i="108" s="1" a="1"/>
  <c r="H25" i="108" s="1"/>
  <c r="G27" i="106" a="1"/>
  <c r="G27" i="106" s="1"/>
  <c r="O27" i="106" s="1" a="1"/>
  <c r="O27" i="106" s="1"/>
  <c r="U27" i="106" s="1"/>
  <c r="G28" i="106" a="1"/>
  <c r="G28" i="106" s="1"/>
  <c r="O28" i="106" s="1" a="1"/>
  <c r="O28" i="106" s="1"/>
  <c r="U28" i="106" s="1"/>
  <c r="G29" i="106" a="1"/>
  <c r="G29" i="106" s="1"/>
  <c r="O29" i="106" s="1" a="1"/>
  <c r="O29" i="106" s="1"/>
  <c r="Q29" i="106" s="1" a="1"/>
  <c r="Q29" i="106" s="1"/>
  <c r="H28" i="108" s="1" a="1"/>
  <c r="H28" i="108" s="1"/>
  <c r="G30" i="106" a="1"/>
  <c r="G30" i="106" s="1"/>
  <c r="O30" i="106" s="1" a="1"/>
  <c r="O30" i="106" s="1"/>
  <c r="Q30" i="106" s="1" a="1"/>
  <c r="Q30" i="106" s="1"/>
  <c r="H29" i="108" s="1" a="1"/>
  <c r="H29" i="108" s="1"/>
  <c r="G31" i="106" a="1"/>
  <c r="G31" i="106" s="1"/>
  <c r="O31" i="106" s="1" a="1"/>
  <c r="O31" i="106" s="1"/>
  <c r="G32" i="106" a="1"/>
  <c r="G32" i="106" s="1"/>
  <c r="O32" i="106" s="1" a="1"/>
  <c r="O32" i="106" s="1"/>
  <c r="G33" i="106" a="1"/>
  <c r="G33" i="106" s="1"/>
  <c r="O33" i="106" s="1" a="1"/>
  <c r="O33" i="106" s="1"/>
  <c r="Q33" i="106" s="1" a="1"/>
  <c r="Q33" i="106" s="1"/>
  <c r="H32" i="108" s="1" a="1"/>
  <c r="H32" i="108" s="1"/>
  <c r="G34" i="106" a="1"/>
  <c r="G34" i="106" s="1"/>
  <c r="G35" i="106" a="1"/>
  <c r="G35" i="106" s="1"/>
  <c r="O35" i="106" s="1" a="1"/>
  <c r="O35" i="106" s="1"/>
  <c r="G36" i="106" a="1"/>
  <c r="G36" i="106" s="1"/>
  <c r="O36" i="106" s="1" a="1"/>
  <c r="O36" i="106" s="1"/>
  <c r="Q36" i="106" s="1" a="1"/>
  <c r="Q36" i="106" s="1"/>
  <c r="H35" i="108" s="1" a="1"/>
  <c r="H35" i="108" s="1"/>
  <c r="G37" i="106" a="1"/>
  <c r="G37" i="106" s="1"/>
  <c r="O37" i="106" s="1" a="1"/>
  <c r="O37" i="106" s="1"/>
  <c r="Q37" i="106" s="1" a="1"/>
  <c r="Q37" i="106" s="1"/>
  <c r="H36" i="108" s="1" a="1"/>
  <c r="H36" i="108" s="1"/>
  <c r="G38" i="106" a="1"/>
  <c r="G38" i="106" s="1"/>
  <c r="O38" i="106" s="1" a="1"/>
  <c r="O38" i="106" s="1"/>
  <c r="Q38" i="106" s="1" a="1"/>
  <c r="Q38" i="106" s="1"/>
  <c r="H37" i="108" s="1" a="1"/>
  <c r="H37" i="108" s="1"/>
  <c r="G39" i="106" a="1"/>
  <c r="G39" i="106" s="1"/>
  <c r="O39" i="106" s="1" a="1"/>
  <c r="O39" i="106" s="1"/>
  <c r="G40" i="106" a="1"/>
  <c r="G40" i="106" s="1"/>
  <c r="O40" i="106" s="1" a="1"/>
  <c r="O40" i="106" s="1"/>
  <c r="U40" i="106" s="1"/>
  <c r="G41" i="106" a="1"/>
  <c r="G41" i="106" s="1"/>
  <c r="O41" i="106" s="1" a="1"/>
  <c r="O41" i="106" s="1"/>
  <c r="U41" i="106" s="1"/>
  <c r="G42" i="106" a="1"/>
  <c r="G42" i="106" s="1"/>
  <c r="O42" i="106" s="1" a="1"/>
  <c r="O42" i="106" s="1"/>
  <c r="U42" i="106" s="1"/>
  <c r="G43" i="106" a="1"/>
  <c r="G43" i="106" s="1"/>
  <c r="O43" i="106" s="1" a="1"/>
  <c r="O43" i="106" s="1"/>
  <c r="U43" i="106" s="1"/>
  <c r="G44" i="106" a="1"/>
  <c r="G44" i="106" s="1"/>
  <c r="O44" i="106" s="1" a="1"/>
  <c r="O44" i="106" s="1"/>
  <c r="G45" i="106" a="1"/>
  <c r="G45" i="106" s="1"/>
  <c r="O45" i="106" s="1" a="1"/>
  <c r="O45" i="106" s="1"/>
  <c r="Q45" i="106" s="1" a="1"/>
  <c r="Q45" i="106" s="1"/>
  <c r="H44" i="108" s="1" a="1"/>
  <c r="H44" i="108" s="1"/>
  <c r="G46" i="106" a="1"/>
  <c r="G46" i="106" s="1"/>
  <c r="O46" i="106" s="1" a="1"/>
  <c r="O46" i="106" s="1"/>
  <c r="Q46" i="106" s="1" a="1"/>
  <c r="Q46" i="106" s="1"/>
  <c r="H45" i="108" s="1" a="1"/>
  <c r="H45" i="108" s="1"/>
  <c r="G47" i="106" a="1"/>
  <c r="G47" i="106" s="1"/>
  <c r="O47" i="106" s="1" a="1"/>
  <c r="O47" i="106" s="1"/>
  <c r="Q47" i="106" s="1" a="1"/>
  <c r="Q47" i="106" s="1"/>
  <c r="H46" i="108" s="1" a="1"/>
  <c r="H46" i="108" s="1"/>
  <c r="G48" i="106" a="1"/>
  <c r="G48" i="106" s="1"/>
  <c r="O48" i="106" s="1" a="1"/>
  <c r="O48" i="106" s="1"/>
  <c r="Q48" i="106" s="1" a="1"/>
  <c r="Q48" i="106" s="1"/>
  <c r="H47" i="108" s="1" a="1"/>
  <c r="H47" i="108" s="1"/>
  <c r="G49" i="106" a="1"/>
  <c r="G49" i="106" s="1"/>
  <c r="O49" i="106" s="1" a="1"/>
  <c r="O49" i="106" s="1"/>
  <c r="Q49" i="106" s="1" a="1"/>
  <c r="Q49" i="106" s="1"/>
  <c r="H48" i="108" s="1" a="1"/>
  <c r="H48" i="108" s="1"/>
  <c r="G50" i="106" a="1"/>
  <c r="G50" i="106" s="1"/>
  <c r="O50" i="106" s="1" a="1"/>
  <c r="O50" i="106" s="1"/>
  <c r="G51" i="106" a="1"/>
  <c r="G51" i="106" s="1"/>
  <c r="O51" i="106" s="1" a="1"/>
  <c r="O51" i="106" s="1"/>
  <c r="G52" i="106" a="1"/>
  <c r="G52" i="106" s="1"/>
  <c r="O52" i="106" s="1" a="1"/>
  <c r="O52" i="106" s="1"/>
  <c r="Q52" i="106" s="1" a="1"/>
  <c r="Q52" i="106" s="1"/>
  <c r="H51" i="108" s="1" a="1"/>
  <c r="H51" i="108" s="1"/>
  <c r="G53" i="106" a="1"/>
  <c r="G53" i="106" s="1"/>
  <c r="O53" i="106" s="1" a="1"/>
  <c r="O53" i="106" s="1"/>
  <c r="U53" i="106" s="1"/>
  <c r="G54" i="106" a="1"/>
  <c r="G54" i="106" s="1"/>
  <c r="O54" i="106" s="1" a="1"/>
  <c r="O54" i="106" s="1"/>
  <c r="U54" i="106" s="1"/>
  <c r="G55" i="106" a="1"/>
  <c r="G55" i="106" s="1"/>
  <c r="O55" i="106" s="1" a="1"/>
  <c r="O55" i="106" s="1"/>
  <c r="Q55" i="106" s="1" a="1"/>
  <c r="Q55" i="106" s="1"/>
  <c r="H54" i="108" s="1" a="1"/>
  <c r="H54" i="108" s="1"/>
  <c r="G56" i="106" a="1"/>
  <c r="G56" i="106" s="1"/>
  <c r="O56" i="106" s="1" a="1"/>
  <c r="O56" i="106" s="1"/>
  <c r="Q56" i="106" s="1" a="1"/>
  <c r="Q56" i="106" s="1"/>
  <c r="H55" i="108" s="1" a="1"/>
  <c r="H55" i="108" s="1"/>
  <c r="G57" i="106" a="1"/>
  <c r="G57" i="106" s="1"/>
  <c r="O57" i="106" s="1" a="1"/>
  <c r="O57" i="106" s="1"/>
  <c r="U57" i="106" s="1"/>
  <c r="G58" i="106" a="1"/>
  <c r="G58" i="106" s="1"/>
  <c r="O58" i="106" s="1" a="1"/>
  <c r="O58" i="106" s="1"/>
  <c r="Q58" i="106" s="1" a="1"/>
  <c r="Q58" i="106" s="1"/>
  <c r="H57" i="108" s="1" a="1"/>
  <c r="H57" i="108" s="1"/>
  <c r="G59" i="106" a="1"/>
  <c r="G59" i="106" s="1"/>
  <c r="O59" i="106" s="1" a="1"/>
  <c r="O59" i="106" s="1"/>
  <c r="Q59" i="106" s="1" a="1"/>
  <c r="Q59" i="106" s="1"/>
  <c r="H58" i="108" s="1" a="1"/>
  <c r="H58" i="108" s="1"/>
  <c r="G60" i="106" a="1"/>
  <c r="G60" i="106" s="1"/>
  <c r="O60" i="106" s="1" a="1"/>
  <c r="O60" i="106" s="1"/>
  <c r="Q60" i="106" s="1" a="1"/>
  <c r="Q60" i="106" s="1"/>
  <c r="H59" i="108" s="1" a="1"/>
  <c r="H59" i="108" s="1"/>
  <c r="G61" i="106" a="1"/>
  <c r="G61" i="106" s="1"/>
  <c r="O61" i="106" s="1" a="1"/>
  <c r="O61" i="106" s="1"/>
  <c r="U61" i="106" s="1"/>
  <c r="G62" i="106" a="1"/>
  <c r="G62" i="106" s="1"/>
  <c r="O62" i="106" s="1" a="1"/>
  <c r="O62" i="106" s="1"/>
  <c r="Q62" i="106" s="1" a="1"/>
  <c r="Q62" i="106" s="1"/>
  <c r="H61" i="108" s="1" a="1"/>
  <c r="H61" i="108" s="1"/>
  <c r="G63" i="106" a="1"/>
  <c r="G63" i="106" s="1"/>
  <c r="O63" i="106" s="1" a="1"/>
  <c r="O63" i="106" s="1"/>
  <c r="U63" i="106" s="1"/>
  <c r="G64" i="106" a="1"/>
  <c r="G64" i="106" s="1"/>
  <c r="O64" i="106" s="1" a="1"/>
  <c r="O64" i="106" s="1"/>
  <c r="U64" i="106" s="1"/>
  <c r="G65" i="106" a="1"/>
  <c r="G65" i="106" s="1"/>
  <c r="O65" i="106" s="1" a="1"/>
  <c r="O65" i="106" s="1"/>
  <c r="G66" i="106" a="1"/>
  <c r="G66" i="106" s="1"/>
  <c r="O66" i="106" s="1" a="1"/>
  <c r="O66" i="106" s="1"/>
  <c r="Q66" i="106" s="1" a="1"/>
  <c r="Q66" i="106" s="1"/>
  <c r="H65" i="108" s="1" a="1"/>
  <c r="H65" i="108" s="1"/>
  <c r="G4" i="106" a="1"/>
  <c r="G4" i="106" s="1"/>
  <c r="O4" i="106" s="1" a="1"/>
  <c r="O4" i="106" s="1"/>
  <c r="B2" i="112"/>
  <c r="A5" i="106" a="1"/>
  <c r="A5" i="106" s="1"/>
  <c r="A6" i="106" a="1"/>
  <c r="A6" i="106" s="1"/>
  <c r="A7" i="106" a="1"/>
  <c r="A7" i="106" s="1"/>
  <c r="A8" i="106" a="1"/>
  <c r="A8" i="106" s="1"/>
  <c r="A9" i="106" a="1"/>
  <c r="A9" i="106" s="1"/>
  <c r="A10" i="106" a="1"/>
  <c r="A10" i="106" s="1"/>
  <c r="A11" i="106" a="1"/>
  <c r="A11" i="106" s="1"/>
  <c r="A12" i="106" a="1"/>
  <c r="A12" i="106" s="1"/>
  <c r="A13" i="106" a="1"/>
  <c r="A13" i="106" s="1"/>
  <c r="A14" i="106" a="1"/>
  <c r="A14" i="106" s="1"/>
  <c r="A15" i="106" a="1"/>
  <c r="A15" i="106" s="1"/>
  <c r="A16" i="106" a="1"/>
  <c r="A16" i="106" s="1"/>
  <c r="A17" i="106" a="1"/>
  <c r="A17" i="106" s="1"/>
  <c r="A18" i="106" a="1"/>
  <c r="A18" i="106" s="1"/>
  <c r="A19" i="106" a="1"/>
  <c r="A19" i="106" s="1"/>
  <c r="A20" i="106" a="1"/>
  <c r="A20" i="106" s="1"/>
  <c r="A21" i="106" a="1"/>
  <c r="A21" i="106" s="1"/>
  <c r="A22" i="106" a="1"/>
  <c r="A22" i="106" s="1"/>
  <c r="A23" i="106" a="1"/>
  <c r="A23" i="106" s="1"/>
  <c r="A24" i="106" a="1"/>
  <c r="A24" i="106" s="1"/>
  <c r="A25" i="106" a="1"/>
  <c r="A25" i="106" s="1"/>
  <c r="A26" i="106" a="1"/>
  <c r="A26" i="106" s="1"/>
  <c r="A27" i="106" a="1"/>
  <c r="A27" i="106" s="1"/>
  <c r="A28" i="106" a="1"/>
  <c r="A28" i="106" s="1"/>
  <c r="A29" i="106" a="1"/>
  <c r="A29" i="106" s="1"/>
  <c r="A30" i="106" a="1"/>
  <c r="A30" i="106" s="1"/>
  <c r="A31" i="106" a="1"/>
  <c r="A31" i="106" s="1"/>
  <c r="A32" i="106" a="1"/>
  <c r="A32" i="106" s="1"/>
  <c r="A33" i="106" a="1"/>
  <c r="A33" i="106" s="1"/>
  <c r="A34" i="106" a="1"/>
  <c r="A34" i="106" s="1"/>
  <c r="A35" i="106" a="1"/>
  <c r="A35" i="106" s="1"/>
  <c r="A36" i="106" a="1"/>
  <c r="A36" i="106" s="1"/>
  <c r="A37" i="106" a="1"/>
  <c r="A37" i="106" s="1"/>
  <c r="A38" i="106" a="1"/>
  <c r="A38" i="106" s="1"/>
  <c r="A39" i="106" a="1"/>
  <c r="A39" i="106" s="1"/>
  <c r="A40" i="106" a="1"/>
  <c r="A40" i="106" s="1"/>
  <c r="A41" i="106" a="1"/>
  <c r="A41" i="106" s="1"/>
  <c r="A42" i="106" a="1"/>
  <c r="A42" i="106" s="1"/>
  <c r="A43" i="106" a="1"/>
  <c r="A43" i="106" s="1"/>
  <c r="A44" i="106" a="1"/>
  <c r="A44" i="106" s="1"/>
  <c r="A45" i="106" a="1"/>
  <c r="A45" i="106" s="1"/>
  <c r="A46" i="106" a="1"/>
  <c r="A46" i="106" s="1"/>
  <c r="A47" i="106" a="1"/>
  <c r="A47" i="106" s="1"/>
  <c r="A48" i="106" a="1"/>
  <c r="A48" i="106" s="1"/>
  <c r="A49" i="106" a="1"/>
  <c r="A49" i="106" s="1"/>
  <c r="A50" i="106" a="1"/>
  <c r="A50" i="106" s="1"/>
  <c r="A51" i="106" a="1"/>
  <c r="A51" i="106" s="1"/>
  <c r="A52" i="106" a="1"/>
  <c r="A52" i="106" s="1"/>
  <c r="A53" i="106" a="1"/>
  <c r="A53" i="106" s="1"/>
  <c r="A54" i="106" a="1"/>
  <c r="A54" i="106" s="1"/>
  <c r="A55" i="106" a="1"/>
  <c r="A55" i="106" s="1"/>
  <c r="A56" i="106" a="1"/>
  <c r="A56" i="106" s="1"/>
  <c r="A57" i="106" a="1"/>
  <c r="A57" i="106" s="1"/>
  <c r="A58" i="106" a="1"/>
  <c r="A58" i="106" s="1"/>
  <c r="A59" i="106" a="1"/>
  <c r="A59" i="106" s="1"/>
  <c r="A60" i="106" a="1"/>
  <c r="A60" i="106" s="1"/>
  <c r="A61" i="106" a="1"/>
  <c r="A61" i="106" s="1"/>
  <c r="A62" i="106" a="1"/>
  <c r="A62" i="106" s="1"/>
  <c r="A63" i="106" a="1"/>
  <c r="A63" i="106" s="1"/>
  <c r="A64" i="106" a="1"/>
  <c r="A64" i="106" s="1"/>
  <c r="A65" i="106" a="1"/>
  <c r="A65" i="106" s="1"/>
  <c r="A66" i="106" a="1"/>
  <c r="A66" i="106" s="1"/>
  <c r="A67" i="106" a="1"/>
  <c r="A67" i="106" s="1"/>
  <c r="A68" i="106" a="1"/>
  <c r="A68" i="106" s="1"/>
  <c r="A69" i="106" a="1"/>
  <c r="A69" i="106" s="1"/>
  <c r="A70" i="106" a="1"/>
  <c r="A70" i="106" s="1"/>
  <c r="A71" i="106" a="1"/>
  <c r="A71" i="106" s="1"/>
  <c r="A72" i="106" a="1"/>
  <c r="A72" i="106" s="1"/>
  <c r="A73" i="106" a="1"/>
  <c r="A73" i="106" s="1"/>
  <c r="A74" i="106" a="1"/>
  <c r="A74" i="106" s="1"/>
  <c r="A75" i="106" a="1"/>
  <c r="A75" i="106" s="1"/>
  <c r="A76" i="106" a="1"/>
  <c r="A76" i="106" s="1"/>
  <c r="A77" i="106" a="1"/>
  <c r="A77" i="106" s="1"/>
  <c r="A78" i="106" a="1"/>
  <c r="A78" i="106" s="1"/>
  <c r="A79" i="106" a="1"/>
  <c r="A79" i="106" s="1"/>
  <c r="A4" i="106" a="1"/>
  <c r="A4" i="106" s="1"/>
  <c r="F67" i="106" a="1"/>
  <c r="F67" i="106" s="1"/>
  <c r="F68" i="106" a="1"/>
  <c r="F68" i="106" s="1"/>
  <c r="F69" i="106" a="1"/>
  <c r="F69" i="106" s="1"/>
  <c r="F70" i="106" a="1"/>
  <c r="F70" i="106" s="1"/>
  <c r="F71" i="106" a="1"/>
  <c r="F71" i="106" s="1"/>
  <c r="F72" i="106" a="1"/>
  <c r="F72" i="106" s="1"/>
  <c r="F73" i="106" a="1"/>
  <c r="F73" i="106" s="1"/>
  <c r="F74" i="106" a="1"/>
  <c r="F74" i="106" s="1"/>
  <c r="F75" i="106" a="1"/>
  <c r="F75" i="106" s="1"/>
  <c r="F76" i="106" a="1"/>
  <c r="F76" i="106" s="1"/>
  <c r="F77" i="106" a="1"/>
  <c r="F77" i="106" s="1"/>
  <c r="F78" i="106" a="1"/>
  <c r="F78" i="106" s="1"/>
  <c r="F79" i="106" a="1"/>
  <c r="F79" i="106" s="1"/>
  <c r="F5" i="106" a="1"/>
  <c r="F5" i="106" s="1"/>
  <c r="F6" i="106" a="1"/>
  <c r="F6" i="106" s="1"/>
  <c r="F7" i="106" a="1"/>
  <c r="F7" i="106" s="1"/>
  <c r="F8" i="106" a="1"/>
  <c r="F8" i="106" s="1"/>
  <c r="F9" i="106" a="1"/>
  <c r="F9" i="106" s="1"/>
  <c r="F10" i="106" a="1"/>
  <c r="F10" i="106" s="1"/>
  <c r="F11" i="106" a="1"/>
  <c r="F11" i="106" s="1"/>
  <c r="F12" i="106" a="1"/>
  <c r="F12" i="106" s="1"/>
  <c r="F13" i="106" a="1"/>
  <c r="F13" i="106" s="1"/>
  <c r="F14" i="106" a="1"/>
  <c r="F14" i="106" s="1"/>
  <c r="F15" i="106" a="1"/>
  <c r="F15" i="106" s="1"/>
  <c r="F16" i="106" a="1"/>
  <c r="F16" i="106" s="1"/>
  <c r="F17" i="106" a="1"/>
  <c r="F17" i="106" s="1"/>
  <c r="F18" i="106" a="1"/>
  <c r="F18" i="106" s="1"/>
  <c r="F19" i="106" a="1"/>
  <c r="F19" i="106" s="1"/>
  <c r="F20" i="106" a="1"/>
  <c r="F20" i="106" s="1"/>
  <c r="F21" i="106" a="1"/>
  <c r="F21" i="106" s="1"/>
  <c r="F22" i="106" a="1"/>
  <c r="F22" i="106" s="1"/>
  <c r="F23" i="106" a="1"/>
  <c r="F23" i="106" s="1"/>
  <c r="F24" i="106" a="1"/>
  <c r="F24" i="106" s="1"/>
  <c r="F25" i="106" a="1"/>
  <c r="F25" i="106" s="1"/>
  <c r="F26" i="106" a="1"/>
  <c r="F26" i="106" s="1"/>
  <c r="F27" i="106" a="1"/>
  <c r="F27" i="106" s="1"/>
  <c r="F28" i="106" a="1"/>
  <c r="F28" i="106" s="1"/>
  <c r="F29" i="106" a="1"/>
  <c r="F29" i="106" s="1"/>
  <c r="F30" i="106" a="1"/>
  <c r="F30" i="106" s="1"/>
  <c r="F31" i="106" a="1"/>
  <c r="F31" i="106" s="1"/>
  <c r="F32" i="106" a="1"/>
  <c r="F32" i="106" s="1"/>
  <c r="F33" i="106" a="1"/>
  <c r="F33" i="106" s="1"/>
  <c r="F34" i="106" a="1"/>
  <c r="F34" i="106" s="1"/>
  <c r="F35" i="106" a="1"/>
  <c r="F35" i="106" s="1"/>
  <c r="F36" i="106" a="1"/>
  <c r="F36" i="106" s="1"/>
  <c r="F37" i="106" a="1"/>
  <c r="F37" i="106" s="1"/>
  <c r="F38" i="106" a="1"/>
  <c r="F38" i="106" s="1"/>
  <c r="F39" i="106" a="1"/>
  <c r="F39" i="106" s="1"/>
  <c r="F40" i="106" a="1"/>
  <c r="F40" i="106" s="1"/>
  <c r="F41" i="106" a="1"/>
  <c r="F41" i="106" s="1"/>
  <c r="F42" i="106" a="1"/>
  <c r="F42" i="106" s="1"/>
  <c r="F43" i="106" a="1"/>
  <c r="F43" i="106" s="1"/>
  <c r="F44" i="106" a="1"/>
  <c r="F44" i="106" s="1"/>
  <c r="F45" i="106" a="1"/>
  <c r="F45" i="106" s="1"/>
  <c r="F46" i="106" a="1"/>
  <c r="F46" i="106" s="1"/>
  <c r="F47" i="106" a="1"/>
  <c r="F47" i="106" s="1"/>
  <c r="F48" i="106" a="1"/>
  <c r="F48" i="106" s="1"/>
  <c r="F49" i="106" a="1"/>
  <c r="F49" i="106" s="1"/>
  <c r="F50" i="106" a="1"/>
  <c r="F50" i="106" s="1"/>
  <c r="F51" i="106" a="1"/>
  <c r="F51" i="106" s="1"/>
  <c r="F52" i="106" a="1"/>
  <c r="F52" i="106" s="1"/>
  <c r="F53" i="106" a="1"/>
  <c r="F53" i="106" s="1"/>
  <c r="F54" i="106" a="1"/>
  <c r="F54" i="106" s="1"/>
  <c r="F55" i="106" a="1"/>
  <c r="F55" i="106" s="1"/>
  <c r="F56" i="106" a="1"/>
  <c r="F56" i="106" s="1"/>
  <c r="F57" i="106" a="1"/>
  <c r="F57" i="106" s="1"/>
  <c r="F58" i="106" a="1"/>
  <c r="F58" i="106" s="1"/>
  <c r="F59" i="106" a="1"/>
  <c r="F59" i="106" s="1"/>
  <c r="F60" i="106" a="1"/>
  <c r="F60" i="106" s="1"/>
  <c r="F61" i="106" a="1"/>
  <c r="F61" i="106" s="1"/>
  <c r="F62" i="106" a="1"/>
  <c r="F62" i="106" s="1"/>
  <c r="F63" i="106" a="1"/>
  <c r="F63" i="106" s="1"/>
  <c r="F64" i="106" a="1"/>
  <c r="F64" i="106" s="1"/>
  <c r="F65" i="106" a="1"/>
  <c r="F65" i="106" s="1"/>
  <c r="F66" i="106" a="1"/>
  <c r="F66" i="106" s="1"/>
  <c r="F4" i="106" a="1"/>
  <c r="F4" i="106" s="1"/>
  <c r="Q4" i="106" l="1" a="1"/>
  <c r="Q4" i="106" s="1"/>
  <c r="H3" i="108" s="1" a="1"/>
  <c r="H3" i="108" s="1"/>
  <c r="U65" i="106"/>
  <c r="U31" i="106"/>
  <c r="G54" i="108" a="1"/>
  <c r="G54" i="108" s="1"/>
  <c r="I54" i="108" s="1" a="1"/>
  <c r="I54" i="108" s="1"/>
  <c r="G45" i="108" a="1"/>
  <c r="G45" i="108" s="1"/>
  <c r="I45" i="108" s="1" a="1"/>
  <c r="I45" i="108" s="1"/>
  <c r="G44" i="108" a="1"/>
  <c r="G44" i="108" s="1"/>
  <c r="I44" i="108" s="1" a="1"/>
  <c r="I44" i="108" s="1"/>
  <c r="G34" i="108" a="1"/>
  <c r="G34" i="108" s="1"/>
  <c r="I34" i="108" s="1" a="1"/>
  <c r="I34" i="108" s="1"/>
  <c r="G24" i="108" a="1"/>
  <c r="G24" i="108" s="1"/>
  <c r="I24" i="108" s="1" a="1"/>
  <c r="I24" i="108" s="1"/>
  <c r="G23" i="108" a="1"/>
  <c r="G23" i="108" s="1"/>
  <c r="G14" i="108" a="1"/>
  <c r="G14" i="108" s="1"/>
  <c r="G13" i="108" a="1"/>
  <c r="G13" i="108" s="1"/>
  <c r="I13" i="108" s="1" a="1"/>
  <c r="I13" i="108" s="1"/>
  <c r="G78" i="108" a="1"/>
  <c r="G78" i="108" s="1"/>
  <c r="I78" i="108" s="1" a="1"/>
  <c r="I78" i="108" s="1"/>
  <c r="G65" i="108" a="1"/>
  <c r="G65" i="108" s="1"/>
  <c r="I65" i="108" s="1" a="1"/>
  <c r="I65" i="108" s="1"/>
  <c r="G55" i="108" a="1"/>
  <c r="G55" i="108" s="1"/>
  <c r="I55" i="108" s="1" a="1"/>
  <c r="I55" i="108" s="1"/>
  <c r="O34" i="106" a="1"/>
  <c r="O34" i="106" s="1"/>
  <c r="Q34" i="106" s="1" a="1"/>
  <c r="Q34" i="106" s="1"/>
  <c r="H33" i="108" s="1" a="1"/>
  <c r="H33" i="108" s="1"/>
  <c r="G33" i="108" a="1"/>
  <c r="G33" i="108" s="1"/>
  <c r="G59" i="108" a="1"/>
  <c r="G59" i="108" s="1"/>
  <c r="I59" i="108" s="1" a="1"/>
  <c r="I59" i="108" s="1"/>
  <c r="G49" i="108" a="1"/>
  <c r="G49" i="108" s="1"/>
  <c r="G39" i="108" a="1"/>
  <c r="G39" i="108" s="1"/>
  <c r="G28" i="108" a="1"/>
  <c r="G28" i="108" s="1"/>
  <c r="I28" i="108" s="1" a="1"/>
  <c r="I28" i="108" s="1"/>
  <c r="G18" i="108" a="1"/>
  <c r="G18" i="108" s="1"/>
  <c r="G8" i="108" a="1"/>
  <c r="G8" i="108" s="1"/>
  <c r="I8" i="108" s="1" a="1"/>
  <c r="I8" i="108" s="1"/>
  <c r="G72" i="108" a="1"/>
  <c r="G72" i="108" s="1"/>
  <c r="I72" i="108" s="1" a="1"/>
  <c r="I72" i="108" s="1"/>
  <c r="G58" i="108" a="1"/>
  <c r="G58" i="108" s="1"/>
  <c r="I58" i="108" s="1" a="1"/>
  <c r="I58" i="108" s="1"/>
  <c r="G48" i="108" a="1"/>
  <c r="G48" i="108" s="1"/>
  <c r="I48" i="108" s="1" a="1"/>
  <c r="I48" i="108" s="1"/>
  <c r="G38" i="108" a="1"/>
  <c r="G38" i="108" s="1"/>
  <c r="I38" i="108" s="1" a="1"/>
  <c r="I38" i="108" s="1"/>
  <c r="G17" i="108" a="1"/>
  <c r="G17" i="108" s="1"/>
  <c r="I17" i="108" s="1" a="1"/>
  <c r="I17" i="108" s="1"/>
  <c r="G7" i="108" a="1"/>
  <c r="G7" i="108" s="1"/>
  <c r="G47" i="108" a="1"/>
  <c r="G47" i="108" s="1"/>
  <c r="I47" i="108" s="1" a="1"/>
  <c r="I47" i="108" s="1"/>
  <c r="G37" i="108" a="1"/>
  <c r="G37" i="108" s="1"/>
  <c r="I37" i="108" s="1" a="1"/>
  <c r="I37" i="108" s="1"/>
  <c r="G27" i="108" a="1"/>
  <c r="G27" i="108" s="1"/>
  <c r="G16" i="108" a="1"/>
  <c r="G16" i="108" s="1"/>
  <c r="G6" i="108" a="1"/>
  <c r="G6" i="108" s="1"/>
  <c r="G71" i="108" a="1"/>
  <c r="G71" i="108" s="1"/>
  <c r="I71" i="108" s="1" a="1"/>
  <c r="I71" i="108" s="1"/>
  <c r="Y67" i="106"/>
  <c r="G57" i="108" a="1"/>
  <c r="G57" i="108" s="1"/>
  <c r="I57" i="108" s="1" a="1"/>
  <c r="I57" i="108" s="1"/>
  <c r="G46" i="108" a="1"/>
  <c r="G46" i="108" s="1"/>
  <c r="I46" i="108" s="1" a="1"/>
  <c r="I46" i="108" s="1"/>
  <c r="G36" i="108" a="1"/>
  <c r="G36" i="108" s="1"/>
  <c r="I36" i="108" s="1" a="1"/>
  <c r="I36" i="108" s="1"/>
  <c r="G26" i="108" a="1"/>
  <c r="G26" i="108" s="1"/>
  <c r="G5" i="108" a="1"/>
  <c r="G5" i="108" s="1"/>
  <c r="I5" i="108" s="1" a="1"/>
  <c r="I5" i="108" s="1"/>
  <c r="G70" i="108" a="1"/>
  <c r="G70" i="108" s="1"/>
  <c r="I70" i="108" s="1" a="1"/>
  <c r="I70" i="108" s="1"/>
  <c r="G3" i="108" a="1"/>
  <c r="G3" i="108" s="1"/>
  <c r="G56" i="108" a="1"/>
  <c r="G56" i="108" s="1"/>
  <c r="G35" i="108" a="1"/>
  <c r="G35" i="108" s="1"/>
  <c r="I35" i="108" s="1" a="1"/>
  <c r="I35" i="108" s="1"/>
  <c r="G25" i="108" a="1"/>
  <c r="G25" i="108" s="1"/>
  <c r="I25" i="108" s="1" a="1"/>
  <c r="I25" i="108" s="1"/>
  <c r="G15" i="108" a="1"/>
  <c r="G15" i="108" s="1"/>
  <c r="G4" i="108" a="1"/>
  <c r="G4" i="108" s="1"/>
  <c r="G69" i="108" a="1"/>
  <c r="G69" i="108" s="1"/>
  <c r="I69" i="108" s="1" a="1"/>
  <c r="I69" i="108" s="1"/>
  <c r="G68" i="108" a="1"/>
  <c r="G68" i="108" s="1"/>
  <c r="I68" i="108" s="1" a="1"/>
  <c r="I68" i="108" s="1"/>
  <c r="Y74" i="106"/>
  <c r="G64" i="108" a="1"/>
  <c r="G64" i="108" s="1"/>
  <c r="I64" i="108" s="1" a="1"/>
  <c r="I64" i="108" s="1"/>
  <c r="G67" i="108" a="1"/>
  <c r="G67" i="108" s="1"/>
  <c r="I67" i="108" s="1" a="1"/>
  <c r="I67" i="108" s="1"/>
  <c r="U51" i="106"/>
  <c r="G53" i="108" a="1"/>
  <c r="G53" i="108" s="1"/>
  <c r="G43" i="108" a="1"/>
  <c r="G43" i="108" s="1"/>
  <c r="I43" i="108" s="1" a="1"/>
  <c r="I43" i="108" s="1"/>
  <c r="G22" i="108" a="1"/>
  <c r="G22" i="108" s="1"/>
  <c r="I22" i="108" s="1" a="1"/>
  <c r="I22" i="108" s="1"/>
  <c r="G12" i="108" a="1"/>
  <c r="G12" i="108" s="1"/>
  <c r="G77" i="108" a="1"/>
  <c r="G77" i="108" s="1"/>
  <c r="I77" i="108" s="1" a="1"/>
  <c r="I77" i="108" s="1"/>
  <c r="G66" i="108" a="1"/>
  <c r="G66" i="108" s="1"/>
  <c r="I66" i="108" s="1" a="1"/>
  <c r="I66" i="108" s="1"/>
  <c r="G63" i="108" a="1"/>
  <c r="G63" i="108" s="1"/>
  <c r="G52" i="108" a="1"/>
  <c r="G52" i="108" s="1"/>
  <c r="G42" i="108" a="1"/>
  <c r="G42" i="108" s="1"/>
  <c r="G32" i="108" a="1"/>
  <c r="G32" i="108" s="1"/>
  <c r="I32" i="108" s="1" a="1"/>
  <c r="I32" i="108" s="1"/>
  <c r="G11" i="108" a="1"/>
  <c r="G11" i="108" s="1"/>
  <c r="I11" i="108" s="1" a="1"/>
  <c r="I11" i="108" s="1"/>
  <c r="G76" i="108" a="1"/>
  <c r="G76" i="108" s="1"/>
  <c r="I76" i="108" s="1" a="1"/>
  <c r="I76" i="108" s="1"/>
  <c r="G62" i="108" a="1"/>
  <c r="G62" i="108" s="1"/>
  <c r="G41" i="108" a="1"/>
  <c r="G41" i="108" s="1"/>
  <c r="G31" i="108" a="1"/>
  <c r="G31" i="108" s="1"/>
  <c r="I31" i="108" s="1" a="1"/>
  <c r="I31" i="108" s="1"/>
  <c r="G21" i="108" a="1"/>
  <c r="G21" i="108" s="1"/>
  <c r="I21" i="108" s="1" a="1"/>
  <c r="I21" i="108" s="1"/>
  <c r="G10" i="108" a="1"/>
  <c r="G10" i="108" s="1"/>
  <c r="G75" i="108" a="1"/>
  <c r="G75" i="108" s="1"/>
  <c r="I75" i="108" s="1" a="1"/>
  <c r="I75" i="108" s="1"/>
  <c r="G61" i="108" a="1"/>
  <c r="G61" i="108" s="1"/>
  <c r="I61" i="108" s="1" a="1"/>
  <c r="I61" i="108" s="1"/>
  <c r="G51" i="108" a="1"/>
  <c r="G51" i="108" s="1"/>
  <c r="I51" i="108" s="1" a="1"/>
  <c r="I51" i="108" s="1"/>
  <c r="G40" i="108" a="1"/>
  <c r="G40" i="108" s="1"/>
  <c r="G30" i="108" a="1"/>
  <c r="G30" i="108" s="1"/>
  <c r="I30" i="108" s="1" a="1"/>
  <c r="I30" i="108" s="1"/>
  <c r="G20" i="108" a="1"/>
  <c r="G20" i="108" s="1"/>
  <c r="I20" i="108" s="1" a="1"/>
  <c r="I20" i="108" s="1"/>
  <c r="G74" i="108" a="1"/>
  <c r="G74" i="108" s="1"/>
  <c r="I74" i="108" s="1" a="1"/>
  <c r="I74" i="108" s="1"/>
  <c r="G60" i="108" a="1"/>
  <c r="G60" i="108" s="1"/>
  <c r="G50" i="108" a="1"/>
  <c r="G50" i="108" s="1"/>
  <c r="G29" i="108" a="1"/>
  <c r="G29" i="108" s="1"/>
  <c r="I29" i="108" s="1" a="1"/>
  <c r="I29" i="108" s="1"/>
  <c r="G19" i="108" a="1"/>
  <c r="G19" i="108" s="1"/>
  <c r="G9" i="108" a="1"/>
  <c r="G9" i="108" s="1"/>
  <c r="G73" i="108" a="1"/>
  <c r="G73" i="108" s="1"/>
  <c r="I73" i="108" s="1" a="1"/>
  <c r="I73" i="108" s="1"/>
  <c r="U62" i="106"/>
  <c r="Y73" i="106"/>
  <c r="Y69" i="106"/>
  <c r="Y76" i="106"/>
  <c r="Y79" i="106"/>
  <c r="U79" i="106"/>
  <c r="W79" i="106" s="1" a="1"/>
  <c r="W79" i="106" s="1"/>
  <c r="X79" i="106" s="1"/>
  <c r="U67" i="106"/>
  <c r="W67" i="106" s="1" a="1"/>
  <c r="W67" i="106" s="1"/>
  <c r="X67" i="106" s="1"/>
  <c r="Q15" i="106" a="1"/>
  <c r="Q15" i="106" s="1"/>
  <c r="H14" i="108" s="1" a="1"/>
  <c r="H14" i="108" s="1"/>
  <c r="U22" i="106"/>
  <c r="Y72" i="106"/>
  <c r="Q8" i="106" a="1"/>
  <c r="Q8" i="106" s="1"/>
  <c r="H7" i="108" s="1" a="1"/>
  <c r="H7" i="108" s="1"/>
  <c r="U38" i="106"/>
  <c r="U21" i="106"/>
  <c r="U44" i="106"/>
  <c r="Q24" i="106" a="1"/>
  <c r="Q24" i="106" s="1"/>
  <c r="H23" i="108" s="1" a="1"/>
  <c r="H23" i="108" s="1"/>
  <c r="U9" i="106"/>
  <c r="Y75" i="106"/>
  <c r="Y71" i="106"/>
  <c r="Q75" i="106" a="1"/>
  <c r="Q75" i="106" s="1"/>
  <c r="H74" i="108" s="1" a="1"/>
  <c r="H74" i="108" s="1"/>
  <c r="Q65" i="106" a="1"/>
  <c r="Q65" i="106" s="1"/>
  <c r="H64" i="108" s="1" a="1"/>
  <c r="H64" i="108" s="1"/>
  <c r="Q64" i="106" a="1"/>
  <c r="Q64" i="106" s="1"/>
  <c r="H63" i="108" s="1" a="1"/>
  <c r="H63" i="108" s="1"/>
  <c r="V72" i="106"/>
  <c r="Q57" i="106" a="1"/>
  <c r="Q57" i="106" s="1"/>
  <c r="H56" i="108" s="1" a="1"/>
  <c r="H56" i="108" s="1"/>
  <c r="U45" i="106"/>
  <c r="Q40" i="106" a="1"/>
  <c r="Q40" i="106" s="1"/>
  <c r="H39" i="108" s="1" a="1"/>
  <c r="H39" i="108" s="1"/>
  <c r="Q31" i="106" a="1"/>
  <c r="Q31" i="106" s="1"/>
  <c r="H30" i="108" s="1" a="1"/>
  <c r="H30" i="108" s="1"/>
  <c r="U52" i="106"/>
  <c r="U25" i="106"/>
  <c r="U77" i="106"/>
  <c r="W77" i="106" s="1" a="1"/>
  <c r="W77" i="106" s="1"/>
  <c r="X77" i="106" s="1"/>
  <c r="Q13" i="106" a="1"/>
  <c r="Q13" i="106" s="1"/>
  <c r="H12" i="108" s="1" a="1"/>
  <c r="H12" i="108" s="1"/>
  <c r="Q61" i="106" a="1"/>
  <c r="Q61" i="106" s="1"/>
  <c r="H60" i="108" s="1" a="1"/>
  <c r="H60" i="108" s="1"/>
  <c r="U35" i="106"/>
  <c r="V67" i="106"/>
  <c r="U75" i="106"/>
  <c r="W75" i="106" s="1" a="1"/>
  <c r="W75" i="106" s="1"/>
  <c r="X75" i="106" s="1"/>
  <c r="U74" i="106"/>
  <c r="W74" i="106" s="1" a="1"/>
  <c r="W74" i="106" s="1"/>
  <c r="X74" i="106" s="1"/>
  <c r="Q27" i="106" a="1"/>
  <c r="Q27" i="106" s="1"/>
  <c r="H26" i="108" s="1" a="1"/>
  <c r="H26" i="108" s="1"/>
  <c r="Q54" i="106" a="1"/>
  <c r="Q54" i="106" s="1"/>
  <c r="H53" i="108" s="1" a="1"/>
  <c r="H53" i="108" s="1"/>
  <c r="U49" i="106"/>
  <c r="U18" i="106"/>
  <c r="Q79" i="106" a="1"/>
  <c r="Q79" i="106" s="1"/>
  <c r="H78" i="108" s="1" a="1"/>
  <c r="H78" i="108" s="1"/>
  <c r="Q53" i="106" a="1"/>
  <c r="Q53" i="106" s="1"/>
  <c r="H52" i="108" s="1" a="1"/>
  <c r="H52" i="108" s="1"/>
  <c r="U14" i="106"/>
  <c r="U55" i="106"/>
  <c r="U32" i="106"/>
  <c r="Y70" i="106"/>
  <c r="Q77" i="106" a="1"/>
  <c r="Q77" i="106" s="1"/>
  <c r="H76" i="108" s="1" a="1"/>
  <c r="H76" i="108" s="1"/>
  <c r="Y77" i="106"/>
  <c r="U37" i="106"/>
  <c r="U12" i="106"/>
  <c r="U36" i="106"/>
  <c r="U29" i="106"/>
  <c r="Q71" i="106" a="1"/>
  <c r="Q71" i="106" s="1"/>
  <c r="H70" i="108" s="1" a="1"/>
  <c r="H70" i="108" s="1"/>
  <c r="U33" i="106"/>
  <c r="U6" i="106"/>
  <c r="U39" i="106"/>
  <c r="Q67" i="106" a="1"/>
  <c r="Q67" i="106" s="1"/>
  <c r="H66" i="108" s="1" a="1"/>
  <c r="H66" i="108" s="1"/>
  <c r="Q35" i="106" a="1"/>
  <c r="Q35" i="106" s="1"/>
  <c r="H34" i="108" s="1" a="1"/>
  <c r="H34" i="108" s="1"/>
  <c r="U30" i="106"/>
  <c r="V79" i="106"/>
  <c r="U26" i="106"/>
  <c r="Y68" i="106"/>
  <c r="Y78" i="106"/>
  <c r="U10" i="106"/>
  <c r="Q10" i="106" a="1"/>
  <c r="Q10" i="106" s="1"/>
  <c r="H9" i="108" s="1" a="1"/>
  <c r="H9" i="108" s="1"/>
  <c r="U50" i="106"/>
  <c r="Q50" i="106" a="1"/>
  <c r="Q50" i="106" s="1"/>
  <c r="H49" i="108" s="1" a="1"/>
  <c r="H49" i="108" s="1"/>
  <c r="Q11" i="106" a="1"/>
  <c r="Q11" i="106" s="1"/>
  <c r="H10" i="108" s="1" a="1"/>
  <c r="H10" i="108" s="1"/>
  <c r="Q20" i="106" a="1"/>
  <c r="Q20" i="106" s="1"/>
  <c r="H19" i="108" s="1" a="1"/>
  <c r="H19" i="108" s="1"/>
  <c r="Q44" i="106" a="1"/>
  <c r="Q44" i="106" s="1"/>
  <c r="H43" i="108" s="1" a="1"/>
  <c r="H43" i="108" s="1"/>
  <c r="U73" i="106"/>
  <c r="W73" i="106" s="1" a="1"/>
  <c r="W73" i="106" s="1"/>
  <c r="X73" i="106" s="1"/>
  <c r="V76" i="106"/>
  <c r="Q19" i="106" a="1"/>
  <c r="Q19" i="106" s="1"/>
  <c r="H18" i="108" s="1" a="1"/>
  <c r="H18" i="108" s="1"/>
  <c r="Q74" i="106" a="1"/>
  <c r="Q74" i="106" s="1"/>
  <c r="H73" i="108" s="1" a="1"/>
  <c r="H73" i="108" s="1"/>
  <c r="Q43" i="106" a="1"/>
  <c r="Q43" i="106" s="1"/>
  <c r="H42" i="108" s="1" a="1"/>
  <c r="H42" i="108" s="1"/>
  <c r="U72" i="106"/>
  <c r="W72" i="106" s="1" a="1"/>
  <c r="W72" i="106" s="1"/>
  <c r="X72" i="106" s="1"/>
  <c r="U60" i="106"/>
  <c r="U48" i="106"/>
  <c r="Q73" i="106" a="1"/>
  <c r="Q73" i="106" s="1"/>
  <c r="H72" i="108" s="1" a="1"/>
  <c r="H72" i="108" s="1"/>
  <c r="Q63" i="106" a="1"/>
  <c r="Q63" i="106" s="1"/>
  <c r="H62" i="108" s="1" a="1"/>
  <c r="H62" i="108" s="1"/>
  <c r="Q42" i="106" a="1"/>
  <c r="Q42" i="106" s="1"/>
  <c r="H41" i="108" s="1" a="1"/>
  <c r="H41" i="108" s="1"/>
  <c r="U71" i="106"/>
  <c r="W71" i="106" s="1" a="1"/>
  <c r="W71" i="106" s="1"/>
  <c r="X71" i="106" s="1"/>
  <c r="U59" i="106"/>
  <c r="U47" i="106"/>
  <c r="U23" i="106"/>
  <c r="V74" i="106"/>
  <c r="Q17" i="106" a="1"/>
  <c r="Q17" i="106" s="1"/>
  <c r="H16" i="108" s="1" a="1"/>
  <c r="H16" i="108" s="1"/>
  <c r="Q41" i="106" a="1"/>
  <c r="Q41" i="106" s="1"/>
  <c r="H40" i="108" s="1" a="1"/>
  <c r="H40" i="108" s="1"/>
  <c r="Q32" i="106" a="1"/>
  <c r="Q32" i="106" s="1"/>
  <c r="H31" i="108" s="1" a="1"/>
  <c r="H31" i="108" s="1"/>
  <c r="U70" i="106"/>
  <c r="W70" i="106" s="1" a="1"/>
  <c r="W70" i="106" s="1"/>
  <c r="X70" i="106" s="1"/>
  <c r="U58" i="106"/>
  <c r="U46" i="106"/>
  <c r="Q51" i="106" a="1"/>
  <c r="Q51" i="106" s="1"/>
  <c r="H50" i="108" s="1" a="1"/>
  <c r="H50" i="108" s="1"/>
  <c r="U69" i="106"/>
  <c r="W69" i="106" s="1" a="1"/>
  <c r="W69" i="106" s="1"/>
  <c r="X69" i="106" s="1"/>
  <c r="Q5" i="106" a="1"/>
  <c r="Q5" i="106" s="1"/>
  <c r="H4" i="108" s="1" a="1"/>
  <c r="H4" i="108" s="1"/>
  <c r="Q7" i="106" a="1"/>
  <c r="Q7" i="106" s="1"/>
  <c r="H6" i="108" s="1" a="1"/>
  <c r="H6" i="108" s="1"/>
  <c r="Q70" i="106" a="1"/>
  <c r="Q70" i="106" s="1"/>
  <c r="H69" i="108" s="1" a="1"/>
  <c r="H69" i="108" s="1"/>
  <c r="U68" i="106"/>
  <c r="W68" i="106" s="1" a="1"/>
  <c r="W68" i="106" s="1"/>
  <c r="X68" i="106" s="1"/>
  <c r="U56" i="106"/>
  <c r="Q16" i="106" a="1"/>
  <c r="Q16" i="106" s="1"/>
  <c r="H15" i="108" s="1" a="1"/>
  <c r="H15" i="108" s="1"/>
  <c r="Q39" i="106" a="1"/>
  <c r="Q39" i="106" s="1"/>
  <c r="H38" i="108" s="1" a="1"/>
  <c r="H38" i="108" s="1"/>
  <c r="Q69" i="106" a="1"/>
  <c r="Q69" i="106" s="1"/>
  <c r="H68" i="108" s="1" a="1"/>
  <c r="H68" i="108" s="1"/>
  <c r="U78" i="106"/>
  <c r="W78" i="106" s="1" a="1"/>
  <c r="W78" i="106" s="1"/>
  <c r="X78" i="106" s="1"/>
  <c r="U66" i="106"/>
  <c r="Q78" i="106" a="1"/>
  <c r="Q78" i="106" s="1"/>
  <c r="H77" i="108" s="1" a="1"/>
  <c r="H77" i="108" s="1"/>
  <c r="Q68" i="106" a="1"/>
  <c r="Q68" i="106" s="1"/>
  <c r="H67" i="108" s="1" a="1"/>
  <c r="H67" i="108" s="1"/>
  <c r="Q28" i="106" a="1"/>
  <c r="Q28" i="106" s="1"/>
  <c r="H27" i="108" s="1" a="1"/>
  <c r="H27" i="108" s="1"/>
  <c r="U76" i="106"/>
  <c r="W76" i="106" s="1" a="1"/>
  <c r="W76" i="106" s="1"/>
  <c r="X76" i="106" s="1"/>
  <c r="C5" i="106"/>
  <c r="C6" i="106"/>
  <c r="C7" i="106"/>
  <c r="C8" i="106"/>
  <c r="C9" i="106"/>
  <c r="C10" i="106"/>
  <c r="C11" i="106"/>
  <c r="C12" i="106"/>
  <c r="C13" i="106"/>
  <c r="C14" i="106"/>
  <c r="C15" i="106"/>
  <c r="C16" i="106"/>
  <c r="C17" i="106"/>
  <c r="C18" i="106"/>
  <c r="C19" i="106"/>
  <c r="C20" i="106"/>
  <c r="C21" i="106"/>
  <c r="C22" i="106"/>
  <c r="C23" i="106"/>
  <c r="C24" i="106"/>
  <c r="C25" i="106"/>
  <c r="C26" i="106"/>
  <c r="C27" i="106"/>
  <c r="C28" i="106"/>
  <c r="C29" i="106"/>
  <c r="C30" i="106"/>
  <c r="C31" i="106"/>
  <c r="C32" i="106"/>
  <c r="C33" i="106"/>
  <c r="C34" i="106"/>
  <c r="C35" i="106"/>
  <c r="C36" i="106"/>
  <c r="C37" i="106"/>
  <c r="C38" i="106"/>
  <c r="C39" i="106"/>
  <c r="C40" i="106"/>
  <c r="C41" i="106"/>
  <c r="C42" i="106"/>
  <c r="C43" i="106"/>
  <c r="C44" i="106"/>
  <c r="C45" i="106"/>
  <c r="C46" i="106"/>
  <c r="C47" i="106"/>
  <c r="C48" i="106"/>
  <c r="C49" i="106"/>
  <c r="C50" i="106"/>
  <c r="C51" i="106"/>
  <c r="C52" i="106"/>
  <c r="C53" i="106"/>
  <c r="C54" i="106"/>
  <c r="C55" i="106"/>
  <c r="C56" i="106"/>
  <c r="C57" i="106"/>
  <c r="C58" i="106"/>
  <c r="C59" i="106"/>
  <c r="C60" i="106"/>
  <c r="C61" i="106"/>
  <c r="C62" i="106"/>
  <c r="C63" i="106"/>
  <c r="C64" i="106"/>
  <c r="C65" i="106"/>
  <c r="C66" i="106"/>
  <c r="C67" i="106"/>
  <c r="C68" i="106"/>
  <c r="C69" i="106"/>
  <c r="C70" i="106"/>
  <c r="C71" i="106"/>
  <c r="C72" i="106"/>
  <c r="C73" i="106"/>
  <c r="C74" i="106"/>
  <c r="C75" i="106"/>
  <c r="C76" i="106"/>
  <c r="C77" i="106"/>
  <c r="C78" i="106"/>
  <c r="C79" i="106"/>
  <c r="C4" i="106"/>
  <c r="B8" i="112"/>
  <c r="B9" i="112"/>
  <c r="B10" i="112"/>
  <c r="B11" i="112"/>
  <c r="B12" i="112"/>
  <c r="B13" i="112"/>
  <c r="B14" i="112"/>
  <c r="B15" i="112"/>
  <c r="B16" i="112"/>
  <c r="B17" i="112"/>
  <c r="B18" i="112"/>
  <c r="B19" i="112"/>
  <c r="B20" i="112"/>
  <c r="B21" i="112"/>
  <c r="B22" i="112"/>
  <c r="B23" i="112"/>
  <c r="B24" i="112"/>
  <c r="B25" i="112"/>
  <c r="B26" i="112"/>
  <c r="B27" i="112"/>
  <c r="B28" i="112"/>
  <c r="B29" i="112"/>
  <c r="B30" i="112"/>
  <c r="B31" i="112"/>
  <c r="B32" i="112"/>
  <c r="B33" i="112"/>
  <c r="B34" i="112"/>
  <c r="B35" i="112"/>
  <c r="B36" i="112"/>
  <c r="B37" i="112"/>
  <c r="B38" i="112"/>
  <c r="B39" i="112"/>
  <c r="B40" i="112"/>
  <c r="B41" i="112"/>
  <c r="B42" i="112"/>
  <c r="B43" i="112"/>
  <c r="B44" i="112"/>
  <c r="B45" i="112"/>
  <c r="B46" i="112"/>
  <c r="B47" i="112"/>
  <c r="B48" i="112"/>
  <c r="B49" i="112"/>
  <c r="B50" i="112"/>
  <c r="B51" i="112"/>
  <c r="B52" i="112"/>
  <c r="B53" i="112"/>
  <c r="B54" i="112"/>
  <c r="B55" i="112"/>
  <c r="B56" i="112"/>
  <c r="B57" i="112"/>
  <c r="B58" i="112"/>
  <c r="B59" i="112"/>
  <c r="B60" i="112"/>
  <c r="B61" i="112"/>
  <c r="B62" i="112"/>
  <c r="B63" i="112"/>
  <c r="B64" i="112"/>
  <c r="B65" i="112"/>
  <c r="B66" i="112"/>
  <c r="B67" i="112"/>
  <c r="B68" i="112"/>
  <c r="B69" i="112"/>
  <c r="B70" i="112"/>
  <c r="B71" i="112"/>
  <c r="B72" i="112"/>
  <c r="B73" i="112"/>
  <c r="B74" i="112"/>
  <c r="B75" i="112"/>
  <c r="B76" i="112"/>
  <c r="B77" i="112"/>
  <c r="B78" i="112"/>
  <c r="B79" i="112"/>
  <c r="B80" i="112"/>
  <c r="B81" i="112"/>
  <c r="B82" i="112"/>
  <c r="B7" i="112"/>
  <c r="M1" i="112"/>
  <c r="Q7" i="112" l="1"/>
  <c r="Q49" i="112"/>
  <c r="Q15" i="112"/>
  <c r="Q27" i="112"/>
  <c r="Q51" i="112"/>
  <c r="Q28" i="112"/>
  <c r="Q40" i="112"/>
  <c r="Q64" i="112"/>
  <c r="Q76" i="112"/>
  <c r="Q29" i="112"/>
  <c r="Q77" i="112"/>
  <c r="Q21" i="112"/>
  <c r="Q45" i="112"/>
  <c r="Q10" i="112"/>
  <c r="Q34" i="112"/>
  <c r="Q60" i="112"/>
  <c r="Q16" i="112"/>
  <c r="Q72" i="112"/>
  <c r="Q37" i="112"/>
  <c r="Q38" i="112"/>
  <c r="Q18" i="112"/>
  <c r="Q54" i="112"/>
  <c r="Q66" i="112"/>
  <c r="Q19" i="112"/>
  <c r="Q67" i="112"/>
  <c r="Q8" i="112"/>
  <c r="Q20" i="112"/>
  <c r="Q32" i="112"/>
  <c r="Q44" i="112"/>
  <c r="Q33" i="112"/>
  <c r="Q22" i="112"/>
  <c r="Q59" i="112"/>
  <c r="Q48" i="112"/>
  <c r="Q61" i="112"/>
  <c r="Q14" i="112"/>
  <c r="I50" i="108" a="1"/>
  <c r="I50" i="108" s="1"/>
  <c r="AJ50" i="108" s="1" a="1"/>
  <c r="AJ50" i="108" s="1"/>
  <c r="I62" i="108" a="1"/>
  <c r="I62" i="108" s="1"/>
  <c r="I3" i="108" a="1"/>
  <c r="I3" i="108" s="1"/>
  <c r="AG68" i="106" a="1"/>
  <c r="AG68" i="106" s="1"/>
  <c r="AR68" i="106" a="1"/>
  <c r="AR68" i="106" s="1"/>
  <c r="BD68" i="106" a="1"/>
  <c r="BD68" i="106" s="1"/>
  <c r="BP68" i="106" a="1"/>
  <c r="BP68" i="106" s="1"/>
  <c r="CA68" i="106" a="1"/>
  <c r="CA68" i="106" s="1"/>
  <c r="AK68" i="106" a="1"/>
  <c r="AK68" i="106" s="1"/>
  <c r="AW68" i="106" a="1"/>
  <c r="AW68" i="106" s="1"/>
  <c r="BJ68" i="106" a="1"/>
  <c r="BJ68" i="106" s="1"/>
  <c r="BV68" i="106" a="1"/>
  <c r="BV68" i="106" s="1"/>
  <c r="AL68" i="106" a="1"/>
  <c r="AL68" i="106" s="1"/>
  <c r="AX68" i="106" a="1"/>
  <c r="AX68" i="106" s="1"/>
  <c r="BK68" i="106" a="1"/>
  <c r="BK68" i="106" s="1"/>
  <c r="BW68" i="106" a="1"/>
  <c r="BW68" i="106" s="1"/>
  <c r="AY68" i="106" a="1"/>
  <c r="AY68" i="106" s="1"/>
  <c r="BL68" i="106" a="1"/>
  <c r="BL68" i="106" s="1"/>
  <c r="BX68" i="106" a="1"/>
  <c r="BX68" i="106" s="1"/>
  <c r="AA68" i="106" a="1"/>
  <c r="AA68" i="106" s="1"/>
  <c r="AM68" i="106" a="1"/>
  <c r="AM68" i="106" s="1"/>
  <c r="AZ68" i="106" a="1"/>
  <c r="AZ68" i="106" s="1"/>
  <c r="BM68" i="106" a="1"/>
  <c r="BM68" i="106" s="1"/>
  <c r="BY68" i="106" a="1"/>
  <c r="BY68" i="106" s="1"/>
  <c r="AB68" i="106" a="1"/>
  <c r="AB68" i="106" s="1"/>
  <c r="AN68" i="106" a="1"/>
  <c r="AN68" i="106" s="1"/>
  <c r="BA68" i="106" a="1"/>
  <c r="BA68" i="106" s="1"/>
  <c r="BN68" i="106" a="1"/>
  <c r="BN68" i="106" s="1"/>
  <c r="BZ68" i="106" a="1"/>
  <c r="BZ68" i="106" s="1"/>
  <c r="AC68" i="106" a="1"/>
  <c r="AC68" i="106" s="1"/>
  <c r="AO68" i="106" a="1"/>
  <c r="AO68" i="106" s="1"/>
  <c r="BB68" i="106" a="1"/>
  <c r="BB68" i="106" s="1"/>
  <c r="BO68" i="106" a="1"/>
  <c r="BO68" i="106" s="1"/>
  <c r="AD68" i="106" a="1"/>
  <c r="AD68" i="106" s="1"/>
  <c r="AP68" i="106" a="1"/>
  <c r="AP68" i="106" s="1"/>
  <c r="BC68" i="106" a="1"/>
  <c r="BC68" i="106" s="1"/>
  <c r="BQ68" i="106" a="1"/>
  <c r="BQ68" i="106" s="1"/>
  <c r="AE68" i="106" a="1"/>
  <c r="AE68" i="106" s="1"/>
  <c r="AQ68" i="106" a="1"/>
  <c r="AQ68" i="106" s="1"/>
  <c r="BE68" i="106" a="1"/>
  <c r="BE68" i="106" s="1"/>
  <c r="BR68" i="106" a="1"/>
  <c r="BR68" i="106" s="1"/>
  <c r="AF68" i="106" a="1"/>
  <c r="AF68" i="106" s="1"/>
  <c r="AS68" i="106" a="1"/>
  <c r="AS68" i="106" s="1"/>
  <c r="BF68" i="106" a="1"/>
  <c r="BF68" i="106" s="1"/>
  <c r="BS68" i="106" a="1"/>
  <c r="BS68" i="106" s="1"/>
  <c r="AH68" i="106" a="1"/>
  <c r="AH68" i="106" s="1"/>
  <c r="AT68" i="106" a="1"/>
  <c r="AT68" i="106" s="1"/>
  <c r="BG68" i="106" a="1"/>
  <c r="BG68" i="106" s="1"/>
  <c r="BT68" i="106" a="1"/>
  <c r="BT68" i="106" s="1"/>
  <c r="AI68" i="106" a="1"/>
  <c r="AI68" i="106" s="1"/>
  <c r="AJ68" i="106" a="1"/>
  <c r="AJ68" i="106" s="1"/>
  <c r="AU68" i="106" a="1"/>
  <c r="AU68" i="106" s="1"/>
  <c r="AV68" i="106" a="1"/>
  <c r="AV68" i="106" s="1"/>
  <c r="BH68" i="106" a="1"/>
  <c r="BH68" i="106" s="1"/>
  <c r="BI68" i="106" a="1"/>
  <c r="BI68" i="106" s="1"/>
  <c r="BU68" i="106" a="1"/>
  <c r="BU68" i="106" s="1"/>
  <c r="Z68" i="106" a="1"/>
  <c r="Z68" i="106" s="1"/>
  <c r="AD76" i="106" a="1"/>
  <c r="AD76" i="106" s="1"/>
  <c r="AP76" i="106" a="1"/>
  <c r="AP76" i="106" s="1"/>
  <c r="BB76" i="106" a="1"/>
  <c r="BB76" i="106" s="1"/>
  <c r="BM76" i="106" a="1"/>
  <c r="BM76" i="106" s="1"/>
  <c r="BY76" i="106" a="1"/>
  <c r="BY76" i="106" s="1"/>
  <c r="AF76" i="106" a="1"/>
  <c r="AF76" i="106" s="1"/>
  <c r="AR76" i="106" a="1"/>
  <c r="AR76" i="106" s="1"/>
  <c r="BD76" i="106" a="1"/>
  <c r="BD76" i="106" s="1"/>
  <c r="BO76" i="106" a="1"/>
  <c r="BO76" i="106" s="1"/>
  <c r="CA76" i="106" a="1"/>
  <c r="CA76" i="106" s="1"/>
  <c r="AG76" i="106" a="1"/>
  <c r="AG76" i="106" s="1"/>
  <c r="AS76" i="106" a="1"/>
  <c r="AS76" i="106" s="1"/>
  <c r="BE76" i="106" a="1"/>
  <c r="BE76" i="106" s="1"/>
  <c r="BP76" i="106" a="1"/>
  <c r="BP76" i="106" s="1"/>
  <c r="AH76" i="106" a="1"/>
  <c r="AH76" i="106" s="1"/>
  <c r="AT76" i="106" a="1"/>
  <c r="AT76" i="106" s="1"/>
  <c r="BF76" i="106" a="1"/>
  <c r="BF76" i="106" s="1"/>
  <c r="BQ76" i="106" a="1"/>
  <c r="BQ76" i="106" s="1"/>
  <c r="AI76" i="106" a="1"/>
  <c r="AI76" i="106" s="1"/>
  <c r="AU76" i="106" a="1"/>
  <c r="AU76" i="106" s="1"/>
  <c r="BR76" i="106" a="1"/>
  <c r="BR76" i="106" s="1"/>
  <c r="AK76" i="106" a="1"/>
  <c r="AK76" i="106" s="1"/>
  <c r="AW76" i="106" a="1"/>
  <c r="AW76" i="106" s="1"/>
  <c r="BH76" i="106" a="1"/>
  <c r="BH76" i="106" s="1"/>
  <c r="BT76" i="106" a="1"/>
  <c r="BT76" i="106" s="1"/>
  <c r="AL76" i="106" a="1"/>
  <c r="AL76" i="106" s="1"/>
  <c r="BI76" i="106" a="1"/>
  <c r="BI76" i="106" s="1"/>
  <c r="AM76" i="106" a="1"/>
  <c r="AM76" i="106" s="1"/>
  <c r="BJ76" i="106" a="1"/>
  <c r="BJ76" i="106" s="1"/>
  <c r="AN76" i="106" a="1"/>
  <c r="AN76" i="106" s="1"/>
  <c r="BK76" i="106" a="1"/>
  <c r="BK76" i="106" s="1"/>
  <c r="AO76" i="106" a="1"/>
  <c r="AO76" i="106" s="1"/>
  <c r="BL76" i="106" a="1"/>
  <c r="BL76" i="106" s="1"/>
  <c r="Z76" i="106" a="1"/>
  <c r="Z76" i="106" s="1"/>
  <c r="AQ76" i="106" a="1"/>
  <c r="AQ76" i="106" s="1"/>
  <c r="BN76" i="106" a="1"/>
  <c r="BN76" i="106" s="1"/>
  <c r="AV76" i="106" a="1"/>
  <c r="AV76" i="106" s="1"/>
  <c r="BS76" i="106" a="1"/>
  <c r="BS76" i="106" s="1"/>
  <c r="AX76" i="106" a="1"/>
  <c r="AX76" i="106" s="1"/>
  <c r="BU76" i="106" a="1"/>
  <c r="BU76" i="106" s="1"/>
  <c r="AA76" i="106" a="1"/>
  <c r="AA76" i="106" s="1"/>
  <c r="AY76" i="106" a="1"/>
  <c r="AY76" i="106" s="1"/>
  <c r="BV76" i="106" a="1"/>
  <c r="BV76" i="106" s="1"/>
  <c r="AB76" i="106" a="1"/>
  <c r="AB76" i="106" s="1"/>
  <c r="AZ76" i="106" a="1"/>
  <c r="AZ76" i="106" s="1"/>
  <c r="BW76" i="106" a="1"/>
  <c r="BW76" i="106" s="1"/>
  <c r="AC76" i="106" a="1"/>
  <c r="AC76" i="106" s="1"/>
  <c r="BA76" i="106" a="1"/>
  <c r="BA76" i="106" s="1"/>
  <c r="BX76" i="106" a="1"/>
  <c r="BX76" i="106" s="1"/>
  <c r="AE76" i="106" a="1"/>
  <c r="AE76" i="106" s="1"/>
  <c r="BC76" i="106" a="1"/>
  <c r="BC76" i="106" s="1"/>
  <c r="BZ76" i="106" a="1"/>
  <c r="BZ76" i="106" s="1"/>
  <c r="AJ76" i="106" a="1"/>
  <c r="AJ76" i="106" s="1"/>
  <c r="BG76" i="106" a="1"/>
  <c r="BG76" i="106" s="1"/>
  <c r="AH74" i="106" a="1"/>
  <c r="AH74" i="106" s="1"/>
  <c r="AS74" i="106" a="1"/>
  <c r="AS74" i="106" s="1"/>
  <c r="BD74" i="106" a="1"/>
  <c r="BD74" i="106" s="1"/>
  <c r="BO74" i="106" a="1"/>
  <c r="BO74" i="106" s="1"/>
  <c r="AI74" i="106" a="1"/>
  <c r="AI74" i="106" s="1"/>
  <c r="AT74" i="106" a="1"/>
  <c r="AT74" i="106" s="1"/>
  <c r="BP74" i="106" a="1"/>
  <c r="BP74" i="106" s="1"/>
  <c r="CA74" i="106" a="1"/>
  <c r="CA74" i="106" s="1"/>
  <c r="AJ74" i="106" a="1"/>
  <c r="AJ74" i="106" s="1"/>
  <c r="AU74" i="106" a="1"/>
  <c r="AU74" i="106" s="1"/>
  <c r="BE74" i="106" a="1"/>
  <c r="BE74" i="106" s="1"/>
  <c r="BQ74" i="106" a="1"/>
  <c r="BQ74" i="106" s="1"/>
  <c r="AK74" i="106" a="1"/>
  <c r="AK74" i="106" s="1"/>
  <c r="AV74" i="106" a="1"/>
  <c r="AV74" i="106" s="1"/>
  <c r="BF74" i="106" a="1"/>
  <c r="BF74" i="106" s="1"/>
  <c r="BR74" i="106" a="1"/>
  <c r="BR74" i="106" s="1"/>
  <c r="AL74" i="106" a="1"/>
  <c r="AL74" i="106" s="1"/>
  <c r="AW74" i="106" a="1"/>
  <c r="AW74" i="106" s="1"/>
  <c r="BG74" i="106" a="1"/>
  <c r="BG74" i="106" s="1"/>
  <c r="BS74" i="106" a="1"/>
  <c r="BS74" i="106" s="1"/>
  <c r="AA74" i="106" a="1"/>
  <c r="AA74" i="106" s="1"/>
  <c r="AM74" i="106" a="1"/>
  <c r="AM74" i="106" s="1"/>
  <c r="AX74" i="106" a="1"/>
  <c r="AX74" i="106" s="1"/>
  <c r="BH74" i="106" a="1"/>
  <c r="BH74" i="106" s="1"/>
  <c r="BT74" i="106" a="1"/>
  <c r="BT74" i="106" s="1"/>
  <c r="AB74" i="106" a="1"/>
  <c r="AB74" i="106" s="1"/>
  <c r="AN74" i="106" a="1"/>
  <c r="AN74" i="106" s="1"/>
  <c r="AY74" i="106" a="1"/>
  <c r="AY74" i="106" s="1"/>
  <c r="BI74" i="106" a="1"/>
  <c r="BI74" i="106" s="1"/>
  <c r="BU74" i="106" a="1"/>
  <c r="BU74" i="106" s="1"/>
  <c r="AC74" i="106" a="1"/>
  <c r="AC74" i="106" s="1"/>
  <c r="AO74" i="106" a="1"/>
  <c r="AO74" i="106" s="1"/>
  <c r="AZ74" i="106" a="1"/>
  <c r="AZ74" i="106" s="1"/>
  <c r="BJ74" i="106" a="1"/>
  <c r="BJ74" i="106" s="1"/>
  <c r="BV74" i="106" a="1"/>
  <c r="BV74" i="106" s="1"/>
  <c r="AD74" i="106" a="1"/>
  <c r="AD74" i="106" s="1"/>
  <c r="AP74" i="106" a="1"/>
  <c r="AP74" i="106" s="1"/>
  <c r="BA74" i="106" a="1"/>
  <c r="BA74" i="106" s="1"/>
  <c r="BK74" i="106" a="1"/>
  <c r="BK74" i="106" s="1"/>
  <c r="BW74" i="106" a="1"/>
  <c r="BW74" i="106" s="1"/>
  <c r="AG74" i="106" a="1"/>
  <c r="AG74" i="106" s="1"/>
  <c r="BZ74" i="106" a="1"/>
  <c r="BZ74" i="106" s="1"/>
  <c r="AQ74" i="106" a="1"/>
  <c r="AQ74" i="106" s="1"/>
  <c r="AR74" i="106" a="1"/>
  <c r="AR74" i="106" s="1"/>
  <c r="Z74" i="106" a="1"/>
  <c r="Z74" i="106" s="1"/>
  <c r="BB74" i="106" a="1"/>
  <c r="BB74" i="106" s="1"/>
  <c r="BC74" i="106" a="1"/>
  <c r="BC74" i="106" s="1"/>
  <c r="BL74" i="106" a="1"/>
  <c r="BL74" i="106" s="1"/>
  <c r="BM74" i="106" a="1"/>
  <c r="BM74" i="106" s="1"/>
  <c r="BN74" i="106" a="1"/>
  <c r="BN74" i="106" s="1"/>
  <c r="AE74" i="106" a="1"/>
  <c r="AE74" i="106" s="1"/>
  <c r="BX74" i="106" a="1"/>
  <c r="BX74" i="106" s="1"/>
  <c r="AF74" i="106" a="1"/>
  <c r="AF74" i="106" s="1"/>
  <c r="BY74" i="106" a="1"/>
  <c r="BY74" i="106" s="1"/>
  <c r="AC73" i="106" a="1"/>
  <c r="AC73" i="106" s="1"/>
  <c r="AO73" i="106" a="1"/>
  <c r="AO73" i="106" s="1"/>
  <c r="AZ73" i="106" a="1"/>
  <c r="AZ73" i="106" s="1"/>
  <c r="AD73" i="106" a="1"/>
  <c r="AD73" i="106" s="1"/>
  <c r="AP73" i="106" a="1"/>
  <c r="AP73" i="106" s="1"/>
  <c r="BA73" i="106" a="1"/>
  <c r="BA73" i="106" s="1"/>
  <c r="BM73" i="106" a="1"/>
  <c r="BM73" i="106" s="1"/>
  <c r="BX73" i="106" a="1"/>
  <c r="BX73" i="106" s="1"/>
  <c r="AE73" i="106" a="1"/>
  <c r="AE73" i="106" s="1"/>
  <c r="AQ73" i="106" a="1"/>
  <c r="AQ73" i="106" s="1"/>
  <c r="BB73" i="106" a="1"/>
  <c r="BB73" i="106" s="1"/>
  <c r="BY73" i="106" a="1"/>
  <c r="BY73" i="106" s="1"/>
  <c r="AF73" i="106" a="1"/>
  <c r="AF73" i="106" s="1"/>
  <c r="BC73" i="106" a="1"/>
  <c r="BC73" i="106" s="1"/>
  <c r="BN73" i="106" a="1"/>
  <c r="BN73" i="106" s="1"/>
  <c r="AG73" i="106" a="1"/>
  <c r="AG73" i="106" s="1"/>
  <c r="AR73" i="106" a="1"/>
  <c r="AR73" i="106" s="1"/>
  <c r="BD73" i="106" a="1"/>
  <c r="BD73" i="106" s="1"/>
  <c r="BO73" i="106" a="1"/>
  <c r="BO73" i="106" s="1"/>
  <c r="BZ73" i="106" a="1"/>
  <c r="BZ73" i="106" s="1"/>
  <c r="AH73" i="106" a="1"/>
  <c r="AH73" i="106" s="1"/>
  <c r="AS73" i="106" a="1"/>
  <c r="AS73" i="106" s="1"/>
  <c r="BE73" i="106" a="1"/>
  <c r="BE73" i="106" s="1"/>
  <c r="BP73" i="106" a="1"/>
  <c r="BP73" i="106" s="1"/>
  <c r="CA73" i="106" a="1"/>
  <c r="CA73" i="106" s="1"/>
  <c r="AI73" i="106" a="1"/>
  <c r="AI73" i="106" s="1"/>
  <c r="AT73" i="106" a="1"/>
  <c r="AT73" i="106" s="1"/>
  <c r="BF73" i="106" a="1"/>
  <c r="BF73" i="106" s="1"/>
  <c r="BQ73" i="106" a="1"/>
  <c r="BQ73" i="106" s="1"/>
  <c r="AJ73" i="106" a="1"/>
  <c r="AJ73" i="106" s="1"/>
  <c r="AU73" i="106" a="1"/>
  <c r="AU73" i="106" s="1"/>
  <c r="BG73" i="106" a="1"/>
  <c r="BG73" i="106" s="1"/>
  <c r="BR73" i="106" a="1"/>
  <c r="BR73" i="106" s="1"/>
  <c r="AK73" i="106" a="1"/>
  <c r="AK73" i="106" s="1"/>
  <c r="AV73" i="106" a="1"/>
  <c r="AV73" i="106" s="1"/>
  <c r="BH73" i="106" a="1"/>
  <c r="BH73" i="106" s="1"/>
  <c r="BS73" i="106" a="1"/>
  <c r="BS73" i="106" s="1"/>
  <c r="AL73" i="106" a="1"/>
  <c r="AL73" i="106" s="1"/>
  <c r="AW73" i="106" a="1"/>
  <c r="AW73" i="106" s="1"/>
  <c r="BI73" i="106" a="1"/>
  <c r="BI73" i="106" s="1"/>
  <c r="BT73" i="106" a="1"/>
  <c r="BT73" i="106" s="1"/>
  <c r="AM73" i="106" a="1"/>
  <c r="AM73" i="106" s="1"/>
  <c r="AN73" i="106" a="1"/>
  <c r="AN73" i="106" s="1"/>
  <c r="AX73" i="106" a="1"/>
  <c r="AX73" i="106" s="1"/>
  <c r="AY73" i="106" a="1"/>
  <c r="AY73" i="106" s="1"/>
  <c r="BJ73" i="106" a="1"/>
  <c r="BJ73" i="106" s="1"/>
  <c r="BK73" i="106" a="1"/>
  <c r="BK73" i="106" s="1"/>
  <c r="BL73" i="106" a="1"/>
  <c r="BL73" i="106" s="1"/>
  <c r="Z73" i="106" a="1"/>
  <c r="Z73" i="106" s="1"/>
  <c r="BU73" i="106" a="1"/>
  <c r="BU73" i="106" s="1"/>
  <c r="BV73" i="106" a="1"/>
  <c r="BV73" i="106" s="1"/>
  <c r="BW73" i="106" a="1"/>
  <c r="BW73" i="106" s="1"/>
  <c r="AA73" i="106" a="1"/>
  <c r="AA73" i="106" s="1"/>
  <c r="AB73" i="106" a="1"/>
  <c r="AB73" i="106" s="1"/>
  <c r="AJ75" i="106" a="1"/>
  <c r="AJ75" i="106" s="1"/>
  <c r="AV75" i="106" a="1"/>
  <c r="AV75" i="106" s="1"/>
  <c r="BH75" i="106" a="1"/>
  <c r="BH75" i="106" s="1"/>
  <c r="BS75" i="106" a="1"/>
  <c r="BS75" i="106" s="1"/>
  <c r="AK75" i="106" a="1"/>
  <c r="AK75" i="106" s="1"/>
  <c r="AW75" i="106" a="1"/>
  <c r="AW75" i="106" s="1"/>
  <c r="BI75" i="106" a="1"/>
  <c r="BI75" i="106" s="1"/>
  <c r="AA75" i="106" a="1"/>
  <c r="AA75" i="106" s="1"/>
  <c r="AL75" i="106" a="1"/>
  <c r="AL75" i="106" s="1"/>
  <c r="AX75" i="106" a="1"/>
  <c r="AX75" i="106" s="1"/>
  <c r="BJ75" i="106" a="1"/>
  <c r="BJ75" i="106" s="1"/>
  <c r="BU75" i="106" a="1"/>
  <c r="BU75" i="106" s="1"/>
  <c r="AB75" i="106" a="1"/>
  <c r="AB75" i="106" s="1"/>
  <c r="AM75" i="106" a="1"/>
  <c r="AM75" i="106" s="1"/>
  <c r="AY75" i="106" a="1"/>
  <c r="AY75" i="106" s="1"/>
  <c r="BK75" i="106" a="1"/>
  <c r="BK75" i="106" s="1"/>
  <c r="BV75" i="106" a="1"/>
  <c r="BV75" i="106" s="1"/>
  <c r="AC75" i="106" a="1"/>
  <c r="AC75" i="106" s="1"/>
  <c r="AN75" i="106" a="1"/>
  <c r="AN75" i="106" s="1"/>
  <c r="AZ75" i="106" a="1"/>
  <c r="AZ75" i="106" s="1"/>
  <c r="BL75" i="106" a="1"/>
  <c r="BL75" i="106" s="1"/>
  <c r="BW75" i="106" a="1"/>
  <c r="BW75" i="106" s="1"/>
  <c r="AD75" i="106" a="1"/>
  <c r="AD75" i="106" s="1"/>
  <c r="AO75" i="106" a="1"/>
  <c r="AO75" i="106" s="1"/>
  <c r="BA75" i="106" a="1"/>
  <c r="BA75" i="106" s="1"/>
  <c r="BM75" i="106" a="1"/>
  <c r="BM75" i="106" s="1"/>
  <c r="BX75" i="106" a="1"/>
  <c r="BX75" i="106" s="1"/>
  <c r="AF75" i="106" a="1"/>
  <c r="AF75" i="106" s="1"/>
  <c r="AQ75" i="106" a="1"/>
  <c r="AQ75" i="106" s="1"/>
  <c r="BC75" i="106" a="1"/>
  <c r="BC75" i="106" s="1"/>
  <c r="BO75" i="106" a="1"/>
  <c r="BO75" i="106" s="1"/>
  <c r="BZ75" i="106" a="1"/>
  <c r="BZ75" i="106" s="1"/>
  <c r="AR75" i="106" a="1"/>
  <c r="AR75" i="106" s="1"/>
  <c r="BD75" i="106" a="1"/>
  <c r="BD75" i="106" s="1"/>
  <c r="BP75" i="106" a="1"/>
  <c r="BP75" i="106" s="1"/>
  <c r="CA75" i="106" a="1"/>
  <c r="CA75" i="106" s="1"/>
  <c r="BG75" i="106" a="1"/>
  <c r="BG75" i="106" s="1"/>
  <c r="AE75" i="106" a="1"/>
  <c r="AE75" i="106" s="1"/>
  <c r="BN75" i="106" a="1"/>
  <c r="BN75" i="106" s="1"/>
  <c r="AG75" i="106" a="1"/>
  <c r="AG75" i="106" s="1"/>
  <c r="AH75" i="106" a="1"/>
  <c r="AH75" i="106" s="1"/>
  <c r="BQ75" i="106" a="1"/>
  <c r="BQ75" i="106" s="1"/>
  <c r="Z75" i="106" a="1"/>
  <c r="Z75" i="106" s="1"/>
  <c r="AI75" i="106" a="1"/>
  <c r="AI75" i="106" s="1"/>
  <c r="BR75" i="106" a="1"/>
  <c r="BR75" i="106" s="1"/>
  <c r="AP75" i="106" a="1"/>
  <c r="AP75" i="106" s="1"/>
  <c r="BT75" i="106" a="1"/>
  <c r="BT75" i="106" s="1"/>
  <c r="AS75" i="106" a="1"/>
  <c r="AS75" i="106" s="1"/>
  <c r="BY75" i="106" a="1"/>
  <c r="BY75" i="106" s="1"/>
  <c r="AT75" i="106" a="1"/>
  <c r="AT75" i="106" s="1"/>
  <c r="AU75" i="106" a="1"/>
  <c r="AU75" i="106" s="1"/>
  <c r="BB75" i="106" a="1"/>
  <c r="BB75" i="106" s="1"/>
  <c r="BE75" i="106" a="1"/>
  <c r="BE75" i="106" s="1"/>
  <c r="BF75" i="106" a="1"/>
  <c r="BF75" i="106" s="1"/>
  <c r="AG71" i="106" a="1"/>
  <c r="AG71" i="106" s="1"/>
  <c r="AR71" i="106" a="1"/>
  <c r="AR71" i="106" s="1"/>
  <c r="BD71" i="106" a="1"/>
  <c r="BD71" i="106" s="1"/>
  <c r="BP71" i="106" a="1"/>
  <c r="BP71" i="106" s="1"/>
  <c r="AS71" i="106" a="1"/>
  <c r="AS71" i="106" s="1"/>
  <c r="BE71" i="106" a="1"/>
  <c r="BE71" i="106" s="1"/>
  <c r="BQ71" i="106" a="1"/>
  <c r="BQ71" i="106" s="1"/>
  <c r="AH71" i="106" a="1"/>
  <c r="AH71" i="106" s="1"/>
  <c r="AT71" i="106" a="1"/>
  <c r="AT71" i="106" s="1"/>
  <c r="BF71" i="106" a="1"/>
  <c r="BF71" i="106" s="1"/>
  <c r="BR71" i="106" a="1"/>
  <c r="BR71" i="106" s="1"/>
  <c r="AI71" i="106" a="1"/>
  <c r="AI71" i="106" s="1"/>
  <c r="AU71" i="106" a="1"/>
  <c r="AU71" i="106" s="1"/>
  <c r="BG71" i="106" a="1"/>
  <c r="BG71" i="106" s="1"/>
  <c r="BS71" i="106" a="1"/>
  <c r="BS71" i="106" s="1"/>
  <c r="AJ71" i="106" a="1"/>
  <c r="AJ71" i="106" s="1"/>
  <c r="AV71" i="106" a="1"/>
  <c r="AV71" i="106" s="1"/>
  <c r="BH71" i="106" a="1"/>
  <c r="BH71" i="106" s="1"/>
  <c r="BT71" i="106" a="1"/>
  <c r="BT71" i="106" s="1"/>
  <c r="AK71" i="106" a="1"/>
  <c r="AK71" i="106" s="1"/>
  <c r="AW71" i="106" a="1"/>
  <c r="AW71" i="106" s="1"/>
  <c r="BI71" i="106" a="1"/>
  <c r="BI71" i="106" s="1"/>
  <c r="BU71" i="106" a="1"/>
  <c r="BU71" i="106" s="1"/>
  <c r="AA71" i="106" a="1"/>
  <c r="AA71" i="106" s="1"/>
  <c r="AL71" i="106" a="1"/>
  <c r="AL71" i="106" s="1"/>
  <c r="AX71" i="106" a="1"/>
  <c r="AX71" i="106" s="1"/>
  <c r="BJ71" i="106" a="1"/>
  <c r="BJ71" i="106" s="1"/>
  <c r="BV71" i="106" a="1"/>
  <c r="BV71" i="106" s="1"/>
  <c r="AB71" i="106" a="1"/>
  <c r="AB71" i="106" s="1"/>
  <c r="AM71" i="106" a="1"/>
  <c r="AM71" i="106" s="1"/>
  <c r="AY71" i="106" a="1"/>
  <c r="AY71" i="106" s="1"/>
  <c r="BK71" i="106" a="1"/>
  <c r="BK71" i="106" s="1"/>
  <c r="BW71" i="106" a="1"/>
  <c r="BW71" i="106" s="1"/>
  <c r="AC71" i="106" a="1"/>
  <c r="AC71" i="106" s="1"/>
  <c r="AN71" i="106" a="1"/>
  <c r="AN71" i="106" s="1"/>
  <c r="AZ71" i="106" a="1"/>
  <c r="AZ71" i="106" s="1"/>
  <c r="BL71" i="106" a="1"/>
  <c r="BL71" i="106" s="1"/>
  <c r="BX71" i="106" a="1"/>
  <c r="BX71" i="106" s="1"/>
  <c r="AD71" i="106" a="1"/>
  <c r="AD71" i="106" s="1"/>
  <c r="AO71" i="106" a="1"/>
  <c r="AO71" i="106" s="1"/>
  <c r="BA71" i="106" a="1"/>
  <c r="BA71" i="106" s="1"/>
  <c r="BM71" i="106" a="1"/>
  <c r="BM71" i="106" s="1"/>
  <c r="BY71" i="106" a="1"/>
  <c r="BY71" i="106" s="1"/>
  <c r="BZ71" i="106" a="1"/>
  <c r="BZ71" i="106" s="1"/>
  <c r="CA71" i="106" a="1"/>
  <c r="CA71" i="106" s="1"/>
  <c r="AE71" i="106" a="1"/>
  <c r="AE71" i="106" s="1"/>
  <c r="Z71" i="106" a="1"/>
  <c r="Z71" i="106" s="1"/>
  <c r="AF71" i="106" a="1"/>
  <c r="AF71" i="106" s="1"/>
  <c r="AP71" i="106" a="1"/>
  <c r="AP71" i="106" s="1"/>
  <c r="AQ71" i="106" a="1"/>
  <c r="AQ71" i="106" s="1"/>
  <c r="BB71" i="106" a="1"/>
  <c r="BB71" i="106" s="1"/>
  <c r="BC71" i="106" a="1"/>
  <c r="BC71" i="106" s="1"/>
  <c r="BN71" i="106" a="1"/>
  <c r="BN71" i="106" s="1"/>
  <c r="BO71" i="106" a="1"/>
  <c r="BO71" i="106" s="1"/>
  <c r="AE78" i="106" a="1"/>
  <c r="AE78" i="106" s="1"/>
  <c r="AQ78" i="106" a="1"/>
  <c r="AQ78" i="106" s="1"/>
  <c r="BC78" i="106" a="1"/>
  <c r="BC78" i="106" s="1"/>
  <c r="BO78" i="106" a="1"/>
  <c r="BO78" i="106" s="1"/>
  <c r="BZ78" i="106" a="1"/>
  <c r="BZ78" i="106" s="1"/>
  <c r="AF78" i="106" a="1"/>
  <c r="AF78" i="106" s="1"/>
  <c r="AR78" i="106" a="1"/>
  <c r="AR78" i="106" s="1"/>
  <c r="BD78" i="106" a="1"/>
  <c r="BD78" i="106" s="1"/>
  <c r="BP78" i="106" a="1"/>
  <c r="BP78" i="106" s="1"/>
  <c r="AG78" i="106" a="1"/>
  <c r="AG78" i="106" s="1"/>
  <c r="AS78" i="106" a="1"/>
  <c r="AS78" i="106" s="1"/>
  <c r="BE78" i="106" a="1"/>
  <c r="BE78" i="106" s="1"/>
  <c r="BQ78" i="106" a="1"/>
  <c r="BQ78" i="106" s="1"/>
  <c r="CA78" i="106" a="1"/>
  <c r="CA78" i="106" s="1"/>
  <c r="AH78" i="106" a="1"/>
  <c r="AH78" i="106" s="1"/>
  <c r="AT78" i="106" a="1"/>
  <c r="AT78" i="106" s="1"/>
  <c r="BF78" i="106" a="1"/>
  <c r="BF78" i="106" s="1"/>
  <c r="BR78" i="106" a="1"/>
  <c r="BR78" i="106" s="1"/>
  <c r="AB78" i="106" a="1"/>
  <c r="AB78" i="106" s="1"/>
  <c r="AV78" i="106" a="1"/>
  <c r="AV78" i="106" s="1"/>
  <c r="BL78" i="106" a="1"/>
  <c r="BL78" i="106" s="1"/>
  <c r="AC78" i="106" a="1"/>
  <c r="AC78" i="106" s="1"/>
  <c r="AW78" i="106" a="1"/>
  <c r="AW78" i="106" s="1"/>
  <c r="BM78" i="106" a="1"/>
  <c r="BM78" i="106" s="1"/>
  <c r="AD78" i="106" a="1"/>
  <c r="AD78" i="106" s="1"/>
  <c r="AX78" i="106" a="1"/>
  <c r="AX78" i="106" s="1"/>
  <c r="BN78" i="106" a="1"/>
  <c r="BN78" i="106" s="1"/>
  <c r="AI78" i="106" a="1"/>
  <c r="AI78" i="106" s="1"/>
  <c r="AY78" i="106" a="1"/>
  <c r="AY78" i="106" s="1"/>
  <c r="BS78" i="106" a="1"/>
  <c r="BS78" i="106" s="1"/>
  <c r="BY78" i="106" a="1"/>
  <c r="BY78" i="106" s="1"/>
  <c r="AU78" i="106" a="1"/>
  <c r="AU78" i="106" s="1"/>
  <c r="AJ78" i="106" a="1"/>
  <c r="AJ78" i="106" s="1"/>
  <c r="AZ78" i="106" a="1"/>
  <c r="AZ78" i="106" s="1"/>
  <c r="BJ78" i="106" a="1"/>
  <c r="BJ78" i="106" s="1"/>
  <c r="AK78" i="106" a="1"/>
  <c r="AK78" i="106" s="1"/>
  <c r="BA78" i="106" a="1"/>
  <c r="BA78" i="106" s="1"/>
  <c r="BT78" i="106" a="1"/>
  <c r="BT78" i="106" s="1"/>
  <c r="AL78" i="106" a="1"/>
  <c r="AL78" i="106" s="1"/>
  <c r="BB78" i="106" a="1"/>
  <c r="BB78" i="106" s="1"/>
  <c r="BU78" i="106" a="1"/>
  <c r="BU78" i="106" s="1"/>
  <c r="AM78" i="106" a="1"/>
  <c r="AM78" i="106" s="1"/>
  <c r="BG78" i="106" a="1"/>
  <c r="BG78" i="106" s="1"/>
  <c r="BV78" i="106" a="1"/>
  <c r="BV78" i="106" s="1"/>
  <c r="Z78" i="106" a="1"/>
  <c r="Z78" i="106" s="1"/>
  <c r="AN78" i="106" a="1"/>
  <c r="AN78" i="106" s="1"/>
  <c r="BH78" i="106" a="1"/>
  <c r="BH78" i="106" s="1"/>
  <c r="BW78" i="106" a="1"/>
  <c r="BW78" i="106" s="1"/>
  <c r="AP78" i="106" a="1"/>
  <c r="AP78" i="106" s="1"/>
  <c r="AO78" i="106" a="1"/>
  <c r="AO78" i="106" s="1"/>
  <c r="BI78" i="106" a="1"/>
  <c r="BI78" i="106" s="1"/>
  <c r="BX78" i="106" a="1"/>
  <c r="BX78" i="106" s="1"/>
  <c r="AA78" i="106" a="1"/>
  <c r="AA78" i="106" s="1"/>
  <c r="BK78" i="106" a="1"/>
  <c r="BK78" i="106" s="1"/>
  <c r="AC70" i="106" a="1"/>
  <c r="AC70" i="106" s="1"/>
  <c r="AO70" i="106" a="1"/>
  <c r="AO70" i="106" s="1"/>
  <c r="AZ70" i="106" a="1"/>
  <c r="AZ70" i="106" s="1"/>
  <c r="BK70" i="106" a="1"/>
  <c r="BK70" i="106" s="1"/>
  <c r="BV70" i="106" a="1"/>
  <c r="BV70" i="106" s="1"/>
  <c r="AD70" i="106" a="1"/>
  <c r="AD70" i="106" s="1"/>
  <c r="AP70" i="106" a="1"/>
  <c r="AP70" i="106" s="1"/>
  <c r="BW70" i="106" a="1"/>
  <c r="BW70" i="106" s="1"/>
  <c r="AE70" i="106" a="1"/>
  <c r="AE70" i="106" s="1"/>
  <c r="AQ70" i="106" a="1"/>
  <c r="AQ70" i="106" s="1"/>
  <c r="BA70" i="106" a="1"/>
  <c r="BA70" i="106" s="1"/>
  <c r="BL70" i="106" a="1"/>
  <c r="BL70" i="106" s="1"/>
  <c r="BX70" i="106" a="1"/>
  <c r="BX70" i="106" s="1"/>
  <c r="AF70" i="106" a="1"/>
  <c r="AF70" i="106" s="1"/>
  <c r="AR70" i="106" a="1"/>
  <c r="AR70" i="106" s="1"/>
  <c r="BB70" i="106" a="1"/>
  <c r="BB70" i="106" s="1"/>
  <c r="BM70" i="106" a="1"/>
  <c r="BM70" i="106" s="1"/>
  <c r="BY70" i="106" a="1"/>
  <c r="BY70" i="106" s="1"/>
  <c r="AG70" i="106" a="1"/>
  <c r="AG70" i="106" s="1"/>
  <c r="AS70" i="106" a="1"/>
  <c r="AS70" i="106" s="1"/>
  <c r="BC70" i="106" a="1"/>
  <c r="BC70" i="106" s="1"/>
  <c r="BN70" i="106" a="1"/>
  <c r="BN70" i="106" s="1"/>
  <c r="BZ70" i="106" a="1"/>
  <c r="BZ70" i="106" s="1"/>
  <c r="AH70" i="106" a="1"/>
  <c r="AH70" i="106" s="1"/>
  <c r="AT70" i="106" a="1"/>
  <c r="AT70" i="106" s="1"/>
  <c r="BD70" i="106" a="1"/>
  <c r="BD70" i="106" s="1"/>
  <c r="BO70" i="106" a="1"/>
  <c r="BO70" i="106" s="1"/>
  <c r="CA70" i="106" a="1"/>
  <c r="CA70" i="106" s="1"/>
  <c r="AI70" i="106" a="1"/>
  <c r="AI70" i="106" s="1"/>
  <c r="AU70" i="106" a="1"/>
  <c r="AU70" i="106" s="1"/>
  <c r="BE70" i="106" a="1"/>
  <c r="BE70" i="106" s="1"/>
  <c r="BP70" i="106" a="1"/>
  <c r="BP70" i="106" s="1"/>
  <c r="AJ70" i="106" a="1"/>
  <c r="AJ70" i="106" s="1"/>
  <c r="AV70" i="106" a="1"/>
  <c r="AV70" i="106" s="1"/>
  <c r="BF70" i="106" a="1"/>
  <c r="BF70" i="106" s="1"/>
  <c r="BQ70" i="106" a="1"/>
  <c r="BQ70" i="106" s="1"/>
  <c r="AK70" i="106" a="1"/>
  <c r="AK70" i="106" s="1"/>
  <c r="AW70" i="106" a="1"/>
  <c r="AW70" i="106" s="1"/>
  <c r="BG70" i="106" a="1"/>
  <c r="BG70" i="106" s="1"/>
  <c r="BR70" i="106" a="1"/>
  <c r="BR70" i="106" s="1"/>
  <c r="AL70" i="106" a="1"/>
  <c r="AL70" i="106" s="1"/>
  <c r="AX70" i="106" a="1"/>
  <c r="AX70" i="106" s="1"/>
  <c r="BH70" i="106" a="1"/>
  <c r="BH70" i="106" s="1"/>
  <c r="BS70" i="106" a="1"/>
  <c r="BS70" i="106" s="1"/>
  <c r="BI70" i="106" a="1"/>
  <c r="BI70" i="106" s="1"/>
  <c r="BJ70" i="106" a="1"/>
  <c r="BJ70" i="106" s="1"/>
  <c r="BT70" i="106" a="1"/>
  <c r="BT70" i="106" s="1"/>
  <c r="BU70" i="106" a="1"/>
  <c r="BU70" i="106" s="1"/>
  <c r="Z70" i="106" a="1"/>
  <c r="Z70" i="106" s="1"/>
  <c r="AA70" i="106" a="1"/>
  <c r="AA70" i="106" s="1"/>
  <c r="AB70" i="106" a="1"/>
  <c r="AB70" i="106" s="1"/>
  <c r="AM70" i="106" a="1"/>
  <c r="AM70" i="106" s="1"/>
  <c r="AN70" i="106" a="1"/>
  <c r="AN70" i="106" s="1"/>
  <c r="AY70" i="106" a="1"/>
  <c r="AY70" i="106" s="1"/>
  <c r="AK77" i="106" a="1"/>
  <c r="AK77" i="106" s="1"/>
  <c r="AW77" i="106" a="1"/>
  <c r="AW77" i="106" s="1"/>
  <c r="BI77" i="106" a="1"/>
  <c r="BI77" i="106" s="1"/>
  <c r="BT77" i="106" a="1"/>
  <c r="BT77" i="106" s="1"/>
  <c r="AA77" i="106" a="1"/>
  <c r="AA77" i="106" s="1"/>
  <c r="AL77" i="106" a="1"/>
  <c r="AL77" i="106" s="1"/>
  <c r="AX77" i="106" a="1"/>
  <c r="AX77" i="106" s="1"/>
  <c r="BJ77" i="106" a="1"/>
  <c r="BJ77" i="106" s="1"/>
  <c r="BU77" i="106" a="1"/>
  <c r="BU77" i="106" s="1"/>
  <c r="AB77" i="106" a="1"/>
  <c r="AB77" i="106" s="1"/>
  <c r="AM77" i="106" a="1"/>
  <c r="AM77" i="106" s="1"/>
  <c r="AY77" i="106" a="1"/>
  <c r="AY77" i="106" s="1"/>
  <c r="BK77" i="106" a="1"/>
  <c r="BK77" i="106" s="1"/>
  <c r="BV77" i="106" a="1"/>
  <c r="BV77" i="106" s="1"/>
  <c r="AC77" i="106" a="1"/>
  <c r="AC77" i="106" s="1"/>
  <c r="AN77" i="106" a="1"/>
  <c r="AN77" i="106" s="1"/>
  <c r="AZ77" i="106" a="1"/>
  <c r="AZ77" i="106" s="1"/>
  <c r="BW77" i="106" a="1"/>
  <c r="BW77" i="106" s="1"/>
  <c r="AE77" i="106" a="1"/>
  <c r="AE77" i="106" s="1"/>
  <c r="AT77" i="106" a="1"/>
  <c r="AT77" i="106" s="1"/>
  <c r="BM77" i="106" a="1"/>
  <c r="BM77" i="106" s="1"/>
  <c r="AF77" i="106" a="1"/>
  <c r="AF77" i="106" s="1"/>
  <c r="AU77" i="106" a="1"/>
  <c r="AU77" i="106" s="1"/>
  <c r="BN77" i="106" a="1"/>
  <c r="BN77" i="106" s="1"/>
  <c r="AG77" i="106" a="1"/>
  <c r="AG77" i="106" s="1"/>
  <c r="AV77" i="106" a="1"/>
  <c r="AV77" i="106" s="1"/>
  <c r="BO77" i="106" a="1"/>
  <c r="BO77" i="106" s="1"/>
  <c r="AH77" i="106" a="1"/>
  <c r="AH77" i="106" s="1"/>
  <c r="BA77" i="106" a="1"/>
  <c r="BA77" i="106" s="1"/>
  <c r="BP77" i="106" a="1"/>
  <c r="BP77" i="106" s="1"/>
  <c r="BB77" i="106" a="1"/>
  <c r="BB77" i="106" s="1"/>
  <c r="BQ77" i="106" a="1"/>
  <c r="BQ77" i="106" s="1"/>
  <c r="BL77" i="106" a="1"/>
  <c r="BL77" i="106" s="1"/>
  <c r="AI77" i="106" a="1"/>
  <c r="AI77" i="106" s="1"/>
  <c r="BC77" i="106" a="1"/>
  <c r="BC77" i="106" s="1"/>
  <c r="BR77" i="106" a="1"/>
  <c r="BR77" i="106" s="1"/>
  <c r="BH77" i="106" a="1"/>
  <c r="BH77" i="106" s="1"/>
  <c r="AJ77" i="106" a="1"/>
  <c r="AJ77" i="106" s="1"/>
  <c r="BD77" i="106" a="1"/>
  <c r="BD77" i="106" s="1"/>
  <c r="BS77" i="106" a="1"/>
  <c r="BS77" i="106" s="1"/>
  <c r="CA77" i="106" a="1"/>
  <c r="CA77" i="106" s="1"/>
  <c r="Z77" i="106" a="1"/>
  <c r="Z77" i="106" s="1"/>
  <c r="AO77" i="106" a="1"/>
  <c r="AO77" i="106" s="1"/>
  <c r="BE77" i="106" a="1"/>
  <c r="BE77" i="106" s="1"/>
  <c r="BX77" i="106" a="1"/>
  <c r="BX77" i="106" s="1"/>
  <c r="AP77" i="106" a="1"/>
  <c r="AP77" i="106" s="1"/>
  <c r="BF77" i="106" a="1"/>
  <c r="BF77" i="106" s="1"/>
  <c r="BY77" i="106" a="1"/>
  <c r="BY77" i="106" s="1"/>
  <c r="AQ77" i="106" a="1"/>
  <c r="AQ77" i="106" s="1"/>
  <c r="BG77" i="106" a="1"/>
  <c r="BG77" i="106" s="1"/>
  <c r="BZ77" i="106" a="1"/>
  <c r="BZ77" i="106" s="1"/>
  <c r="AR77" i="106" a="1"/>
  <c r="AR77" i="106" s="1"/>
  <c r="AD77" i="106" a="1"/>
  <c r="AD77" i="106" s="1"/>
  <c r="AS77" i="106" a="1"/>
  <c r="AS77" i="106" s="1"/>
  <c r="AB67" i="106" a="1"/>
  <c r="AB67" i="106" s="1"/>
  <c r="AN67" i="106" a="1"/>
  <c r="AN67" i="106" s="1"/>
  <c r="AZ67" i="106" a="1"/>
  <c r="AZ67" i="106" s="1"/>
  <c r="BJ67" i="106" a="1"/>
  <c r="BJ67" i="106" s="1"/>
  <c r="BV67" i="106" a="1"/>
  <c r="BV67" i="106" s="1"/>
  <c r="AM67" i="106" a="1"/>
  <c r="AM67" i="106" s="1"/>
  <c r="BA67" i="106" a="1"/>
  <c r="BA67" i="106" s="1"/>
  <c r="BL67" i="106" a="1"/>
  <c r="BL67" i="106" s="1"/>
  <c r="BY67" i="106" a="1"/>
  <c r="BY67" i="106" s="1"/>
  <c r="AA67" i="106" a="1"/>
  <c r="AA67" i="106" s="1"/>
  <c r="AO67" i="106" a="1"/>
  <c r="AO67" i="106" s="1"/>
  <c r="BM67" i="106" a="1"/>
  <c r="BM67" i="106" s="1"/>
  <c r="BZ67" i="106" a="1"/>
  <c r="BZ67" i="106" s="1"/>
  <c r="AC67" i="106" a="1"/>
  <c r="AC67" i="106" s="1"/>
  <c r="AP67" i="106" a="1"/>
  <c r="AP67" i="106" s="1"/>
  <c r="BB67" i="106" a="1"/>
  <c r="BB67" i="106" s="1"/>
  <c r="BN67" i="106" a="1"/>
  <c r="BN67" i="106" s="1"/>
  <c r="CA67" i="106" a="1"/>
  <c r="CA67" i="106" s="1"/>
  <c r="AD67" i="106" a="1"/>
  <c r="AD67" i="106" s="1"/>
  <c r="AQ67" i="106" a="1"/>
  <c r="AQ67" i="106" s="1"/>
  <c r="BC67" i="106" a="1"/>
  <c r="BC67" i="106" s="1"/>
  <c r="BO67" i="106" a="1"/>
  <c r="BO67" i="106" s="1"/>
  <c r="AE67" i="106" a="1"/>
  <c r="AE67" i="106" s="1"/>
  <c r="AR67" i="106" a="1"/>
  <c r="AR67" i="106" s="1"/>
  <c r="BD67" i="106" a="1"/>
  <c r="BD67" i="106" s="1"/>
  <c r="BP67" i="106" a="1"/>
  <c r="BP67" i="106" s="1"/>
  <c r="AF67" i="106" a="1"/>
  <c r="AF67" i="106" s="1"/>
  <c r="AS67" i="106" a="1"/>
  <c r="AS67" i="106" s="1"/>
  <c r="BE67" i="106" a="1"/>
  <c r="BE67" i="106" s="1"/>
  <c r="BQ67" i="106" a="1"/>
  <c r="BQ67" i="106" s="1"/>
  <c r="AG67" i="106" a="1"/>
  <c r="AG67" i="106" s="1"/>
  <c r="AT67" i="106" a="1"/>
  <c r="AT67" i="106" s="1"/>
  <c r="BF67" i="106" a="1"/>
  <c r="BF67" i="106" s="1"/>
  <c r="BR67" i="106" a="1"/>
  <c r="BR67" i="106" s="1"/>
  <c r="AH67" i="106" a="1"/>
  <c r="AH67" i="106" s="1"/>
  <c r="AU67" i="106" a="1"/>
  <c r="AU67" i="106" s="1"/>
  <c r="BG67" i="106" a="1"/>
  <c r="BG67" i="106" s="1"/>
  <c r="BS67" i="106" a="1"/>
  <c r="BS67" i="106" s="1"/>
  <c r="AI67" i="106" a="1"/>
  <c r="AI67" i="106" s="1"/>
  <c r="AV67" i="106" a="1"/>
  <c r="AV67" i="106" s="1"/>
  <c r="BT67" i="106" a="1"/>
  <c r="BT67" i="106" s="1"/>
  <c r="AJ67" i="106" a="1"/>
  <c r="AJ67" i="106" s="1"/>
  <c r="AW67" i="106" a="1"/>
  <c r="AW67" i="106" s="1"/>
  <c r="BH67" i="106" a="1"/>
  <c r="BH67" i="106" s="1"/>
  <c r="BU67" i="106" a="1"/>
  <c r="BU67" i="106" s="1"/>
  <c r="BW67" i="106" a="1"/>
  <c r="BW67" i="106" s="1"/>
  <c r="Z67" i="106" a="1"/>
  <c r="Z67" i="106" s="1"/>
  <c r="BX67" i="106" a="1"/>
  <c r="BX67" i="106" s="1"/>
  <c r="AK67" i="106" a="1"/>
  <c r="AK67" i="106" s="1"/>
  <c r="AL67" i="106" a="1"/>
  <c r="AL67" i="106" s="1"/>
  <c r="AX67" i="106" a="1"/>
  <c r="AX67" i="106" s="1"/>
  <c r="AY67" i="106" a="1"/>
  <c r="AY67" i="106" s="1"/>
  <c r="BI67" i="106" a="1"/>
  <c r="BI67" i="106" s="1"/>
  <c r="BK67" i="106" a="1"/>
  <c r="BK67" i="106" s="1"/>
  <c r="AI79" i="106" a="1"/>
  <c r="AI79" i="106" s="1"/>
  <c r="AT79" i="106" a="1"/>
  <c r="AT79" i="106" s="1"/>
  <c r="BE79" i="106" a="1"/>
  <c r="BE79" i="106" s="1"/>
  <c r="BQ79" i="106" a="1"/>
  <c r="BQ79" i="106" s="1"/>
  <c r="AJ79" i="106" a="1"/>
  <c r="AJ79" i="106" s="1"/>
  <c r="AU79" i="106" a="1"/>
  <c r="AU79" i="106" s="1"/>
  <c r="BF79" i="106" a="1"/>
  <c r="BF79" i="106" s="1"/>
  <c r="BG79" i="106" a="1"/>
  <c r="BG79" i="106" s="1"/>
  <c r="AA79" i="106" a="1"/>
  <c r="AA79" i="106" s="1"/>
  <c r="AC79" i="106" a="1"/>
  <c r="AC79" i="106" s="1"/>
  <c r="AP79" i="106" a="1"/>
  <c r="AP79" i="106" s="1"/>
  <c r="BD79" i="106" a="1"/>
  <c r="BD79" i="106" s="1"/>
  <c r="BT79" i="106" a="1"/>
  <c r="BT79" i="106" s="1"/>
  <c r="Z79" i="106" a="1"/>
  <c r="Z79" i="106" s="1"/>
  <c r="AQ79" i="106" a="1"/>
  <c r="AQ79" i="106" s="1"/>
  <c r="BH79" i="106" a="1"/>
  <c r="BH79" i="106" s="1"/>
  <c r="AD79" i="106" a="1"/>
  <c r="AD79" i="106" s="1"/>
  <c r="AR79" i="106" a="1"/>
  <c r="AR79" i="106" s="1"/>
  <c r="BI79" i="106" a="1"/>
  <c r="BI79" i="106" s="1"/>
  <c r="BU79" i="106" a="1"/>
  <c r="BU79" i="106" s="1"/>
  <c r="AE79" i="106" a="1"/>
  <c r="AE79" i="106" s="1"/>
  <c r="AS79" i="106" a="1"/>
  <c r="AS79" i="106" s="1"/>
  <c r="BJ79" i="106" a="1"/>
  <c r="BJ79" i="106" s="1"/>
  <c r="BV79" i="106" a="1"/>
  <c r="BV79" i="106" s="1"/>
  <c r="AF79" i="106" a="1"/>
  <c r="AF79" i="106" s="1"/>
  <c r="AV79" i="106" a="1"/>
  <c r="AV79" i="106" s="1"/>
  <c r="BK79" i="106" a="1"/>
  <c r="BK79" i="106" s="1"/>
  <c r="BW79" i="106" a="1"/>
  <c r="BW79" i="106" s="1"/>
  <c r="AG79" i="106" a="1"/>
  <c r="AG79" i="106" s="1"/>
  <c r="AW79" i="106" a="1"/>
  <c r="AW79" i="106" s="1"/>
  <c r="BL79" i="106" a="1"/>
  <c r="BL79" i="106" s="1"/>
  <c r="BX79" i="106" a="1"/>
  <c r="BX79" i="106" s="1"/>
  <c r="BR79" i="106" a="1"/>
  <c r="BR79" i="106" s="1"/>
  <c r="AO79" i="106" a="1"/>
  <c r="AO79" i="106" s="1"/>
  <c r="AH79" i="106" a="1"/>
  <c r="AH79" i="106" s="1"/>
  <c r="AX79" i="106" a="1"/>
  <c r="AX79" i="106" s="1"/>
  <c r="BM79" i="106" a="1"/>
  <c r="BM79" i="106" s="1"/>
  <c r="BY79" i="106" a="1"/>
  <c r="BY79" i="106" s="1"/>
  <c r="BS79" i="106" a="1"/>
  <c r="BS79" i="106" s="1"/>
  <c r="AK79" i="106" a="1"/>
  <c r="AK79" i="106" s="1"/>
  <c r="AY79" i="106" a="1"/>
  <c r="AY79" i="106" s="1"/>
  <c r="BN79" i="106" a="1"/>
  <c r="BN79" i="106" s="1"/>
  <c r="BZ79" i="106" a="1"/>
  <c r="BZ79" i="106" s="1"/>
  <c r="AN79" i="106" a="1"/>
  <c r="AN79" i="106" s="1"/>
  <c r="BC79" i="106" a="1"/>
  <c r="BC79" i="106" s="1"/>
  <c r="AL79" i="106" a="1"/>
  <c r="AL79" i="106" s="1"/>
  <c r="AZ79" i="106" a="1"/>
  <c r="AZ79" i="106" s="1"/>
  <c r="BO79" i="106" a="1"/>
  <c r="BO79" i="106" s="1"/>
  <c r="CA79" i="106" a="1"/>
  <c r="CA79" i="106" s="1"/>
  <c r="AM79" i="106" a="1"/>
  <c r="AM79" i="106" s="1"/>
  <c r="BA79" i="106" a="1"/>
  <c r="BA79" i="106" s="1"/>
  <c r="BP79" i="106" a="1"/>
  <c r="BP79" i="106" s="1"/>
  <c r="BB79" i="106" a="1"/>
  <c r="BB79" i="106" s="1"/>
  <c r="AB79" i="106" a="1"/>
  <c r="AB79" i="106" s="1"/>
  <c r="AL69" i="106" a="1"/>
  <c r="AL69" i="106" s="1"/>
  <c r="AX69" i="106" a="1"/>
  <c r="AX69" i="106" s="1"/>
  <c r="AH69" i="106" a="1"/>
  <c r="AH69" i="106" s="1"/>
  <c r="AU69" i="106" a="1"/>
  <c r="AU69" i="106" s="1"/>
  <c r="BH69" i="106" a="1"/>
  <c r="BH69" i="106" s="1"/>
  <c r="BS69" i="106" a="1"/>
  <c r="BS69" i="106" s="1"/>
  <c r="AI69" i="106" a="1"/>
  <c r="AI69" i="106" s="1"/>
  <c r="AV69" i="106" a="1"/>
  <c r="AV69" i="106" s="1"/>
  <c r="BI69" i="106" a="1"/>
  <c r="BI69" i="106" s="1"/>
  <c r="BT69" i="106" a="1"/>
  <c r="BT69" i="106" s="1"/>
  <c r="AJ69" i="106" a="1"/>
  <c r="AJ69" i="106" s="1"/>
  <c r="AW69" i="106" a="1"/>
  <c r="AW69" i="106" s="1"/>
  <c r="BJ69" i="106" a="1"/>
  <c r="BJ69" i="106" s="1"/>
  <c r="BU69" i="106" a="1"/>
  <c r="BU69" i="106" s="1"/>
  <c r="AK69" i="106" a="1"/>
  <c r="AK69" i="106" s="1"/>
  <c r="AY69" i="106" a="1"/>
  <c r="AY69" i="106" s="1"/>
  <c r="BK69" i="106" a="1"/>
  <c r="BK69" i="106" s="1"/>
  <c r="AM69" i="106" a="1"/>
  <c r="AM69" i="106" s="1"/>
  <c r="AZ69" i="106" a="1"/>
  <c r="AZ69" i="106" s="1"/>
  <c r="BL69" i="106" a="1"/>
  <c r="BL69" i="106" s="1"/>
  <c r="BV69" i="106" a="1"/>
  <c r="BV69" i="106" s="1"/>
  <c r="AA69" i="106" a="1"/>
  <c r="AA69" i="106" s="1"/>
  <c r="AN69" i="106" a="1"/>
  <c r="AN69" i="106" s="1"/>
  <c r="BA69" i="106" a="1"/>
  <c r="BA69" i="106" s="1"/>
  <c r="BM69" i="106" a="1"/>
  <c r="BM69" i="106" s="1"/>
  <c r="BW69" i="106" a="1"/>
  <c r="BW69" i="106" s="1"/>
  <c r="AB69" i="106" a="1"/>
  <c r="AB69" i="106" s="1"/>
  <c r="AO69" i="106" a="1"/>
  <c r="AO69" i="106" s="1"/>
  <c r="BB69" i="106" a="1"/>
  <c r="BB69" i="106" s="1"/>
  <c r="BN69" i="106" a="1"/>
  <c r="BN69" i="106" s="1"/>
  <c r="BX69" i="106" a="1"/>
  <c r="BX69" i="106" s="1"/>
  <c r="AC69" i="106" a="1"/>
  <c r="AC69" i="106" s="1"/>
  <c r="AP69" i="106" a="1"/>
  <c r="AP69" i="106" s="1"/>
  <c r="BC69" i="106" a="1"/>
  <c r="BC69" i="106" s="1"/>
  <c r="BO69" i="106" a="1"/>
  <c r="BO69" i="106" s="1"/>
  <c r="BY69" i="106" a="1"/>
  <c r="BY69" i="106" s="1"/>
  <c r="AD69" i="106" a="1"/>
  <c r="AD69" i="106" s="1"/>
  <c r="AQ69" i="106" a="1"/>
  <c r="AQ69" i="106" s="1"/>
  <c r="BD69" i="106" a="1"/>
  <c r="BD69" i="106" s="1"/>
  <c r="BZ69" i="106" a="1"/>
  <c r="BZ69" i="106" s="1"/>
  <c r="AE69" i="106" a="1"/>
  <c r="AE69" i="106" s="1"/>
  <c r="AR69" i="106" a="1"/>
  <c r="AR69" i="106" s="1"/>
  <c r="BE69" i="106" a="1"/>
  <c r="BE69" i="106" s="1"/>
  <c r="BP69" i="106" a="1"/>
  <c r="BP69" i="106" s="1"/>
  <c r="CA69" i="106" a="1"/>
  <c r="CA69" i="106" s="1"/>
  <c r="AS69" i="106" a="1"/>
  <c r="AS69" i="106" s="1"/>
  <c r="Z69" i="106" a="1"/>
  <c r="Z69" i="106" s="1"/>
  <c r="AT69" i="106" a="1"/>
  <c r="AT69" i="106" s="1"/>
  <c r="BF69" i="106" a="1"/>
  <c r="BF69" i="106" s="1"/>
  <c r="BG69" i="106" a="1"/>
  <c r="BG69" i="106" s="1"/>
  <c r="BQ69" i="106" a="1"/>
  <c r="BQ69" i="106" s="1"/>
  <c r="BR69" i="106" a="1"/>
  <c r="BR69" i="106" s="1"/>
  <c r="AF69" i="106" a="1"/>
  <c r="AF69" i="106" s="1"/>
  <c r="AG69" i="106" a="1"/>
  <c r="AG69" i="106" s="1"/>
  <c r="AA72" i="106" a="1"/>
  <c r="AA72" i="106" s="1"/>
  <c r="AL72" i="106" a="1"/>
  <c r="AL72" i="106" s="1"/>
  <c r="AX72" i="106" a="1"/>
  <c r="AX72" i="106" s="1"/>
  <c r="BI72" i="106" a="1"/>
  <c r="BI72" i="106" s="1"/>
  <c r="BT72" i="106" a="1"/>
  <c r="BT72" i="106" s="1"/>
  <c r="AB72" i="106" a="1"/>
  <c r="AB72" i="106" s="1"/>
  <c r="AM72" i="106" a="1"/>
  <c r="AM72" i="106" s="1"/>
  <c r="AY72" i="106" a="1"/>
  <c r="AY72" i="106" s="1"/>
  <c r="BJ72" i="106" a="1"/>
  <c r="BJ72" i="106" s="1"/>
  <c r="BU72" i="106" a="1"/>
  <c r="BU72" i="106" s="1"/>
  <c r="AC72" i="106" a="1"/>
  <c r="AC72" i="106" s="1"/>
  <c r="AN72" i="106" a="1"/>
  <c r="AN72" i="106" s="1"/>
  <c r="AZ72" i="106" a="1"/>
  <c r="AZ72" i="106" s="1"/>
  <c r="BK72" i="106" a="1"/>
  <c r="BK72" i="106" s="1"/>
  <c r="BV72" i="106" a="1"/>
  <c r="BV72" i="106" s="1"/>
  <c r="AD72" i="106" a="1"/>
  <c r="AD72" i="106" s="1"/>
  <c r="AO72" i="106" a="1"/>
  <c r="AO72" i="106" s="1"/>
  <c r="BA72" i="106" a="1"/>
  <c r="BA72" i="106" s="1"/>
  <c r="BL72" i="106" a="1"/>
  <c r="BL72" i="106" s="1"/>
  <c r="BW72" i="106" a="1"/>
  <c r="BW72" i="106" s="1"/>
  <c r="AE72" i="106" a="1"/>
  <c r="AE72" i="106" s="1"/>
  <c r="AP72" i="106" a="1"/>
  <c r="AP72" i="106" s="1"/>
  <c r="BB72" i="106" a="1"/>
  <c r="BB72" i="106" s="1"/>
  <c r="BM72" i="106" a="1"/>
  <c r="BM72" i="106" s="1"/>
  <c r="AF72" i="106" a="1"/>
  <c r="AF72" i="106" s="1"/>
  <c r="AQ72" i="106" a="1"/>
  <c r="AQ72" i="106" s="1"/>
  <c r="BC72" i="106" a="1"/>
  <c r="BC72" i="106" s="1"/>
  <c r="BN72" i="106" a="1"/>
  <c r="BN72" i="106" s="1"/>
  <c r="BX72" i="106" a="1"/>
  <c r="BX72" i="106" s="1"/>
  <c r="AG72" i="106" a="1"/>
  <c r="AG72" i="106" s="1"/>
  <c r="AR72" i="106" a="1"/>
  <c r="AR72" i="106" s="1"/>
  <c r="BD72" i="106" a="1"/>
  <c r="BD72" i="106" s="1"/>
  <c r="BO72" i="106" a="1"/>
  <c r="BO72" i="106" s="1"/>
  <c r="BY72" i="106" a="1"/>
  <c r="BY72" i="106" s="1"/>
  <c r="AH72" i="106" a="1"/>
  <c r="AH72" i="106" s="1"/>
  <c r="AS72" i="106" a="1"/>
  <c r="AS72" i="106" s="1"/>
  <c r="BE72" i="106" a="1"/>
  <c r="BE72" i="106" s="1"/>
  <c r="BP72" i="106" a="1"/>
  <c r="BP72" i="106" s="1"/>
  <c r="AT72" i="106" a="1"/>
  <c r="AT72" i="106" s="1"/>
  <c r="BF72" i="106" a="1"/>
  <c r="BF72" i="106" s="1"/>
  <c r="BQ72" i="106" a="1"/>
  <c r="BQ72" i="106" s="1"/>
  <c r="BZ72" i="106" a="1"/>
  <c r="BZ72" i="106" s="1"/>
  <c r="AI72" i="106" a="1"/>
  <c r="AI72" i="106" s="1"/>
  <c r="AU72" i="106" a="1"/>
  <c r="AU72" i="106" s="1"/>
  <c r="BG72" i="106" a="1"/>
  <c r="BG72" i="106" s="1"/>
  <c r="BR72" i="106" a="1"/>
  <c r="BR72" i="106" s="1"/>
  <c r="CA72" i="106" a="1"/>
  <c r="CA72" i="106" s="1"/>
  <c r="AJ72" i="106" a="1"/>
  <c r="AJ72" i="106" s="1"/>
  <c r="AK72" i="106" a="1"/>
  <c r="AK72" i="106" s="1"/>
  <c r="AV72" i="106" a="1"/>
  <c r="AV72" i="106" s="1"/>
  <c r="Z72" i="106" a="1"/>
  <c r="Z72" i="106" s="1"/>
  <c r="AW72" i="106" a="1"/>
  <c r="AW72" i="106" s="1"/>
  <c r="BH72" i="106" a="1"/>
  <c r="BH72" i="106" s="1"/>
  <c r="BS72" i="106" a="1"/>
  <c r="BS72" i="106" s="1"/>
  <c r="I56" i="108" a="1"/>
  <c r="I56" i="108" s="1"/>
  <c r="AI56" i="108" s="1" a="1"/>
  <c r="AI56" i="108" s="1"/>
  <c r="I42" i="108" a="1"/>
  <c r="I42" i="108" s="1"/>
  <c r="S42" i="108" s="1" a="1"/>
  <c r="S42" i="108" s="1"/>
  <c r="CB70" i="106" a="1"/>
  <c r="CB70" i="106" s="1"/>
  <c r="CC70" i="106" a="1"/>
  <c r="CC70" i="106" s="1"/>
  <c r="CD70" i="106" a="1"/>
  <c r="CD70" i="106" s="1"/>
  <c r="CE70" i="106" a="1"/>
  <c r="CE70" i="106" s="1"/>
  <c r="CF70" i="106" a="1"/>
  <c r="CF70" i="106" s="1"/>
  <c r="CG70" i="106" a="1"/>
  <c r="CG70" i="106" s="1"/>
  <c r="CD77" i="106" a="1"/>
  <c r="CD77" i="106" s="1"/>
  <c r="CE77" i="106" a="1"/>
  <c r="CE77" i="106" s="1"/>
  <c r="CF77" i="106" a="1"/>
  <c r="CF77" i="106" s="1"/>
  <c r="CB77" i="106" a="1"/>
  <c r="CB77" i="106" s="1"/>
  <c r="CC77" i="106" a="1"/>
  <c r="CC77" i="106" s="1"/>
  <c r="CG77" i="106" a="1"/>
  <c r="CG77" i="106" s="1"/>
  <c r="J20" i="108" a="1"/>
  <c r="J20" i="108" s="1"/>
  <c r="U20" i="108" a="1"/>
  <c r="U20" i="108" s="1"/>
  <c r="L20" i="108" a="1"/>
  <c r="L20" i="108" s="1"/>
  <c r="W20" i="108" a="1"/>
  <c r="W20" i="108" s="1"/>
  <c r="AH20" i="108" a="1"/>
  <c r="AH20" i="108" s="1"/>
  <c r="M20" i="108" a="1"/>
  <c r="M20" i="108" s="1"/>
  <c r="AI20" i="108" a="1"/>
  <c r="AI20" i="108" s="1"/>
  <c r="P20" i="108" a="1"/>
  <c r="P20" i="108" s="1"/>
  <c r="Z20" i="108" a="1"/>
  <c r="Z20" i="108" s="1"/>
  <c r="AL20" i="108" a="1"/>
  <c r="AL20" i="108" s="1"/>
  <c r="Q20" i="108" a="1"/>
  <c r="Q20" i="108" s="1"/>
  <c r="AA20" i="108" a="1"/>
  <c r="AA20" i="108" s="1"/>
  <c r="N20" i="108" a="1"/>
  <c r="N20" i="108" s="1"/>
  <c r="AD20" i="108" a="1"/>
  <c r="AD20" i="108" s="1"/>
  <c r="V20" i="108" a="1"/>
  <c r="V20" i="108" s="1"/>
  <c r="AM20" i="108" a="1"/>
  <c r="AM20" i="108" s="1"/>
  <c r="X20" i="108" a="1"/>
  <c r="X20" i="108" s="1"/>
  <c r="Y20" i="108" a="1"/>
  <c r="Y20" i="108" s="1"/>
  <c r="K20" i="108" a="1"/>
  <c r="K20" i="108" s="1"/>
  <c r="AK20" i="108" a="1"/>
  <c r="AK20" i="108" s="1"/>
  <c r="T20" i="108" a="1"/>
  <c r="T20" i="108" s="1"/>
  <c r="AB20" i="108" a="1"/>
  <c r="AB20" i="108" s="1"/>
  <c r="AC20" i="108" a="1"/>
  <c r="AC20" i="108" s="1"/>
  <c r="AE20" i="108" a="1"/>
  <c r="AE20" i="108" s="1"/>
  <c r="AG20" i="108" a="1"/>
  <c r="AG20" i="108" s="1"/>
  <c r="O20" i="108" a="1"/>
  <c r="O20" i="108" s="1"/>
  <c r="R20" i="108" a="1"/>
  <c r="R20" i="108" s="1"/>
  <c r="AF20" i="108" a="1"/>
  <c r="AF20" i="108" s="1"/>
  <c r="S20" i="108" a="1"/>
  <c r="S20" i="108" s="1"/>
  <c r="AJ20" i="108" a="1"/>
  <c r="AJ20" i="108" s="1"/>
  <c r="O11" i="108" a="1"/>
  <c r="O11" i="108" s="1"/>
  <c r="AA11" i="108" a="1"/>
  <c r="AA11" i="108" s="1"/>
  <c r="AL11" i="108" a="1"/>
  <c r="AL11" i="108" s="1"/>
  <c r="P11" i="108" a="1"/>
  <c r="P11" i="108" s="1"/>
  <c r="AC11" i="108" a="1"/>
  <c r="AC11" i="108" s="1"/>
  <c r="Q11" i="108" a="1"/>
  <c r="Q11" i="108" s="1"/>
  <c r="AD11" i="108" a="1"/>
  <c r="AD11" i="108" s="1"/>
  <c r="T11" i="108" a="1"/>
  <c r="T11" i="108" s="1"/>
  <c r="AG11" i="108" a="1"/>
  <c r="AG11" i="108" s="1"/>
  <c r="U11" i="108" a="1"/>
  <c r="U11" i="108" s="1"/>
  <c r="R11" i="108" a="1"/>
  <c r="R11" i="108" s="1"/>
  <c r="AJ11" i="108" a="1"/>
  <c r="AJ11" i="108" s="1"/>
  <c r="Z11" i="108" a="1"/>
  <c r="Z11" i="108" s="1"/>
  <c r="J11" i="108" a="1"/>
  <c r="J11" i="108" s="1"/>
  <c r="AB11" i="108" a="1"/>
  <c r="AB11" i="108" s="1"/>
  <c r="K11" i="108" a="1"/>
  <c r="K11" i="108" s="1"/>
  <c r="AE11" i="108" a="1"/>
  <c r="AE11" i="108" s="1"/>
  <c r="L11" i="108" a="1"/>
  <c r="L11" i="108" s="1"/>
  <c r="AF11" i="108" a="1"/>
  <c r="AF11" i="108" s="1"/>
  <c r="Y11" i="108" a="1"/>
  <c r="Y11" i="108" s="1"/>
  <c r="AM11" i="108" a="1"/>
  <c r="AM11" i="108" s="1"/>
  <c r="M11" i="108" a="1"/>
  <c r="M11" i="108" s="1"/>
  <c r="N11" i="108" a="1"/>
  <c r="N11" i="108" s="1"/>
  <c r="S11" i="108" a="1"/>
  <c r="S11" i="108" s="1"/>
  <c r="W11" i="108" a="1"/>
  <c r="W11" i="108" s="1"/>
  <c r="V11" i="108" a="1"/>
  <c r="V11" i="108" s="1"/>
  <c r="AI11" i="108" a="1"/>
  <c r="AI11" i="108" s="1"/>
  <c r="AK11" i="108" a="1"/>
  <c r="AK11" i="108" s="1"/>
  <c r="X11" i="108" a="1"/>
  <c r="X11" i="108" s="1"/>
  <c r="AH11" i="108" a="1"/>
  <c r="AH11" i="108" s="1"/>
  <c r="M67" i="108" a="1"/>
  <c r="M67" i="108" s="1"/>
  <c r="U67" i="108" a="1"/>
  <c r="U67" i="108" s="1"/>
  <c r="AD67" i="108" a="1"/>
  <c r="AD67" i="108" s="1"/>
  <c r="AK67" i="108" a="1"/>
  <c r="AK67" i="108" s="1"/>
  <c r="R67" i="108" a="1"/>
  <c r="R67" i="108" s="1"/>
  <c r="AA67" i="108" a="1"/>
  <c r="AA67" i="108" s="1"/>
  <c r="AI67" i="108" a="1"/>
  <c r="AI67" i="108" s="1"/>
  <c r="J67" i="108" a="1"/>
  <c r="J67" i="108" s="1"/>
  <c r="T67" i="108" a="1"/>
  <c r="T67" i="108" s="1"/>
  <c r="AM67" i="108" a="1"/>
  <c r="AM67" i="108" s="1"/>
  <c r="AE67" i="108" a="1"/>
  <c r="AE67" i="108" s="1"/>
  <c r="K67" i="108" a="1"/>
  <c r="K67" i="108" s="1"/>
  <c r="AF67" i="108" a="1"/>
  <c r="AF67" i="108" s="1"/>
  <c r="L67" i="108" a="1"/>
  <c r="L67" i="108" s="1"/>
  <c r="V67" i="108" a="1"/>
  <c r="V67" i="108" s="1"/>
  <c r="N67" i="108" a="1"/>
  <c r="N67" i="108" s="1"/>
  <c r="AG67" i="108" a="1"/>
  <c r="AG67" i="108" s="1"/>
  <c r="O67" i="108" a="1"/>
  <c r="O67" i="108" s="1"/>
  <c r="W67" i="108" a="1"/>
  <c r="W67" i="108" s="1"/>
  <c r="X67" i="108" a="1"/>
  <c r="X67" i="108" s="1"/>
  <c r="AH67" i="108" a="1"/>
  <c r="AH67" i="108" s="1"/>
  <c r="P67" i="108" a="1"/>
  <c r="P67" i="108" s="1"/>
  <c r="Y67" i="108" a="1"/>
  <c r="Y67" i="108" s="1"/>
  <c r="AJ67" i="108" a="1"/>
  <c r="AJ67" i="108" s="1"/>
  <c r="S67" i="108" a="1"/>
  <c r="S67" i="108" s="1"/>
  <c r="Z67" i="108" a="1"/>
  <c r="Z67" i="108" s="1"/>
  <c r="Q67" i="108" a="1"/>
  <c r="Q67" i="108" s="1"/>
  <c r="AB67" i="108" a="1"/>
  <c r="AB67" i="108" s="1"/>
  <c r="AC67" i="108" a="1"/>
  <c r="AC67" i="108" s="1"/>
  <c r="AL67" i="108" a="1"/>
  <c r="AL67" i="108" s="1"/>
  <c r="T5" i="108" a="1"/>
  <c r="T5" i="108" s="1"/>
  <c r="AE5" i="108" a="1"/>
  <c r="AE5" i="108" s="1"/>
  <c r="Q5" i="108" a="1"/>
  <c r="Q5" i="108" s="1"/>
  <c r="AC5" i="108" a="1"/>
  <c r="AC5" i="108" s="1"/>
  <c r="R5" i="108" a="1"/>
  <c r="R5" i="108" s="1"/>
  <c r="AD5" i="108" a="1"/>
  <c r="AD5" i="108" s="1"/>
  <c r="AH5" i="108" a="1"/>
  <c r="AH5" i="108" s="1"/>
  <c r="J5" i="108" a="1"/>
  <c r="J5" i="108" s="1"/>
  <c r="V5" i="108" a="1"/>
  <c r="V5" i="108" s="1"/>
  <c r="AI5" i="108" a="1"/>
  <c r="AI5" i="108" s="1"/>
  <c r="N5" i="108" a="1"/>
  <c r="N5" i="108" s="1"/>
  <c r="Z5" i="108" a="1"/>
  <c r="Z5" i="108" s="1"/>
  <c r="AM5" i="108" a="1"/>
  <c r="AM5" i="108" s="1"/>
  <c r="U5" i="108" a="1"/>
  <c r="U5" i="108" s="1"/>
  <c r="K5" i="108" a="1"/>
  <c r="K5" i="108" s="1"/>
  <c r="AF5" i="108" a="1"/>
  <c r="AF5" i="108" s="1"/>
  <c r="L5" i="108" a="1"/>
  <c r="L5" i="108" s="1"/>
  <c r="AG5" i="108" a="1"/>
  <c r="AG5" i="108" s="1"/>
  <c r="M5" i="108" a="1"/>
  <c r="M5" i="108" s="1"/>
  <c r="AJ5" i="108" a="1"/>
  <c r="AJ5" i="108" s="1"/>
  <c r="O5" i="108" a="1"/>
  <c r="O5" i="108" s="1"/>
  <c r="AK5" i="108" a="1"/>
  <c r="AK5" i="108" s="1"/>
  <c r="S5" i="108" a="1"/>
  <c r="S5" i="108" s="1"/>
  <c r="X5" i="108" a="1"/>
  <c r="X5" i="108" s="1"/>
  <c r="Y5" i="108" a="1"/>
  <c r="Y5" i="108" s="1"/>
  <c r="AA5" i="108" a="1"/>
  <c r="AA5" i="108" s="1"/>
  <c r="AL5" i="108" a="1"/>
  <c r="AL5" i="108" s="1"/>
  <c r="P5" i="108" a="1"/>
  <c r="P5" i="108" s="1"/>
  <c r="W5" i="108" a="1"/>
  <c r="W5" i="108" s="1"/>
  <c r="AB5" i="108" a="1"/>
  <c r="AB5" i="108" s="1"/>
  <c r="AJ54" i="108" a="1"/>
  <c r="AJ54" i="108" s="1"/>
  <c r="Q54" i="108" a="1"/>
  <c r="Q54" i="108" s="1"/>
  <c r="Z54" i="108" a="1"/>
  <c r="Z54" i="108" s="1"/>
  <c r="T54" i="108" a="1"/>
  <c r="T54" i="108" s="1"/>
  <c r="AF54" i="108" a="1"/>
  <c r="AF54" i="108" s="1"/>
  <c r="N54" i="108" a="1"/>
  <c r="N54" i="108" s="1"/>
  <c r="AB54" i="108" a="1"/>
  <c r="AB54" i="108" s="1"/>
  <c r="O54" i="108" a="1"/>
  <c r="O54" i="108" s="1"/>
  <c r="AC54" i="108" a="1"/>
  <c r="AC54" i="108" s="1"/>
  <c r="V54" i="108" a="1"/>
  <c r="V54" i="108" s="1"/>
  <c r="AI54" i="108" a="1"/>
  <c r="AI54" i="108" s="1"/>
  <c r="J54" i="108" a="1"/>
  <c r="J54" i="108" s="1"/>
  <c r="W54" i="108" a="1"/>
  <c r="W54" i="108" s="1"/>
  <c r="AK54" i="108" a="1"/>
  <c r="AK54" i="108" s="1"/>
  <c r="AA54" i="108" a="1"/>
  <c r="AA54" i="108" s="1"/>
  <c r="AD54" i="108" a="1"/>
  <c r="AD54" i="108" s="1"/>
  <c r="K54" i="108" a="1"/>
  <c r="K54" i="108" s="1"/>
  <c r="AE54" i="108" a="1"/>
  <c r="AE54" i="108" s="1"/>
  <c r="L54" i="108" a="1"/>
  <c r="L54" i="108" s="1"/>
  <c r="M54" i="108" a="1"/>
  <c r="M54" i="108" s="1"/>
  <c r="AG54" i="108" a="1"/>
  <c r="AG54" i="108" s="1"/>
  <c r="P54" i="108" a="1"/>
  <c r="P54" i="108" s="1"/>
  <c r="AH54" i="108" a="1"/>
  <c r="AH54" i="108" s="1"/>
  <c r="X54" i="108" a="1"/>
  <c r="X54" i="108" s="1"/>
  <c r="R54" i="108" a="1"/>
  <c r="R54" i="108" s="1"/>
  <c r="AL54" i="108" a="1"/>
  <c r="AL54" i="108" s="1"/>
  <c r="S54" i="108" a="1"/>
  <c r="S54" i="108" s="1"/>
  <c r="AM54" i="108" a="1"/>
  <c r="AM54" i="108" s="1"/>
  <c r="U54" i="108" a="1"/>
  <c r="U54" i="108" s="1"/>
  <c r="Y54" i="108" a="1"/>
  <c r="Y54" i="108" s="1"/>
  <c r="L30" i="108" a="1"/>
  <c r="L30" i="108" s="1"/>
  <c r="U30" i="108" a="1"/>
  <c r="U30" i="108" s="1"/>
  <c r="AE30" i="108" a="1"/>
  <c r="AE30" i="108" s="1"/>
  <c r="AM30" i="108" a="1"/>
  <c r="AM30" i="108" s="1"/>
  <c r="T30" i="108" a="1"/>
  <c r="T30" i="108" s="1"/>
  <c r="AD30" i="108" a="1"/>
  <c r="AD30" i="108" s="1"/>
  <c r="J30" i="108" a="1"/>
  <c r="J30" i="108" s="1"/>
  <c r="AF30" i="108" a="1"/>
  <c r="AF30" i="108" s="1"/>
  <c r="N30" i="108" a="1"/>
  <c r="N30" i="108" s="1"/>
  <c r="W30" i="108" a="1"/>
  <c r="W30" i="108" s="1"/>
  <c r="AH30" i="108" a="1"/>
  <c r="AH30" i="108" s="1"/>
  <c r="X30" i="108" a="1"/>
  <c r="X30" i="108" s="1"/>
  <c r="Q30" i="108" a="1"/>
  <c r="Q30" i="108" s="1"/>
  <c r="AG30" i="108" a="1"/>
  <c r="AG30" i="108" s="1"/>
  <c r="AK30" i="108" a="1"/>
  <c r="AK30" i="108" s="1"/>
  <c r="K30" i="108" a="1"/>
  <c r="K30" i="108" s="1"/>
  <c r="Z30" i="108" a="1"/>
  <c r="Z30" i="108" s="1"/>
  <c r="M30" i="108" a="1"/>
  <c r="M30" i="108" s="1"/>
  <c r="AA30" i="108" a="1"/>
  <c r="AA30" i="108" s="1"/>
  <c r="V30" i="108" a="1"/>
  <c r="V30" i="108" s="1"/>
  <c r="P30" i="108" a="1"/>
  <c r="P30" i="108" s="1"/>
  <c r="AJ30" i="108" a="1"/>
  <c r="AJ30" i="108" s="1"/>
  <c r="R30" i="108" a="1"/>
  <c r="R30" i="108" s="1"/>
  <c r="AC30" i="108" a="1"/>
  <c r="AC30" i="108" s="1"/>
  <c r="AI30" i="108" a="1"/>
  <c r="AI30" i="108" s="1"/>
  <c r="S30" i="108" a="1"/>
  <c r="S30" i="108" s="1"/>
  <c r="Y30" i="108" a="1"/>
  <c r="Y30" i="108" s="1"/>
  <c r="O30" i="108" a="1"/>
  <c r="O30" i="108" s="1"/>
  <c r="AB30" i="108" a="1"/>
  <c r="AB30" i="108" s="1"/>
  <c r="AL30" i="108" a="1"/>
  <c r="AL30" i="108" s="1"/>
  <c r="U64" i="108" a="1"/>
  <c r="U64" i="108" s="1"/>
  <c r="AB64" i="108" a="1"/>
  <c r="AB64" i="108" s="1"/>
  <c r="R64" i="108" a="1"/>
  <c r="R64" i="108" s="1"/>
  <c r="AJ64" i="108" a="1"/>
  <c r="AJ64" i="108" s="1"/>
  <c r="L64" i="108" a="1"/>
  <c r="L64" i="108" s="1"/>
  <c r="V64" i="108" a="1"/>
  <c r="V64" i="108" s="1"/>
  <c r="AF64" i="108" a="1"/>
  <c r="AF64" i="108" s="1"/>
  <c r="M64" i="108" a="1"/>
  <c r="M64" i="108" s="1"/>
  <c r="W64" i="108" a="1"/>
  <c r="W64" i="108" s="1"/>
  <c r="AG64" i="108" a="1"/>
  <c r="AG64" i="108" s="1"/>
  <c r="X64" i="108" a="1"/>
  <c r="X64" i="108" s="1"/>
  <c r="N64" i="108" a="1"/>
  <c r="N64" i="108" s="1"/>
  <c r="AH64" i="108" a="1"/>
  <c r="AH64" i="108" s="1"/>
  <c r="Y64" i="108" a="1"/>
  <c r="Y64" i="108" s="1"/>
  <c r="O64" i="108" a="1"/>
  <c r="O64" i="108" s="1"/>
  <c r="AI64" i="108" a="1"/>
  <c r="AI64" i="108" s="1"/>
  <c r="P64" i="108" a="1"/>
  <c r="P64" i="108" s="1"/>
  <c r="Z64" i="108" a="1"/>
  <c r="Z64" i="108" s="1"/>
  <c r="AK64" i="108" a="1"/>
  <c r="AK64" i="108" s="1"/>
  <c r="Q64" i="108" a="1"/>
  <c r="Q64" i="108" s="1"/>
  <c r="AA64" i="108" a="1"/>
  <c r="AA64" i="108" s="1"/>
  <c r="AL64" i="108" a="1"/>
  <c r="AL64" i="108" s="1"/>
  <c r="S64" i="108" a="1"/>
  <c r="S64" i="108" s="1"/>
  <c r="J64" i="108" a="1"/>
  <c r="J64" i="108" s="1"/>
  <c r="T64" i="108" a="1"/>
  <c r="T64" i="108" s="1"/>
  <c r="AC64" i="108" a="1"/>
  <c r="AC64" i="108" s="1"/>
  <c r="AM64" i="108" a="1"/>
  <c r="AM64" i="108" s="1"/>
  <c r="AD64" i="108" a="1"/>
  <c r="AD64" i="108" s="1"/>
  <c r="AE64" i="108" a="1"/>
  <c r="AE64" i="108" s="1"/>
  <c r="K64" i="108" a="1"/>
  <c r="K64" i="108" s="1"/>
  <c r="U17" i="108" a="1"/>
  <c r="U17" i="108" s="1"/>
  <c r="AD17" i="108" a="1"/>
  <c r="AD17" i="108" s="1"/>
  <c r="Q17" i="108" a="1"/>
  <c r="Q17" i="108" s="1"/>
  <c r="AJ17" i="108" a="1"/>
  <c r="AJ17" i="108" s="1"/>
  <c r="AA17" i="108" a="1"/>
  <c r="AA17" i="108" s="1"/>
  <c r="AK17" i="108" a="1"/>
  <c r="AK17" i="108" s="1"/>
  <c r="J17" i="108" a="1"/>
  <c r="J17" i="108" s="1"/>
  <c r="T17" i="108" a="1"/>
  <c r="T17" i="108" s="1"/>
  <c r="AC17" i="108" a="1"/>
  <c r="AC17" i="108" s="1"/>
  <c r="AE17" i="108" a="1"/>
  <c r="AE17" i="108" s="1"/>
  <c r="W17" i="108" a="1"/>
  <c r="W17" i="108" s="1"/>
  <c r="AL17" i="108" a="1"/>
  <c r="AL17" i="108" s="1"/>
  <c r="O17" i="108" a="1"/>
  <c r="O17" i="108" s="1"/>
  <c r="AF17" i="108" a="1"/>
  <c r="AF17" i="108" s="1"/>
  <c r="P17" i="108" a="1"/>
  <c r="P17" i="108" s="1"/>
  <c r="R17" i="108" a="1"/>
  <c r="R17" i="108" s="1"/>
  <c r="AG17" i="108" a="1"/>
  <c r="AG17" i="108" s="1"/>
  <c r="S17" i="108" a="1"/>
  <c r="S17" i="108" s="1"/>
  <c r="AH17" i="108" a="1"/>
  <c r="AH17" i="108" s="1"/>
  <c r="V17" i="108" a="1"/>
  <c r="V17" i="108" s="1"/>
  <c r="AB17" i="108" a="1"/>
  <c r="AB17" i="108" s="1"/>
  <c r="AI17" i="108" a="1"/>
  <c r="AI17" i="108" s="1"/>
  <c r="K17" i="108" a="1"/>
  <c r="K17" i="108" s="1"/>
  <c r="L17" i="108" a="1"/>
  <c r="L17" i="108" s="1"/>
  <c r="AM17" i="108" a="1"/>
  <c r="AM17" i="108" s="1"/>
  <c r="N17" i="108" a="1"/>
  <c r="N17" i="108" s="1"/>
  <c r="M17" i="108" a="1"/>
  <c r="M17" i="108" s="1"/>
  <c r="Y17" i="108" a="1"/>
  <c r="Y17" i="108" s="1"/>
  <c r="Z17" i="108" a="1"/>
  <c r="Z17" i="108" s="1"/>
  <c r="X17" i="108" a="1"/>
  <c r="X17" i="108" s="1"/>
  <c r="AC32" i="108" a="1"/>
  <c r="AC32" i="108" s="1"/>
  <c r="P32" i="108" a="1"/>
  <c r="P32" i="108" s="1"/>
  <c r="AH32" i="108" a="1"/>
  <c r="AH32" i="108" s="1"/>
  <c r="Y32" i="108" a="1"/>
  <c r="Y32" i="108" s="1"/>
  <c r="S32" i="108" a="1"/>
  <c r="S32" i="108" s="1"/>
  <c r="AA32" i="108" a="1"/>
  <c r="AA32" i="108" s="1"/>
  <c r="AJ32" i="108" a="1"/>
  <c r="AJ32" i="108" s="1"/>
  <c r="K32" i="108" a="1"/>
  <c r="K32" i="108" s="1"/>
  <c r="T32" i="108" a="1"/>
  <c r="T32" i="108" s="1"/>
  <c r="AB32" i="108" a="1"/>
  <c r="AB32" i="108" s="1"/>
  <c r="AK32" i="108" a="1"/>
  <c r="AK32" i="108" s="1"/>
  <c r="U32" i="108" a="1"/>
  <c r="U32" i="108" s="1"/>
  <c r="AG32" i="108" a="1"/>
  <c r="AG32" i="108" s="1"/>
  <c r="J32" i="108" a="1"/>
  <c r="J32" i="108" s="1"/>
  <c r="W32" i="108" a="1"/>
  <c r="W32" i="108" s="1"/>
  <c r="R32" i="108" a="1"/>
  <c r="R32" i="108" s="1"/>
  <c r="AI32" i="108" a="1"/>
  <c r="AI32" i="108" s="1"/>
  <c r="M32" i="108" a="1"/>
  <c r="M32" i="108" s="1"/>
  <c r="AD32" i="108" a="1"/>
  <c r="AD32" i="108" s="1"/>
  <c r="V32" i="108" a="1"/>
  <c r="V32" i="108" s="1"/>
  <c r="AF32" i="108" a="1"/>
  <c r="AF32" i="108" s="1"/>
  <c r="L32" i="108" a="1"/>
  <c r="L32" i="108" s="1"/>
  <c r="N32" i="108" a="1"/>
  <c r="N32" i="108" s="1"/>
  <c r="O32" i="108" a="1"/>
  <c r="O32" i="108" s="1"/>
  <c r="AL32" i="108" a="1"/>
  <c r="AL32" i="108" s="1"/>
  <c r="Z32" i="108" a="1"/>
  <c r="Z32" i="108" s="1"/>
  <c r="AE32" i="108" a="1"/>
  <c r="AE32" i="108" s="1"/>
  <c r="AM32" i="108" a="1"/>
  <c r="AM32" i="108" s="1"/>
  <c r="X32" i="108" a="1"/>
  <c r="X32" i="108" s="1"/>
  <c r="Q32" i="108" a="1"/>
  <c r="Q32" i="108" s="1"/>
  <c r="CB72" i="106" a="1"/>
  <c r="CB72" i="106" s="1"/>
  <c r="CC72" i="106" a="1"/>
  <c r="CC72" i="106" s="1"/>
  <c r="CD72" i="106" a="1"/>
  <c r="CD72" i="106" s="1"/>
  <c r="CF72" i="106" a="1"/>
  <c r="CF72" i="106" s="1"/>
  <c r="CE72" i="106" a="1"/>
  <c r="CE72" i="106" s="1"/>
  <c r="CG72" i="106" a="1"/>
  <c r="CG72" i="106" s="1"/>
  <c r="J36" i="108" a="1"/>
  <c r="J36" i="108" s="1"/>
  <c r="R36" i="108" a="1"/>
  <c r="R36" i="108" s="1"/>
  <c r="AJ36" i="108" a="1"/>
  <c r="AJ36" i="108" s="1"/>
  <c r="N36" i="108" a="1"/>
  <c r="N36" i="108" s="1"/>
  <c r="X36" i="108" a="1"/>
  <c r="X36" i="108" s="1"/>
  <c r="AH36" i="108" a="1"/>
  <c r="AH36" i="108" s="1"/>
  <c r="Q36" i="108" a="1"/>
  <c r="Q36" i="108" s="1"/>
  <c r="Z36" i="108" a="1"/>
  <c r="Z36" i="108" s="1"/>
  <c r="AL36" i="108" a="1"/>
  <c r="AL36" i="108" s="1"/>
  <c r="S36" i="108" a="1"/>
  <c r="S36" i="108" s="1"/>
  <c r="AA36" i="108" a="1"/>
  <c r="AA36" i="108" s="1"/>
  <c r="AM36" i="108" a="1"/>
  <c r="AM36" i="108" s="1"/>
  <c r="L36" i="108" a="1"/>
  <c r="L36" i="108" s="1"/>
  <c r="Y36" i="108" a="1"/>
  <c r="Y36" i="108" s="1"/>
  <c r="M36" i="108" a="1"/>
  <c r="M36" i="108" s="1"/>
  <c r="AE36" i="108" a="1"/>
  <c r="AE36" i="108" s="1"/>
  <c r="V36" i="108" a="1"/>
  <c r="V36" i="108" s="1"/>
  <c r="AG36" i="108" a="1"/>
  <c r="AG36" i="108" s="1"/>
  <c r="O36" i="108" a="1"/>
  <c r="O36" i="108" s="1"/>
  <c r="AI36" i="108" a="1"/>
  <c r="AI36" i="108" s="1"/>
  <c r="P36" i="108" a="1"/>
  <c r="P36" i="108" s="1"/>
  <c r="AK36" i="108" a="1"/>
  <c r="AK36" i="108" s="1"/>
  <c r="T36" i="108" a="1"/>
  <c r="T36" i="108" s="1"/>
  <c r="AD36" i="108" a="1"/>
  <c r="AD36" i="108" s="1"/>
  <c r="AF36" i="108" a="1"/>
  <c r="AF36" i="108" s="1"/>
  <c r="K36" i="108" a="1"/>
  <c r="K36" i="108" s="1"/>
  <c r="AB36" i="108" a="1"/>
  <c r="AB36" i="108" s="1"/>
  <c r="U36" i="108" a="1"/>
  <c r="U36" i="108" s="1"/>
  <c r="W36" i="108" a="1"/>
  <c r="W36" i="108" s="1"/>
  <c r="AC36" i="108" a="1"/>
  <c r="AC36" i="108" s="1"/>
  <c r="L38" i="108" a="1"/>
  <c r="L38" i="108" s="1"/>
  <c r="U38" i="108" a="1"/>
  <c r="U38" i="108" s="1"/>
  <c r="AC38" i="108" a="1"/>
  <c r="AC38" i="108" s="1"/>
  <c r="M38" i="108" a="1"/>
  <c r="M38" i="108" s="1"/>
  <c r="AF38" i="108" a="1"/>
  <c r="AF38" i="108" s="1"/>
  <c r="W38" i="108" a="1"/>
  <c r="W38" i="108" s="1"/>
  <c r="AG38" i="108" a="1"/>
  <c r="AG38" i="108" s="1"/>
  <c r="Y38" i="108" a="1"/>
  <c r="Y38" i="108" s="1"/>
  <c r="P38" i="108" a="1"/>
  <c r="P38" i="108" s="1"/>
  <c r="AI38" i="108" a="1"/>
  <c r="AI38" i="108" s="1"/>
  <c r="K38" i="108" a="1"/>
  <c r="K38" i="108" s="1"/>
  <c r="X38" i="108" a="1"/>
  <c r="X38" i="108" s="1"/>
  <c r="AM38" i="108" a="1"/>
  <c r="AM38" i="108" s="1"/>
  <c r="R38" i="108" a="1"/>
  <c r="R38" i="108" s="1"/>
  <c r="AH38" i="108" a="1"/>
  <c r="AH38" i="108" s="1"/>
  <c r="Z38" i="108" a="1"/>
  <c r="Z38" i="108" s="1"/>
  <c r="AA38" i="108" a="1"/>
  <c r="AA38" i="108" s="1"/>
  <c r="O38" i="108" a="1"/>
  <c r="O38" i="108" s="1"/>
  <c r="AJ38" i="108" a="1"/>
  <c r="AJ38" i="108" s="1"/>
  <c r="Q38" i="108" a="1"/>
  <c r="Q38" i="108" s="1"/>
  <c r="AK38" i="108" a="1"/>
  <c r="AK38" i="108" s="1"/>
  <c r="S38" i="108" a="1"/>
  <c r="S38" i="108" s="1"/>
  <c r="AL38" i="108" a="1"/>
  <c r="AL38" i="108" s="1"/>
  <c r="T38" i="108" a="1"/>
  <c r="T38" i="108" s="1"/>
  <c r="N38" i="108" a="1"/>
  <c r="N38" i="108" s="1"/>
  <c r="V38" i="108" a="1"/>
  <c r="V38" i="108" s="1"/>
  <c r="AB38" i="108" a="1"/>
  <c r="AB38" i="108" s="1"/>
  <c r="AD38" i="108" a="1"/>
  <c r="AD38" i="108" s="1"/>
  <c r="AE38" i="108" a="1"/>
  <c r="AE38" i="108" s="1"/>
  <c r="J38" i="108" a="1"/>
  <c r="J38" i="108" s="1"/>
  <c r="O55" i="108" a="1"/>
  <c r="O55" i="108" s="1"/>
  <c r="W55" i="108" a="1"/>
  <c r="W55" i="108" s="1"/>
  <c r="AG55" i="108" a="1"/>
  <c r="AG55" i="108" s="1"/>
  <c r="X55" i="108" a="1"/>
  <c r="X55" i="108" s="1"/>
  <c r="L55" i="108" a="1"/>
  <c r="L55" i="108" s="1"/>
  <c r="V55" i="108" a="1"/>
  <c r="V55" i="108" s="1"/>
  <c r="AE55" i="108" a="1"/>
  <c r="AE55" i="108" s="1"/>
  <c r="J55" i="108" a="1"/>
  <c r="J55" i="108" s="1"/>
  <c r="Y55" i="108" a="1"/>
  <c r="Y55" i="108" s="1"/>
  <c r="AK55" i="108" a="1"/>
  <c r="AK55" i="108" s="1"/>
  <c r="K55" i="108" a="1"/>
  <c r="K55" i="108" s="1"/>
  <c r="Z55" i="108" a="1"/>
  <c r="Z55" i="108" s="1"/>
  <c r="AL55" i="108" a="1"/>
  <c r="AL55" i="108" s="1"/>
  <c r="S55" i="108" a="1"/>
  <c r="S55" i="108" s="1"/>
  <c r="AF55" i="108" a="1"/>
  <c r="AF55" i="108" s="1"/>
  <c r="T55" i="108" a="1"/>
  <c r="T55" i="108" s="1"/>
  <c r="Q55" i="108" a="1"/>
  <c r="Q55" i="108" s="1"/>
  <c r="AJ55" i="108" a="1"/>
  <c r="AJ55" i="108" s="1"/>
  <c r="R55" i="108" a="1"/>
  <c r="R55" i="108" s="1"/>
  <c r="AM55" i="108" a="1"/>
  <c r="AM55" i="108" s="1"/>
  <c r="U55" i="108" a="1"/>
  <c r="U55" i="108" s="1"/>
  <c r="AA55" i="108" a="1"/>
  <c r="AA55" i="108" s="1"/>
  <c r="AB55" i="108" a="1"/>
  <c r="AB55" i="108" s="1"/>
  <c r="AH55" i="108" a="1"/>
  <c r="AH55" i="108" s="1"/>
  <c r="AC55" i="108" a="1"/>
  <c r="AC55" i="108" s="1"/>
  <c r="N55" i="108" a="1"/>
  <c r="N55" i="108" s="1"/>
  <c r="M55" i="108" a="1"/>
  <c r="M55" i="108" s="1"/>
  <c r="AD55" i="108" a="1"/>
  <c r="AD55" i="108" s="1"/>
  <c r="P55" i="108" a="1"/>
  <c r="P55" i="108" s="1"/>
  <c r="AI55" i="108" a="1"/>
  <c r="AI55" i="108" s="1"/>
  <c r="L51" i="108" a="1"/>
  <c r="L51" i="108" s="1"/>
  <c r="AE51" i="108" a="1"/>
  <c r="AE51" i="108" s="1"/>
  <c r="M51" i="108" a="1"/>
  <c r="M51" i="108" s="1"/>
  <c r="W51" i="108" a="1"/>
  <c r="W51" i="108" s="1"/>
  <c r="AF51" i="108" a="1"/>
  <c r="AF51" i="108" s="1"/>
  <c r="U51" i="108" a="1"/>
  <c r="U51" i="108" s="1"/>
  <c r="Q51" i="108" a="1"/>
  <c r="Q51" i="108" s="1"/>
  <c r="AB51" i="108" a="1"/>
  <c r="AB51" i="108" s="1"/>
  <c r="J51" i="108" a="1"/>
  <c r="J51" i="108" s="1"/>
  <c r="AK51" i="108" a="1"/>
  <c r="AK51" i="108" s="1"/>
  <c r="Y51" i="108" a="1"/>
  <c r="Y51" i="108" s="1"/>
  <c r="S51" i="108" a="1"/>
  <c r="S51" i="108" s="1"/>
  <c r="AG51" i="108" a="1"/>
  <c r="AG51" i="108" s="1"/>
  <c r="T51" i="108" a="1"/>
  <c r="T51" i="108" s="1"/>
  <c r="AH51" i="108" a="1"/>
  <c r="AH51" i="108" s="1"/>
  <c r="P51" i="108" a="1"/>
  <c r="P51" i="108" s="1"/>
  <c r="AJ51" i="108" a="1"/>
  <c r="AJ51" i="108" s="1"/>
  <c r="R51" i="108" a="1"/>
  <c r="R51" i="108" s="1"/>
  <c r="AL51" i="108" a="1"/>
  <c r="AL51" i="108" s="1"/>
  <c r="AM51" i="108" a="1"/>
  <c r="AM51" i="108" s="1"/>
  <c r="V51" i="108" a="1"/>
  <c r="V51" i="108" s="1"/>
  <c r="X51" i="108" a="1"/>
  <c r="X51" i="108" s="1"/>
  <c r="Z51" i="108" a="1"/>
  <c r="Z51" i="108" s="1"/>
  <c r="N51" i="108" a="1"/>
  <c r="N51" i="108" s="1"/>
  <c r="AA51" i="108" a="1"/>
  <c r="AA51" i="108" s="1"/>
  <c r="AC51" i="108" a="1"/>
  <c r="AC51" i="108" s="1"/>
  <c r="K51" i="108" a="1"/>
  <c r="K51" i="108" s="1"/>
  <c r="AD51" i="108" a="1"/>
  <c r="AD51" i="108" s="1"/>
  <c r="O51" i="108" a="1"/>
  <c r="O51" i="108" s="1"/>
  <c r="AI51" i="108" a="1"/>
  <c r="AI51" i="108" s="1"/>
  <c r="W68" i="108" a="1"/>
  <c r="W68" i="108" s="1"/>
  <c r="AE68" i="108" a="1"/>
  <c r="AE68" i="108" s="1"/>
  <c r="AL68" i="108" a="1"/>
  <c r="AL68" i="108" s="1"/>
  <c r="N68" i="108" a="1"/>
  <c r="N68" i="108" s="1"/>
  <c r="V68" i="108" a="1"/>
  <c r="V68" i="108" s="1"/>
  <c r="AM68" i="108" a="1"/>
  <c r="AM68" i="108" s="1"/>
  <c r="AA68" i="108" a="1"/>
  <c r="AA68" i="108" s="1"/>
  <c r="J68" i="108" a="1"/>
  <c r="J68" i="108" s="1"/>
  <c r="S68" i="108" a="1"/>
  <c r="S68" i="108" s="1"/>
  <c r="AB68" i="108" a="1"/>
  <c r="AB68" i="108" s="1"/>
  <c r="AK68" i="108" a="1"/>
  <c r="AK68" i="108" s="1"/>
  <c r="K68" i="108" a="1"/>
  <c r="K68" i="108" s="1"/>
  <c r="L68" i="108" a="1"/>
  <c r="L68" i="108" s="1"/>
  <c r="T68" i="108" a="1"/>
  <c r="T68" i="108" s="1"/>
  <c r="AC68" i="108" a="1"/>
  <c r="AC68" i="108" s="1"/>
  <c r="AD68" i="108" a="1"/>
  <c r="AD68" i="108" s="1"/>
  <c r="M68" i="108" a="1"/>
  <c r="M68" i="108" s="1"/>
  <c r="U68" i="108" a="1"/>
  <c r="U68" i="108" s="1"/>
  <c r="AF68" i="108" a="1"/>
  <c r="AF68" i="108" s="1"/>
  <c r="X68" i="108" a="1"/>
  <c r="X68" i="108" s="1"/>
  <c r="Q68" i="108" a="1"/>
  <c r="Q68" i="108" s="1"/>
  <c r="O68" i="108" a="1"/>
  <c r="O68" i="108" s="1"/>
  <c r="AG68" i="108" a="1"/>
  <c r="AG68" i="108" s="1"/>
  <c r="Z68" i="108" a="1"/>
  <c r="Z68" i="108" s="1"/>
  <c r="P68" i="108" a="1"/>
  <c r="P68" i="108" s="1"/>
  <c r="Y68" i="108" a="1"/>
  <c r="Y68" i="108" s="1"/>
  <c r="AH68" i="108" a="1"/>
  <c r="AH68" i="108" s="1"/>
  <c r="AI68" i="108" a="1"/>
  <c r="AI68" i="108" s="1"/>
  <c r="R68" i="108" a="1"/>
  <c r="R68" i="108" s="1"/>
  <c r="AJ68" i="108" a="1"/>
  <c r="AJ68" i="108" s="1"/>
  <c r="AA46" i="108" a="1"/>
  <c r="AA46" i="108" s="1"/>
  <c r="AI46" i="108" a="1"/>
  <c r="AI46" i="108" s="1"/>
  <c r="Q46" i="108" a="1"/>
  <c r="Q46" i="108" s="1"/>
  <c r="AJ46" i="108" a="1"/>
  <c r="AJ46" i="108" s="1"/>
  <c r="P46" i="108" a="1"/>
  <c r="P46" i="108" s="1"/>
  <c r="AM46" i="108" a="1"/>
  <c r="AM46" i="108" s="1"/>
  <c r="J46" i="108" a="1"/>
  <c r="J46" i="108" s="1"/>
  <c r="K46" i="108" a="1"/>
  <c r="K46" i="108" s="1"/>
  <c r="W46" i="108" a="1"/>
  <c r="W46" i="108" s="1"/>
  <c r="AH46" i="108" a="1"/>
  <c r="AH46" i="108" s="1"/>
  <c r="S46" i="108" a="1"/>
  <c r="S46" i="108" s="1"/>
  <c r="AE46" i="108" a="1"/>
  <c r="AE46" i="108" s="1"/>
  <c r="U46" i="108" a="1"/>
  <c r="U46" i="108" s="1"/>
  <c r="V46" i="108" a="1"/>
  <c r="V46" i="108" s="1"/>
  <c r="AK46" i="108" a="1"/>
  <c r="AK46" i="108" s="1"/>
  <c r="AD46" i="108" a="1"/>
  <c r="AD46" i="108" s="1"/>
  <c r="O46" i="108" a="1"/>
  <c r="O46" i="108" s="1"/>
  <c r="AF46" i="108" a="1"/>
  <c r="AF46" i="108" s="1"/>
  <c r="R46" i="108" a="1"/>
  <c r="R46" i="108" s="1"/>
  <c r="M46" i="108" a="1"/>
  <c r="M46" i="108" s="1"/>
  <c r="N46" i="108" a="1"/>
  <c r="N46" i="108" s="1"/>
  <c r="T46" i="108" a="1"/>
  <c r="T46" i="108" s="1"/>
  <c r="X46" i="108" a="1"/>
  <c r="X46" i="108" s="1"/>
  <c r="Y46" i="108" a="1"/>
  <c r="Y46" i="108" s="1"/>
  <c r="Z46" i="108" a="1"/>
  <c r="Z46" i="108" s="1"/>
  <c r="AB46" i="108" a="1"/>
  <c r="AB46" i="108" s="1"/>
  <c r="AC46" i="108" a="1"/>
  <c r="AC46" i="108" s="1"/>
  <c r="AG46" i="108" a="1"/>
  <c r="AG46" i="108" s="1"/>
  <c r="AL46" i="108" a="1"/>
  <c r="AL46" i="108" s="1"/>
  <c r="L46" i="108" a="1"/>
  <c r="L46" i="108" s="1"/>
  <c r="K48" i="108" a="1"/>
  <c r="K48" i="108" s="1"/>
  <c r="S48" i="108" a="1"/>
  <c r="S48" i="108" s="1"/>
  <c r="AB48" i="108" a="1"/>
  <c r="AB48" i="108" s="1"/>
  <c r="AL48" i="108" a="1"/>
  <c r="AL48" i="108" s="1"/>
  <c r="L48" i="108" a="1"/>
  <c r="L48" i="108" s="1"/>
  <c r="T48" i="108" a="1"/>
  <c r="T48" i="108" s="1"/>
  <c r="AM48" i="108" a="1"/>
  <c r="AM48" i="108" s="1"/>
  <c r="J48" i="108" a="1"/>
  <c r="J48" i="108" s="1"/>
  <c r="V48" i="108" a="1"/>
  <c r="V48" i="108" s="1"/>
  <c r="AG48" i="108" a="1"/>
  <c r="AG48" i="108" s="1"/>
  <c r="Q48" i="108" a="1"/>
  <c r="Q48" i="108" s="1"/>
  <c r="AC48" i="108" a="1"/>
  <c r="AC48" i="108" s="1"/>
  <c r="P48" i="108" a="1"/>
  <c r="P48" i="108" s="1"/>
  <c r="AE48" i="108" a="1"/>
  <c r="AE48" i="108" s="1"/>
  <c r="R48" i="108" a="1"/>
  <c r="R48" i="108" s="1"/>
  <c r="AF48" i="108" a="1"/>
  <c r="AF48" i="108" s="1"/>
  <c r="Z48" i="108" a="1"/>
  <c r="Z48" i="108" s="1"/>
  <c r="N48" i="108" a="1"/>
  <c r="N48" i="108" s="1"/>
  <c r="AA48" i="108" a="1"/>
  <c r="AA48" i="108" s="1"/>
  <c r="O48" i="108" a="1"/>
  <c r="O48" i="108" s="1"/>
  <c r="AK48" i="108" a="1"/>
  <c r="AK48" i="108" s="1"/>
  <c r="M48" i="108" a="1"/>
  <c r="M48" i="108" s="1"/>
  <c r="U48" i="108" a="1"/>
  <c r="U48" i="108" s="1"/>
  <c r="W48" i="108" a="1"/>
  <c r="W48" i="108" s="1"/>
  <c r="X48" i="108" a="1"/>
  <c r="X48" i="108" s="1"/>
  <c r="Y48" i="108" a="1"/>
  <c r="Y48" i="108" s="1"/>
  <c r="AD48" i="108" a="1"/>
  <c r="AD48" i="108" s="1"/>
  <c r="AH48" i="108" a="1"/>
  <c r="AH48" i="108" s="1"/>
  <c r="AI48" i="108" a="1"/>
  <c r="AI48" i="108" s="1"/>
  <c r="AJ48" i="108" a="1"/>
  <c r="AJ48" i="108" s="1"/>
  <c r="P65" i="108" a="1"/>
  <c r="P65" i="108" s="1"/>
  <c r="X65" i="108" a="1"/>
  <c r="X65" i="108" s="1"/>
  <c r="O65" i="108" a="1"/>
  <c r="O65" i="108" s="1"/>
  <c r="AF65" i="108" a="1"/>
  <c r="AF65" i="108" s="1"/>
  <c r="K65" i="108" a="1"/>
  <c r="K65" i="108" s="1"/>
  <c r="V65" i="108" a="1"/>
  <c r="V65" i="108" s="1"/>
  <c r="AG65" i="108" a="1"/>
  <c r="AG65" i="108" s="1"/>
  <c r="L65" i="108" a="1"/>
  <c r="L65" i="108" s="1"/>
  <c r="AH65" i="108" a="1"/>
  <c r="AH65" i="108" s="1"/>
  <c r="M65" i="108" a="1"/>
  <c r="M65" i="108" s="1"/>
  <c r="W65" i="108" a="1"/>
  <c r="W65" i="108" s="1"/>
  <c r="AI65" i="108" a="1"/>
  <c r="AI65" i="108" s="1"/>
  <c r="N65" i="108" a="1"/>
  <c r="N65" i="108" s="1"/>
  <c r="Y65" i="108" a="1"/>
  <c r="Y65" i="108" s="1"/>
  <c r="AJ65" i="108" a="1"/>
  <c r="AJ65" i="108" s="1"/>
  <c r="Z65" i="108" a="1"/>
  <c r="Z65" i="108" s="1"/>
  <c r="Q65" i="108" a="1"/>
  <c r="Q65" i="108" s="1"/>
  <c r="AA65" i="108" a="1"/>
  <c r="AA65" i="108" s="1"/>
  <c r="AK65" i="108" a="1"/>
  <c r="AK65" i="108" s="1"/>
  <c r="R65" i="108" a="1"/>
  <c r="R65" i="108" s="1"/>
  <c r="AB65" i="108" a="1"/>
  <c r="AB65" i="108" s="1"/>
  <c r="S65" i="108" a="1"/>
  <c r="S65" i="108" s="1"/>
  <c r="AC65" i="108" a="1"/>
  <c r="AC65" i="108" s="1"/>
  <c r="AL65" i="108" a="1"/>
  <c r="AL65" i="108" s="1"/>
  <c r="T65" i="108" a="1"/>
  <c r="T65" i="108" s="1"/>
  <c r="AD65" i="108" a="1"/>
  <c r="AD65" i="108" s="1"/>
  <c r="AM65" i="108" a="1"/>
  <c r="AM65" i="108" s="1"/>
  <c r="J65" i="108" a="1"/>
  <c r="J65" i="108" s="1"/>
  <c r="U65" i="108" a="1"/>
  <c r="U65" i="108" s="1"/>
  <c r="AE65" i="108" a="1"/>
  <c r="AE65" i="108" s="1"/>
  <c r="CB68" i="106" a="1"/>
  <c r="CB68" i="106" s="1"/>
  <c r="CC68" i="106" a="1"/>
  <c r="CC68" i="106" s="1"/>
  <c r="CD68" i="106" a="1"/>
  <c r="CD68" i="106" s="1"/>
  <c r="CF68" i="106" a="1"/>
  <c r="CF68" i="106" s="1"/>
  <c r="CG68" i="106" a="1"/>
  <c r="CG68" i="106" s="1"/>
  <c r="CE68" i="106" a="1"/>
  <c r="CE68" i="106" s="1"/>
  <c r="N61" i="108" a="1"/>
  <c r="N61" i="108" s="1"/>
  <c r="W61" i="108" a="1"/>
  <c r="W61" i="108" s="1"/>
  <c r="AF61" i="108" a="1"/>
  <c r="AF61" i="108" s="1"/>
  <c r="L61" i="108" a="1"/>
  <c r="L61" i="108" s="1"/>
  <c r="V61" i="108" a="1"/>
  <c r="V61" i="108" s="1"/>
  <c r="AB61" i="108" a="1"/>
  <c r="AB61" i="108" s="1"/>
  <c r="AL61" i="108" a="1"/>
  <c r="AL61" i="108" s="1"/>
  <c r="S61" i="108" a="1"/>
  <c r="S61" i="108" s="1"/>
  <c r="AC61" i="108" a="1"/>
  <c r="AC61" i="108" s="1"/>
  <c r="M61" i="108" a="1"/>
  <c r="M61" i="108" s="1"/>
  <c r="Z61" i="108" a="1"/>
  <c r="Z61" i="108" s="1"/>
  <c r="O61" i="108" a="1"/>
  <c r="O61" i="108" s="1"/>
  <c r="AA61" i="108" a="1"/>
  <c r="AA61" i="108" s="1"/>
  <c r="P61" i="108" a="1"/>
  <c r="P61" i="108" s="1"/>
  <c r="AD61" i="108" a="1"/>
  <c r="AD61" i="108" s="1"/>
  <c r="Q61" i="108" a="1"/>
  <c r="Q61" i="108" s="1"/>
  <c r="R61" i="108" a="1"/>
  <c r="R61" i="108" s="1"/>
  <c r="AE61" i="108" a="1"/>
  <c r="AE61" i="108" s="1"/>
  <c r="T61" i="108" a="1"/>
  <c r="T61" i="108" s="1"/>
  <c r="AG61" i="108" a="1"/>
  <c r="AG61" i="108" s="1"/>
  <c r="Y61" i="108" a="1"/>
  <c r="Y61" i="108" s="1"/>
  <c r="U61" i="108" a="1"/>
  <c r="U61" i="108" s="1"/>
  <c r="AH61" i="108" a="1"/>
  <c r="AH61" i="108" s="1"/>
  <c r="J61" i="108" a="1"/>
  <c r="J61" i="108" s="1"/>
  <c r="AI61" i="108" a="1"/>
  <c r="AI61" i="108" s="1"/>
  <c r="K61" i="108" a="1"/>
  <c r="K61" i="108" s="1"/>
  <c r="X61" i="108" a="1"/>
  <c r="X61" i="108" s="1"/>
  <c r="AJ61" i="108" a="1"/>
  <c r="AJ61" i="108" s="1"/>
  <c r="AK61" i="108" a="1"/>
  <c r="AK61" i="108" s="1"/>
  <c r="AM61" i="108" a="1"/>
  <c r="AM61" i="108" s="1"/>
  <c r="P69" i="108" a="1"/>
  <c r="P69" i="108" s="1"/>
  <c r="AE69" i="108" a="1"/>
  <c r="AE69" i="108" s="1"/>
  <c r="AL69" i="108" a="1"/>
  <c r="AL69" i="108" s="1"/>
  <c r="R69" i="108" a="1"/>
  <c r="R69" i="108" s="1"/>
  <c r="X69" i="108" a="1"/>
  <c r="X69" i="108" s="1"/>
  <c r="Y69" i="108" a="1"/>
  <c r="Y69" i="108" s="1"/>
  <c r="AG69" i="108" a="1"/>
  <c r="AG69" i="108" s="1"/>
  <c r="Q69" i="108" a="1"/>
  <c r="Q69" i="108" s="1"/>
  <c r="Z69" i="108" a="1"/>
  <c r="Z69" i="108" s="1"/>
  <c r="AA69" i="108" a="1"/>
  <c r="AA69" i="108" s="1"/>
  <c r="AH69" i="108" a="1"/>
  <c r="AH69" i="108" s="1"/>
  <c r="S69" i="108" a="1"/>
  <c r="S69" i="108" s="1"/>
  <c r="J69" i="108" a="1"/>
  <c r="J69" i="108" s="1"/>
  <c r="AB69" i="108" a="1"/>
  <c r="AB69" i="108" s="1"/>
  <c r="AI69" i="108" a="1"/>
  <c r="AI69" i="108" s="1"/>
  <c r="K69" i="108" a="1"/>
  <c r="K69" i="108" s="1"/>
  <c r="T69" i="108" a="1"/>
  <c r="T69" i="108" s="1"/>
  <c r="AJ69" i="108" a="1"/>
  <c r="AJ69" i="108" s="1"/>
  <c r="M69" i="108" a="1"/>
  <c r="M69" i="108" s="1"/>
  <c r="AD69" i="108" a="1"/>
  <c r="AD69" i="108" s="1"/>
  <c r="L69" i="108" a="1"/>
  <c r="L69" i="108" s="1"/>
  <c r="AC69" i="108" a="1"/>
  <c r="AC69" i="108" s="1"/>
  <c r="AK69" i="108" a="1"/>
  <c r="AK69" i="108" s="1"/>
  <c r="U69" i="108" a="1"/>
  <c r="U69" i="108" s="1"/>
  <c r="N69" i="108" a="1"/>
  <c r="N69" i="108" s="1"/>
  <c r="AM69" i="108" a="1"/>
  <c r="AM69" i="108" s="1"/>
  <c r="O69" i="108" a="1"/>
  <c r="O69" i="108" s="1"/>
  <c r="V69" i="108" a="1"/>
  <c r="V69" i="108" s="1"/>
  <c r="W69" i="108" a="1"/>
  <c r="W69" i="108" s="1"/>
  <c r="AF69" i="108" a="1"/>
  <c r="AF69" i="108" s="1"/>
  <c r="R57" i="108" a="1"/>
  <c r="R57" i="108" s="1"/>
  <c r="AA57" i="108" a="1"/>
  <c r="AA57" i="108" s="1"/>
  <c r="AI57" i="108" a="1"/>
  <c r="AI57" i="108" s="1"/>
  <c r="X57" i="108" a="1"/>
  <c r="X57" i="108" s="1"/>
  <c r="O57" i="108" a="1"/>
  <c r="O57" i="108" s="1"/>
  <c r="Y57" i="108" a="1"/>
  <c r="Y57" i="108" s="1"/>
  <c r="J57" i="108" a="1"/>
  <c r="J57" i="108" s="1"/>
  <c r="T57" i="108" a="1"/>
  <c r="T57" i="108" s="1"/>
  <c r="AE57" i="108" a="1"/>
  <c r="AE57" i="108" s="1"/>
  <c r="K57" i="108" a="1"/>
  <c r="K57" i="108" s="1"/>
  <c r="N57" i="108" a="1"/>
  <c r="N57" i="108" s="1"/>
  <c r="AC57" i="108" a="1"/>
  <c r="AC57" i="108" s="1"/>
  <c r="P57" i="108" a="1"/>
  <c r="P57" i="108" s="1"/>
  <c r="AD57" i="108" a="1"/>
  <c r="AD57" i="108" s="1"/>
  <c r="Q57" i="108" a="1"/>
  <c r="Q57" i="108" s="1"/>
  <c r="AF57" i="108" a="1"/>
  <c r="AF57" i="108" s="1"/>
  <c r="S57" i="108" a="1"/>
  <c r="S57" i="108" s="1"/>
  <c r="AG57" i="108" a="1"/>
  <c r="AG57" i="108" s="1"/>
  <c r="L57" i="108" a="1"/>
  <c r="L57" i="108" s="1"/>
  <c r="AH57" i="108" a="1"/>
  <c r="AH57" i="108" s="1"/>
  <c r="U57" i="108" a="1"/>
  <c r="U57" i="108" s="1"/>
  <c r="AJ57" i="108" a="1"/>
  <c r="AJ57" i="108" s="1"/>
  <c r="V57" i="108" a="1"/>
  <c r="V57" i="108" s="1"/>
  <c r="AK57" i="108" a="1"/>
  <c r="AK57" i="108" s="1"/>
  <c r="W57" i="108" a="1"/>
  <c r="W57" i="108" s="1"/>
  <c r="AL57" i="108" a="1"/>
  <c r="AL57" i="108" s="1"/>
  <c r="Z57" i="108" a="1"/>
  <c r="Z57" i="108" s="1"/>
  <c r="AM57" i="108" a="1"/>
  <c r="AM57" i="108" s="1"/>
  <c r="AB57" i="108" a="1"/>
  <c r="AB57" i="108" s="1"/>
  <c r="M57" i="108" a="1"/>
  <c r="M57" i="108" s="1"/>
  <c r="O58" i="108" a="1"/>
  <c r="O58" i="108" s="1"/>
  <c r="AG58" i="108" a="1"/>
  <c r="AG58" i="108" s="1"/>
  <c r="Y58" i="108" a="1"/>
  <c r="Y58" i="108" s="1"/>
  <c r="AI58" i="108" a="1"/>
  <c r="AI58" i="108" s="1"/>
  <c r="T58" i="108" a="1"/>
  <c r="T58" i="108" s="1"/>
  <c r="AD58" i="108" a="1"/>
  <c r="AD58" i="108" s="1"/>
  <c r="K58" i="108" a="1"/>
  <c r="K58" i="108" s="1"/>
  <c r="U58" i="108" a="1"/>
  <c r="U58" i="108" s="1"/>
  <c r="M58" i="108" a="1"/>
  <c r="M58" i="108" s="1"/>
  <c r="AA58" i="108" a="1"/>
  <c r="AA58" i="108" s="1"/>
  <c r="AL58" i="108" a="1"/>
  <c r="AL58" i="108" s="1"/>
  <c r="N58" i="108" a="1"/>
  <c r="N58" i="108" s="1"/>
  <c r="AM58" i="108" a="1"/>
  <c r="AM58" i="108" s="1"/>
  <c r="AB58" i="108" a="1"/>
  <c r="AB58" i="108" s="1"/>
  <c r="P58" i="108" a="1"/>
  <c r="P58" i="108" s="1"/>
  <c r="AC58" i="108" a="1"/>
  <c r="AC58" i="108" s="1"/>
  <c r="Q58" i="108" a="1"/>
  <c r="Q58" i="108" s="1"/>
  <c r="AE58" i="108" a="1"/>
  <c r="AE58" i="108" s="1"/>
  <c r="R58" i="108" a="1"/>
  <c r="R58" i="108" s="1"/>
  <c r="AF58" i="108" a="1"/>
  <c r="AF58" i="108" s="1"/>
  <c r="J58" i="108" a="1"/>
  <c r="J58" i="108" s="1"/>
  <c r="S58" i="108" a="1"/>
  <c r="S58" i="108" s="1"/>
  <c r="AH58" i="108" a="1"/>
  <c r="AH58" i="108" s="1"/>
  <c r="AK58" i="108" a="1"/>
  <c r="AK58" i="108" s="1"/>
  <c r="V58" i="108" a="1"/>
  <c r="V58" i="108" s="1"/>
  <c r="AJ58" i="108" a="1"/>
  <c r="AJ58" i="108" s="1"/>
  <c r="W58" i="108" a="1"/>
  <c r="W58" i="108" s="1"/>
  <c r="X58" i="108" a="1"/>
  <c r="X58" i="108" s="1"/>
  <c r="L58" i="108" a="1"/>
  <c r="L58" i="108" s="1"/>
  <c r="Z58" i="108" a="1"/>
  <c r="Z58" i="108" s="1"/>
  <c r="Q78" i="108" a="1"/>
  <c r="Q78" i="108" s="1"/>
  <c r="AD78" i="108" a="1"/>
  <c r="AD78" i="108" s="1"/>
  <c r="L78" i="108" a="1"/>
  <c r="L78" i="108" s="1"/>
  <c r="S78" i="108" a="1"/>
  <c r="S78" i="108" s="1"/>
  <c r="Z78" i="108" a="1"/>
  <c r="Z78" i="108" s="1"/>
  <c r="U78" i="108" a="1"/>
  <c r="U78" i="108" s="1"/>
  <c r="AB78" i="108" a="1"/>
  <c r="AB78" i="108" s="1"/>
  <c r="AI78" i="108" a="1"/>
  <c r="AI78" i="108" s="1"/>
  <c r="N78" i="108" a="1"/>
  <c r="N78" i="108" s="1"/>
  <c r="O78" i="108" a="1"/>
  <c r="O78" i="108" s="1"/>
  <c r="V78" i="108" a="1"/>
  <c r="V78" i="108" s="1"/>
  <c r="AC78" i="108" a="1"/>
  <c r="AC78" i="108" s="1"/>
  <c r="AJ78" i="108" a="1"/>
  <c r="AJ78" i="108" s="1"/>
  <c r="P78" i="108" a="1"/>
  <c r="P78" i="108" s="1"/>
  <c r="AL78" i="108" a="1"/>
  <c r="AL78" i="108" s="1"/>
  <c r="AK78" i="108" a="1"/>
  <c r="AK78" i="108" s="1"/>
  <c r="W78" i="108" a="1"/>
  <c r="W78" i="108" s="1"/>
  <c r="X78" i="108" a="1"/>
  <c r="X78" i="108" s="1"/>
  <c r="AE78" i="108" a="1"/>
  <c r="AE78" i="108" s="1"/>
  <c r="M78" i="108" a="1"/>
  <c r="M78" i="108" s="1"/>
  <c r="AF78" i="108" a="1"/>
  <c r="AF78" i="108" s="1"/>
  <c r="AG78" i="108" a="1"/>
  <c r="AG78" i="108" s="1"/>
  <c r="R78" i="108" a="1"/>
  <c r="R78" i="108" s="1"/>
  <c r="AH78" i="108" a="1"/>
  <c r="AH78" i="108" s="1"/>
  <c r="AM78" i="108" a="1"/>
  <c r="AM78" i="108" s="1"/>
  <c r="J78" i="108" a="1"/>
  <c r="J78" i="108" s="1"/>
  <c r="K78" i="108" a="1"/>
  <c r="K78" i="108" s="1"/>
  <c r="T78" i="108" a="1"/>
  <c r="T78" i="108" s="1"/>
  <c r="Y78" i="108" a="1"/>
  <c r="Y78" i="108" s="1"/>
  <c r="AA78" i="108" a="1"/>
  <c r="AA78" i="108" s="1"/>
  <c r="N73" i="108" a="1"/>
  <c r="N73" i="108" s="1"/>
  <c r="AC73" i="108" a="1"/>
  <c r="AC73" i="108" s="1"/>
  <c r="AJ73" i="108" a="1"/>
  <c r="AJ73" i="108" s="1"/>
  <c r="R73" i="108" a="1"/>
  <c r="R73" i="108" s="1"/>
  <c r="AG73" i="108" a="1"/>
  <c r="AG73" i="108" s="1"/>
  <c r="J73" i="108" a="1"/>
  <c r="J73" i="108" s="1"/>
  <c r="Z73" i="108" a="1"/>
  <c r="Z73" i="108" s="1"/>
  <c r="S73" i="108" a="1"/>
  <c r="S73" i="108" s="1"/>
  <c r="AH73" i="108" a="1"/>
  <c r="AH73" i="108" s="1"/>
  <c r="K73" i="108" a="1"/>
  <c r="K73" i="108" s="1"/>
  <c r="AA73" i="108" a="1"/>
  <c r="AA73" i="108" s="1"/>
  <c r="L73" i="108" a="1"/>
  <c r="L73" i="108" s="1"/>
  <c r="T73" i="108" a="1"/>
  <c r="T73" i="108" s="1"/>
  <c r="AI73" i="108" a="1"/>
  <c r="AI73" i="108" s="1"/>
  <c r="AB73" i="108" a="1"/>
  <c r="AB73" i="108" s="1"/>
  <c r="AK73" i="108" a="1"/>
  <c r="AK73" i="108" s="1"/>
  <c r="M73" i="108" a="1"/>
  <c r="M73" i="108" s="1"/>
  <c r="U73" i="108" a="1"/>
  <c r="U73" i="108" s="1"/>
  <c r="AD73" i="108" a="1"/>
  <c r="AD73" i="108" s="1"/>
  <c r="AL73" i="108" a="1"/>
  <c r="AL73" i="108" s="1"/>
  <c r="AM73" i="108" a="1"/>
  <c r="AM73" i="108" s="1"/>
  <c r="W73" i="108" a="1"/>
  <c r="W73" i="108" s="1"/>
  <c r="V73" i="108" a="1"/>
  <c r="V73" i="108" s="1"/>
  <c r="AE73" i="108" a="1"/>
  <c r="AE73" i="108" s="1"/>
  <c r="O73" i="108" a="1"/>
  <c r="O73" i="108" s="1"/>
  <c r="X73" i="108" a="1"/>
  <c r="X73" i="108" s="1"/>
  <c r="Y73" i="108" a="1"/>
  <c r="Y73" i="108" s="1"/>
  <c r="AF73" i="108" a="1"/>
  <c r="AF73" i="108" s="1"/>
  <c r="Q73" i="108" a="1"/>
  <c r="Q73" i="108" s="1"/>
  <c r="P73" i="108" a="1"/>
  <c r="P73" i="108" s="1"/>
  <c r="T75" i="108" a="1"/>
  <c r="T75" i="108" s="1"/>
  <c r="AH75" i="108" a="1"/>
  <c r="AH75" i="108" s="1"/>
  <c r="AD75" i="108" a="1"/>
  <c r="AD75" i="108" s="1"/>
  <c r="V75" i="108" a="1"/>
  <c r="V75" i="108" s="1"/>
  <c r="N75" i="108" a="1"/>
  <c r="N75" i="108" s="1"/>
  <c r="AL75" i="108" a="1"/>
  <c r="AL75" i="108" s="1"/>
  <c r="O75" i="108" a="1"/>
  <c r="O75" i="108" s="1"/>
  <c r="W75" i="108" a="1"/>
  <c r="W75" i="108" s="1"/>
  <c r="AM75" i="108" a="1"/>
  <c r="AM75" i="108" s="1"/>
  <c r="P75" i="108" a="1"/>
  <c r="P75" i="108" s="1"/>
  <c r="X75" i="108" a="1"/>
  <c r="X75" i="108" s="1"/>
  <c r="AF75" i="108" a="1"/>
  <c r="AF75" i="108" s="1"/>
  <c r="Q75" i="108" a="1"/>
  <c r="Q75" i="108" s="1"/>
  <c r="R75" i="108" a="1"/>
  <c r="R75" i="108" s="1"/>
  <c r="Y75" i="108" a="1"/>
  <c r="Y75" i="108" s="1"/>
  <c r="AG75" i="108" a="1"/>
  <c r="AG75" i="108" s="1"/>
  <c r="J75" i="108" a="1"/>
  <c r="J75" i="108" s="1"/>
  <c r="Z75" i="108" a="1"/>
  <c r="Z75" i="108" s="1"/>
  <c r="S75" i="108" a="1"/>
  <c r="S75" i="108" s="1"/>
  <c r="AA75" i="108" a="1"/>
  <c r="AA75" i="108" s="1"/>
  <c r="AB75" i="108" a="1"/>
  <c r="AB75" i="108" s="1"/>
  <c r="AC75" i="108" a="1"/>
  <c r="AC75" i="108" s="1"/>
  <c r="AE75" i="108" a="1"/>
  <c r="AE75" i="108" s="1"/>
  <c r="AI75" i="108" a="1"/>
  <c r="AI75" i="108" s="1"/>
  <c r="L75" i="108" a="1"/>
  <c r="L75" i="108" s="1"/>
  <c r="AJ75" i="108" a="1"/>
  <c r="AJ75" i="108" s="1"/>
  <c r="M75" i="108" a="1"/>
  <c r="M75" i="108" s="1"/>
  <c r="AK75" i="108" a="1"/>
  <c r="AK75" i="108" s="1"/>
  <c r="U75" i="108" a="1"/>
  <c r="U75" i="108" s="1"/>
  <c r="K75" i="108" a="1"/>
  <c r="K75" i="108" s="1"/>
  <c r="L66" i="108" a="1"/>
  <c r="L66" i="108" s="1"/>
  <c r="AA66" i="108" a="1"/>
  <c r="AA66" i="108" s="1"/>
  <c r="AJ66" i="108" a="1"/>
  <c r="AJ66" i="108" s="1"/>
  <c r="V66" i="108" a="1"/>
  <c r="V66" i="108" s="1"/>
  <c r="AE66" i="108" a="1"/>
  <c r="AE66" i="108" s="1"/>
  <c r="AM66" i="108" a="1"/>
  <c r="AM66" i="108" s="1"/>
  <c r="U66" i="108" a="1"/>
  <c r="U66" i="108" s="1"/>
  <c r="AF66" i="108" a="1"/>
  <c r="AF66" i="108" s="1"/>
  <c r="M66" i="108" a="1"/>
  <c r="M66" i="108" s="1"/>
  <c r="W66" i="108" a="1"/>
  <c r="W66" i="108" s="1"/>
  <c r="N66" i="108" a="1"/>
  <c r="N66" i="108" s="1"/>
  <c r="X66" i="108" a="1"/>
  <c r="X66" i="108" s="1"/>
  <c r="AG66" i="108" a="1"/>
  <c r="AG66" i="108" s="1"/>
  <c r="O66" i="108" a="1"/>
  <c r="O66" i="108" s="1"/>
  <c r="Y66" i="108" a="1"/>
  <c r="Y66" i="108" s="1"/>
  <c r="AH66" i="108" a="1"/>
  <c r="AH66" i="108" s="1"/>
  <c r="P66" i="108" a="1"/>
  <c r="P66" i="108" s="1"/>
  <c r="AI66" i="108" a="1"/>
  <c r="AI66" i="108" s="1"/>
  <c r="Z66" i="108" a="1"/>
  <c r="Z66" i="108" s="1"/>
  <c r="J66" i="108" a="1"/>
  <c r="J66" i="108" s="1"/>
  <c r="Q66" i="108" a="1"/>
  <c r="Q66" i="108" s="1"/>
  <c r="AK66" i="108" a="1"/>
  <c r="AK66" i="108" s="1"/>
  <c r="AC66" i="108" a="1"/>
  <c r="AC66" i="108" s="1"/>
  <c r="R66" i="108" a="1"/>
  <c r="R66" i="108" s="1"/>
  <c r="T66" i="108" a="1"/>
  <c r="T66" i="108" s="1"/>
  <c r="S66" i="108" a="1"/>
  <c r="S66" i="108" s="1"/>
  <c r="AB66" i="108" a="1"/>
  <c r="AB66" i="108" s="1"/>
  <c r="AL66" i="108" a="1"/>
  <c r="AL66" i="108" s="1"/>
  <c r="K66" i="108" a="1"/>
  <c r="K66" i="108" s="1"/>
  <c r="AD66" i="108" a="1"/>
  <c r="AD66" i="108" s="1"/>
  <c r="AC72" i="108" a="1"/>
  <c r="AC72" i="108" s="1"/>
  <c r="O72" i="108" a="1"/>
  <c r="O72" i="108" s="1"/>
  <c r="X72" i="108" a="1"/>
  <c r="X72" i="108" s="1"/>
  <c r="AE72" i="108" a="1"/>
  <c r="AE72" i="108" s="1"/>
  <c r="Y72" i="108" a="1"/>
  <c r="Y72" i="108" s="1"/>
  <c r="P72" i="108" a="1"/>
  <c r="P72" i="108" s="1"/>
  <c r="AF72" i="108" a="1"/>
  <c r="AF72" i="108" s="1"/>
  <c r="AG72" i="108" a="1"/>
  <c r="AG72" i="108" s="1"/>
  <c r="J72" i="108" a="1"/>
  <c r="J72" i="108" s="1"/>
  <c r="Q72" i="108" a="1"/>
  <c r="Q72" i="108" s="1"/>
  <c r="Z72" i="108" a="1"/>
  <c r="Z72" i="108" s="1"/>
  <c r="AH72" i="108" a="1"/>
  <c r="AH72" i="108" s="1"/>
  <c r="R72" i="108" a="1"/>
  <c r="R72" i="108" s="1"/>
  <c r="AI72" i="108" a="1"/>
  <c r="AI72" i="108" s="1"/>
  <c r="K72" i="108" a="1"/>
  <c r="K72" i="108" s="1"/>
  <c r="AA72" i="108" a="1"/>
  <c r="AA72" i="108" s="1"/>
  <c r="AJ72" i="108" a="1"/>
  <c r="AJ72" i="108" s="1"/>
  <c r="AB72" i="108" a="1"/>
  <c r="AB72" i="108" s="1"/>
  <c r="U72" i="108" a="1"/>
  <c r="U72" i="108" s="1"/>
  <c r="L72" i="108" a="1"/>
  <c r="L72" i="108" s="1"/>
  <c r="S72" i="108" a="1"/>
  <c r="S72" i="108" s="1"/>
  <c r="T72" i="108" a="1"/>
  <c r="T72" i="108" s="1"/>
  <c r="AK72" i="108" a="1"/>
  <c r="AK72" i="108" s="1"/>
  <c r="AL72" i="108" a="1"/>
  <c r="AL72" i="108" s="1"/>
  <c r="M72" i="108" a="1"/>
  <c r="M72" i="108" s="1"/>
  <c r="N72" i="108" a="1"/>
  <c r="N72" i="108" s="1"/>
  <c r="V72" i="108" a="1"/>
  <c r="V72" i="108" s="1"/>
  <c r="AD72" i="108" a="1"/>
  <c r="AD72" i="108" s="1"/>
  <c r="W72" i="108" a="1"/>
  <c r="W72" i="108" s="1"/>
  <c r="AM72" i="108" a="1"/>
  <c r="AM72" i="108" s="1"/>
  <c r="L13" i="108" a="1"/>
  <c r="L13" i="108" s="1"/>
  <c r="AG13" i="108" a="1"/>
  <c r="AG13" i="108" s="1"/>
  <c r="Q13" i="108" a="1"/>
  <c r="Q13" i="108" s="1"/>
  <c r="AM13" i="108" a="1"/>
  <c r="AM13" i="108" s="1"/>
  <c r="R13" i="108" a="1"/>
  <c r="R13" i="108" s="1"/>
  <c r="AC13" i="108" a="1"/>
  <c r="AC13" i="108" s="1"/>
  <c r="U13" i="108" a="1"/>
  <c r="U13" i="108" s="1"/>
  <c r="AF13" i="108" a="1"/>
  <c r="AF13" i="108" s="1"/>
  <c r="J13" i="108" a="1"/>
  <c r="J13" i="108" s="1"/>
  <c r="V13" i="108" a="1"/>
  <c r="V13" i="108" s="1"/>
  <c r="AH13" i="108" a="1"/>
  <c r="AH13" i="108" s="1"/>
  <c r="N13" i="108" a="1"/>
  <c r="N13" i="108" s="1"/>
  <c r="AD13" i="108" a="1"/>
  <c r="AD13" i="108" s="1"/>
  <c r="W13" i="108" a="1"/>
  <c r="W13" i="108" s="1"/>
  <c r="AL13" i="108" a="1"/>
  <c r="AL13" i="108" s="1"/>
  <c r="X13" i="108" a="1"/>
  <c r="X13" i="108" s="1"/>
  <c r="Y13" i="108" a="1"/>
  <c r="Y13" i="108" s="1"/>
  <c r="Z13" i="108" a="1"/>
  <c r="Z13" i="108" s="1"/>
  <c r="AE13" i="108" a="1"/>
  <c r="AE13" i="108" s="1"/>
  <c r="M13" i="108" a="1"/>
  <c r="M13" i="108" s="1"/>
  <c r="AK13" i="108" a="1"/>
  <c r="AK13" i="108" s="1"/>
  <c r="O13" i="108" a="1"/>
  <c r="O13" i="108" s="1"/>
  <c r="P13" i="108" a="1"/>
  <c r="P13" i="108" s="1"/>
  <c r="S13" i="108" a="1"/>
  <c r="S13" i="108" s="1"/>
  <c r="AA13" i="108" a="1"/>
  <c r="AA13" i="108" s="1"/>
  <c r="T13" i="108" a="1"/>
  <c r="T13" i="108" s="1"/>
  <c r="AI13" i="108" a="1"/>
  <c r="AI13" i="108" s="1"/>
  <c r="AJ13" i="108" a="1"/>
  <c r="AJ13" i="108" s="1"/>
  <c r="K13" i="108" a="1"/>
  <c r="K13" i="108" s="1"/>
  <c r="AB13" i="108" a="1"/>
  <c r="AB13" i="108" s="1"/>
  <c r="CB74" i="106" a="1"/>
  <c r="CB74" i="106" s="1"/>
  <c r="CD74" i="106" a="1"/>
  <c r="CD74" i="106" s="1"/>
  <c r="CG74" i="106" a="1"/>
  <c r="CG74" i="106" s="1"/>
  <c r="CC74" i="106" a="1"/>
  <c r="CC74" i="106" s="1"/>
  <c r="CE74" i="106" a="1"/>
  <c r="CE74" i="106" s="1"/>
  <c r="CF74" i="106" a="1"/>
  <c r="CF74" i="106" s="1"/>
  <c r="N77" i="108" a="1"/>
  <c r="N77" i="108" s="1"/>
  <c r="U77" i="108" a="1"/>
  <c r="U77" i="108" s="1"/>
  <c r="AH77" i="108" a="1"/>
  <c r="AH77" i="108" s="1"/>
  <c r="M77" i="108" a="1"/>
  <c r="M77" i="108" s="1"/>
  <c r="T77" i="108" a="1"/>
  <c r="T77" i="108" s="1"/>
  <c r="AB77" i="108" a="1"/>
  <c r="AB77" i="108" s="1"/>
  <c r="AI77" i="108" a="1"/>
  <c r="AI77" i="108" s="1"/>
  <c r="P77" i="108" a="1"/>
  <c r="P77" i="108" s="1"/>
  <c r="W77" i="108" a="1"/>
  <c r="W77" i="108" s="1"/>
  <c r="AD77" i="108" a="1"/>
  <c r="AD77" i="108" s="1"/>
  <c r="AK77" i="108" a="1"/>
  <c r="AK77" i="108" s="1"/>
  <c r="J77" i="108" a="1"/>
  <c r="J77" i="108" s="1"/>
  <c r="X77" i="108" a="1"/>
  <c r="X77" i="108" s="1"/>
  <c r="AL77" i="108" a="1"/>
  <c r="AL77" i="108" s="1"/>
  <c r="K77" i="108" a="1"/>
  <c r="K77" i="108" s="1"/>
  <c r="AF77" i="108" a="1"/>
  <c r="AF77" i="108" s="1"/>
  <c r="Q77" i="108" a="1"/>
  <c r="Q77" i="108" s="1"/>
  <c r="AE77" i="108" a="1"/>
  <c r="AE77" i="108" s="1"/>
  <c r="AM77" i="108" a="1"/>
  <c r="AM77" i="108" s="1"/>
  <c r="R77" i="108" a="1"/>
  <c r="R77" i="108" s="1"/>
  <c r="Y77" i="108" a="1"/>
  <c r="Y77" i="108" s="1"/>
  <c r="Z77" i="108" a="1"/>
  <c r="Z77" i="108" s="1"/>
  <c r="AG77" i="108" a="1"/>
  <c r="AG77" i="108" s="1"/>
  <c r="AA77" i="108" a="1"/>
  <c r="AA77" i="108" s="1"/>
  <c r="L77" i="108" a="1"/>
  <c r="L77" i="108" s="1"/>
  <c r="AC77" i="108" a="1"/>
  <c r="AC77" i="108" s="1"/>
  <c r="O77" i="108" a="1"/>
  <c r="O77" i="108" s="1"/>
  <c r="S77" i="108" a="1"/>
  <c r="S77" i="108" s="1"/>
  <c r="AJ77" i="108" a="1"/>
  <c r="AJ77" i="108" s="1"/>
  <c r="V77" i="108" a="1"/>
  <c r="V77" i="108" s="1"/>
  <c r="O71" i="108" a="1"/>
  <c r="O71" i="108" s="1"/>
  <c r="V71" i="108" a="1"/>
  <c r="V71" i="108" s="1"/>
  <c r="AD71" i="108" a="1"/>
  <c r="AD71" i="108" s="1"/>
  <c r="AK71" i="108" a="1"/>
  <c r="AK71" i="108" s="1"/>
  <c r="M71" i="108" a="1"/>
  <c r="M71" i="108" s="1"/>
  <c r="AJ71" i="108" a="1"/>
  <c r="AJ71" i="108" s="1"/>
  <c r="U71" i="108" a="1"/>
  <c r="U71" i="108" s="1"/>
  <c r="AC71" i="108" a="1"/>
  <c r="AC71" i="108" s="1"/>
  <c r="AL71" i="108" a="1"/>
  <c r="AL71" i="108" s="1"/>
  <c r="N71" i="108" a="1"/>
  <c r="N71" i="108" s="1"/>
  <c r="AM71" i="108" a="1"/>
  <c r="AM71" i="108" s="1"/>
  <c r="AE71" i="108" a="1"/>
  <c r="AE71" i="108" s="1"/>
  <c r="W71" i="108" a="1"/>
  <c r="W71" i="108" s="1"/>
  <c r="P71" i="108" a="1"/>
  <c r="P71" i="108" s="1"/>
  <c r="X71" i="108" a="1"/>
  <c r="X71" i="108" s="1"/>
  <c r="AF71" i="108" a="1"/>
  <c r="AF71" i="108" s="1"/>
  <c r="Q71" i="108" a="1"/>
  <c r="Q71" i="108" s="1"/>
  <c r="Y71" i="108" a="1"/>
  <c r="Y71" i="108" s="1"/>
  <c r="J71" i="108" a="1"/>
  <c r="J71" i="108" s="1"/>
  <c r="R71" i="108" a="1"/>
  <c r="R71" i="108" s="1"/>
  <c r="Z71" i="108" a="1"/>
  <c r="Z71" i="108" s="1"/>
  <c r="AG71" i="108" a="1"/>
  <c r="AG71" i="108" s="1"/>
  <c r="S71" i="108" a="1"/>
  <c r="S71" i="108" s="1"/>
  <c r="AA71" i="108" a="1"/>
  <c r="AA71" i="108" s="1"/>
  <c r="AH71" i="108" a="1"/>
  <c r="AH71" i="108" s="1"/>
  <c r="AI71" i="108" a="1"/>
  <c r="AI71" i="108" s="1"/>
  <c r="K71" i="108" a="1"/>
  <c r="K71" i="108" s="1"/>
  <c r="AB71" i="108" a="1"/>
  <c r="AB71" i="108" s="1"/>
  <c r="L71" i="108" a="1"/>
  <c r="L71" i="108" s="1"/>
  <c r="T71" i="108" a="1"/>
  <c r="T71" i="108" s="1"/>
  <c r="U8" i="108" a="1"/>
  <c r="U8" i="108" s="1"/>
  <c r="AG8" i="108" a="1"/>
  <c r="AG8" i="108" s="1"/>
  <c r="N8" i="108" a="1"/>
  <c r="N8" i="108" s="1"/>
  <c r="AA8" i="108" a="1"/>
  <c r="AA8" i="108" s="1"/>
  <c r="O8" i="108" a="1"/>
  <c r="O8" i="108" s="1"/>
  <c r="AB8" i="108" a="1"/>
  <c r="AB8" i="108" s="1"/>
  <c r="R8" i="108" a="1"/>
  <c r="R8" i="108" s="1"/>
  <c r="AE8" i="108" a="1"/>
  <c r="AE8" i="108" s="1"/>
  <c r="S8" i="108" a="1"/>
  <c r="S8" i="108" s="1"/>
  <c r="AF8" i="108" a="1"/>
  <c r="AF8" i="108" s="1"/>
  <c r="J8" i="108" a="1"/>
  <c r="J8" i="108" s="1"/>
  <c r="AC8" i="108" a="1"/>
  <c r="AC8" i="108" s="1"/>
  <c r="T8" i="108" a="1"/>
  <c r="T8" i="108" s="1"/>
  <c r="AL8" i="108" a="1"/>
  <c r="AL8" i="108" s="1"/>
  <c r="V8" i="108" a="1"/>
  <c r="V8" i="108" s="1"/>
  <c r="AM8" i="108" a="1"/>
  <c r="AM8" i="108" s="1"/>
  <c r="W8" i="108" a="1"/>
  <c r="W8" i="108" s="1"/>
  <c r="X8" i="108" a="1"/>
  <c r="X8" i="108" s="1"/>
  <c r="P8" i="108" a="1"/>
  <c r="P8" i="108" s="1"/>
  <c r="AD8" i="108" a="1"/>
  <c r="AD8" i="108" s="1"/>
  <c r="AI8" i="108" a="1"/>
  <c r="AI8" i="108" s="1"/>
  <c r="AJ8" i="108" a="1"/>
  <c r="AJ8" i="108" s="1"/>
  <c r="AK8" i="108" a="1"/>
  <c r="AK8" i="108" s="1"/>
  <c r="L8" i="108" a="1"/>
  <c r="L8" i="108" s="1"/>
  <c r="Q8" i="108" a="1"/>
  <c r="Q8" i="108" s="1"/>
  <c r="Y8" i="108" a="1"/>
  <c r="Y8" i="108" s="1"/>
  <c r="K8" i="108" a="1"/>
  <c r="K8" i="108" s="1"/>
  <c r="M8" i="108" a="1"/>
  <c r="M8" i="108" s="1"/>
  <c r="AH8" i="108" a="1"/>
  <c r="AH8" i="108" s="1"/>
  <c r="Z8" i="108" a="1"/>
  <c r="Z8" i="108" s="1"/>
  <c r="CB73" i="106" a="1"/>
  <c r="CB73" i="106" s="1"/>
  <c r="CF73" i="106" a="1"/>
  <c r="CF73" i="106" s="1"/>
  <c r="CG73" i="106" a="1"/>
  <c r="CG73" i="106" s="1"/>
  <c r="CD73" i="106" a="1"/>
  <c r="CD73" i="106" s="1"/>
  <c r="CE73" i="106" a="1"/>
  <c r="CE73" i="106" s="1"/>
  <c r="CC73" i="106" a="1"/>
  <c r="CC73" i="106" s="1"/>
  <c r="CD75" i="106" a="1"/>
  <c r="CD75" i="106" s="1"/>
  <c r="CB75" i="106" a="1"/>
  <c r="CB75" i="106" s="1"/>
  <c r="CC75" i="106" a="1"/>
  <c r="CC75" i="106" s="1"/>
  <c r="CE75" i="106" a="1"/>
  <c r="CE75" i="106" s="1"/>
  <c r="CF75" i="106" a="1"/>
  <c r="CF75" i="106" s="1"/>
  <c r="CG75" i="106" a="1"/>
  <c r="CG75" i="106" s="1"/>
  <c r="J21" i="108" a="1"/>
  <c r="J21" i="108" s="1"/>
  <c r="AD21" i="108" a="1"/>
  <c r="AD21" i="108" s="1"/>
  <c r="AM21" i="108" a="1"/>
  <c r="AM21" i="108" s="1"/>
  <c r="Y21" i="108" a="1"/>
  <c r="Y21" i="108" s="1"/>
  <c r="AK21" i="108" a="1"/>
  <c r="AK21" i="108" s="1"/>
  <c r="P21" i="108" a="1"/>
  <c r="P21" i="108" s="1"/>
  <c r="Z21" i="108" a="1"/>
  <c r="Z21" i="108" s="1"/>
  <c r="AC21" i="108" a="1"/>
  <c r="AC21" i="108" s="1"/>
  <c r="S21" i="108" a="1"/>
  <c r="S21" i="108" s="1"/>
  <c r="Q21" i="108" a="1"/>
  <c r="Q21" i="108" s="1"/>
  <c r="AG21" i="108" a="1"/>
  <c r="AG21" i="108" s="1"/>
  <c r="W21" i="108" a="1"/>
  <c r="W21" i="108" s="1"/>
  <c r="L21" i="108" a="1"/>
  <c r="L21" i="108" s="1"/>
  <c r="AA21" i="108" a="1"/>
  <c r="AA21" i="108" s="1"/>
  <c r="M21" i="108" a="1"/>
  <c r="M21" i="108" s="1"/>
  <c r="AB21" i="108" a="1"/>
  <c r="AB21" i="108" s="1"/>
  <c r="AH21" i="108" a="1"/>
  <c r="AH21" i="108" s="1"/>
  <c r="R21" i="108" a="1"/>
  <c r="R21" i="108" s="1"/>
  <c r="U21" i="108" a="1"/>
  <c r="U21" i="108" s="1"/>
  <c r="V21" i="108" a="1"/>
  <c r="V21" i="108" s="1"/>
  <c r="AE21" i="108" a="1"/>
  <c r="AE21" i="108" s="1"/>
  <c r="AI21" i="108" a="1"/>
  <c r="AI21" i="108" s="1"/>
  <c r="AJ21" i="108" a="1"/>
  <c r="AJ21" i="108" s="1"/>
  <c r="N21" i="108" a="1"/>
  <c r="N21" i="108" s="1"/>
  <c r="O21" i="108" a="1"/>
  <c r="O21" i="108" s="1"/>
  <c r="T21" i="108" a="1"/>
  <c r="T21" i="108" s="1"/>
  <c r="X21" i="108" a="1"/>
  <c r="X21" i="108" s="1"/>
  <c r="K21" i="108" a="1"/>
  <c r="K21" i="108" s="1"/>
  <c r="AF21" i="108" a="1"/>
  <c r="AF21" i="108" s="1"/>
  <c r="AL21" i="108" a="1"/>
  <c r="AL21" i="108" s="1"/>
  <c r="O25" i="108" a="1"/>
  <c r="O25" i="108" s="1"/>
  <c r="Z25" i="108" a="1"/>
  <c r="Z25" i="108" s="1"/>
  <c r="AI25" i="108" a="1"/>
  <c r="AI25" i="108" s="1"/>
  <c r="V25" i="108" a="1"/>
  <c r="V25" i="108" s="1"/>
  <c r="AF25" i="108" a="1"/>
  <c r="AF25" i="108" s="1"/>
  <c r="J25" i="108" a="1"/>
  <c r="J25" i="108" s="1"/>
  <c r="W25" i="108" a="1"/>
  <c r="W25" i="108" s="1"/>
  <c r="AG25" i="108" a="1"/>
  <c r="AG25" i="108" s="1"/>
  <c r="M25" i="108" a="1"/>
  <c r="M25" i="108" s="1"/>
  <c r="AJ25" i="108" a="1"/>
  <c r="AJ25" i="108" s="1"/>
  <c r="N25" i="108" a="1"/>
  <c r="N25" i="108" s="1"/>
  <c r="AA25" i="108" a="1"/>
  <c r="AA25" i="108" s="1"/>
  <c r="AK25" i="108" a="1"/>
  <c r="AK25" i="108" s="1"/>
  <c r="X25" i="108" a="1"/>
  <c r="X25" i="108" s="1"/>
  <c r="P25" i="108" a="1"/>
  <c r="P25" i="108" s="1"/>
  <c r="R25" i="108" a="1"/>
  <c r="R25" i="108" s="1"/>
  <c r="S25" i="108" a="1"/>
  <c r="S25" i="108" s="1"/>
  <c r="AH25" i="108" a="1"/>
  <c r="AH25" i="108" s="1"/>
  <c r="AD25" i="108" a="1"/>
  <c r="AD25" i="108" s="1"/>
  <c r="L25" i="108" a="1"/>
  <c r="L25" i="108" s="1"/>
  <c r="U25" i="108" a="1"/>
  <c r="U25" i="108" s="1"/>
  <c r="Y25" i="108" a="1"/>
  <c r="Y25" i="108" s="1"/>
  <c r="AM25" i="108" a="1"/>
  <c r="AM25" i="108" s="1"/>
  <c r="K25" i="108" a="1"/>
  <c r="K25" i="108" s="1"/>
  <c r="AB25" i="108" a="1"/>
  <c r="AB25" i="108" s="1"/>
  <c r="AC25" i="108" a="1"/>
  <c r="AC25" i="108" s="1"/>
  <c r="AE25" i="108" a="1"/>
  <c r="AE25" i="108" s="1"/>
  <c r="AL25" i="108" a="1"/>
  <c r="AL25" i="108" s="1"/>
  <c r="Q25" i="108" a="1"/>
  <c r="Q25" i="108" s="1"/>
  <c r="T25" i="108" a="1"/>
  <c r="T25" i="108" s="1"/>
  <c r="CB69" i="106" a="1"/>
  <c r="CB69" i="106" s="1"/>
  <c r="CC69" i="106" a="1"/>
  <c r="CC69" i="106" s="1"/>
  <c r="CD69" i="106" a="1"/>
  <c r="CD69" i="106" s="1"/>
  <c r="CE69" i="106" a="1"/>
  <c r="CE69" i="106" s="1"/>
  <c r="CF69" i="106" a="1"/>
  <c r="CF69" i="106" s="1"/>
  <c r="CG69" i="106" a="1"/>
  <c r="CG69" i="106" s="1"/>
  <c r="CD71" i="106" a="1"/>
  <c r="CD71" i="106" s="1"/>
  <c r="CE71" i="106" a="1"/>
  <c r="CE71" i="106" s="1"/>
  <c r="CF71" i="106" a="1"/>
  <c r="CF71" i="106" s="1"/>
  <c r="CG71" i="106" a="1"/>
  <c r="CG71" i="106" s="1"/>
  <c r="CB71" i="106" a="1"/>
  <c r="CB71" i="106" s="1"/>
  <c r="CC71" i="106" a="1"/>
  <c r="CC71" i="106" s="1"/>
  <c r="W29" i="108" a="1"/>
  <c r="W29" i="108" s="1"/>
  <c r="AF29" i="108" a="1"/>
  <c r="AF29" i="108" s="1"/>
  <c r="AD29" i="108" a="1"/>
  <c r="AD29" i="108" s="1"/>
  <c r="AM29" i="108" a="1"/>
  <c r="AM29" i="108" s="1"/>
  <c r="S29" i="108" a="1"/>
  <c r="S29" i="108" s="1"/>
  <c r="L29" i="108" a="1"/>
  <c r="L29" i="108" s="1"/>
  <c r="V29" i="108" a="1"/>
  <c r="V29" i="108" s="1"/>
  <c r="M29" i="108" a="1"/>
  <c r="M29" i="108" s="1"/>
  <c r="X29" i="108" a="1"/>
  <c r="X29" i="108" s="1"/>
  <c r="AG29" i="108" a="1"/>
  <c r="AG29" i="108" s="1"/>
  <c r="AE29" i="108" a="1"/>
  <c r="AE29" i="108" s="1"/>
  <c r="Y29" i="108" a="1"/>
  <c r="Y29" i="108" s="1"/>
  <c r="J29" i="108" a="1"/>
  <c r="J29" i="108" s="1"/>
  <c r="AA29" i="108" a="1"/>
  <c r="AA29" i="108" s="1"/>
  <c r="K29" i="108" a="1"/>
  <c r="K29" i="108" s="1"/>
  <c r="P29" i="108" a="1"/>
  <c r="P29" i="108" s="1"/>
  <c r="AK29" i="108" a="1"/>
  <c r="AK29" i="108" s="1"/>
  <c r="T29" i="108" a="1"/>
  <c r="T29" i="108" s="1"/>
  <c r="U29" i="108" a="1"/>
  <c r="U29" i="108" s="1"/>
  <c r="AB29" i="108" a="1"/>
  <c r="AB29" i="108" s="1"/>
  <c r="AC29" i="108" a="1"/>
  <c r="AC29" i="108" s="1"/>
  <c r="N29" i="108" a="1"/>
  <c r="N29" i="108" s="1"/>
  <c r="O29" i="108" a="1"/>
  <c r="O29" i="108" s="1"/>
  <c r="Q29" i="108" a="1"/>
  <c r="Q29" i="108" s="1"/>
  <c r="R29" i="108" a="1"/>
  <c r="R29" i="108" s="1"/>
  <c r="Z29" i="108" a="1"/>
  <c r="Z29" i="108" s="1"/>
  <c r="AH29" i="108" a="1"/>
  <c r="AH29" i="108" s="1"/>
  <c r="AI29" i="108" a="1"/>
  <c r="AI29" i="108" s="1"/>
  <c r="AJ29" i="108" a="1"/>
  <c r="AJ29" i="108" s="1"/>
  <c r="AL29" i="108" a="1"/>
  <c r="AL29" i="108" s="1"/>
  <c r="AA31" i="108" a="1"/>
  <c r="AA31" i="108" s="1"/>
  <c r="AH31" i="108" a="1"/>
  <c r="AH31" i="108" s="1"/>
  <c r="J31" i="108" a="1"/>
  <c r="J31" i="108" s="1"/>
  <c r="AL31" i="108" a="1"/>
  <c r="AL31" i="108" s="1"/>
  <c r="K31" i="108" a="1"/>
  <c r="K31" i="108" s="1"/>
  <c r="S31" i="108" a="1"/>
  <c r="S31" i="108" s="1"/>
  <c r="AC31" i="108" a="1"/>
  <c r="AC31" i="108" s="1"/>
  <c r="AM31" i="108" a="1"/>
  <c r="AM31" i="108" s="1"/>
  <c r="U31" i="108" a="1"/>
  <c r="U31" i="108" s="1"/>
  <c r="N31" i="108" a="1"/>
  <c r="N31" i="108" s="1"/>
  <c r="V31" i="108" a="1"/>
  <c r="V31" i="108" s="1"/>
  <c r="AE31" i="108" a="1"/>
  <c r="AE31" i="108" s="1"/>
  <c r="P31" i="108" a="1"/>
  <c r="P31" i="108" s="1"/>
  <c r="W31" i="108" a="1"/>
  <c r="W31" i="108" s="1"/>
  <c r="AJ31" i="108" a="1"/>
  <c r="AJ31" i="108" s="1"/>
  <c r="L31" i="108" a="1"/>
  <c r="L31" i="108" s="1"/>
  <c r="M31" i="108" a="1"/>
  <c r="M31" i="108" s="1"/>
  <c r="Z31" i="108" a="1"/>
  <c r="Z31" i="108" s="1"/>
  <c r="AF31" i="108" a="1"/>
  <c r="AF31" i="108" s="1"/>
  <c r="AB31" i="108" a="1"/>
  <c r="AB31" i="108" s="1"/>
  <c r="AD31" i="108" a="1"/>
  <c r="AD31" i="108" s="1"/>
  <c r="R31" i="108" a="1"/>
  <c r="R31" i="108" s="1"/>
  <c r="T31" i="108" a="1"/>
  <c r="T31" i="108" s="1"/>
  <c r="X31" i="108" a="1"/>
  <c r="X31" i="108" s="1"/>
  <c r="Q31" i="108" a="1"/>
  <c r="Q31" i="108" s="1"/>
  <c r="Y31" i="108" a="1"/>
  <c r="Y31" i="108" s="1"/>
  <c r="AG31" i="108" a="1"/>
  <c r="AG31" i="108" s="1"/>
  <c r="AI31" i="108" a="1"/>
  <c r="AI31" i="108" s="1"/>
  <c r="AK31" i="108" a="1"/>
  <c r="AK31" i="108" s="1"/>
  <c r="O31" i="108" a="1"/>
  <c r="O31" i="108" s="1"/>
  <c r="R22" i="108" a="1"/>
  <c r="R22" i="108" s="1"/>
  <c r="AK22" i="108" a="1"/>
  <c r="AK22" i="108" s="1"/>
  <c r="O22" i="108" a="1"/>
  <c r="O22" i="108" s="1"/>
  <c r="P22" i="108" a="1"/>
  <c r="P22" i="108" s="1"/>
  <c r="Z22" i="108" a="1"/>
  <c r="Z22" i="108" s="1"/>
  <c r="AL22" i="108" a="1"/>
  <c r="AL22" i="108" s="1"/>
  <c r="T22" i="108" a="1"/>
  <c r="T22" i="108" s="1"/>
  <c r="AC22" i="108" a="1"/>
  <c r="AC22" i="108" s="1"/>
  <c r="J22" i="108" a="1"/>
  <c r="J22" i="108" s="1"/>
  <c r="U22" i="108" a="1"/>
  <c r="U22" i="108" s="1"/>
  <c r="AD22" i="108" a="1"/>
  <c r="AD22" i="108" s="1"/>
  <c r="Q22" i="108" a="1"/>
  <c r="Q22" i="108" s="1"/>
  <c r="AG22" i="108" a="1"/>
  <c r="AG22" i="108" s="1"/>
  <c r="K22" i="108" a="1"/>
  <c r="K22" i="108" s="1"/>
  <c r="AA22" i="108" a="1"/>
  <c r="AA22" i="108" s="1"/>
  <c r="M22" i="108" a="1"/>
  <c r="M22" i="108" s="1"/>
  <c r="AB22" i="108" a="1"/>
  <c r="AB22" i="108" s="1"/>
  <c r="X22" i="108" a="1"/>
  <c r="X22" i="108" s="1"/>
  <c r="AH22" i="108" a="1"/>
  <c r="AH22" i="108" s="1"/>
  <c r="N22" i="108" a="1"/>
  <c r="N22" i="108" s="1"/>
  <c r="AJ22" i="108" a="1"/>
  <c r="AJ22" i="108" s="1"/>
  <c r="AM22" i="108" a="1"/>
  <c r="AM22" i="108" s="1"/>
  <c r="S22" i="108" a="1"/>
  <c r="S22" i="108" s="1"/>
  <c r="V22" i="108" a="1"/>
  <c r="V22" i="108" s="1"/>
  <c r="AE22" i="108" a="1"/>
  <c r="AE22" i="108" s="1"/>
  <c r="AF22" i="108" a="1"/>
  <c r="AF22" i="108" s="1"/>
  <c r="AI22" i="108" a="1"/>
  <c r="AI22" i="108" s="1"/>
  <c r="W22" i="108" a="1"/>
  <c r="W22" i="108" s="1"/>
  <c r="L22" i="108" a="1"/>
  <c r="L22" i="108" s="1"/>
  <c r="Y22" i="108" a="1"/>
  <c r="Y22" i="108" s="1"/>
  <c r="O35" i="108" a="1"/>
  <c r="O35" i="108" s="1"/>
  <c r="V35" i="108" a="1"/>
  <c r="V35" i="108" s="1"/>
  <c r="AE35" i="108" a="1"/>
  <c r="AE35" i="108" s="1"/>
  <c r="Q35" i="108" a="1"/>
  <c r="Q35" i="108" s="1"/>
  <c r="AA35" i="108" a="1"/>
  <c r="AA35" i="108" s="1"/>
  <c r="AI35" i="108" a="1"/>
  <c r="AI35" i="108" s="1"/>
  <c r="AJ35" i="108" a="1"/>
  <c r="AJ35" i="108" s="1"/>
  <c r="K35" i="108" a="1"/>
  <c r="K35" i="108" s="1"/>
  <c r="S35" i="108" a="1"/>
  <c r="S35" i="108" s="1"/>
  <c r="AM35" i="108" a="1"/>
  <c r="AM35" i="108" s="1"/>
  <c r="L35" i="108" a="1"/>
  <c r="L35" i="108" s="1"/>
  <c r="AD35" i="108" a="1"/>
  <c r="AD35" i="108" s="1"/>
  <c r="M35" i="108" a="1"/>
  <c r="M35" i="108" s="1"/>
  <c r="Y35" i="108" a="1"/>
  <c r="Y35" i="108" s="1"/>
  <c r="AC35" i="108" a="1"/>
  <c r="AC35" i="108" s="1"/>
  <c r="J35" i="108" a="1"/>
  <c r="J35" i="108" s="1"/>
  <c r="AB35" i="108" a="1"/>
  <c r="AB35" i="108" s="1"/>
  <c r="U35" i="108" a="1"/>
  <c r="U35" i="108" s="1"/>
  <c r="AL35" i="108" a="1"/>
  <c r="AL35" i="108" s="1"/>
  <c r="AF35" i="108" a="1"/>
  <c r="AF35" i="108" s="1"/>
  <c r="N35" i="108" a="1"/>
  <c r="N35" i="108" s="1"/>
  <c r="AG35" i="108" a="1"/>
  <c r="AG35" i="108" s="1"/>
  <c r="W35" i="108" a="1"/>
  <c r="W35" i="108" s="1"/>
  <c r="X35" i="108" a="1"/>
  <c r="X35" i="108" s="1"/>
  <c r="Z35" i="108" a="1"/>
  <c r="Z35" i="108" s="1"/>
  <c r="T35" i="108" a="1"/>
  <c r="T35" i="108" s="1"/>
  <c r="AH35" i="108" a="1"/>
  <c r="AH35" i="108" s="1"/>
  <c r="AK35" i="108" a="1"/>
  <c r="AK35" i="108" s="1"/>
  <c r="P35" i="108" a="1"/>
  <c r="P35" i="108" s="1"/>
  <c r="R35" i="108" a="1"/>
  <c r="R35" i="108" s="1"/>
  <c r="W28" i="108" a="1"/>
  <c r="W28" i="108" s="1"/>
  <c r="AF28" i="108" a="1"/>
  <c r="AF28" i="108" s="1"/>
  <c r="P28" i="108" a="1"/>
  <c r="P28" i="108" s="1"/>
  <c r="Z28" i="108" a="1"/>
  <c r="Z28" i="108" s="1"/>
  <c r="AL28" i="108" a="1"/>
  <c r="AL28" i="108" s="1"/>
  <c r="Q28" i="108" a="1"/>
  <c r="Q28" i="108" s="1"/>
  <c r="AM28" i="108" a="1"/>
  <c r="AM28" i="108" s="1"/>
  <c r="T28" i="108" a="1"/>
  <c r="T28" i="108" s="1"/>
  <c r="AC28" i="108" a="1"/>
  <c r="AC28" i="108" s="1"/>
  <c r="U28" i="108" a="1"/>
  <c r="U28" i="108" s="1"/>
  <c r="AD28" i="108" a="1"/>
  <c r="AD28" i="108" s="1"/>
  <c r="L28" i="108" a="1"/>
  <c r="L28" i="108" s="1"/>
  <c r="AA28" i="108" a="1"/>
  <c r="AA28" i="108" s="1"/>
  <c r="AJ28" i="108" a="1"/>
  <c r="AJ28" i="108" s="1"/>
  <c r="X28" i="108" a="1"/>
  <c r="X28" i="108" s="1"/>
  <c r="M28" i="108" a="1"/>
  <c r="M28" i="108" s="1"/>
  <c r="AI28" i="108" a="1"/>
  <c r="AI28" i="108" s="1"/>
  <c r="S28" i="108" a="1"/>
  <c r="S28" i="108" s="1"/>
  <c r="AB28" i="108" a="1"/>
  <c r="AB28" i="108" s="1"/>
  <c r="R28" i="108" a="1"/>
  <c r="R28" i="108" s="1"/>
  <c r="V28" i="108" a="1"/>
  <c r="V28" i="108" s="1"/>
  <c r="J28" i="108" a="1"/>
  <c r="J28" i="108" s="1"/>
  <c r="K28" i="108" a="1"/>
  <c r="K28" i="108" s="1"/>
  <c r="N28" i="108" a="1"/>
  <c r="N28" i="108" s="1"/>
  <c r="AH28" i="108" a="1"/>
  <c r="AH28" i="108" s="1"/>
  <c r="AK28" i="108" a="1"/>
  <c r="AK28" i="108" s="1"/>
  <c r="AE28" i="108" a="1"/>
  <c r="AE28" i="108" s="1"/>
  <c r="O28" i="108" a="1"/>
  <c r="O28" i="108" s="1"/>
  <c r="Y28" i="108" a="1"/>
  <c r="Y28" i="108" s="1"/>
  <c r="AG28" i="108" a="1"/>
  <c r="AG28" i="108" s="1"/>
  <c r="Q24" i="108" a="1"/>
  <c r="Q24" i="108" s="1"/>
  <c r="Y24" i="108" a="1"/>
  <c r="Y24" i="108" s="1"/>
  <c r="AJ24" i="108" a="1"/>
  <c r="AJ24" i="108" s="1"/>
  <c r="T24" i="108" a="1"/>
  <c r="T24" i="108" s="1"/>
  <c r="AD24" i="108" a="1"/>
  <c r="AD24" i="108" s="1"/>
  <c r="AM24" i="108" a="1"/>
  <c r="AM24" i="108" s="1"/>
  <c r="AE24" i="108" a="1"/>
  <c r="AE24" i="108" s="1"/>
  <c r="L24" i="108" a="1"/>
  <c r="L24" i="108" s="1"/>
  <c r="V24" i="108" a="1"/>
  <c r="V24" i="108" s="1"/>
  <c r="M24" i="108" a="1"/>
  <c r="M24" i="108" s="1"/>
  <c r="W24" i="108" a="1"/>
  <c r="W24" i="108" s="1"/>
  <c r="AH24" i="108" a="1"/>
  <c r="AH24" i="108" s="1"/>
  <c r="U24" i="108" a="1"/>
  <c r="U24" i="108" s="1"/>
  <c r="AK24" i="108" a="1"/>
  <c r="AK24" i="108" s="1"/>
  <c r="N24" i="108" a="1"/>
  <c r="N24" i="108" s="1"/>
  <c r="AB24" i="108" a="1"/>
  <c r="AB24" i="108" s="1"/>
  <c r="P24" i="108" a="1"/>
  <c r="P24" i="108" s="1"/>
  <c r="AF24" i="108" a="1"/>
  <c r="AF24" i="108" s="1"/>
  <c r="R24" i="108" a="1"/>
  <c r="R24" i="108" s="1"/>
  <c r="AG24" i="108" a="1"/>
  <c r="AG24" i="108" s="1"/>
  <c r="K24" i="108" a="1"/>
  <c r="K24" i="108" s="1"/>
  <c r="Z24" i="108" a="1"/>
  <c r="Z24" i="108" s="1"/>
  <c r="AA24" i="108" a="1"/>
  <c r="AA24" i="108" s="1"/>
  <c r="AI24" i="108" a="1"/>
  <c r="AI24" i="108" s="1"/>
  <c r="S24" i="108" a="1"/>
  <c r="S24" i="108" s="1"/>
  <c r="X24" i="108" a="1"/>
  <c r="X24" i="108" s="1"/>
  <c r="J24" i="108" a="1"/>
  <c r="J24" i="108" s="1"/>
  <c r="O24" i="108" a="1"/>
  <c r="O24" i="108" s="1"/>
  <c r="AC24" i="108" a="1"/>
  <c r="AC24" i="108" s="1"/>
  <c r="AL24" i="108" a="1"/>
  <c r="AL24" i="108" s="1"/>
  <c r="CB76" i="106" a="1"/>
  <c r="CB76" i="106" s="1"/>
  <c r="CC76" i="106" a="1"/>
  <c r="CC76" i="106" s="1"/>
  <c r="CD76" i="106" a="1"/>
  <c r="CD76" i="106" s="1"/>
  <c r="CE76" i="106" a="1"/>
  <c r="CE76" i="106" s="1"/>
  <c r="CG76" i="106" a="1"/>
  <c r="CG76" i="106" s="1"/>
  <c r="CF76" i="106" a="1"/>
  <c r="CF76" i="106" s="1"/>
  <c r="K43" i="108" a="1"/>
  <c r="K43" i="108" s="1"/>
  <c r="AB43" i="108" a="1"/>
  <c r="AB43" i="108" s="1"/>
  <c r="AI43" i="108" a="1"/>
  <c r="AI43" i="108" s="1"/>
  <c r="L43" i="108" a="1"/>
  <c r="L43" i="108" s="1"/>
  <c r="N43" i="108" a="1"/>
  <c r="N43" i="108" s="1"/>
  <c r="O43" i="108" a="1"/>
  <c r="O43" i="108" s="1"/>
  <c r="V43" i="108" a="1"/>
  <c r="V43" i="108" s="1"/>
  <c r="AE43" i="108" a="1"/>
  <c r="AE43" i="108" s="1"/>
  <c r="AL43" i="108" a="1"/>
  <c r="AL43" i="108" s="1"/>
  <c r="AC43" i="108" a="1"/>
  <c r="AC43" i="108" s="1"/>
  <c r="T43" i="108" a="1"/>
  <c r="T43" i="108" s="1"/>
  <c r="P43" i="108" a="1"/>
  <c r="P43" i="108" s="1"/>
  <c r="AF43" i="108" a="1"/>
  <c r="AF43" i="108" s="1"/>
  <c r="Q43" i="108" a="1"/>
  <c r="Q43" i="108" s="1"/>
  <c r="AG43" i="108" a="1"/>
  <c r="AG43" i="108" s="1"/>
  <c r="AM43" i="108" a="1"/>
  <c r="AM43" i="108" s="1"/>
  <c r="Y43" i="108" a="1"/>
  <c r="Y43" i="108" s="1"/>
  <c r="J43" i="108" a="1"/>
  <c r="J43" i="108" s="1"/>
  <c r="Z43" i="108" a="1"/>
  <c r="Z43" i="108" s="1"/>
  <c r="AA43" i="108" a="1"/>
  <c r="AA43" i="108" s="1"/>
  <c r="AK43" i="108" a="1"/>
  <c r="AK43" i="108" s="1"/>
  <c r="M43" i="108" a="1"/>
  <c r="M43" i="108" s="1"/>
  <c r="R43" i="108" a="1"/>
  <c r="R43" i="108" s="1"/>
  <c r="S43" i="108" a="1"/>
  <c r="S43" i="108" s="1"/>
  <c r="U43" i="108" a="1"/>
  <c r="U43" i="108" s="1"/>
  <c r="W43" i="108" a="1"/>
  <c r="W43" i="108" s="1"/>
  <c r="X43" i="108" a="1"/>
  <c r="X43" i="108" s="1"/>
  <c r="AD43" i="108" a="1"/>
  <c r="AD43" i="108" s="1"/>
  <c r="AH43" i="108" a="1"/>
  <c r="AH43" i="108" s="1"/>
  <c r="AJ43" i="108" a="1"/>
  <c r="AJ43" i="108" s="1"/>
  <c r="J34" i="108" a="1"/>
  <c r="J34" i="108" s="1"/>
  <c r="Q34" i="108" a="1"/>
  <c r="Q34" i="108" s="1"/>
  <c r="AA34" i="108" a="1"/>
  <c r="AA34" i="108" s="1"/>
  <c r="R34" i="108" a="1"/>
  <c r="R34" i="108" s="1"/>
  <c r="AC34" i="108" a="1"/>
  <c r="AC34" i="108" s="1"/>
  <c r="S34" i="108" a="1"/>
  <c r="S34" i="108" s="1"/>
  <c r="AL34" i="108" a="1"/>
  <c r="AL34" i="108" s="1"/>
  <c r="L34" i="108" a="1"/>
  <c r="L34" i="108" s="1"/>
  <c r="AF34" i="108" a="1"/>
  <c r="AF34" i="108" s="1"/>
  <c r="V34" i="108" a="1"/>
  <c r="V34" i="108" s="1"/>
  <c r="AG34" i="108" a="1"/>
  <c r="AG34" i="108" s="1"/>
  <c r="M34" i="108" a="1"/>
  <c r="M34" i="108" s="1"/>
  <c r="Z34" i="108" a="1"/>
  <c r="Z34" i="108" s="1"/>
  <c r="O34" i="108" a="1"/>
  <c r="O34" i="108" s="1"/>
  <c r="AE34" i="108" a="1"/>
  <c r="AE34" i="108" s="1"/>
  <c r="W34" i="108" a="1"/>
  <c r="W34" i="108" s="1"/>
  <c r="P34" i="108" a="1"/>
  <c r="P34" i="108" s="1"/>
  <c r="AI34" i="108" a="1"/>
  <c r="AI34" i="108" s="1"/>
  <c r="U34" i="108" a="1"/>
  <c r="U34" i="108" s="1"/>
  <c r="AH34" i="108" a="1"/>
  <c r="AH34" i="108" s="1"/>
  <c r="N34" i="108" a="1"/>
  <c r="N34" i="108" s="1"/>
  <c r="AJ34" i="108" a="1"/>
  <c r="AJ34" i="108" s="1"/>
  <c r="AK34" i="108" a="1"/>
  <c r="AK34" i="108" s="1"/>
  <c r="K34" i="108" a="1"/>
  <c r="K34" i="108" s="1"/>
  <c r="T34" i="108" a="1"/>
  <c r="T34" i="108" s="1"/>
  <c r="X34" i="108" a="1"/>
  <c r="X34" i="108" s="1"/>
  <c r="Y34" i="108" a="1"/>
  <c r="Y34" i="108" s="1"/>
  <c r="AB34" i="108" a="1"/>
  <c r="AB34" i="108" s="1"/>
  <c r="AD34" i="108" a="1"/>
  <c r="AD34" i="108" s="1"/>
  <c r="AM34" i="108" a="1"/>
  <c r="AM34" i="108" s="1"/>
  <c r="CB67" i="106" a="1"/>
  <c r="CB67" i="106" s="1"/>
  <c r="CD67" i="106" a="1"/>
  <c r="CD67" i="106" s="1"/>
  <c r="CE67" i="106" a="1"/>
  <c r="CE67" i="106" s="1"/>
  <c r="CF67" i="106" a="1"/>
  <c r="CF67" i="106" s="1"/>
  <c r="CG67" i="106" a="1"/>
  <c r="CG67" i="106" s="1"/>
  <c r="CC67" i="106" a="1"/>
  <c r="CC67" i="106" s="1"/>
  <c r="L62" i="108" a="1"/>
  <c r="L62" i="108" s="1"/>
  <c r="T62" i="108" a="1"/>
  <c r="T62" i="108" s="1"/>
  <c r="AB62" i="108" a="1"/>
  <c r="AB62" i="108" s="1"/>
  <c r="AL62" i="108" a="1"/>
  <c r="AL62" i="108" s="1"/>
  <c r="AD62" i="108" a="1"/>
  <c r="AD62" i="108" s="1"/>
  <c r="P62" i="108" a="1"/>
  <c r="P62" i="108" s="1"/>
  <c r="AJ62" i="108" a="1"/>
  <c r="AJ62" i="108" s="1"/>
  <c r="Q62" i="108" a="1"/>
  <c r="Q62" i="108" s="1"/>
  <c r="AA62" i="108" a="1"/>
  <c r="AA62" i="108" s="1"/>
  <c r="AK62" i="108" a="1"/>
  <c r="AK62" i="108" s="1"/>
  <c r="J62" i="108" a="1"/>
  <c r="J62" i="108" s="1"/>
  <c r="W62" i="108" a="1"/>
  <c r="W62" i="108" s="1"/>
  <c r="K62" i="108" a="1"/>
  <c r="K62" i="108" s="1"/>
  <c r="X62" i="108" a="1"/>
  <c r="X62" i="108" s="1"/>
  <c r="AI62" i="108" a="1"/>
  <c r="AI62" i="108" s="1"/>
  <c r="M62" i="108" a="1"/>
  <c r="M62" i="108" s="1"/>
  <c r="Y62" i="108" a="1"/>
  <c r="Y62" i="108" s="1"/>
  <c r="AM62" i="108" a="1"/>
  <c r="AM62" i="108" s="1"/>
  <c r="N62" i="108" a="1"/>
  <c r="N62" i="108" s="1"/>
  <c r="Z62" i="108" a="1"/>
  <c r="Z62" i="108" s="1"/>
  <c r="O62" i="108" a="1"/>
  <c r="O62" i="108" s="1"/>
  <c r="AG62" i="108" a="1"/>
  <c r="AG62" i="108" s="1"/>
  <c r="AC62" i="108" a="1"/>
  <c r="AC62" i="108" s="1"/>
  <c r="U62" i="108" a="1"/>
  <c r="U62" i="108" s="1"/>
  <c r="R62" i="108" a="1"/>
  <c r="R62" i="108" s="1"/>
  <c r="AE62" i="108" a="1"/>
  <c r="AE62" i="108" s="1"/>
  <c r="S62" i="108" a="1"/>
  <c r="S62" i="108" s="1"/>
  <c r="AF62" i="108" a="1"/>
  <c r="AF62" i="108" s="1"/>
  <c r="AH62" i="108" a="1"/>
  <c r="AH62" i="108" s="1"/>
  <c r="V62" i="108" a="1"/>
  <c r="V62" i="108" s="1"/>
  <c r="P3" i="108" a="1"/>
  <c r="P3" i="108" s="1"/>
  <c r="W3" i="108" a="1"/>
  <c r="W3" i="108" s="1"/>
  <c r="AF3" i="108" a="1"/>
  <c r="AF3" i="108" s="1"/>
  <c r="AJ3" i="108" a="1"/>
  <c r="AJ3" i="108" s="1"/>
  <c r="X3" i="108" a="1"/>
  <c r="X3" i="108" s="1"/>
  <c r="Y3" i="108" a="1"/>
  <c r="Y3" i="108" s="1"/>
  <c r="AK3" i="108" a="1"/>
  <c r="AK3" i="108" s="1"/>
  <c r="AL3" i="108" a="1"/>
  <c r="AL3" i="108" s="1"/>
  <c r="Q3" i="108" a="1"/>
  <c r="Q3" i="108" s="1"/>
  <c r="R3" i="108" a="1"/>
  <c r="R3" i="108" s="1"/>
  <c r="Z3" i="108" a="1"/>
  <c r="Z3" i="108" s="1"/>
  <c r="AM3" i="108" a="1"/>
  <c r="AM3" i="108" s="1"/>
  <c r="AB3" i="108" a="1"/>
  <c r="AB3" i="108" s="1"/>
  <c r="AA3" i="108" a="1"/>
  <c r="AA3" i="108" s="1"/>
  <c r="S3" i="108" a="1"/>
  <c r="S3" i="108" s="1"/>
  <c r="L3" i="108" a="1"/>
  <c r="L3" i="108" s="1"/>
  <c r="J3" i="108" a="1"/>
  <c r="J3" i="108" s="1"/>
  <c r="M3" i="108" a="1"/>
  <c r="M3" i="108" s="1"/>
  <c r="N3" i="108" a="1"/>
  <c r="N3" i="108" s="1"/>
  <c r="O3" i="108" a="1"/>
  <c r="O3" i="108" s="1"/>
  <c r="U3" i="108" a="1"/>
  <c r="U3" i="108" s="1"/>
  <c r="V3" i="108" a="1"/>
  <c r="V3" i="108" s="1"/>
  <c r="AC3" i="108" a="1"/>
  <c r="AC3" i="108" s="1"/>
  <c r="AI3" i="108" a="1"/>
  <c r="AI3" i="108" s="1"/>
  <c r="K3" i="108" a="1"/>
  <c r="K3" i="108" s="1"/>
  <c r="AG3" i="108" a="1"/>
  <c r="AG3" i="108" s="1"/>
  <c r="AH3" i="108" a="1"/>
  <c r="AH3" i="108" s="1"/>
  <c r="AE3" i="108" a="1"/>
  <c r="AE3" i="108" s="1"/>
  <c r="AD3" i="108" a="1"/>
  <c r="AD3" i="108" s="1"/>
  <c r="T3" i="108" a="1"/>
  <c r="T3" i="108" s="1"/>
  <c r="P37" i="108" a="1"/>
  <c r="P37" i="108" s="1"/>
  <c r="AF37" i="108" a="1"/>
  <c r="AF37" i="108" s="1"/>
  <c r="O37" i="108" a="1"/>
  <c r="O37" i="108" s="1"/>
  <c r="X37" i="108" a="1"/>
  <c r="X37" i="108" s="1"/>
  <c r="AG37" i="108" a="1"/>
  <c r="AG37" i="108" s="1"/>
  <c r="Y37" i="108" a="1"/>
  <c r="Y37" i="108" s="1"/>
  <c r="AH37" i="108" a="1"/>
  <c r="AH37" i="108" s="1"/>
  <c r="R37" i="108" a="1"/>
  <c r="R37" i="108" s="1"/>
  <c r="AK37" i="108" a="1"/>
  <c r="AK37" i="108" s="1"/>
  <c r="AB37" i="108" a="1"/>
  <c r="AB37" i="108" s="1"/>
  <c r="AL37" i="108" a="1"/>
  <c r="AL37" i="108" s="1"/>
  <c r="J37" i="108" a="1"/>
  <c r="J37" i="108" s="1"/>
  <c r="V37" i="108" a="1"/>
  <c r="V37" i="108" s="1"/>
  <c r="AM37" i="108" a="1"/>
  <c r="AM37" i="108" s="1"/>
  <c r="L37" i="108" a="1"/>
  <c r="L37" i="108" s="1"/>
  <c r="AA37" i="108" a="1"/>
  <c r="AA37" i="108" s="1"/>
  <c r="AJ37" i="108" a="1"/>
  <c r="AJ37" i="108" s="1"/>
  <c r="N37" i="108" a="1"/>
  <c r="N37" i="108" s="1"/>
  <c r="AD37" i="108" a="1"/>
  <c r="AD37" i="108" s="1"/>
  <c r="M37" i="108" a="1"/>
  <c r="M37" i="108" s="1"/>
  <c r="AE37" i="108" a="1"/>
  <c r="AE37" i="108" s="1"/>
  <c r="AI37" i="108" a="1"/>
  <c r="AI37" i="108" s="1"/>
  <c r="Z37" i="108" a="1"/>
  <c r="Z37" i="108" s="1"/>
  <c r="AC37" i="108" a="1"/>
  <c r="AC37" i="108" s="1"/>
  <c r="K37" i="108" a="1"/>
  <c r="K37" i="108" s="1"/>
  <c r="Q37" i="108" a="1"/>
  <c r="Q37" i="108" s="1"/>
  <c r="S37" i="108" a="1"/>
  <c r="S37" i="108" s="1"/>
  <c r="T37" i="108" a="1"/>
  <c r="T37" i="108" s="1"/>
  <c r="U37" i="108" a="1"/>
  <c r="U37" i="108" s="1"/>
  <c r="W37" i="108" a="1"/>
  <c r="W37" i="108" s="1"/>
  <c r="N44" i="108" a="1"/>
  <c r="N44" i="108" s="1"/>
  <c r="V44" i="108" a="1"/>
  <c r="V44" i="108" s="1"/>
  <c r="AE44" i="108" a="1"/>
  <c r="AE44" i="108" s="1"/>
  <c r="AM44" i="108" a="1"/>
  <c r="AM44" i="108" s="1"/>
  <c r="Y44" i="108" a="1"/>
  <c r="Y44" i="108" s="1"/>
  <c r="Q44" i="108" a="1"/>
  <c r="Q44" i="108" s="1"/>
  <c r="Z44" i="108" a="1"/>
  <c r="Z44" i="108" s="1"/>
  <c r="AH44" i="108" a="1"/>
  <c r="AH44" i="108" s="1"/>
  <c r="J44" i="108" a="1"/>
  <c r="J44" i="108" s="1"/>
  <c r="AF44" i="108" a="1"/>
  <c r="AF44" i="108" s="1"/>
  <c r="X44" i="108" a="1"/>
  <c r="X44" i="108" s="1"/>
  <c r="AJ44" i="108" a="1"/>
  <c r="AJ44" i="108" s="1"/>
  <c r="P44" i="108" a="1"/>
  <c r="P44" i="108" s="1"/>
  <c r="AD44" i="108" a="1"/>
  <c r="AD44" i="108" s="1"/>
  <c r="L44" i="108" a="1"/>
  <c r="L44" i="108" s="1"/>
  <c r="AA44" i="108" a="1"/>
  <c r="AA44" i="108" s="1"/>
  <c r="AL44" i="108" a="1"/>
  <c r="AL44" i="108" s="1"/>
  <c r="R44" i="108" a="1"/>
  <c r="R44" i="108" s="1"/>
  <c r="AG44" i="108" a="1"/>
  <c r="AG44" i="108" s="1"/>
  <c r="AI44" i="108" a="1"/>
  <c r="AI44" i="108" s="1"/>
  <c r="AB44" i="108" a="1"/>
  <c r="AB44" i="108" s="1"/>
  <c r="K44" i="108" a="1"/>
  <c r="K44" i="108" s="1"/>
  <c r="M44" i="108" a="1"/>
  <c r="M44" i="108" s="1"/>
  <c r="AC44" i="108" a="1"/>
  <c r="AC44" i="108" s="1"/>
  <c r="O44" i="108" a="1"/>
  <c r="O44" i="108" s="1"/>
  <c r="S44" i="108" a="1"/>
  <c r="S44" i="108" s="1"/>
  <c r="T44" i="108" a="1"/>
  <c r="T44" i="108" s="1"/>
  <c r="U44" i="108" a="1"/>
  <c r="U44" i="108" s="1"/>
  <c r="W44" i="108" a="1"/>
  <c r="W44" i="108" s="1"/>
  <c r="AK44" i="108" a="1"/>
  <c r="AK44" i="108" s="1"/>
  <c r="CE78" i="106" a="1"/>
  <c r="CE78" i="106" s="1"/>
  <c r="CG78" i="106" a="1"/>
  <c r="CG78" i="106" s="1"/>
  <c r="CC78" i="106" a="1"/>
  <c r="CC78" i="106" s="1"/>
  <c r="CD78" i="106" a="1"/>
  <c r="CD78" i="106" s="1"/>
  <c r="CB78" i="106" a="1"/>
  <c r="CB78" i="106" s="1"/>
  <c r="CF78" i="106" a="1"/>
  <c r="CF78" i="106" s="1"/>
  <c r="CC79" i="106" a="1"/>
  <c r="CC79" i="106" s="1"/>
  <c r="CD79" i="106" a="1"/>
  <c r="CD79" i="106" s="1"/>
  <c r="CE79" i="106" a="1"/>
  <c r="CE79" i="106" s="1"/>
  <c r="CF79" i="106" a="1"/>
  <c r="CF79" i="106" s="1"/>
  <c r="CG79" i="106" a="1"/>
  <c r="CG79" i="106" s="1"/>
  <c r="CB79" i="106" a="1"/>
  <c r="CB79" i="106" s="1"/>
  <c r="AB74" i="108" a="1"/>
  <c r="AB74" i="108" s="1"/>
  <c r="AJ74" i="108" a="1"/>
  <c r="AJ74" i="108" s="1"/>
  <c r="K74" i="108" a="1"/>
  <c r="K74" i="108" s="1"/>
  <c r="S74" i="108" a="1"/>
  <c r="S74" i="108" s="1"/>
  <c r="L74" i="108" a="1"/>
  <c r="L74" i="108" s="1"/>
  <c r="T74" i="108" a="1"/>
  <c r="T74" i="108" s="1"/>
  <c r="AK74" i="108" a="1"/>
  <c r="AK74" i="108" s="1"/>
  <c r="U74" i="108" a="1"/>
  <c r="U74" i="108" s="1"/>
  <c r="M74" i="108" a="1"/>
  <c r="M74" i="108" s="1"/>
  <c r="N74" i="108" a="1"/>
  <c r="N74" i="108" s="1"/>
  <c r="AD74" i="108" a="1"/>
  <c r="AD74" i="108" s="1"/>
  <c r="AL74" i="108" a="1"/>
  <c r="AL74" i="108" s="1"/>
  <c r="W74" i="108" a="1"/>
  <c r="W74" i="108" s="1"/>
  <c r="O74" i="108" a="1"/>
  <c r="O74" i="108" s="1"/>
  <c r="X74" i="108" a="1"/>
  <c r="X74" i="108" s="1"/>
  <c r="AE74" i="108" a="1"/>
  <c r="AE74" i="108" s="1"/>
  <c r="AM74" i="108" a="1"/>
  <c r="AM74" i="108" s="1"/>
  <c r="P74" i="108" a="1"/>
  <c r="P74" i="108" s="1"/>
  <c r="AF74" i="108" a="1"/>
  <c r="AF74" i="108" s="1"/>
  <c r="AG74" i="108" a="1"/>
  <c r="AG74" i="108" s="1"/>
  <c r="Y74" i="108" a="1"/>
  <c r="Y74" i="108" s="1"/>
  <c r="AC74" i="108" a="1"/>
  <c r="AC74" i="108" s="1"/>
  <c r="AH74" i="108" a="1"/>
  <c r="AH74" i="108" s="1"/>
  <c r="AI74" i="108" a="1"/>
  <c r="AI74" i="108" s="1"/>
  <c r="J74" i="108" a="1"/>
  <c r="J74" i="108" s="1"/>
  <c r="Q74" i="108" a="1"/>
  <c r="Q74" i="108" s="1"/>
  <c r="R74" i="108" a="1"/>
  <c r="R74" i="108" s="1"/>
  <c r="V74" i="108" a="1"/>
  <c r="V74" i="108" s="1"/>
  <c r="Z74" i="108" a="1"/>
  <c r="Z74" i="108" s="1"/>
  <c r="AA74" i="108" a="1"/>
  <c r="AA74" i="108" s="1"/>
  <c r="K76" i="108" a="1"/>
  <c r="K76" i="108" s="1"/>
  <c r="R76" i="108" a="1"/>
  <c r="R76" i="108" s="1"/>
  <c r="AJ76" i="108" a="1"/>
  <c r="AJ76" i="108" s="1"/>
  <c r="O76" i="108" a="1"/>
  <c r="O76" i="108" s="1"/>
  <c r="W76" i="108" a="1"/>
  <c r="W76" i="108" s="1"/>
  <c r="AD76" i="108" a="1"/>
  <c r="AD76" i="108" s="1"/>
  <c r="P76" i="108" a="1"/>
  <c r="P76" i="108" s="1"/>
  <c r="AE76" i="108" a="1"/>
  <c r="AE76" i="108" s="1"/>
  <c r="AL76" i="108" a="1"/>
  <c r="AL76" i="108" s="1"/>
  <c r="Y76" i="108" a="1"/>
  <c r="Y76" i="108" s="1"/>
  <c r="AF76" i="108" a="1"/>
  <c r="AF76" i="108" s="1"/>
  <c r="AM76" i="108" a="1"/>
  <c r="AM76" i="108" s="1"/>
  <c r="J76" i="108" a="1"/>
  <c r="J76" i="108" s="1"/>
  <c r="Q76" i="108" a="1"/>
  <c r="Q76" i="108" s="1"/>
  <c r="Z76" i="108" a="1"/>
  <c r="Z76" i="108" s="1"/>
  <c r="S76" i="108" a="1"/>
  <c r="S76" i="108" s="1"/>
  <c r="L76" i="108" a="1"/>
  <c r="L76" i="108" s="1"/>
  <c r="AA76" i="108" a="1"/>
  <c r="AA76" i="108" s="1"/>
  <c r="AG76" i="108" a="1"/>
  <c r="AG76" i="108" s="1"/>
  <c r="T76" i="108" a="1"/>
  <c r="T76" i="108" s="1"/>
  <c r="AH76" i="108" a="1"/>
  <c r="AH76" i="108" s="1"/>
  <c r="U76" i="108" a="1"/>
  <c r="U76" i="108" s="1"/>
  <c r="AK76" i="108" a="1"/>
  <c r="AK76" i="108" s="1"/>
  <c r="V76" i="108" a="1"/>
  <c r="V76" i="108" s="1"/>
  <c r="X76" i="108" a="1"/>
  <c r="X76" i="108" s="1"/>
  <c r="AC76" i="108" a="1"/>
  <c r="AC76" i="108" s="1"/>
  <c r="N76" i="108" a="1"/>
  <c r="N76" i="108" s="1"/>
  <c r="AB76" i="108" a="1"/>
  <c r="AB76" i="108" s="1"/>
  <c r="M76" i="108" a="1"/>
  <c r="M76" i="108" s="1"/>
  <c r="AI76" i="108" a="1"/>
  <c r="AI76" i="108" s="1"/>
  <c r="X70" i="108" a="1"/>
  <c r="X70" i="108" s="1"/>
  <c r="AL70" i="108" a="1"/>
  <c r="AL70" i="108" s="1"/>
  <c r="K70" i="108" a="1"/>
  <c r="K70" i="108" s="1"/>
  <c r="AA70" i="108" a="1"/>
  <c r="AA70" i="108" s="1"/>
  <c r="AI70" i="108" a="1"/>
  <c r="AI70" i="108" s="1"/>
  <c r="L70" i="108" a="1"/>
  <c r="L70" i="108" s="1"/>
  <c r="S70" i="108" a="1"/>
  <c r="S70" i="108" s="1"/>
  <c r="AJ70" i="108" a="1"/>
  <c r="AJ70" i="108" s="1"/>
  <c r="AB70" i="108" a="1"/>
  <c r="AB70" i="108" s="1"/>
  <c r="M70" i="108" a="1"/>
  <c r="M70" i="108" s="1"/>
  <c r="T70" i="108" a="1"/>
  <c r="T70" i="108" s="1"/>
  <c r="AK70" i="108" a="1"/>
  <c r="AK70" i="108" s="1"/>
  <c r="U70" i="108" a="1"/>
  <c r="U70" i="108" s="1"/>
  <c r="AC70" i="108" a="1"/>
  <c r="AC70" i="108" s="1"/>
  <c r="N70" i="108" a="1"/>
  <c r="N70" i="108" s="1"/>
  <c r="V70" i="108" a="1"/>
  <c r="V70" i="108" s="1"/>
  <c r="AD70" i="108" a="1"/>
  <c r="AD70" i="108" s="1"/>
  <c r="W70" i="108" a="1"/>
  <c r="W70" i="108" s="1"/>
  <c r="AE70" i="108" a="1"/>
  <c r="AE70" i="108" s="1"/>
  <c r="AM70" i="108" a="1"/>
  <c r="AM70" i="108" s="1"/>
  <c r="P70" i="108" a="1"/>
  <c r="P70" i="108" s="1"/>
  <c r="J70" i="108" a="1"/>
  <c r="J70" i="108" s="1"/>
  <c r="O70" i="108" a="1"/>
  <c r="O70" i="108" s="1"/>
  <c r="Y70" i="108" a="1"/>
  <c r="Y70" i="108" s="1"/>
  <c r="AF70" i="108" a="1"/>
  <c r="AF70" i="108" s="1"/>
  <c r="Q70" i="108" a="1"/>
  <c r="Q70" i="108" s="1"/>
  <c r="R70" i="108" a="1"/>
  <c r="R70" i="108" s="1"/>
  <c r="Z70" i="108" a="1"/>
  <c r="Z70" i="108" s="1"/>
  <c r="AG70" i="108" a="1"/>
  <c r="AG70" i="108" s="1"/>
  <c r="AH70" i="108" a="1"/>
  <c r="AH70" i="108" s="1"/>
  <c r="N47" i="108" a="1"/>
  <c r="N47" i="108" s="1"/>
  <c r="W47" i="108" a="1"/>
  <c r="W47" i="108" s="1"/>
  <c r="O47" i="108" a="1"/>
  <c r="O47" i="108" s="1"/>
  <c r="X47" i="108" a="1"/>
  <c r="X47" i="108" s="1"/>
  <c r="AF47" i="108" a="1"/>
  <c r="AF47" i="108" s="1"/>
  <c r="S47" i="108" a="1"/>
  <c r="S47" i="108" s="1"/>
  <c r="AD47" i="108" a="1"/>
  <c r="AD47" i="108" s="1"/>
  <c r="Q47" i="108" a="1"/>
  <c r="Q47" i="108" s="1"/>
  <c r="M47" i="108" a="1"/>
  <c r="M47" i="108" s="1"/>
  <c r="Z47" i="108" a="1"/>
  <c r="Z47" i="108" s="1"/>
  <c r="AJ47" i="108" a="1"/>
  <c r="AJ47" i="108" s="1"/>
  <c r="AG47" i="108" a="1"/>
  <c r="AG47" i="108" s="1"/>
  <c r="T47" i="108" a="1"/>
  <c r="T47" i="108" s="1"/>
  <c r="AH47" i="108" a="1"/>
  <c r="AH47" i="108" s="1"/>
  <c r="AB47" i="108" a="1"/>
  <c r="AB47" i="108" s="1"/>
  <c r="AC47" i="108" a="1"/>
  <c r="AC47" i="108" s="1"/>
  <c r="P47" i="108" a="1"/>
  <c r="P47" i="108" s="1"/>
  <c r="R47" i="108" a="1"/>
  <c r="R47" i="108" s="1"/>
  <c r="AE47" i="108" a="1"/>
  <c r="AE47" i="108" s="1"/>
  <c r="K47" i="108" a="1"/>
  <c r="K47" i="108" s="1"/>
  <c r="AM47" i="108" a="1"/>
  <c r="AM47" i="108" s="1"/>
  <c r="L47" i="108" a="1"/>
  <c r="L47" i="108" s="1"/>
  <c r="U47" i="108" a="1"/>
  <c r="U47" i="108" s="1"/>
  <c r="V47" i="108" a="1"/>
  <c r="V47" i="108" s="1"/>
  <c r="Y47" i="108" a="1"/>
  <c r="Y47" i="108" s="1"/>
  <c r="AK47" i="108" a="1"/>
  <c r="AK47" i="108" s="1"/>
  <c r="AA47" i="108" a="1"/>
  <c r="AA47" i="108" s="1"/>
  <c r="J47" i="108" a="1"/>
  <c r="J47" i="108" s="1"/>
  <c r="AI47" i="108" a="1"/>
  <c r="AI47" i="108" s="1"/>
  <c r="AL47" i="108" a="1"/>
  <c r="AL47" i="108" s="1"/>
  <c r="L59" i="108" a="1"/>
  <c r="L59" i="108" s="1"/>
  <c r="AM59" i="108" a="1"/>
  <c r="AM59" i="108" s="1"/>
  <c r="N59" i="108" a="1"/>
  <c r="N59" i="108" s="1"/>
  <c r="X59" i="108" a="1"/>
  <c r="X59" i="108" s="1"/>
  <c r="AG59" i="108" a="1"/>
  <c r="AG59" i="108" s="1"/>
  <c r="J59" i="108" a="1"/>
  <c r="J59" i="108" s="1"/>
  <c r="AD59" i="108" a="1"/>
  <c r="AD59" i="108" s="1"/>
  <c r="T59" i="108" a="1"/>
  <c r="T59" i="108" s="1"/>
  <c r="AE59" i="108" a="1"/>
  <c r="AE59" i="108" s="1"/>
  <c r="V59" i="108" a="1"/>
  <c r="V59" i="108" s="1"/>
  <c r="AH59" i="108" a="1"/>
  <c r="AH59" i="108" s="1"/>
  <c r="W59" i="108" a="1"/>
  <c r="W59" i="108" s="1"/>
  <c r="AI59" i="108" a="1"/>
  <c r="AI59" i="108" s="1"/>
  <c r="K59" i="108" a="1"/>
  <c r="K59" i="108" s="1"/>
  <c r="Y59" i="108" a="1"/>
  <c r="Y59" i="108" s="1"/>
  <c r="AJ59" i="108" a="1"/>
  <c r="AJ59" i="108" s="1"/>
  <c r="M59" i="108" a="1"/>
  <c r="M59" i="108" s="1"/>
  <c r="Z59" i="108" a="1"/>
  <c r="Z59" i="108" s="1"/>
  <c r="AK59" i="108" a="1"/>
  <c r="AK59" i="108" s="1"/>
  <c r="AL59" i="108" a="1"/>
  <c r="AL59" i="108" s="1"/>
  <c r="O59" i="108" a="1"/>
  <c r="O59" i="108" s="1"/>
  <c r="AA59" i="108" a="1"/>
  <c r="AA59" i="108" s="1"/>
  <c r="P59" i="108" a="1"/>
  <c r="P59" i="108" s="1"/>
  <c r="AB59" i="108" a="1"/>
  <c r="AB59" i="108" s="1"/>
  <c r="S59" i="108" a="1"/>
  <c r="S59" i="108" s="1"/>
  <c r="Q59" i="108" a="1"/>
  <c r="Q59" i="108" s="1"/>
  <c r="AC59" i="108" a="1"/>
  <c r="AC59" i="108" s="1"/>
  <c r="R59" i="108" a="1"/>
  <c r="R59" i="108" s="1"/>
  <c r="AF59" i="108" a="1"/>
  <c r="AF59" i="108" s="1"/>
  <c r="U59" i="108" a="1"/>
  <c r="U59" i="108" s="1"/>
  <c r="R45" i="108" a="1"/>
  <c r="R45" i="108" s="1"/>
  <c r="AA45" i="108" a="1"/>
  <c r="AA45" i="108" s="1"/>
  <c r="T45" i="108" a="1"/>
  <c r="T45" i="108" s="1"/>
  <c r="AD45" i="108" a="1"/>
  <c r="AD45" i="108" s="1"/>
  <c r="AL45" i="108" a="1"/>
  <c r="AL45" i="108" s="1"/>
  <c r="M45" i="108" a="1"/>
  <c r="M45" i="108" s="1"/>
  <c r="AE45" i="108" a="1"/>
  <c r="AE45" i="108" s="1"/>
  <c r="AM45" i="108" a="1"/>
  <c r="AM45" i="108" s="1"/>
  <c r="Y45" i="108" a="1"/>
  <c r="Y45" i="108" s="1"/>
  <c r="AJ45" i="108" a="1"/>
  <c r="AJ45" i="108" s="1"/>
  <c r="AB45" i="108" a="1"/>
  <c r="AB45" i="108" s="1"/>
  <c r="N45" i="108" a="1"/>
  <c r="N45" i="108" s="1"/>
  <c r="V45" i="108" a="1"/>
  <c r="V45" i="108" s="1"/>
  <c r="AI45" i="108" a="1"/>
  <c r="AI45" i="108" s="1"/>
  <c r="S45" i="108" a="1"/>
  <c r="S45" i="108" s="1"/>
  <c r="AH45" i="108" a="1"/>
  <c r="AH45" i="108" s="1"/>
  <c r="L45" i="108" a="1"/>
  <c r="L45" i="108" s="1"/>
  <c r="O45" i="108" a="1"/>
  <c r="O45" i="108" s="1"/>
  <c r="AF45" i="108" a="1"/>
  <c r="AF45" i="108" s="1"/>
  <c r="P45" i="108" a="1"/>
  <c r="P45" i="108" s="1"/>
  <c r="Q45" i="108" a="1"/>
  <c r="Q45" i="108" s="1"/>
  <c r="AG45" i="108" a="1"/>
  <c r="AG45" i="108" s="1"/>
  <c r="J45" i="108" a="1"/>
  <c r="J45" i="108" s="1"/>
  <c r="K45" i="108" a="1"/>
  <c r="K45" i="108" s="1"/>
  <c r="U45" i="108" a="1"/>
  <c r="U45" i="108" s="1"/>
  <c r="W45" i="108" a="1"/>
  <c r="W45" i="108" s="1"/>
  <c r="X45" i="108" a="1"/>
  <c r="X45" i="108" s="1"/>
  <c r="Z45" i="108" a="1"/>
  <c r="Z45" i="108" s="1"/>
  <c r="AC45" i="108" a="1"/>
  <c r="AC45" i="108" s="1"/>
  <c r="AK45" i="108" a="1"/>
  <c r="AK45" i="108" s="1"/>
  <c r="I52" i="108" a="1"/>
  <c r="I52" i="108" s="1"/>
  <c r="I63" i="108" a="1"/>
  <c r="I63" i="108" s="1"/>
  <c r="I4" i="108" a="1"/>
  <c r="I4" i="108" s="1"/>
  <c r="I9" i="108" a="1"/>
  <c r="I9" i="108" s="1"/>
  <c r="I10" i="108" a="1"/>
  <c r="I10" i="108" s="1"/>
  <c r="I15" i="108" a="1"/>
  <c r="I15" i="108" s="1"/>
  <c r="I14" i="108" a="1"/>
  <c r="I14" i="108" s="1"/>
  <c r="I19" i="108" a="1"/>
  <c r="I19" i="108" s="1"/>
  <c r="I12" i="108" a="1"/>
  <c r="I12" i="108" s="1"/>
  <c r="I6" i="108" a="1"/>
  <c r="I6" i="108" s="1"/>
  <c r="I18" i="108" a="1"/>
  <c r="I18" i="108" s="1"/>
  <c r="I23" i="108" a="1"/>
  <c r="I23" i="108" s="1"/>
  <c r="I16" i="108" a="1"/>
  <c r="I16" i="108" s="1"/>
  <c r="I41" i="108" a="1"/>
  <c r="I41" i="108" s="1"/>
  <c r="I27" i="108" a="1"/>
  <c r="I27" i="108" s="1"/>
  <c r="I39" i="108" a="1"/>
  <c r="I39" i="108" s="1"/>
  <c r="I60" i="108" a="1"/>
  <c r="I60" i="108" s="1"/>
  <c r="I53" i="108" a="1"/>
  <c r="I53" i="108" s="1"/>
  <c r="I49" i="108" a="1"/>
  <c r="I49" i="108" s="1"/>
  <c r="I7" i="108" a="1"/>
  <c r="I7" i="108" s="1"/>
  <c r="I33" i="108" a="1"/>
  <c r="I33" i="108" s="1"/>
  <c r="I26" i="108" a="1"/>
  <c r="I26" i="108" s="1"/>
  <c r="I40" i="108" a="1"/>
  <c r="I40" i="108" s="1"/>
  <c r="U34" i="106"/>
  <c r="V50" i="108" l="1" a="1"/>
  <c r="V50" i="108" s="1"/>
  <c r="AM50" i="108" a="1"/>
  <c r="AM50" i="108" s="1"/>
  <c r="R50" i="108" a="1"/>
  <c r="R50" i="108" s="1"/>
  <c r="AF50" i="108" a="1"/>
  <c r="AF50" i="108" s="1"/>
  <c r="AE50" i="108" a="1"/>
  <c r="AE50" i="108" s="1"/>
  <c r="AB50" i="108" a="1"/>
  <c r="AB50" i="108" s="1"/>
  <c r="AA50" i="108" a="1"/>
  <c r="AA50" i="108" s="1"/>
  <c r="AI50" i="108" a="1"/>
  <c r="AI50" i="108" s="1"/>
  <c r="Q50" i="108" a="1"/>
  <c r="Q50" i="108" s="1"/>
  <c r="S50" i="108" a="1"/>
  <c r="S50" i="108" s="1"/>
  <c r="AL50" i="108" a="1"/>
  <c r="AL50" i="108" s="1"/>
  <c r="AH50" i="108" a="1"/>
  <c r="AH50" i="108" s="1"/>
  <c r="AG50" i="108" a="1"/>
  <c r="AG50" i="108" s="1"/>
  <c r="P50" i="108" a="1"/>
  <c r="P50" i="108" s="1"/>
  <c r="AD50" i="108" a="1"/>
  <c r="AD50" i="108" s="1"/>
  <c r="Y50" i="108" a="1"/>
  <c r="Y50" i="108" s="1"/>
  <c r="Z50" i="108" a="1"/>
  <c r="Z50" i="108" s="1"/>
  <c r="AC50" i="108" a="1"/>
  <c r="AC50" i="108" s="1"/>
  <c r="U50" i="108" a="1"/>
  <c r="U50" i="108" s="1"/>
  <c r="AK50" i="108" a="1"/>
  <c r="AK50" i="108" s="1"/>
  <c r="T50" i="108" a="1"/>
  <c r="T50" i="108" s="1"/>
  <c r="W50" i="108" a="1"/>
  <c r="W50" i="108" s="1"/>
  <c r="X50" i="108" a="1"/>
  <c r="X50" i="108" s="1"/>
  <c r="O42" i="108" a="1"/>
  <c r="O42" i="108" s="1"/>
  <c r="AM42" i="108" a="1"/>
  <c r="AM42" i="108" s="1"/>
  <c r="T42" i="108" a="1"/>
  <c r="T42" i="108" s="1"/>
  <c r="K42" i="108" a="1"/>
  <c r="K42" i="108" s="1"/>
  <c r="AE42" i="108" a="1"/>
  <c r="AE42" i="108" s="1"/>
  <c r="P42" i="108" a="1"/>
  <c r="P42" i="108" s="1"/>
  <c r="N42" i="108" a="1"/>
  <c r="N42" i="108" s="1"/>
  <c r="Q42" i="108" a="1"/>
  <c r="Q42" i="108" s="1"/>
  <c r="J42" i="108" a="1"/>
  <c r="J42" i="108" s="1"/>
  <c r="Y42" i="108" a="1"/>
  <c r="Y42" i="108" s="1"/>
  <c r="AG42" i="108" a="1"/>
  <c r="AG42" i="108" s="1"/>
  <c r="AI42" i="108" a="1"/>
  <c r="AI42" i="108" s="1"/>
  <c r="U42" i="108" a="1"/>
  <c r="U42" i="108" s="1"/>
  <c r="R42" i="108" a="1"/>
  <c r="R42" i="108" s="1"/>
  <c r="Z42" i="108" a="1"/>
  <c r="Z42" i="108" s="1"/>
  <c r="M42" i="108" a="1"/>
  <c r="M42" i="108" s="1"/>
  <c r="AK42" i="108" a="1"/>
  <c r="AK42" i="108" s="1"/>
  <c r="X42" i="108" a="1"/>
  <c r="X42" i="108" s="1"/>
  <c r="AB42" i="108" a="1"/>
  <c r="AB42" i="108" s="1"/>
  <c r="W42" i="108" a="1"/>
  <c r="W42" i="108" s="1"/>
  <c r="AH42" i="108" a="1"/>
  <c r="AH42" i="108" s="1"/>
  <c r="AM56" i="108" a="1"/>
  <c r="AM56" i="108" s="1"/>
  <c r="J56" i="108" a="1"/>
  <c r="J56" i="108" s="1"/>
  <c r="AB56" i="108" a="1"/>
  <c r="AB56" i="108" s="1"/>
  <c r="V42" i="108" a="1"/>
  <c r="V42" i="108" s="1"/>
  <c r="L42" i="108" a="1"/>
  <c r="L42" i="108" s="1"/>
  <c r="AL42" i="108" a="1"/>
  <c r="AL42" i="108" s="1"/>
  <c r="AA42" i="108" a="1"/>
  <c r="AA42" i="108" s="1"/>
  <c r="AG56" i="108" a="1"/>
  <c r="AG56" i="108" s="1"/>
  <c r="U56" i="108" a="1"/>
  <c r="U56" i="108" s="1"/>
  <c r="AH56" i="108" a="1"/>
  <c r="AH56" i="108" s="1"/>
  <c r="L56" i="108" a="1"/>
  <c r="L56" i="108" s="1"/>
  <c r="AF56" i="108" a="1"/>
  <c r="AF56" i="108" s="1"/>
  <c r="T56" i="108" a="1"/>
  <c r="T56" i="108" s="1"/>
  <c r="K56" i="108" a="1"/>
  <c r="K56" i="108" s="1"/>
  <c r="Z56" i="108" a="1"/>
  <c r="Z56" i="108" s="1"/>
  <c r="Y56" i="108" a="1"/>
  <c r="Y56" i="108" s="1"/>
  <c r="AE56" i="108" a="1"/>
  <c r="AE56" i="108" s="1"/>
  <c r="O56" i="108" a="1"/>
  <c r="O56" i="108" s="1"/>
  <c r="AL56" i="108" a="1"/>
  <c r="AL56" i="108" s="1"/>
  <c r="AD56" i="108" a="1"/>
  <c r="AD56" i="108" s="1"/>
  <c r="N56" i="108" a="1"/>
  <c r="N56" i="108" s="1"/>
  <c r="S56" i="108" a="1"/>
  <c r="S56" i="108" s="1"/>
  <c r="Q56" i="108" a="1"/>
  <c r="Q56" i="108" s="1"/>
  <c r="V56" i="108" a="1"/>
  <c r="V56" i="108" s="1"/>
  <c r="AD42" i="108" a="1"/>
  <c r="AD42" i="108" s="1"/>
  <c r="AJ42" i="108" a="1"/>
  <c r="AJ42" i="108" s="1"/>
  <c r="X56" i="108" a="1"/>
  <c r="X56" i="108" s="1"/>
  <c r="AA56" i="108" a="1"/>
  <c r="AA56" i="108" s="1"/>
  <c r="W56" i="108" a="1"/>
  <c r="W56" i="108" s="1"/>
  <c r="AK56" i="108" a="1"/>
  <c r="AK56" i="108" s="1"/>
  <c r="AC56" i="108" a="1"/>
  <c r="AC56" i="108" s="1"/>
  <c r="M56" i="108" a="1"/>
  <c r="M56" i="108" s="1"/>
  <c r="R56" i="108" a="1"/>
  <c r="R56" i="108" s="1"/>
  <c r="P56" i="108" a="1"/>
  <c r="P56" i="108" s="1"/>
  <c r="AF42" i="108" a="1"/>
  <c r="AF42" i="108" s="1"/>
  <c r="AC42" i="108" a="1"/>
  <c r="AC42" i="108" s="1"/>
  <c r="AJ56" i="108" a="1"/>
  <c r="AJ56" i="108" s="1"/>
  <c r="Q63" i="108" a="1"/>
  <c r="Q63" i="108" s="1"/>
  <c r="Y63" i="108" a="1"/>
  <c r="Y63" i="108" s="1"/>
  <c r="AH63" i="108" a="1"/>
  <c r="AH63" i="108" s="1"/>
  <c r="J63" i="108" a="1"/>
  <c r="J63" i="108" s="1"/>
  <c r="U63" i="108" a="1"/>
  <c r="U63" i="108" s="1"/>
  <c r="AD63" i="108" a="1"/>
  <c r="AD63" i="108" s="1"/>
  <c r="P63" i="108" a="1"/>
  <c r="P63" i="108" s="1"/>
  <c r="R63" i="108" a="1"/>
  <c r="R63" i="108" s="1"/>
  <c r="Z63" i="108" a="1"/>
  <c r="Z63" i="108" s="1"/>
  <c r="AJ63" i="108" a="1"/>
  <c r="AJ63" i="108" s="1"/>
  <c r="S63" i="108" a="1"/>
  <c r="S63" i="108" s="1"/>
  <c r="AE63" i="108" a="1"/>
  <c r="AE63" i="108" s="1"/>
  <c r="T63" i="108" a="1"/>
  <c r="T63" i="108" s="1"/>
  <c r="AF63" i="108" a="1"/>
  <c r="AF63" i="108" s="1"/>
  <c r="V63" i="108" a="1"/>
  <c r="V63" i="108" s="1"/>
  <c r="AG63" i="108" a="1"/>
  <c r="AG63" i="108" s="1"/>
  <c r="W63" i="108" a="1"/>
  <c r="W63" i="108" s="1"/>
  <c r="AI63" i="108" a="1"/>
  <c r="AI63" i="108" s="1"/>
  <c r="K63" i="108" a="1"/>
  <c r="K63" i="108" s="1"/>
  <c r="X63" i="108" a="1"/>
  <c r="X63" i="108" s="1"/>
  <c r="AK63" i="108" a="1"/>
  <c r="AK63" i="108" s="1"/>
  <c r="AC63" i="108" a="1"/>
  <c r="AC63" i="108" s="1"/>
  <c r="L63" i="108" a="1"/>
  <c r="L63" i="108" s="1"/>
  <c r="O63" i="108" a="1"/>
  <c r="O63" i="108" s="1"/>
  <c r="M63" i="108" a="1"/>
  <c r="M63" i="108" s="1"/>
  <c r="AA63" i="108" a="1"/>
  <c r="AA63" i="108" s="1"/>
  <c r="AL63" i="108" a="1"/>
  <c r="AL63" i="108" s="1"/>
  <c r="N63" i="108" a="1"/>
  <c r="N63" i="108" s="1"/>
  <c r="AB63" i="108" a="1"/>
  <c r="AB63" i="108" s="1"/>
  <c r="AM63" i="108" a="1"/>
  <c r="AM63" i="108" s="1"/>
  <c r="W33" i="108" a="1"/>
  <c r="W33" i="108" s="1"/>
  <c r="AE33" i="108" a="1"/>
  <c r="AE33" i="108" s="1"/>
  <c r="T33" i="108" a="1"/>
  <c r="T33" i="108" s="1"/>
  <c r="AD33" i="108" a="1"/>
  <c r="AD33" i="108" s="1"/>
  <c r="AM33" i="108" a="1"/>
  <c r="AM33" i="108" s="1"/>
  <c r="M33" i="108" a="1"/>
  <c r="M33" i="108" s="1"/>
  <c r="U33" i="108" a="1"/>
  <c r="U33" i="108" s="1"/>
  <c r="P33" i="108" a="1"/>
  <c r="P33" i="108" s="1"/>
  <c r="Y33" i="108" a="1"/>
  <c r="Y33" i="108" s="1"/>
  <c r="AG33" i="108" a="1"/>
  <c r="AG33" i="108" s="1"/>
  <c r="Q33" i="108" a="1"/>
  <c r="Q33" i="108" s="1"/>
  <c r="AC33" i="108" a="1"/>
  <c r="AC33" i="108" s="1"/>
  <c r="AF33" i="108" a="1"/>
  <c r="AF33" i="108" s="1"/>
  <c r="AJ33" i="108" a="1"/>
  <c r="AJ33" i="108" s="1"/>
  <c r="N33" i="108" a="1"/>
  <c r="N33" i="108" s="1"/>
  <c r="O33" i="108" a="1"/>
  <c r="O33" i="108" s="1"/>
  <c r="J33" i="108" a="1"/>
  <c r="J33" i="108" s="1"/>
  <c r="K33" i="108" a="1"/>
  <c r="K33" i="108" s="1"/>
  <c r="AH33" i="108" a="1"/>
  <c r="AH33" i="108" s="1"/>
  <c r="X33" i="108" a="1"/>
  <c r="X33" i="108" s="1"/>
  <c r="Z33" i="108" a="1"/>
  <c r="Z33" i="108" s="1"/>
  <c r="AA33" i="108" a="1"/>
  <c r="AA33" i="108" s="1"/>
  <c r="AL33" i="108" a="1"/>
  <c r="AL33" i="108" s="1"/>
  <c r="L33" i="108" a="1"/>
  <c r="L33" i="108" s="1"/>
  <c r="R33" i="108" a="1"/>
  <c r="R33" i="108" s="1"/>
  <c r="S33" i="108" a="1"/>
  <c r="S33" i="108" s="1"/>
  <c r="AI33" i="108" a="1"/>
  <c r="AI33" i="108" s="1"/>
  <c r="V33" i="108" a="1"/>
  <c r="V33" i="108" s="1"/>
  <c r="AB33" i="108" a="1"/>
  <c r="AB33" i="108" s="1"/>
  <c r="AK33" i="108" a="1"/>
  <c r="AK33" i="108" s="1"/>
  <c r="T12" i="108" a="1"/>
  <c r="T12" i="108" s="1"/>
  <c r="AD12" i="108" a="1"/>
  <c r="AD12" i="108" s="1"/>
  <c r="K12" i="108" a="1"/>
  <c r="K12" i="108" s="1"/>
  <c r="W12" i="108" a="1"/>
  <c r="W12" i="108" s="1"/>
  <c r="AI12" i="108" a="1"/>
  <c r="AI12" i="108" s="1"/>
  <c r="L12" i="108" a="1"/>
  <c r="L12" i="108" s="1"/>
  <c r="X12" i="108" a="1"/>
  <c r="X12" i="108" s="1"/>
  <c r="AJ12" i="108" a="1"/>
  <c r="AJ12" i="108" s="1"/>
  <c r="O12" i="108" a="1"/>
  <c r="O12" i="108" s="1"/>
  <c r="AA12" i="108" a="1"/>
  <c r="AA12" i="108" s="1"/>
  <c r="AM12" i="108" a="1"/>
  <c r="AM12" i="108" s="1"/>
  <c r="P12" i="108" a="1"/>
  <c r="P12" i="108" s="1"/>
  <c r="Y12" i="108" a="1"/>
  <c r="Y12" i="108" s="1"/>
  <c r="Q12" i="108" a="1"/>
  <c r="Q12" i="108" s="1"/>
  <c r="AG12" i="108" a="1"/>
  <c r="AG12" i="108" s="1"/>
  <c r="R12" i="108" a="1"/>
  <c r="R12" i="108" s="1"/>
  <c r="AH12" i="108" a="1"/>
  <c r="AH12" i="108" s="1"/>
  <c r="S12" i="108" a="1"/>
  <c r="S12" i="108" s="1"/>
  <c r="AK12" i="108" a="1"/>
  <c r="AK12" i="108" s="1"/>
  <c r="U12" i="108" a="1"/>
  <c r="U12" i="108" s="1"/>
  <c r="AL12" i="108" a="1"/>
  <c r="AL12" i="108" s="1"/>
  <c r="AC12" i="108" a="1"/>
  <c r="AC12" i="108" s="1"/>
  <c r="M12" i="108" a="1"/>
  <c r="M12" i="108" s="1"/>
  <c r="N12" i="108" a="1"/>
  <c r="N12" i="108" s="1"/>
  <c r="Z12" i="108" a="1"/>
  <c r="Z12" i="108" s="1"/>
  <c r="AE12" i="108" a="1"/>
  <c r="AE12" i="108" s="1"/>
  <c r="AF12" i="108" a="1"/>
  <c r="AF12" i="108" s="1"/>
  <c r="J12" i="108" a="1"/>
  <c r="J12" i="108" s="1"/>
  <c r="V12" i="108" a="1"/>
  <c r="V12" i="108" s="1"/>
  <c r="AB12" i="108" a="1"/>
  <c r="AB12" i="108" s="1"/>
  <c r="U10" i="108" a="1"/>
  <c r="U10" i="108" s="1"/>
  <c r="AG10" i="108" a="1"/>
  <c r="AG10" i="108" s="1"/>
  <c r="S10" i="108" a="1"/>
  <c r="S10" i="108" s="1"/>
  <c r="AF10" i="108" a="1"/>
  <c r="AF10" i="108" s="1"/>
  <c r="T10" i="108" a="1"/>
  <c r="T10" i="108" s="1"/>
  <c r="AH10" i="108" a="1"/>
  <c r="AH10" i="108" s="1"/>
  <c r="K10" i="108" a="1"/>
  <c r="K10" i="108" s="1"/>
  <c r="X10" i="108" a="1"/>
  <c r="X10" i="108" s="1"/>
  <c r="AK10" i="108" a="1"/>
  <c r="AK10" i="108" s="1"/>
  <c r="L10" i="108" a="1"/>
  <c r="L10" i="108" s="1"/>
  <c r="Y10" i="108" a="1"/>
  <c r="Y10" i="108" s="1"/>
  <c r="AL10" i="108" a="1"/>
  <c r="AL10" i="108" s="1"/>
  <c r="AB10" i="108" a="1"/>
  <c r="AB10" i="108" s="1"/>
  <c r="Q10" i="108" a="1"/>
  <c r="Q10" i="108" s="1"/>
  <c r="AM10" i="108" a="1"/>
  <c r="AM10" i="108" s="1"/>
  <c r="R10" i="108" a="1"/>
  <c r="R10" i="108" s="1"/>
  <c r="V10" i="108" a="1"/>
  <c r="V10" i="108" s="1"/>
  <c r="W10" i="108" a="1"/>
  <c r="W10" i="108" s="1"/>
  <c r="AA10" i="108" a="1"/>
  <c r="AA10" i="108" s="1"/>
  <c r="AI10" i="108" a="1"/>
  <c r="AI10" i="108" s="1"/>
  <c r="J10" i="108" a="1"/>
  <c r="J10" i="108" s="1"/>
  <c r="M10" i="108" a="1"/>
  <c r="M10" i="108" s="1"/>
  <c r="N10" i="108" a="1"/>
  <c r="N10" i="108" s="1"/>
  <c r="P10" i="108" a="1"/>
  <c r="P10" i="108" s="1"/>
  <c r="AC10" i="108" a="1"/>
  <c r="AC10" i="108" s="1"/>
  <c r="AD10" i="108" a="1"/>
  <c r="AD10" i="108" s="1"/>
  <c r="O10" i="108" a="1"/>
  <c r="O10" i="108" s="1"/>
  <c r="Z10" i="108" a="1"/>
  <c r="Z10" i="108" s="1"/>
  <c r="AE10" i="108" a="1"/>
  <c r="AE10" i="108" s="1"/>
  <c r="AJ10" i="108" a="1"/>
  <c r="AJ10" i="108" s="1"/>
  <c r="AA4" i="108" a="1"/>
  <c r="AA4" i="108" s="1"/>
  <c r="AL4" i="108" a="1"/>
  <c r="AL4" i="108" s="1"/>
  <c r="J4" i="108" a="1"/>
  <c r="J4" i="108" s="1"/>
  <c r="V4" i="108" a="1"/>
  <c r="V4" i="108" s="1"/>
  <c r="AH4" i="108" a="1"/>
  <c r="AH4" i="108" s="1"/>
  <c r="K4" i="108" a="1"/>
  <c r="K4" i="108" s="1"/>
  <c r="W4" i="108" a="1"/>
  <c r="W4" i="108" s="1"/>
  <c r="AI4" i="108" a="1"/>
  <c r="AI4" i="108" s="1"/>
  <c r="N4" i="108" a="1"/>
  <c r="N4" i="108" s="1"/>
  <c r="Z4" i="108" a="1"/>
  <c r="Z4" i="108" s="1"/>
  <c r="AM4" i="108" a="1"/>
  <c r="AM4" i="108" s="1"/>
  <c r="O4" i="108" a="1"/>
  <c r="O4" i="108" s="1"/>
  <c r="AB4" i="108" a="1"/>
  <c r="AB4" i="108" s="1"/>
  <c r="S4" i="108" a="1"/>
  <c r="S4" i="108" s="1"/>
  <c r="AF4" i="108" a="1"/>
  <c r="AF4" i="108" s="1"/>
  <c r="AD4" i="108" a="1"/>
  <c r="AD4" i="108" s="1"/>
  <c r="R4" i="108" a="1"/>
  <c r="R4" i="108" s="1"/>
  <c r="T4" i="108" a="1"/>
  <c r="T4" i="108" s="1"/>
  <c r="U4" i="108" a="1"/>
  <c r="U4" i="108" s="1"/>
  <c r="X4" i="108" a="1"/>
  <c r="X4" i="108" s="1"/>
  <c r="L4" i="108" a="1"/>
  <c r="L4" i="108" s="1"/>
  <c r="P4" i="108" a="1"/>
  <c r="P4" i="108" s="1"/>
  <c r="Q4" i="108" a="1"/>
  <c r="Q4" i="108" s="1"/>
  <c r="Y4" i="108" a="1"/>
  <c r="Y4" i="108" s="1"/>
  <c r="AE4" i="108" a="1"/>
  <c r="AE4" i="108" s="1"/>
  <c r="AC4" i="108" a="1"/>
  <c r="AC4" i="108" s="1"/>
  <c r="AG4" i="108" a="1"/>
  <c r="AG4" i="108" s="1"/>
  <c r="AJ4" i="108" a="1"/>
  <c r="AJ4" i="108" s="1"/>
  <c r="AK4" i="108" a="1"/>
  <c r="AK4" i="108" s="1"/>
  <c r="M4" i="108" a="1"/>
  <c r="M4" i="108" s="1"/>
  <c r="M16" i="108" a="1"/>
  <c r="M16" i="108" s="1"/>
  <c r="AF16" i="108" a="1"/>
  <c r="AF16" i="108" s="1"/>
  <c r="O16" i="108" a="1"/>
  <c r="O16" i="108" s="1"/>
  <c r="Z16" i="108" a="1"/>
  <c r="Z16" i="108" s="1"/>
  <c r="AJ16" i="108" a="1"/>
  <c r="AJ16" i="108" s="1"/>
  <c r="AA16" i="108" a="1"/>
  <c r="AA16" i="108" s="1"/>
  <c r="AK16" i="108" a="1"/>
  <c r="AK16" i="108" s="1"/>
  <c r="R16" i="108" a="1"/>
  <c r="R16" i="108" s="1"/>
  <c r="S16" i="108" a="1"/>
  <c r="S16" i="108" s="1"/>
  <c r="AC16" i="108" a="1"/>
  <c r="AC16" i="108" s="1"/>
  <c r="V16" i="108" a="1"/>
  <c r="V16" i="108" s="1"/>
  <c r="AL16" i="108" a="1"/>
  <c r="AL16" i="108" s="1"/>
  <c r="N16" i="108" a="1"/>
  <c r="N16" i="108" s="1"/>
  <c r="AD16" i="108" a="1"/>
  <c r="AD16" i="108" s="1"/>
  <c r="AE16" i="108" a="1"/>
  <c r="AE16" i="108" s="1"/>
  <c r="P16" i="108" a="1"/>
  <c r="P16" i="108" s="1"/>
  <c r="AG16" i="108" a="1"/>
  <c r="AG16" i="108" s="1"/>
  <c r="Q16" i="108" a="1"/>
  <c r="Q16" i="108" s="1"/>
  <c r="X16" i="108" a="1"/>
  <c r="X16" i="108" s="1"/>
  <c r="AH16" i="108" a="1"/>
  <c r="AH16" i="108" s="1"/>
  <c r="J16" i="108" a="1"/>
  <c r="J16" i="108" s="1"/>
  <c r="AM16" i="108" a="1"/>
  <c r="AM16" i="108" s="1"/>
  <c r="K16" i="108" a="1"/>
  <c r="K16" i="108" s="1"/>
  <c r="L16" i="108" a="1"/>
  <c r="L16" i="108" s="1"/>
  <c r="U16" i="108" a="1"/>
  <c r="U16" i="108" s="1"/>
  <c r="Y16" i="108" a="1"/>
  <c r="Y16" i="108" s="1"/>
  <c r="T16" i="108" a="1"/>
  <c r="T16" i="108" s="1"/>
  <c r="W16" i="108" a="1"/>
  <c r="W16" i="108" s="1"/>
  <c r="AB16" i="108" a="1"/>
  <c r="AB16" i="108" s="1"/>
  <c r="AI16" i="108" a="1"/>
  <c r="AI16" i="108" s="1"/>
  <c r="M15" i="108" a="1"/>
  <c r="M15" i="108" s="1"/>
  <c r="V15" i="108" a="1"/>
  <c r="V15" i="108" s="1"/>
  <c r="AG15" i="108" a="1"/>
  <c r="AG15" i="108" s="1"/>
  <c r="L15" i="108" a="1"/>
  <c r="L15" i="108" s="1"/>
  <c r="W15" i="108" a="1"/>
  <c r="W15" i="108" s="1"/>
  <c r="AI15" i="108" a="1"/>
  <c r="AI15" i="108" s="1"/>
  <c r="N15" i="108" a="1"/>
  <c r="N15" i="108" s="1"/>
  <c r="X15" i="108" a="1"/>
  <c r="X15" i="108" s="1"/>
  <c r="AL15" i="108" a="1"/>
  <c r="AL15" i="108" s="1"/>
  <c r="Q15" i="108" a="1"/>
  <c r="Q15" i="108" s="1"/>
  <c r="AA15" i="108" a="1"/>
  <c r="AA15" i="108" s="1"/>
  <c r="T15" i="108" a="1"/>
  <c r="T15" i="108" s="1"/>
  <c r="AJ15" i="108" a="1"/>
  <c r="AJ15" i="108" s="1"/>
  <c r="AB15" i="108" a="1"/>
  <c r="AB15" i="108" s="1"/>
  <c r="K15" i="108" a="1"/>
  <c r="K15" i="108" s="1"/>
  <c r="AC15" i="108" a="1"/>
  <c r="AC15" i="108" s="1"/>
  <c r="O15" i="108" a="1"/>
  <c r="O15" i="108" s="1"/>
  <c r="AD15" i="108" a="1"/>
  <c r="AD15" i="108" s="1"/>
  <c r="P15" i="108" a="1"/>
  <c r="P15" i="108" s="1"/>
  <c r="AE15" i="108" a="1"/>
  <c r="AE15" i="108" s="1"/>
  <c r="Y15" i="108" a="1"/>
  <c r="Y15" i="108" s="1"/>
  <c r="AK15" i="108" a="1"/>
  <c r="AK15" i="108" s="1"/>
  <c r="J15" i="108" a="1"/>
  <c r="J15" i="108" s="1"/>
  <c r="R15" i="108" a="1"/>
  <c r="R15" i="108" s="1"/>
  <c r="S15" i="108" a="1"/>
  <c r="S15" i="108" s="1"/>
  <c r="U15" i="108" a="1"/>
  <c r="U15" i="108" s="1"/>
  <c r="AF15" i="108" a="1"/>
  <c r="AF15" i="108" s="1"/>
  <c r="AH15" i="108" a="1"/>
  <c r="AH15" i="108" s="1"/>
  <c r="AM15" i="108" a="1"/>
  <c r="AM15" i="108" s="1"/>
  <c r="Z15" i="108" a="1"/>
  <c r="Z15" i="108" s="1"/>
  <c r="AJ60" i="108" a="1"/>
  <c r="AJ60" i="108" s="1"/>
  <c r="AF60" i="108" a="1"/>
  <c r="AF60" i="108" s="1"/>
  <c r="R60" i="108" a="1"/>
  <c r="R60" i="108" s="1"/>
  <c r="AB60" i="108" a="1"/>
  <c r="AB60" i="108" s="1"/>
  <c r="AM60" i="108" a="1"/>
  <c r="AM60" i="108" s="1"/>
  <c r="J60" i="108" a="1"/>
  <c r="J60" i="108" s="1"/>
  <c r="S60" i="108" a="1"/>
  <c r="S60" i="108" s="1"/>
  <c r="P60" i="108" a="1"/>
  <c r="P60" i="108" s="1"/>
  <c r="AD60" i="108" a="1"/>
  <c r="AD60" i="108" s="1"/>
  <c r="Q60" i="108" a="1"/>
  <c r="Q60" i="108" s="1"/>
  <c r="AE60" i="108" a="1"/>
  <c r="AE60" i="108" s="1"/>
  <c r="T60" i="108" a="1"/>
  <c r="T60" i="108" s="1"/>
  <c r="AG60" i="108" a="1"/>
  <c r="AG60" i="108" s="1"/>
  <c r="U60" i="108" a="1"/>
  <c r="U60" i="108" s="1"/>
  <c r="AH60" i="108" a="1"/>
  <c r="AH60" i="108" s="1"/>
  <c r="V60" i="108" a="1"/>
  <c r="V60" i="108" s="1"/>
  <c r="AI60" i="108" a="1"/>
  <c r="AI60" i="108" s="1"/>
  <c r="K60" i="108" a="1"/>
  <c r="K60" i="108" s="1"/>
  <c r="W60" i="108" a="1"/>
  <c r="W60" i="108" s="1"/>
  <c r="L60" i="108" a="1"/>
  <c r="L60" i="108" s="1"/>
  <c r="X60" i="108" a="1"/>
  <c r="X60" i="108" s="1"/>
  <c r="AK60" i="108" a="1"/>
  <c r="AK60" i="108" s="1"/>
  <c r="O60" i="108" a="1"/>
  <c r="O60" i="108" s="1"/>
  <c r="M60" i="108" a="1"/>
  <c r="M60" i="108" s="1"/>
  <c r="Y60" i="108" a="1"/>
  <c r="Y60" i="108" s="1"/>
  <c r="AL60" i="108" a="1"/>
  <c r="AL60" i="108" s="1"/>
  <c r="N60" i="108" a="1"/>
  <c r="N60" i="108" s="1"/>
  <c r="Z60" i="108" a="1"/>
  <c r="Z60" i="108" s="1"/>
  <c r="AA60" i="108" a="1"/>
  <c r="AA60" i="108" s="1"/>
  <c r="AC60" i="108" a="1"/>
  <c r="AC60" i="108" s="1"/>
  <c r="P39" i="108" a="1"/>
  <c r="P39" i="108" s="1"/>
  <c r="AI39" i="108" a="1"/>
  <c r="AI39" i="108" s="1"/>
  <c r="J39" i="108" a="1"/>
  <c r="J39" i="108" s="1"/>
  <c r="V39" i="108" a="1"/>
  <c r="V39" i="108" s="1"/>
  <c r="AE39" i="108" a="1"/>
  <c r="AE39" i="108" s="1"/>
  <c r="K39" i="108" a="1"/>
  <c r="K39" i="108" s="1"/>
  <c r="W39" i="108" a="1"/>
  <c r="W39" i="108" s="1"/>
  <c r="N39" i="108" a="1"/>
  <c r="N39" i="108" s="1"/>
  <c r="Z39" i="108" a="1"/>
  <c r="Z39" i="108" s="1"/>
  <c r="AH39" i="108" a="1"/>
  <c r="AH39" i="108" s="1"/>
  <c r="O39" i="108" a="1"/>
  <c r="O39" i="108" s="1"/>
  <c r="AA39" i="108" a="1"/>
  <c r="AA39" i="108" s="1"/>
  <c r="T39" i="108" a="1"/>
  <c r="T39" i="108" s="1"/>
  <c r="AJ39" i="108" a="1"/>
  <c r="AJ39" i="108" s="1"/>
  <c r="Y39" i="108" a="1"/>
  <c r="Y39" i="108" s="1"/>
  <c r="AM39" i="108" a="1"/>
  <c r="AM39" i="108" s="1"/>
  <c r="X39" i="108" a="1"/>
  <c r="X39" i="108" s="1"/>
  <c r="AK39" i="108" a="1"/>
  <c r="AK39" i="108" s="1"/>
  <c r="Q39" i="108" a="1"/>
  <c r="Q39" i="108" s="1"/>
  <c r="AL39" i="108" a="1"/>
  <c r="AL39" i="108" s="1"/>
  <c r="AC39" i="108" a="1"/>
  <c r="AC39" i="108" s="1"/>
  <c r="AD39" i="108" a="1"/>
  <c r="AD39" i="108" s="1"/>
  <c r="L39" i="108" a="1"/>
  <c r="L39" i="108" s="1"/>
  <c r="AF39" i="108" a="1"/>
  <c r="AF39" i="108" s="1"/>
  <c r="AB39" i="108" a="1"/>
  <c r="AB39" i="108" s="1"/>
  <c r="AG39" i="108" a="1"/>
  <c r="AG39" i="108" s="1"/>
  <c r="S39" i="108" a="1"/>
  <c r="S39" i="108" s="1"/>
  <c r="M39" i="108" a="1"/>
  <c r="M39" i="108" s="1"/>
  <c r="R39" i="108" a="1"/>
  <c r="R39" i="108" s="1"/>
  <c r="U39" i="108" a="1"/>
  <c r="U39" i="108" s="1"/>
  <c r="M27" i="108" a="1"/>
  <c r="M27" i="108" s="1"/>
  <c r="V27" i="108" a="1"/>
  <c r="V27" i="108" s="1"/>
  <c r="AH27" i="108" a="1"/>
  <c r="AH27" i="108" s="1"/>
  <c r="N27" i="108" a="1"/>
  <c r="N27" i="108" s="1"/>
  <c r="X27" i="108" a="1"/>
  <c r="X27" i="108" s="1"/>
  <c r="AK27" i="108" a="1"/>
  <c r="AK27" i="108" s="1"/>
  <c r="O27" i="108" a="1"/>
  <c r="O27" i="108" s="1"/>
  <c r="Y27" i="108" a="1"/>
  <c r="Y27" i="108" s="1"/>
  <c r="Q27" i="108" a="1"/>
  <c r="Q27" i="108" s="1"/>
  <c r="AB27" i="108" a="1"/>
  <c r="AB27" i="108" s="1"/>
  <c r="AM27" i="108" a="1"/>
  <c r="AM27" i="108" s="1"/>
  <c r="R27" i="108" a="1"/>
  <c r="R27" i="108" s="1"/>
  <c r="AC27" i="108" a="1"/>
  <c r="AC27" i="108" s="1"/>
  <c r="Z27" i="108" a="1"/>
  <c r="Z27" i="108" s="1"/>
  <c r="AI27" i="108" a="1"/>
  <c r="AI27" i="108" s="1"/>
  <c r="AL27" i="108" a="1"/>
  <c r="AL27" i="108" s="1"/>
  <c r="T27" i="108" a="1"/>
  <c r="T27" i="108" s="1"/>
  <c r="P27" i="108" a="1"/>
  <c r="P27" i="108" s="1"/>
  <c r="AA27" i="108" a="1"/>
  <c r="AA27" i="108" s="1"/>
  <c r="AF27" i="108" a="1"/>
  <c r="AF27" i="108" s="1"/>
  <c r="J27" i="108" a="1"/>
  <c r="J27" i="108" s="1"/>
  <c r="AG27" i="108" a="1"/>
  <c r="AG27" i="108" s="1"/>
  <c r="L27" i="108" a="1"/>
  <c r="L27" i="108" s="1"/>
  <c r="W27" i="108" a="1"/>
  <c r="W27" i="108" s="1"/>
  <c r="AJ27" i="108" a="1"/>
  <c r="AJ27" i="108" s="1"/>
  <c r="K27" i="108" a="1"/>
  <c r="K27" i="108" s="1"/>
  <c r="S27" i="108" a="1"/>
  <c r="S27" i="108" s="1"/>
  <c r="U27" i="108" a="1"/>
  <c r="U27" i="108" s="1"/>
  <c r="AD27" i="108" a="1"/>
  <c r="AD27" i="108" s="1"/>
  <c r="AE27" i="108" a="1"/>
  <c r="AE27" i="108" s="1"/>
  <c r="J18" i="108" a="1"/>
  <c r="J18" i="108" s="1"/>
  <c r="T18" i="108" a="1"/>
  <c r="T18" i="108" s="1"/>
  <c r="AD18" i="108" a="1"/>
  <c r="AD18" i="108" s="1"/>
  <c r="Q18" i="108" a="1"/>
  <c r="Q18" i="108" s="1"/>
  <c r="AB18" i="108" a="1"/>
  <c r="AB18" i="108" s="1"/>
  <c r="R18" i="108" a="1"/>
  <c r="R18" i="108" s="1"/>
  <c r="AC18" i="108" a="1"/>
  <c r="AC18" i="108" s="1"/>
  <c r="U18" i="108" a="1"/>
  <c r="U18" i="108" s="1"/>
  <c r="K18" i="108" a="1"/>
  <c r="K18" i="108" s="1"/>
  <c r="V18" i="108" a="1"/>
  <c r="V18" i="108" s="1"/>
  <c r="AG18" i="108" a="1"/>
  <c r="AG18" i="108" s="1"/>
  <c r="X18" i="108" a="1"/>
  <c r="X18" i="108" s="1"/>
  <c r="O18" i="108" a="1"/>
  <c r="O18" i="108" s="1"/>
  <c r="AH18" i="108" a="1"/>
  <c r="AH18" i="108" s="1"/>
  <c r="P18" i="108" a="1"/>
  <c r="P18" i="108" s="1"/>
  <c r="AI18" i="108" a="1"/>
  <c r="AI18" i="108" s="1"/>
  <c r="S18" i="108" a="1"/>
  <c r="S18" i="108" s="1"/>
  <c r="AJ18" i="108" a="1"/>
  <c r="AJ18" i="108" s="1"/>
  <c r="AK18" i="108" a="1"/>
  <c r="AK18" i="108" s="1"/>
  <c r="N18" i="108" a="1"/>
  <c r="N18" i="108" s="1"/>
  <c r="Z18" i="108" a="1"/>
  <c r="Z18" i="108" s="1"/>
  <c r="AE18" i="108" a="1"/>
  <c r="AE18" i="108" s="1"/>
  <c r="AF18" i="108" a="1"/>
  <c r="AF18" i="108" s="1"/>
  <c r="AL18" i="108" a="1"/>
  <c r="AL18" i="108" s="1"/>
  <c r="L18" i="108" a="1"/>
  <c r="L18" i="108" s="1"/>
  <c r="W18" i="108" a="1"/>
  <c r="W18" i="108" s="1"/>
  <c r="AM18" i="108" a="1"/>
  <c r="AM18" i="108" s="1"/>
  <c r="M18" i="108" a="1"/>
  <c r="M18" i="108" s="1"/>
  <c r="Y18" i="108" a="1"/>
  <c r="Y18" i="108" s="1"/>
  <c r="AA18" i="108" a="1"/>
  <c r="AA18" i="108" s="1"/>
  <c r="N26" i="108" a="1"/>
  <c r="N26" i="108" s="1"/>
  <c r="X26" i="108" a="1"/>
  <c r="X26" i="108" s="1"/>
  <c r="AG26" i="108" a="1"/>
  <c r="AG26" i="108" s="1"/>
  <c r="V26" i="108" a="1"/>
  <c r="V26" i="108" s="1"/>
  <c r="M26" i="108" a="1"/>
  <c r="M26" i="108" s="1"/>
  <c r="W26" i="108" a="1"/>
  <c r="W26" i="108" s="1"/>
  <c r="O26" i="108" a="1"/>
  <c r="O26" i="108" s="1"/>
  <c r="AJ26" i="108" a="1"/>
  <c r="AJ26" i="108" s="1"/>
  <c r="P26" i="108" a="1"/>
  <c r="P26" i="108" s="1"/>
  <c r="AA26" i="108" a="1"/>
  <c r="AA26" i="108" s="1"/>
  <c r="Y26" i="108" a="1"/>
  <c r="Y26" i="108" s="1"/>
  <c r="AM26" i="108" a="1"/>
  <c r="AM26" i="108" s="1"/>
  <c r="Q26" i="108" a="1"/>
  <c r="Q26" i="108" s="1"/>
  <c r="S26" i="108" a="1"/>
  <c r="S26" i="108" s="1"/>
  <c r="AH26" i="108" a="1"/>
  <c r="AH26" i="108" s="1"/>
  <c r="AI26" i="108" a="1"/>
  <c r="AI26" i="108" s="1"/>
  <c r="Z26" i="108" a="1"/>
  <c r="Z26" i="108" s="1"/>
  <c r="J26" i="108" a="1"/>
  <c r="J26" i="108" s="1"/>
  <c r="AE26" i="108" a="1"/>
  <c r="AE26" i="108" s="1"/>
  <c r="AL26" i="108" a="1"/>
  <c r="AL26" i="108" s="1"/>
  <c r="K26" i="108" a="1"/>
  <c r="K26" i="108" s="1"/>
  <c r="T26" i="108" a="1"/>
  <c r="T26" i="108" s="1"/>
  <c r="AC26" i="108" a="1"/>
  <c r="AC26" i="108" s="1"/>
  <c r="AD26" i="108" a="1"/>
  <c r="AD26" i="108" s="1"/>
  <c r="AF26" i="108" a="1"/>
  <c r="AF26" i="108" s="1"/>
  <c r="AK26" i="108" a="1"/>
  <c r="AK26" i="108" s="1"/>
  <c r="R26" i="108" a="1"/>
  <c r="R26" i="108" s="1"/>
  <c r="U26" i="108" a="1"/>
  <c r="U26" i="108" s="1"/>
  <c r="AB26" i="108" a="1"/>
  <c r="AB26" i="108" s="1"/>
  <c r="L26" i="108" a="1"/>
  <c r="L26" i="108" s="1"/>
  <c r="P7" i="108" a="1"/>
  <c r="P7" i="108" s="1"/>
  <c r="AB7" i="108" a="1"/>
  <c r="AB7" i="108" s="1"/>
  <c r="AM7" i="108" a="1"/>
  <c r="AM7" i="108" s="1"/>
  <c r="S7" i="108" a="1"/>
  <c r="S7" i="108" s="1"/>
  <c r="AF7" i="108" a="1"/>
  <c r="AF7" i="108" s="1"/>
  <c r="T7" i="108" a="1"/>
  <c r="T7" i="108" s="1"/>
  <c r="AG7" i="108" a="1"/>
  <c r="AG7" i="108" s="1"/>
  <c r="K7" i="108" a="1"/>
  <c r="K7" i="108" s="1"/>
  <c r="W7" i="108" a="1"/>
  <c r="W7" i="108" s="1"/>
  <c r="AI7" i="108" a="1"/>
  <c r="AI7" i="108" s="1"/>
  <c r="L7" i="108" a="1"/>
  <c r="L7" i="108" s="1"/>
  <c r="X7" i="108" a="1"/>
  <c r="X7" i="108" s="1"/>
  <c r="AJ7" i="108" a="1"/>
  <c r="AJ7" i="108" s="1"/>
  <c r="U7" i="108" a="1"/>
  <c r="U7" i="108" s="1"/>
  <c r="M7" i="108" a="1"/>
  <c r="M7" i="108" s="1"/>
  <c r="AD7" i="108" a="1"/>
  <c r="AD7" i="108" s="1"/>
  <c r="N7" i="108" a="1"/>
  <c r="N7" i="108" s="1"/>
  <c r="AE7" i="108" a="1"/>
  <c r="AE7" i="108" s="1"/>
  <c r="O7" i="108" a="1"/>
  <c r="O7" i="108" s="1"/>
  <c r="AH7" i="108" a="1"/>
  <c r="AH7" i="108" s="1"/>
  <c r="Q7" i="108" a="1"/>
  <c r="Q7" i="108" s="1"/>
  <c r="Z7" i="108" a="1"/>
  <c r="Z7" i="108" s="1"/>
  <c r="AC7" i="108" a="1"/>
  <c r="AC7" i="108" s="1"/>
  <c r="AK7" i="108" a="1"/>
  <c r="AK7" i="108" s="1"/>
  <c r="AL7" i="108" a="1"/>
  <c r="AL7" i="108" s="1"/>
  <c r="V7" i="108" a="1"/>
  <c r="V7" i="108" s="1"/>
  <c r="Y7" i="108" a="1"/>
  <c r="Y7" i="108" s="1"/>
  <c r="AA7" i="108" a="1"/>
  <c r="AA7" i="108" s="1"/>
  <c r="J7" i="108" a="1"/>
  <c r="J7" i="108" s="1"/>
  <c r="R7" i="108" a="1"/>
  <c r="R7" i="108" s="1"/>
  <c r="J19" i="108" a="1"/>
  <c r="J19" i="108" s="1"/>
  <c r="T19" i="108" a="1"/>
  <c r="T19" i="108" s="1"/>
  <c r="AD19" i="108" a="1"/>
  <c r="AD19" i="108" s="1"/>
  <c r="U19" i="108" a="1"/>
  <c r="U19" i="108" s="1"/>
  <c r="AF19" i="108" a="1"/>
  <c r="AF19" i="108" s="1"/>
  <c r="K19" i="108" a="1"/>
  <c r="K19" i="108" s="1"/>
  <c r="V19" i="108" a="1"/>
  <c r="V19" i="108" s="1"/>
  <c r="AG19" i="108" a="1"/>
  <c r="AG19" i="108" s="1"/>
  <c r="N19" i="108" a="1"/>
  <c r="N19" i="108" s="1"/>
  <c r="X19" i="108" a="1"/>
  <c r="X19" i="108" s="1"/>
  <c r="AJ19" i="108" a="1"/>
  <c r="AJ19" i="108" s="1"/>
  <c r="O19" i="108" a="1"/>
  <c r="O19" i="108" s="1"/>
  <c r="Y19" i="108" a="1"/>
  <c r="Y19" i="108" s="1"/>
  <c r="AK19" i="108" a="1"/>
  <c r="AK19" i="108" s="1"/>
  <c r="L19" i="108" a="1"/>
  <c r="L19" i="108" s="1"/>
  <c r="AA19" i="108" a="1"/>
  <c r="AA19" i="108" s="1"/>
  <c r="R19" i="108" a="1"/>
  <c r="R19" i="108" s="1"/>
  <c r="AL19" i="108" a="1"/>
  <c r="AL19" i="108" s="1"/>
  <c r="S19" i="108" a="1"/>
  <c r="S19" i="108" s="1"/>
  <c r="W19" i="108" a="1"/>
  <c r="W19" i="108" s="1"/>
  <c r="AM19" i="108" a="1"/>
  <c r="AM19" i="108" s="1"/>
  <c r="P19" i="108" a="1"/>
  <c r="P19" i="108" s="1"/>
  <c r="AC19" i="108" a="1"/>
  <c r="AC19" i="108" s="1"/>
  <c r="AE19" i="108" a="1"/>
  <c r="AE19" i="108" s="1"/>
  <c r="AH19" i="108" a="1"/>
  <c r="AH19" i="108" s="1"/>
  <c r="M19" i="108" a="1"/>
  <c r="M19" i="108" s="1"/>
  <c r="Z19" i="108" a="1"/>
  <c r="Z19" i="108" s="1"/>
  <c r="AB19" i="108" a="1"/>
  <c r="AB19" i="108" s="1"/>
  <c r="AI19" i="108" a="1"/>
  <c r="AI19" i="108" s="1"/>
  <c r="Q19" i="108" a="1"/>
  <c r="Q19" i="108" s="1"/>
  <c r="Q49" i="108" a="1"/>
  <c r="Q49" i="108" s="1"/>
  <c r="Z49" i="108" a="1"/>
  <c r="Z49" i="108" s="1"/>
  <c r="AJ49" i="108" a="1"/>
  <c r="AJ49" i="108" s="1"/>
  <c r="R49" i="108" a="1"/>
  <c r="R49" i="108" s="1"/>
  <c r="AA49" i="108" a="1"/>
  <c r="AA49" i="108" s="1"/>
  <c r="AK49" i="108" a="1"/>
  <c r="AK49" i="108" s="1"/>
  <c r="X49" i="108" a="1"/>
  <c r="X49" i="108" s="1"/>
  <c r="AI49" i="108" a="1"/>
  <c r="AI49" i="108" s="1"/>
  <c r="O49" i="108" a="1"/>
  <c r="O49" i="108" s="1"/>
  <c r="AC49" i="108" a="1"/>
  <c r="AC49" i="108" s="1"/>
  <c r="K49" i="108" a="1"/>
  <c r="K49" i="108" s="1"/>
  <c r="W49" i="108" a="1"/>
  <c r="W49" i="108" s="1"/>
  <c r="P49" i="108" a="1"/>
  <c r="P49" i="108" s="1"/>
  <c r="AE49" i="108" a="1"/>
  <c r="AE49" i="108" s="1"/>
  <c r="J49" i="108" a="1"/>
  <c r="J49" i="108" s="1"/>
  <c r="Y49" i="108" a="1"/>
  <c r="Y49" i="108" s="1"/>
  <c r="AM49" i="108" a="1"/>
  <c r="AM49" i="108" s="1"/>
  <c r="L49" i="108" a="1"/>
  <c r="L49" i="108" s="1"/>
  <c r="AB49" i="108" a="1"/>
  <c r="AB49" i="108" s="1"/>
  <c r="M49" i="108" a="1"/>
  <c r="M49" i="108" s="1"/>
  <c r="AD49" i="108" a="1"/>
  <c r="AD49" i="108" s="1"/>
  <c r="AL49" i="108" a="1"/>
  <c r="AL49" i="108" s="1"/>
  <c r="N49" i="108" a="1"/>
  <c r="N49" i="108" s="1"/>
  <c r="S49" i="108" a="1"/>
  <c r="S49" i="108" s="1"/>
  <c r="T49" i="108" a="1"/>
  <c r="T49" i="108" s="1"/>
  <c r="U49" i="108" a="1"/>
  <c r="U49" i="108" s="1"/>
  <c r="V49" i="108" a="1"/>
  <c r="V49" i="108" s="1"/>
  <c r="AG49" i="108" a="1"/>
  <c r="AG49" i="108" s="1"/>
  <c r="AF49" i="108" a="1"/>
  <c r="AF49" i="108" s="1"/>
  <c r="AH49" i="108" a="1"/>
  <c r="AH49" i="108" s="1"/>
  <c r="M14" i="108" a="1"/>
  <c r="M14" i="108" s="1"/>
  <c r="W14" i="108" a="1"/>
  <c r="W14" i="108" s="1"/>
  <c r="U14" i="108" a="1"/>
  <c r="U14" i="108" s="1"/>
  <c r="AE14" i="108" a="1"/>
  <c r="AE14" i="108" s="1"/>
  <c r="J14" i="108" a="1"/>
  <c r="J14" i="108" s="1"/>
  <c r="V14" i="108" a="1"/>
  <c r="V14" i="108" s="1"/>
  <c r="AF14" i="108" a="1"/>
  <c r="AF14" i="108" s="1"/>
  <c r="N14" i="108" a="1"/>
  <c r="N14" i="108" s="1"/>
  <c r="Y14" i="108" a="1"/>
  <c r="Y14" i="108" s="1"/>
  <c r="AI14" i="108" a="1"/>
  <c r="AI14" i="108" s="1"/>
  <c r="O14" i="108" a="1"/>
  <c r="O14" i="108" s="1"/>
  <c r="Z14" i="108" a="1"/>
  <c r="Z14" i="108" s="1"/>
  <c r="AJ14" i="108" a="1"/>
  <c r="AJ14" i="108" s="1"/>
  <c r="Q14" i="108" a="1"/>
  <c r="Q14" i="108" s="1"/>
  <c r="AG14" i="108" a="1"/>
  <c r="AG14" i="108" s="1"/>
  <c r="AA14" i="108" a="1"/>
  <c r="AA14" i="108" s="1"/>
  <c r="K14" i="108" a="1"/>
  <c r="K14" i="108" s="1"/>
  <c r="AB14" i="108" a="1"/>
  <c r="AB14" i="108" s="1"/>
  <c r="L14" i="108" a="1"/>
  <c r="L14" i="108" s="1"/>
  <c r="AC14" i="108" a="1"/>
  <c r="AC14" i="108" s="1"/>
  <c r="AL14" i="108" a="1"/>
  <c r="AL14" i="108" s="1"/>
  <c r="R14" i="108" a="1"/>
  <c r="R14" i="108" s="1"/>
  <c r="S14" i="108" a="1"/>
  <c r="S14" i="108" s="1"/>
  <c r="AD14" i="108" a="1"/>
  <c r="AD14" i="108" s="1"/>
  <c r="AH14" i="108" a="1"/>
  <c r="AH14" i="108" s="1"/>
  <c r="P14" i="108" a="1"/>
  <c r="P14" i="108" s="1"/>
  <c r="T14" i="108" a="1"/>
  <c r="T14" i="108" s="1"/>
  <c r="AK14" i="108" a="1"/>
  <c r="AK14" i="108" s="1"/>
  <c r="AM14" i="108" a="1"/>
  <c r="AM14" i="108" s="1"/>
  <c r="X14" i="108" a="1"/>
  <c r="X14" i="108" s="1"/>
  <c r="O9" i="108" a="1"/>
  <c r="O9" i="108" s="1"/>
  <c r="AA9" i="108" a="1"/>
  <c r="AA9" i="108" s="1"/>
  <c r="AM9" i="108" a="1"/>
  <c r="AM9" i="108" s="1"/>
  <c r="J9" i="108" a="1"/>
  <c r="J9" i="108" s="1"/>
  <c r="W9" i="108" a="1"/>
  <c r="W9" i="108" s="1"/>
  <c r="AJ9" i="108" a="1"/>
  <c r="AJ9" i="108" s="1"/>
  <c r="K9" i="108" a="1"/>
  <c r="K9" i="108" s="1"/>
  <c r="X9" i="108" a="1"/>
  <c r="X9" i="108" s="1"/>
  <c r="AK9" i="108" a="1"/>
  <c r="AK9" i="108" s="1"/>
  <c r="N9" i="108" a="1"/>
  <c r="N9" i="108" s="1"/>
  <c r="AB9" i="108" a="1"/>
  <c r="AB9" i="108" s="1"/>
  <c r="P9" i="108" a="1"/>
  <c r="P9" i="108" s="1"/>
  <c r="AC9" i="108" a="1"/>
  <c r="AC9" i="108" s="1"/>
  <c r="S9" i="108" a="1"/>
  <c r="S9" i="108" s="1"/>
  <c r="AL9" i="108" a="1"/>
  <c r="AL9" i="108" s="1"/>
  <c r="AD9" i="108" a="1"/>
  <c r="AD9" i="108" s="1"/>
  <c r="AE9" i="108" a="1"/>
  <c r="AE9" i="108" s="1"/>
  <c r="L9" i="108" a="1"/>
  <c r="L9" i="108" s="1"/>
  <c r="AF9" i="108" a="1"/>
  <c r="AF9" i="108" s="1"/>
  <c r="M9" i="108" a="1"/>
  <c r="M9" i="108" s="1"/>
  <c r="AG9" i="108" a="1"/>
  <c r="AG9" i="108" s="1"/>
  <c r="U9" i="108" a="1"/>
  <c r="U9" i="108" s="1"/>
  <c r="AH9" i="108" a="1"/>
  <c r="AH9" i="108" s="1"/>
  <c r="R9" i="108" a="1"/>
  <c r="R9" i="108" s="1"/>
  <c r="Q9" i="108" a="1"/>
  <c r="Q9" i="108" s="1"/>
  <c r="Y9" i="108" a="1"/>
  <c r="Y9" i="108" s="1"/>
  <c r="Z9" i="108" a="1"/>
  <c r="Z9" i="108" s="1"/>
  <c r="AI9" i="108" a="1"/>
  <c r="AI9" i="108" s="1"/>
  <c r="V9" i="108" a="1"/>
  <c r="V9" i="108" s="1"/>
  <c r="T9" i="108" a="1"/>
  <c r="T9" i="108" s="1"/>
  <c r="K52" i="108" a="1"/>
  <c r="K52" i="108" s="1"/>
  <c r="AC52" i="108" a="1"/>
  <c r="AC52" i="108" s="1"/>
  <c r="L52" i="108" a="1"/>
  <c r="L52" i="108" s="1"/>
  <c r="U52" i="108" a="1"/>
  <c r="U52" i="108" s="1"/>
  <c r="AD52" i="108" a="1"/>
  <c r="AD52" i="108" s="1"/>
  <c r="AM52" i="108" a="1"/>
  <c r="AM52" i="108" s="1"/>
  <c r="M52" i="108" a="1"/>
  <c r="M52" i="108" s="1"/>
  <c r="AI52" i="108" a="1"/>
  <c r="AI52" i="108" s="1"/>
  <c r="J52" i="108" a="1"/>
  <c r="J52" i="108" s="1"/>
  <c r="X52" i="108" a="1"/>
  <c r="X52" i="108" s="1"/>
  <c r="AJ52" i="108" a="1"/>
  <c r="AJ52" i="108" s="1"/>
  <c r="T52" i="108" a="1"/>
  <c r="T52" i="108" s="1"/>
  <c r="V52" i="108" a="1"/>
  <c r="V52" i="108" s="1"/>
  <c r="AH52" i="108" a="1"/>
  <c r="AH52" i="108" s="1"/>
  <c r="O52" i="108" a="1"/>
  <c r="O52" i="108" s="1"/>
  <c r="AA52" i="108" a="1"/>
  <c r="AA52" i="108" s="1"/>
  <c r="P52" i="108" a="1"/>
  <c r="P52" i="108" s="1"/>
  <c r="AB52" i="108" a="1"/>
  <c r="AB52" i="108" s="1"/>
  <c r="Z52" i="108" a="1"/>
  <c r="Z52" i="108" s="1"/>
  <c r="AE52" i="108" a="1"/>
  <c r="AE52" i="108" s="1"/>
  <c r="AF52" i="108" a="1"/>
  <c r="AF52" i="108" s="1"/>
  <c r="AG52" i="108" a="1"/>
  <c r="AG52" i="108" s="1"/>
  <c r="N52" i="108" a="1"/>
  <c r="N52" i="108" s="1"/>
  <c r="AK52" i="108" a="1"/>
  <c r="AK52" i="108" s="1"/>
  <c r="Q52" i="108" a="1"/>
  <c r="Q52" i="108" s="1"/>
  <c r="R52" i="108" a="1"/>
  <c r="R52" i="108" s="1"/>
  <c r="AL52" i="108" a="1"/>
  <c r="AL52" i="108" s="1"/>
  <c r="Y52" i="108" a="1"/>
  <c r="Y52" i="108" s="1"/>
  <c r="S52" i="108" a="1"/>
  <c r="S52" i="108" s="1"/>
  <c r="W52" i="108" a="1"/>
  <c r="W52" i="108" s="1"/>
  <c r="R53" i="108" a="1"/>
  <c r="R53" i="108" s="1"/>
  <c r="AA53" i="108" a="1"/>
  <c r="AA53" i="108" s="1"/>
  <c r="S53" i="108" a="1"/>
  <c r="S53" i="108" s="1"/>
  <c r="AB53" i="108" a="1"/>
  <c r="AB53" i="108" s="1"/>
  <c r="AK53" i="108" a="1"/>
  <c r="AK53" i="108" s="1"/>
  <c r="P53" i="108" a="1"/>
  <c r="P53" i="108" s="1"/>
  <c r="Z53" i="108" a="1"/>
  <c r="Z53" i="108" s="1"/>
  <c r="AM53" i="108" a="1"/>
  <c r="AM53" i="108" s="1"/>
  <c r="Q53" i="108" a="1"/>
  <c r="Q53" i="108" s="1"/>
  <c r="AE53" i="108" a="1"/>
  <c r="AE53" i="108" s="1"/>
  <c r="AF53" i="108" a="1"/>
  <c r="AF53" i="108" s="1"/>
  <c r="T53" i="108" a="1"/>
  <c r="T53" i="108" s="1"/>
  <c r="AG53" i="108" a="1"/>
  <c r="AG53" i="108" s="1"/>
  <c r="K53" i="108" a="1"/>
  <c r="K53" i="108" s="1"/>
  <c r="W53" i="108" a="1"/>
  <c r="W53" i="108" s="1"/>
  <c r="AL53" i="108" a="1"/>
  <c r="AL53" i="108" s="1"/>
  <c r="L53" i="108" a="1"/>
  <c r="L53" i="108" s="1"/>
  <c r="X53" i="108" a="1"/>
  <c r="X53" i="108" s="1"/>
  <c r="O53" i="108" a="1"/>
  <c r="O53" i="108" s="1"/>
  <c r="AI53" i="108" a="1"/>
  <c r="AI53" i="108" s="1"/>
  <c r="AJ53" i="108" a="1"/>
  <c r="AJ53" i="108" s="1"/>
  <c r="U53" i="108" a="1"/>
  <c r="U53" i="108" s="1"/>
  <c r="V53" i="108" a="1"/>
  <c r="V53" i="108" s="1"/>
  <c r="Y53" i="108" a="1"/>
  <c r="Y53" i="108" s="1"/>
  <c r="M53" i="108" a="1"/>
  <c r="M53" i="108" s="1"/>
  <c r="AC53" i="108" a="1"/>
  <c r="AC53" i="108" s="1"/>
  <c r="AD53" i="108" a="1"/>
  <c r="AD53" i="108" s="1"/>
  <c r="J53" i="108" a="1"/>
  <c r="J53" i="108" s="1"/>
  <c r="AH53" i="108" a="1"/>
  <c r="AH53" i="108" s="1"/>
  <c r="N53" i="108" a="1"/>
  <c r="N53" i="108" s="1"/>
  <c r="R41" i="108" a="1"/>
  <c r="R41" i="108" s="1"/>
  <c r="L41" i="108" a="1"/>
  <c r="L41" i="108" s="1"/>
  <c r="S41" i="108" a="1"/>
  <c r="S41" i="108" s="1"/>
  <c r="Z41" i="108" a="1"/>
  <c r="Z41" i="108" s="1"/>
  <c r="AG41" i="108" a="1"/>
  <c r="AG41" i="108" s="1"/>
  <c r="AA41" i="108" a="1"/>
  <c r="AA41" i="108" s="1"/>
  <c r="N41" i="108" a="1"/>
  <c r="N41" i="108" s="1"/>
  <c r="AI41" i="108" a="1"/>
  <c r="AI41" i="108" s="1"/>
  <c r="O41" i="108" a="1"/>
  <c r="O41" i="108" s="1"/>
  <c r="V41" i="108" a="1"/>
  <c r="V41" i="108" s="1"/>
  <c r="AC41" i="108" a="1"/>
  <c r="AC41" i="108" s="1"/>
  <c r="X41" i="108" a="1"/>
  <c r="X41" i="108" s="1"/>
  <c r="M41" i="108" a="1"/>
  <c r="M41" i="108" s="1"/>
  <c r="U41" i="108" a="1"/>
  <c r="U41" i="108" s="1"/>
  <c r="AH41" i="108" a="1"/>
  <c r="AH41" i="108" s="1"/>
  <c r="J41" i="108" a="1"/>
  <c r="J41" i="108" s="1"/>
  <c r="K41" i="108" a="1"/>
  <c r="K41" i="108" s="1"/>
  <c r="AB41" i="108" a="1"/>
  <c r="AB41" i="108" s="1"/>
  <c r="AJ41" i="108" a="1"/>
  <c r="AJ41" i="108" s="1"/>
  <c r="T41" i="108" a="1"/>
  <c r="T41" i="108" s="1"/>
  <c r="W41" i="108" a="1"/>
  <c r="W41" i="108" s="1"/>
  <c r="AK41" i="108" a="1"/>
  <c r="AK41" i="108" s="1"/>
  <c r="AL41" i="108" a="1"/>
  <c r="AL41" i="108" s="1"/>
  <c r="AE41" i="108" a="1"/>
  <c r="AE41" i="108" s="1"/>
  <c r="AF41" i="108" a="1"/>
  <c r="AF41" i="108" s="1"/>
  <c r="AM41" i="108" a="1"/>
  <c r="AM41" i="108" s="1"/>
  <c r="P41" i="108" a="1"/>
  <c r="P41" i="108" s="1"/>
  <c r="Q41" i="108" a="1"/>
  <c r="Q41" i="108" s="1"/>
  <c r="Y41" i="108" a="1"/>
  <c r="Y41" i="108" s="1"/>
  <c r="AD41" i="108" a="1"/>
  <c r="AD41" i="108" s="1"/>
  <c r="P23" i="108" a="1"/>
  <c r="P23" i="108" s="1"/>
  <c r="Z23" i="108" a="1"/>
  <c r="Z23" i="108" s="1"/>
  <c r="AI23" i="108" a="1"/>
  <c r="AI23" i="108" s="1"/>
  <c r="Q23" i="108" a="1"/>
  <c r="Q23" i="108" s="1"/>
  <c r="AL23" i="108" a="1"/>
  <c r="AL23" i="108" s="1"/>
  <c r="R23" i="108" a="1"/>
  <c r="R23" i="108" s="1"/>
  <c r="AB23" i="108" a="1"/>
  <c r="AB23" i="108" s="1"/>
  <c r="AM23" i="108" a="1"/>
  <c r="AM23" i="108" s="1"/>
  <c r="K23" i="108" a="1"/>
  <c r="K23" i="108" s="1"/>
  <c r="T23" i="108" a="1"/>
  <c r="T23" i="108" s="1"/>
  <c r="L23" i="108" a="1"/>
  <c r="L23" i="108" s="1"/>
  <c r="AE23" i="108" a="1"/>
  <c r="AE23" i="108" s="1"/>
  <c r="AG23" i="108" a="1"/>
  <c r="AG23" i="108" s="1"/>
  <c r="M23" i="108" a="1"/>
  <c r="M23" i="108" s="1"/>
  <c r="Y23" i="108" a="1"/>
  <c r="Y23" i="108" s="1"/>
  <c r="N23" i="108" a="1"/>
  <c r="N23" i="108" s="1"/>
  <c r="AC23" i="108" a="1"/>
  <c r="AC23" i="108" s="1"/>
  <c r="AD23" i="108" a="1"/>
  <c r="AD23" i="108" s="1"/>
  <c r="S23" i="108" a="1"/>
  <c r="S23" i="108" s="1"/>
  <c r="X23" i="108" a="1"/>
  <c r="X23" i="108" s="1"/>
  <c r="AF23" i="108" a="1"/>
  <c r="AF23" i="108" s="1"/>
  <c r="J23" i="108" a="1"/>
  <c r="J23" i="108" s="1"/>
  <c r="AH23" i="108" a="1"/>
  <c r="AH23" i="108" s="1"/>
  <c r="O23" i="108" a="1"/>
  <c r="O23" i="108" s="1"/>
  <c r="AK23" i="108" a="1"/>
  <c r="AK23" i="108" s="1"/>
  <c r="U23" i="108" a="1"/>
  <c r="U23" i="108" s="1"/>
  <c r="V23" i="108" a="1"/>
  <c r="V23" i="108" s="1"/>
  <c r="AJ23" i="108" a="1"/>
  <c r="AJ23" i="108" s="1"/>
  <c r="W23" i="108" a="1"/>
  <c r="W23" i="108" s="1"/>
  <c r="AA23" i="108" a="1"/>
  <c r="AA23" i="108" s="1"/>
  <c r="M40" i="108" a="1"/>
  <c r="M40" i="108" s="1"/>
  <c r="V40" i="108" a="1"/>
  <c r="V40" i="108" s="1"/>
  <c r="AI40" i="108" a="1"/>
  <c r="AI40" i="108" s="1"/>
  <c r="T40" i="108" a="1"/>
  <c r="T40" i="108" s="1"/>
  <c r="K40" i="108" a="1"/>
  <c r="K40" i="108" s="1"/>
  <c r="U40" i="108" a="1"/>
  <c r="U40" i="108" s="1"/>
  <c r="AB40" i="108" a="1"/>
  <c r="AB40" i="108" s="1"/>
  <c r="W40" i="108" a="1"/>
  <c r="W40" i="108" s="1"/>
  <c r="AD40" i="108" a="1"/>
  <c r="AD40" i="108" s="1"/>
  <c r="AK40" i="108" a="1"/>
  <c r="AK40" i="108" s="1"/>
  <c r="N40" i="108" a="1"/>
  <c r="N40" i="108" s="1"/>
  <c r="S40" i="108" a="1"/>
  <c r="S40" i="108" s="1"/>
  <c r="AE40" i="108" a="1"/>
  <c r="AE40" i="108" s="1"/>
  <c r="AG40" i="108" a="1"/>
  <c r="AG40" i="108" s="1"/>
  <c r="P40" i="108" a="1"/>
  <c r="P40" i="108" s="1"/>
  <c r="J40" i="108" a="1"/>
  <c r="J40" i="108" s="1"/>
  <c r="AM40" i="108" a="1"/>
  <c r="AM40" i="108" s="1"/>
  <c r="Y40" i="108" a="1"/>
  <c r="Y40" i="108" s="1"/>
  <c r="Z40" i="108" a="1"/>
  <c r="Z40" i="108" s="1"/>
  <c r="R40" i="108" a="1"/>
  <c r="R40" i="108" s="1"/>
  <c r="AH40" i="108" a="1"/>
  <c r="AH40" i="108" s="1"/>
  <c r="AJ40" i="108" a="1"/>
  <c r="AJ40" i="108" s="1"/>
  <c r="X40" i="108" a="1"/>
  <c r="X40" i="108" s="1"/>
  <c r="AL40" i="108" a="1"/>
  <c r="AL40" i="108" s="1"/>
  <c r="AF40" i="108" a="1"/>
  <c r="AF40" i="108" s="1"/>
  <c r="L40" i="108" a="1"/>
  <c r="L40" i="108" s="1"/>
  <c r="O40" i="108" a="1"/>
  <c r="O40" i="108" s="1"/>
  <c r="Q40" i="108" a="1"/>
  <c r="Q40" i="108" s="1"/>
  <c r="AA40" i="108" a="1"/>
  <c r="AA40" i="108" s="1"/>
  <c r="AC40" i="108" a="1"/>
  <c r="AC40" i="108" s="1"/>
  <c r="L6" i="108" a="1"/>
  <c r="L6" i="108" s="1"/>
  <c r="X6" i="108" a="1"/>
  <c r="X6" i="108" s="1"/>
  <c r="AI6" i="108" a="1"/>
  <c r="AI6" i="108" s="1"/>
  <c r="K6" i="108" a="1"/>
  <c r="K6" i="108" s="1"/>
  <c r="Y6" i="108" a="1"/>
  <c r="Y6" i="108" s="1"/>
  <c r="AK6" i="108" a="1"/>
  <c r="AK6" i="108" s="1"/>
  <c r="M6" i="108" a="1"/>
  <c r="M6" i="108" s="1"/>
  <c r="Z6" i="108" a="1"/>
  <c r="Z6" i="108" s="1"/>
  <c r="AL6" i="108" a="1"/>
  <c r="AL6" i="108" s="1"/>
  <c r="P6" i="108" a="1"/>
  <c r="P6" i="108" s="1"/>
  <c r="AB6" i="108" a="1"/>
  <c r="AB6" i="108" s="1"/>
  <c r="Q6" i="108" a="1"/>
  <c r="Q6" i="108" s="1"/>
  <c r="AC6" i="108" a="1"/>
  <c r="AC6" i="108" s="1"/>
  <c r="U6" i="108" a="1"/>
  <c r="U6" i="108" s="1"/>
  <c r="J6" i="108" a="1"/>
  <c r="J6" i="108" s="1"/>
  <c r="AF6" i="108" a="1"/>
  <c r="AF6" i="108" s="1"/>
  <c r="V6" i="108" a="1"/>
  <c r="V6" i="108" s="1"/>
  <c r="W6" i="108" a="1"/>
  <c r="W6" i="108" s="1"/>
  <c r="AA6" i="108" a="1"/>
  <c r="AA6" i="108" s="1"/>
  <c r="N6" i="108" a="1"/>
  <c r="N6" i="108" s="1"/>
  <c r="T6" i="108" a="1"/>
  <c r="T6" i="108" s="1"/>
  <c r="AE6" i="108" a="1"/>
  <c r="AE6" i="108" s="1"/>
  <c r="AG6" i="108" a="1"/>
  <c r="AG6" i="108" s="1"/>
  <c r="AH6" i="108" a="1"/>
  <c r="AH6" i="108" s="1"/>
  <c r="AM6" i="108" a="1"/>
  <c r="AM6" i="108" s="1"/>
  <c r="O6" i="108" a="1"/>
  <c r="O6" i="108" s="1"/>
  <c r="R6" i="108" a="1"/>
  <c r="R6" i="108" s="1"/>
  <c r="AJ6" i="108" a="1"/>
  <c r="AJ6" i="108" s="1"/>
  <c r="S6" i="108" a="1"/>
  <c r="S6" i="108" s="1"/>
  <c r="AD6" i="108" a="1"/>
  <c r="AD6" i="108" s="1"/>
  <c r="G70" i="105"/>
  <c r="G71" i="105"/>
  <c r="G72" i="105"/>
  <c r="G73" i="105"/>
  <c r="G74" i="105"/>
  <c r="G75" i="105"/>
  <c r="G76" i="105"/>
  <c r="S5" i="106" l="1"/>
  <c r="S6" i="106"/>
  <c r="S7" i="106"/>
  <c r="S8" i="106"/>
  <c r="S9" i="106"/>
  <c r="S10" i="106"/>
  <c r="S11" i="106"/>
  <c r="S12" i="106"/>
  <c r="S13" i="106"/>
  <c r="S14" i="106"/>
  <c r="S15" i="106"/>
  <c r="S16" i="106"/>
  <c r="S17" i="106"/>
  <c r="S18" i="106"/>
  <c r="S19" i="106"/>
  <c r="S20" i="106"/>
  <c r="S21" i="106"/>
  <c r="S22" i="106"/>
  <c r="S23" i="106"/>
  <c r="S24" i="106"/>
  <c r="S25" i="106"/>
  <c r="S26" i="106"/>
  <c r="S27" i="106"/>
  <c r="S28" i="106"/>
  <c r="S29" i="106"/>
  <c r="S30" i="106"/>
  <c r="S31" i="106"/>
  <c r="S32" i="106"/>
  <c r="S33" i="106"/>
  <c r="S34" i="106"/>
  <c r="S35" i="106"/>
  <c r="S36" i="106"/>
  <c r="S37" i="106"/>
  <c r="S38" i="106"/>
  <c r="S39" i="106"/>
  <c r="S40" i="106"/>
  <c r="S41" i="106"/>
  <c r="S42" i="106"/>
  <c r="S43" i="106"/>
  <c r="S44" i="106"/>
  <c r="S45" i="106"/>
  <c r="S46" i="106"/>
  <c r="S47" i="106"/>
  <c r="S48" i="106"/>
  <c r="S49" i="106"/>
  <c r="S50" i="106"/>
  <c r="S51" i="106"/>
  <c r="S52" i="106"/>
  <c r="S53" i="106"/>
  <c r="S54" i="106"/>
  <c r="S55" i="106"/>
  <c r="S56" i="106"/>
  <c r="S57" i="106"/>
  <c r="S58" i="106"/>
  <c r="S59" i="106"/>
  <c r="S60" i="106"/>
  <c r="S61" i="106"/>
  <c r="S62" i="106"/>
  <c r="S63" i="106"/>
  <c r="S64" i="106"/>
  <c r="S65" i="106"/>
  <c r="S66" i="106"/>
  <c r="S4" i="106"/>
  <c r="P5" i="106" a="1"/>
  <c r="P5" i="106" s="1"/>
  <c r="P6" i="106" a="1"/>
  <c r="P6" i="106" s="1"/>
  <c r="P7" i="106" a="1"/>
  <c r="P7" i="106" s="1"/>
  <c r="P8" i="106" a="1"/>
  <c r="P8" i="106" s="1"/>
  <c r="P9" i="106" a="1"/>
  <c r="P9" i="106" s="1"/>
  <c r="P10" i="106" a="1"/>
  <c r="P10" i="106" s="1"/>
  <c r="P11" i="106" a="1"/>
  <c r="P11" i="106" s="1"/>
  <c r="P12" i="106" a="1"/>
  <c r="P12" i="106" s="1"/>
  <c r="P13" i="106" a="1"/>
  <c r="P13" i="106" s="1"/>
  <c r="P14" i="106" a="1"/>
  <c r="P14" i="106" s="1"/>
  <c r="P15" i="106" a="1"/>
  <c r="P15" i="106" s="1"/>
  <c r="P16" i="106" a="1"/>
  <c r="P16" i="106" s="1"/>
  <c r="P17" i="106" a="1"/>
  <c r="P17" i="106" s="1"/>
  <c r="P18" i="106" a="1"/>
  <c r="P18" i="106" s="1"/>
  <c r="P19" i="106" a="1"/>
  <c r="P19" i="106" s="1"/>
  <c r="P20" i="106" a="1"/>
  <c r="P20" i="106" s="1"/>
  <c r="P21" i="106" a="1"/>
  <c r="P21" i="106" s="1"/>
  <c r="P22" i="106" a="1"/>
  <c r="P22" i="106" s="1"/>
  <c r="P23" i="106" a="1"/>
  <c r="P23" i="106" s="1"/>
  <c r="P24" i="106" a="1"/>
  <c r="P24" i="106" s="1"/>
  <c r="P25" i="106" a="1"/>
  <c r="P25" i="106" s="1"/>
  <c r="P26" i="106" a="1"/>
  <c r="P26" i="106" s="1"/>
  <c r="P27" i="106" a="1"/>
  <c r="P27" i="106" s="1"/>
  <c r="P28" i="106" a="1"/>
  <c r="P28" i="106" s="1"/>
  <c r="P29" i="106" a="1"/>
  <c r="P29" i="106" s="1"/>
  <c r="P30" i="106" a="1"/>
  <c r="P30" i="106" s="1"/>
  <c r="P31" i="106" a="1"/>
  <c r="P31" i="106" s="1"/>
  <c r="P32" i="106" a="1"/>
  <c r="P32" i="106" s="1"/>
  <c r="P33" i="106" a="1"/>
  <c r="P33" i="106" s="1"/>
  <c r="P34" i="106" a="1"/>
  <c r="P34" i="106" s="1"/>
  <c r="P35" i="106" a="1"/>
  <c r="P35" i="106" s="1"/>
  <c r="P36" i="106" a="1"/>
  <c r="P36" i="106" s="1"/>
  <c r="P37" i="106" a="1"/>
  <c r="P37" i="106" s="1"/>
  <c r="P38" i="106" a="1"/>
  <c r="P38" i="106" s="1"/>
  <c r="P39" i="106" a="1"/>
  <c r="P39" i="106" s="1"/>
  <c r="P40" i="106" a="1"/>
  <c r="P40" i="106" s="1"/>
  <c r="P41" i="106" a="1"/>
  <c r="P41" i="106" s="1"/>
  <c r="P42" i="106" a="1"/>
  <c r="P42" i="106" s="1"/>
  <c r="P43" i="106" a="1"/>
  <c r="P43" i="106" s="1"/>
  <c r="P44" i="106" a="1"/>
  <c r="P44" i="106" s="1"/>
  <c r="P45" i="106" a="1"/>
  <c r="P45" i="106" s="1"/>
  <c r="P46" i="106" a="1"/>
  <c r="P46" i="106" s="1"/>
  <c r="P47" i="106" a="1"/>
  <c r="P47" i="106" s="1"/>
  <c r="P48" i="106" a="1"/>
  <c r="P48" i="106" s="1"/>
  <c r="P49" i="106" a="1"/>
  <c r="P49" i="106" s="1"/>
  <c r="P50" i="106" a="1"/>
  <c r="P50" i="106" s="1"/>
  <c r="P51" i="106" a="1"/>
  <c r="P51" i="106" s="1"/>
  <c r="P52" i="106" a="1"/>
  <c r="P52" i="106" s="1"/>
  <c r="P53" i="106" a="1"/>
  <c r="P53" i="106" s="1"/>
  <c r="P54" i="106" a="1"/>
  <c r="P54" i="106" s="1"/>
  <c r="P55" i="106" a="1"/>
  <c r="P55" i="106" s="1"/>
  <c r="P56" i="106" a="1"/>
  <c r="P56" i="106" s="1"/>
  <c r="P57" i="106" a="1"/>
  <c r="P57" i="106" s="1"/>
  <c r="P58" i="106" a="1"/>
  <c r="P58" i="106" s="1"/>
  <c r="P59" i="106" a="1"/>
  <c r="P59" i="106" s="1"/>
  <c r="P60" i="106" a="1"/>
  <c r="P60" i="106" s="1"/>
  <c r="P61" i="106" a="1"/>
  <c r="P61" i="106" s="1"/>
  <c r="P62" i="106" a="1"/>
  <c r="P62" i="106" s="1"/>
  <c r="P63" i="106" a="1"/>
  <c r="P63" i="106" s="1"/>
  <c r="P64" i="106" a="1"/>
  <c r="P64" i="106" s="1"/>
  <c r="P65" i="106" a="1"/>
  <c r="P65" i="106" s="1"/>
  <c r="P66" i="106" a="1"/>
  <c r="P66" i="106" s="1"/>
  <c r="P4" i="106" a="1"/>
  <c r="P4" i="106" s="1"/>
  <c r="G67" i="105" l="1"/>
  <c r="G68" i="105"/>
  <c r="AD41" i="96" l="1"/>
  <c r="AD42" i="96"/>
  <c r="AD43" i="96"/>
  <c r="AD44" i="96"/>
  <c r="AD45" i="96"/>
  <c r="AD46" i="96"/>
  <c r="P41" i="96"/>
  <c r="P42" i="96"/>
  <c r="P43" i="96"/>
  <c r="P44" i="96"/>
  <c r="P45" i="96"/>
  <c r="P46" i="96"/>
  <c r="B41" i="96"/>
  <c r="B42" i="96"/>
  <c r="B43" i="96"/>
  <c r="B44" i="96"/>
  <c r="B45" i="96"/>
  <c r="B46" i="96"/>
  <c r="L104" i="25"/>
  <c r="L105" i="25"/>
  <c r="L106" i="25"/>
  <c r="L107" i="25"/>
  <c r="L108" i="25"/>
  <c r="L109" i="25"/>
  <c r="L110" i="25"/>
  <c r="L111" i="25"/>
  <c r="L112" i="25"/>
  <c r="L113" i="25"/>
  <c r="L114" i="25"/>
  <c r="L103" i="25" l="1"/>
  <c r="B8" i="98" l="1"/>
  <c r="E4" i="108" a="1"/>
  <c r="E4" i="108" s="1"/>
  <c r="E5" i="108" a="1"/>
  <c r="E5" i="108" s="1"/>
  <c r="E6" i="108" a="1"/>
  <c r="E6" i="108" s="1"/>
  <c r="E7" i="108" a="1"/>
  <c r="E7" i="108" s="1"/>
  <c r="E8" i="108" a="1"/>
  <c r="E8" i="108" s="1"/>
  <c r="E9" i="108" a="1"/>
  <c r="E9" i="108" s="1"/>
  <c r="E10" i="108" a="1"/>
  <c r="E10" i="108" s="1"/>
  <c r="E11" i="108" a="1"/>
  <c r="E11" i="108" s="1"/>
  <c r="E12" i="108" a="1"/>
  <c r="E12" i="108" s="1"/>
  <c r="E13" i="108" a="1"/>
  <c r="E13" i="108" s="1"/>
  <c r="E14" i="108" a="1"/>
  <c r="E14" i="108" s="1"/>
  <c r="E15" i="108" a="1"/>
  <c r="E15" i="108" s="1"/>
  <c r="E16" i="108" a="1"/>
  <c r="E16" i="108" s="1"/>
  <c r="E17" i="108" a="1"/>
  <c r="E17" i="108" s="1"/>
  <c r="E18" i="108" a="1"/>
  <c r="E18" i="108" s="1"/>
  <c r="E19" i="108" a="1"/>
  <c r="E19" i="108" s="1"/>
  <c r="E20" i="108" a="1"/>
  <c r="E20" i="108" s="1"/>
  <c r="E21" i="108" a="1"/>
  <c r="E21" i="108" s="1"/>
  <c r="E22" i="108" a="1"/>
  <c r="E22" i="108" s="1"/>
  <c r="E23" i="108" a="1"/>
  <c r="E23" i="108" s="1"/>
  <c r="E24" i="108" a="1"/>
  <c r="E24" i="108" s="1"/>
  <c r="E25" i="108" a="1"/>
  <c r="E25" i="108" s="1"/>
  <c r="E26" i="108" a="1"/>
  <c r="E26" i="108" s="1"/>
  <c r="E27" i="108" a="1"/>
  <c r="E27" i="108" s="1"/>
  <c r="E28" i="108" a="1"/>
  <c r="E28" i="108" s="1"/>
  <c r="E29" i="108" a="1"/>
  <c r="E29" i="108" s="1"/>
  <c r="E30" i="108" a="1"/>
  <c r="E30" i="108" s="1"/>
  <c r="E31" i="108" a="1"/>
  <c r="E31" i="108" s="1"/>
  <c r="E32" i="108" a="1"/>
  <c r="E32" i="108" s="1"/>
  <c r="E33" i="108" a="1"/>
  <c r="E33" i="108" s="1"/>
  <c r="E34" i="108" a="1"/>
  <c r="E34" i="108" s="1"/>
  <c r="E35" i="108" a="1"/>
  <c r="E35" i="108" s="1"/>
  <c r="E36" i="108" a="1"/>
  <c r="E36" i="108" s="1"/>
  <c r="E37" i="108" a="1"/>
  <c r="E37" i="108" s="1"/>
  <c r="E38" i="108" a="1"/>
  <c r="E38" i="108" s="1"/>
  <c r="E39" i="108" a="1"/>
  <c r="E39" i="108" s="1"/>
  <c r="E40" i="108" a="1"/>
  <c r="E40" i="108" s="1"/>
  <c r="E41" i="108" a="1"/>
  <c r="E41" i="108" s="1"/>
  <c r="E42" i="108" a="1"/>
  <c r="E42" i="108" s="1"/>
  <c r="E43" i="108" a="1"/>
  <c r="E43" i="108" s="1"/>
  <c r="E44" i="108" a="1"/>
  <c r="E44" i="108" s="1"/>
  <c r="E45" i="108" a="1"/>
  <c r="E45" i="108" s="1"/>
  <c r="E46" i="108" a="1"/>
  <c r="E46" i="108" s="1"/>
  <c r="E47" i="108" a="1"/>
  <c r="E47" i="108" s="1"/>
  <c r="E48" i="108" a="1"/>
  <c r="E48" i="108" s="1"/>
  <c r="E49" i="108" a="1"/>
  <c r="E49" i="108" s="1"/>
  <c r="E50" i="108" a="1"/>
  <c r="E50" i="108" s="1"/>
  <c r="E51" i="108" a="1"/>
  <c r="E51" i="108" s="1"/>
  <c r="E52" i="108" a="1"/>
  <c r="E52" i="108" s="1"/>
  <c r="E53" i="108" a="1"/>
  <c r="E53" i="108" s="1"/>
  <c r="E54" i="108" a="1"/>
  <c r="E54" i="108" s="1"/>
  <c r="E55" i="108" a="1"/>
  <c r="E55" i="108" s="1"/>
  <c r="E56" i="108" a="1"/>
  <c r="E56" i="108" s="1"/>
  <c r="E57" i="108" a="1"/>
  <c r="E57" i="108" s="1"/>
  <c r="E58" i="108" a="1"/>
  <c r="E58" i="108" s="1"/>
  <c r="E59" i="108" a="1"/>
  <c r="E59" i="108" s="1"/>
  <c r="E60" i="108" a="1"/>
  <c r="E60" i="108" s="1"/>
  <c r="E61" i="108" a="1"/>
  <c r="E61" i="108" s="1"/>
  <c r="E62" i="108" a="1"/>
  <c r="E62" i="108" s="1"/>
  <c r="E63" i="108" a="1"/>
  <c r="E63" i="108" s="1"/>
  <c r="E64" i="108" a="1"/>
  <c r="E64" i="108" s="1"/>
  <c r="E65" i="108" a="1"/>
  <c r="E65" i="108" s="1"/>
  <c r="E3" i="108" a="1"/>
  <c r="E3" i="108" s="1"/>
  <c r="F4" i="108" a="1"/>
  <c r="F4" i="108" s="1"/>
  <c r="F5" i="108" a="1"/>
  <c r="F5" i="108" s="1"/>
  <c r="F6" i="108" a="1"/>
  <c r="F6" i="108" s="1"/>
  <c r="F7" i="108" a="1"/>
  <c r="F7" i="108" s="1"/>
  <c r="F8" i="108" a="1"/>
  <c r="F8" i="108" s="1"/>
  <c r="F9" i="108" a="1"/>
  <c r="F9" i="108" s="1"/>
  <c r="F10" i="108" a="1"/>
  <c r="F10" i="108" s="1"/>
  <c r="F11" i="108" a="1"/>
  <c r="F11" i="108" s="1"/>
  <c r="F12" i="108" a="1"/>
  <c r="F12" i="108" s="1"/>
  <c r="F13" i="108" a="1"/>
  <c r="F13" i="108" s="1"/>
  <c r="F14" i="108" a="1"/>
  <c r="F14" i="108" s="1"/>
  <c r="F15" i="108" a="1"/>
  <c r="F15" i="108" s="1"/>
  <c r="F16" i="108" a="1"/>
  <c r="F16" i="108" s="1"/>
  <c r="F17" i="108" a="1"/>
  <c r="F17" i="108" s="1"/>
  <c r="F18" i="108" a="1"/>
  <c r="F18" i="108" s="1"/>
  <c r="F19" i="108" a="1"/>
  <c r="F19" i="108" s="1"/>
  <c r="F20" i="108" a="1"/>
  <c r="F20" i="108" s="1"/>
  <c r="F21" i="108" a="1"/>
  <c r="F21" i="108" s="1"/>
  <c r="F22" i="108" a="1"/>
  <c r="F22" i="108" s="1"/>
  <c r="F23" i="108" a="1"/>
  <c r="F23" i="108" s="1"/>
  <c r="F24" i="108" a="1"/>
  <c r="F24" i="108" s="1"/>
  <c r="F25" i="108" a="1"/>
  <c r="F25" i="108" s="1"/>
  <c r="F26" i="108" a="1"/>
  <c r="F26" i="108" s="1"/>
  <c r="F27" i="108" a="1"/>
  <c r="F27" i="108" s="1"/>
  <c r="F28" i="108" a="1"/>
  <c r="F28" i="108" s="1"/>
  <c r="F29" i="108" a="1"/>
  <c r="F29" i="108" s="1"/>
  <c r="F30" i="108" a="1"/>
  <c r="F30" i="108" s="1"/>
  <c r="F31" i="108" a="1"/>
  <c r="F31" i="108" s="1"/>
  <c r="F32" i="108" a="1"/>
  <c r="F32" i="108" s="1"/>
  <c r="F33" i="108" a="1"/>
  <c r="F33" i="108" s="1"/>
  <c r="F34" i="108" a="1"/>
  <c r="F34" i="108" s="1"/>
  <c r="F35" i="108" a="1"/>
  <c r="F35" i="108" s="1"/>
  <c r="F36" i="108" a="1"/>
  <c r="F36" i="108" s="1"/>
  <c r="F37" i="108" a="1"/>
  <c r="F37" i="108" s="1"/>
  <c r="F38" i="108" a="1"/>
  <c r="F38" i="108" s="1"/>
  <c r="F39" i="108" a="1"/>
  <c r="F39" i="108" s="1"/>
  <c r="F40" i="108" a="1"/>
  <c r="F40" i="108" s="1"/>
  <c r="F41" i="108" a="1"/>
  <c r="F41" i="108" s="1"/>
  <c r="F42" i="108" a="1"/>
  <c r="F42" i="108" s="1"/>
  <c r="F43" i="108" a="1"/>
  <c r="F43" i="108" s="1"/>
  <c r="F44" i="108" a="1"/>
  <c r="F44" i="108" s="1"/>
  <c r="F45" i="108" a="1"/>
  <c r="F45" i="108" s="1"/>
  <c r="F46" i="108" a="1"/>
  <c r="F46" i="108" s="1"/>
  <c r="F47" i="108" a="1"/>
  <c r="F47" i="108" s="1"/>
  <c r="F48" i="108" a="1"/>
  <c r="F48" i="108" s="1"/>
  <c r="F49" i="108" a="1"/>
  <c r="F49" i="108" s="1"/>
  <c r="F50" i="108" a="1"/>
  <c r="F50" i="108" s="1"/>
  <c r="F51" i="108" a="1"/>
  <c r="F51" i="108" s="1"/>
  <c r="F52" i="108" a="1"/>
  <c r="F52" i="108" s="1"/>
  <c r="F53" i="108" a="1"/>
  <c r="F53" i="108" s="1"/>
  <c r="F54" i="108" a="1"/>
  <c r="F54" i="108" s="1"/>
  <c r="F55" i="108" a="1"/>
  <c r="F55" i="108" s="1"/>
  <c r="F56" i="108" a="1"/>
  <c r="F56" i="108" s="1"/>
  <c r="F57" i="108" a="1"/>
  <c r="F57" i="108" s="1"/>
  <c r="F58" i="108" a="1"/>
  <c r="F58" i="108" s="1"/>
  <c r="F59" i="108" a="1"/>
  <c r="F59" i="108" s="1"/>
  <c r="F60" i="108" a="1"/>
  <c r="F60" i="108" s="1"/>
  <c r="F61" i="108" a="1"/>
  <c r="F61" i="108" s="1"/>
  <c r="F62" i="108" a="1"/>
  <c r="F62" i="108" s="1"/>
  <c r="F63" i="108" a="1"/>
  <c r="F63" i="108" s="1"/>
  <c r="F64" i="108" a="1"/>
  <c r="F64" i="108" s="1"/>
  <c r="F65" i="108" a="1"/>
  <c r="F65" i="108" s="1"/>
  <c r="F3" i="108" a="1"/>
  <c r="F3" i="108" s="1"/>
  <c r="Z2" i="106"/>
  <c r="AA2" i="106"/>
  <c r="AB2" i="106"/>
  <c r="AC2" i="106"/>
  <c r="AD2" i="106"/>
  <c r="AE2" i="106"/>
  <c r="AG2" i="106"/>
  <c r="AH2" i="106"/>
  <c r="AI2" i="106"/>
  <c r="AJ2" i="106"/>
  <c r="AK2" i="106"/>
  <c r="AL2" i="106"/>
  <c r="AM2" i="106"/>
  <c r="AN2" i="106"/>
  <c r="AO2" i="106"/>
  <c r="AP2" i="106"/>
  <c r="AQ2" i="106"/>
  <c r="AR2" i="106"/>
  <c r="AS2" i="106"/>
  <c r="AT2" i="106"/>
  <c r="AU2" i="106"/>
  <c r="AV2" i="106"/>
  <c r="AW2" i="106"/>
  <c r="AX2" i="106"/>
  <c r="AY2" i="106"/>
  <c r="AZ2" i="106"/>
  <c r="BA2" i="106"/>
  <c r="BB2" i="106"/>
  <c r="BC2" i="106"/>
  <c r="BD2" i="106"/>
  <c r="BE2" i="106"/>
  <c r="BF2" i="106"/>
  <c r="BG2" i="106"/>
  <c r="BH2" i="106"/>
  <c r="BI2" i="106"/>
  <c r="BJ2" i="106"/>
  <c r="BK2" i="106"/>
  <c r="BL2" i="106"/>
  <c r="BM2" i="106"/>
  <c r="BN2" i="106"/>
  <c r="BO2" i="106"/>
  <c r="BP2" i="106"/>
  <c r="BQ2" i="106"/>
  <c r="BR2" i="106"/>
  <c r="BS2" i="106"/>
  <c r="BT2" i="106"/>
  <c r="BU2" i="106"/>
  <c r="BV2" i="106"/>
  <c r="BW2" i="106"/>
  <c r="BX2" i="106"/>
  <c r="BY2" i="106"/>
  <c r="BZ2" i="106"/>
  <c r="CA2" i="106"/>
  <c r="CB2" i="106"/>
  <c r="CC2" i="106"/>
  <c r="CD2" i="106"/>
  <c r="CE2" i="106"/>
  <c r="CF2" i="106"/>
  <c r="CG2" i="106"/>
  <c r="AF2" i="106"/>
  <c r="F21" i="107"/>
  <c r="G21" i="107" s="1"/>
  <c r="F22" i="107"/>
  <c r="G22" i="107" s="1"/>
  <c r="F23" i="107"/>
  <c r="G23" i="107" s="1"/>
  <c r="F24" i="107"/>
  <c r="G24" i="107" s="1"/>
  <c r="F25" i="107"/>
  <c r="G25" i="107" s="1"/>
  <c r="F26" i="107"/>
  <c r="G26" i="107" s="1"/>
  <c r="F27" i="107"/>
  <c r="G27" i="107" s="1"/>
  <c r="F28" i="107"/>
  <c r="G28" i="107" s="1"/>
  <c r="F29" i="107"/>
  <c r="G29" i="107" s="1"/>
  <c r="F30" i="107"/>
  <c r="G30" i="107" s="1"/>
  <c r="F31" i="107"/>
  <c r="G31" i="107" s="1"/>
  <c r="F32" i="107"/>
  <c r="G32" i="107" s="1"/>
  <c r="F33" i="107"/>
  <c r="G33" i="107" s="1"/>
  <c r="F34" i="107"/>
  <c r="G34" i="107" s="1"/>
  <c r="F35" i="107"/>
  <c r="G35" i="107" s="1"/>
  <c r="F36" i="107"/>
  <c r="G36" i="107" s="1"/>
  <c r="F37" i="107"/>
  <c r="G37" i="107" s="1"/>
  <c r="F38" i="107"/>
  <c r="G38" i="107" s="1"/>
  <c r="F39" i="107"/>
  <c r="G39" i="107" s="1"/>
  <c r="F20" i="107"/>
  <c r="W5" i="106" a="1"/>
  <c r="W5" i="106" s="1"/>
  <c r="X5" i="106" s="1"/>
  <c r="W6" i="106" a="1"/>
  <c r="W6" i="106" s="1"/>
  <c r="X6" i="106" s="1"/>
  <c r="W7" i="106" a="1"/>
  <c r="W7" i="106" s="1"/>
  <c r="X7" i="106" s="1"/>
  <c r="W8" i="106" a="1"/>
  <c r="W8" i="106" s="1"/>
  <c r="X8" i="106" s="1"/>
  <c r="W9" i="106" a="1"/>
  <c r="W9" i="106" s="1"/>
  <c r="X9" i="106" s="1"/>
  <c r="W10" i="106" a="1"/>
  <c r="W10" i="106" s="1"/>
  <c r="X10" i="106" s="1"/>
  <c r="W11" i="106" a="1"/>
  <c r="W11" i="106" s="1"/>
  <c r="X11" i="106" s="1"/>
  <c r="W12" i="106" a="1"/>
  <c r="W12" i="106" s="1"/>
  <c r="X12" i="106" s="1"/>
  <c r="W13" i="106" a="1"/>
  <c r="W13" i="106" s="1"/>
  <c r="X13" i="106" s="1"/>
  <c r="W14" i="106" a="1"/>
  <c r="W14" i="106" s="1"/>
  <c r="X14" i="106" s="1"/>
  <c r="W15" i="106" a="1"/>
  <c r="W15" i="106" s="1"/>
  <c r="X15" i="106" s="1"/>
  <c r="W16" i="106" a="1"/>
  <c r="W16" i="106" s="1"/>
  <c r="X16" i="106" s="1"/>
  <c r="W17" i="106" a="1"/>
  <c r="W17" i="106" s="1"/>
  <c r="X17" i="106" s="1"/>
  <c r="W18" i="106" a="1"/>
  <c r="W18" i="106" s="1"/>
  <c r="X18" i="106" s="1"/>
  <c r="W19" i="106" a="1"/>
  <c r="W19" i="106" s="1"/>
  <c r="X19" i="106" s="1"/>
  <c r="W20" i="106" a="1"/>
  <c r="W20" i="106" s="1"/>
  <c r="X20" i="106" s="1"/>
  <c r="W21" i="106" a="1"/>
  <c r="W21" i="106" s="1"/>
  <c r="X21" i="106" s="1"/>
  <c r="W22" i="106" a="1"/>
  <c r="W22" i="106" s="1"/>
  <c r="X22" i="106" s="1"/>
  <c r="W23" i="106" a="1"/>
  <c r="W23" i="106" s="1"/>
  <c r="X23" i="106" s="1"/>
  <c r="W24" i="106" a="1"/>
  <c r="W24" i="106" s="1"/>
  <c r="X24" i="106" s="1"/>
  <c r="W25" i="106" a="1"/>
  <c r="W25" i="106" s="1"/>
  <c r="X25" i="106" s="1"/>
  <c r="W26" i="106" a="1"/>
  <c r="W26" i="106" s="1"/>
  <c r="X26" i="106" s="1"/>
  <c r="W27" i="106" a="1"/>
  <c r="W27" i="106" s="1"/>
  <c r="X27" i="106" s="1"/>
  <c r="W28" i="106" a="1"/>
  <c r="W28" i="106" s="1"/>
  <c r="X28" i="106" s="1"/>
  <c r="W29" i="106" a="1"/>
  <c r="W29" i="106" s="1"/>
  <c r="X29" i="106" s="1"/>
  <c r="W30" i="106" a="1"/>
  <c r="W30" i="106" s="1"/>
  <c r="X30" i="106" s="1"/>
  <c r="W31" i="106" a="1"/>
  <c r="W31" i="106" s="1"/>
  <c r="X31" i="106" s="1"/>
  <c r="W32" i="106" a="1"/>
  <c r="W32" i="106" s="1"/>
  <c r="X32" i="106" s="1"/>
  <c r="W33" i="106" a="1"/>
  <c r="W33" i="106" s="1"/>
  <c r="X33" i="106" s="1"/>
  <c r="W34" i="106" a="1"/>
  <c r="W34" i="106" s="1"/>
  <c r="X34" i="106" s="1"/>
  <c r="W35" i="106" a="1"/>
  <c r="W35" i="106" s="1"/>
  <c r="X35" i="106" s="1"/>
  <c r="W36" i="106" a="1"/>
  <c r="W36" i="106" s="1"/>
  <c r="X36" i="106" s="1"/>
  <c r="W37" i="106" a="1"/>
  <c r="W37" i="106" s="1"/>
  <c r="X37" i="106" s="1"/>
  <c r="W38" i="106" a="1"/>
  <c r="W38" i="106" s="1"/>
  <c r="X38" i="106" s="1"/>
  <c r="W39" i="106" a="1"/>
  <c r="W39" i="106" s="1"/>
  <c r="X39" i="106" s="1"/>
  <c r="W40" i="106" a="1"/>
  <c r="W40" i="106" s="1"/>
  <c r="X40" i="106" s="1"/>
  <c r="W41" i="106" a="1"/>
  <c r="W41" i="106" s="1"/>
  <c r="X41" i="106" s="1"/>
  <c r="W42" i="106" a="1"/>
  <c r="W42" i="106" s="1"/>
  <c r="X42" i="106" s="1"/>
  <c r="W43" i="106" a="1"/>
  <c r="W43" i="106" s="1"/>
  <c r="X43" i="106" s="1"/>
  <c r="W44" i="106" a="1"/>
  <c r="W44" i="106" s="1"/>
  <c r="X44" i="106" s="1"/>
  <c r="W45" i="106" a="1"/>
  <c r="W45" i="106" s="1"/>
  <c r="X45" i="106" s="1"/>
  <c r="W46" i="106" a="1"/>
  <c r="W46" i="106" s="1"/>
  <c r="X46" i="106" s="1"/>
  <c r="W47" i="106" a="1"/>
  <c r="W47" i="106" s="1"/>
  <c r="X47" i="106" s="1"/>
  <c r="W48" i="106" a="1"/>
  <c r="W48" i="106" s="1"/>
  <c r="X48" i="106" s="1"/>
  <c r="W49" i="106" a="1"/>
  <c r="W49" i="106" s="1"/>
  <c r="X49" i="106" s="1"/>
  <c r="W50" i="106" a="1"/>
  <c r="W50" i="106" s="1"/>
  <c r="X50" i="106" s="1"/>
  <c r="W51" i="106" a="1"/>
  <c r="W51" i="106" s="1"/>
  <c r="X51" i="106" s="1"/>
  <c r="W52" i="106" a="1"/>
  <c r="W52" i="106" s="1"/>
  <c r="X52" i="106" s="1"/>
  <c r="W53" i="106" a="1"/>
  <c r="W53" i="106" s="1"/>
  <c r="X53" i="106" s="1"/>
  <c r="W54" i="106" a="1"/>
  <c r="W54" i="106" s="1"/>
  <c r="X54" i="106" s="1"/>
  <c r="W55" i="106" a="1"/>
  <c r="W55" i="106" s="1"/>
  <c r="X55" i="106" s="1"/>
  <c r="W56" i="106" a="1"/>
  <c r="W56" i="106" s="1"/>
  <c r="X56" i="106" s="1"/>
  <c r="W57" i="106" a="1"/>
  <c r="W57" i="106" s="1"/>
  <c r="X57" i="106" s="1"/>
  <c r="W58" i="106" a="1"/>
  <c r="W58" i="106" s="1"/>
  <c r="X58" i="106" s="1"/>
  <c r="W59" i="106" a="1"/>
  <c r="W59" i="106" s="1"/>
  <c r="X59" i="106" s="1"/>
  <c r="W60" i="106" a="1"/>
  <c r="W60" i="106" s="1"/>
  <c r="X60" i="106" s="1"/>
  <c r="W61" i="106" a="1"/>
  <c r="W61" i="106" s="1"/>
  <c r="X61" i="106" s="1"/>
  <c r="W62" i="106" a="1"/>
  <c r="W62" i="106" s="1"/>
  <c r="X62" i="106" s="1"/>
  <c r="W63" i="106" a="1"/>
  <c r="W63" i="106" s="1"/>
  <c r="X63" i="106" s="1"/>
  <c r="W64" i="106" a="1"/>
  <c r="W64" i="106" s="1"/>
  <c r="X64" i="106" s="1"/>
  <c r="W65" i="106" a="1"/>
  <c r="W65" i="106" s="1"/>
  <c r="X65" i="106" s="1"/>
  <c r="W66" i="106" a="1"/>
  <c r="W66" i="106" s="1"/>
  <c r="X66" i="106" s="1"/>
  <c r="U4" i="106"/>
  <c r="W4" i="106" s="1" a="1"/>
  <c r="W4" i="106" s="1"/>
  <c r="X4" i="106" s="1"/>
  <c r="V4" i="106"/>
  <c r="Y4" i="106"/>
  <c r="E50" i="64" l="1"/>
  <c r="E52" i="64"/>
  <c r="D70" i="64"/>
  <c r="C53" i="64"/>
  <c r="C57" i="64"/>
  <c r="C55" i="64"/>
  <c r="D55" i="64"/>
  <c r="E66" i="64"/>
  <c r="D59" i="64"/>
  <c r="D53" i="64"/>
  <c r="E55" i="64"/>
  <c r="D57" i="64"/>
  <c r="E59" i="64"/>
  <c r="D61" i="64"/>
  <c r="E57" i="64"/>
  <c r="E63" i="64"/>
  <c r="E67" i="64"/>
  <c r="E65" i="64"/>
  <c r="E46" i="64"/>
  <c r="E69" i="64"/>
  <c r="D52" i="64"/>
  <c r="E68" i="64"/>
  <c r="D62" i="64"/>
  <c r="C46" i="64"/>
  <c r="C65" i="64"/>
  <c r="E49" i="64"/>
  <c r="E64" i="64"/>
  <c r="D68" i="64"/>
  <c r="C56" i="64"/>
  <c r="E61" i="64"/>
  <c r="D60" i="64"/>
  <c r="C64" i="64"/>
  <c r="D67" i="64"/>
  <c r="E54" i="64"/>
  <c r="E47" i="64"/>
  <c r="C71" i="64"/>
  <c r="C63" i="64"/>
  <c r="C52" i="64"/>
  <c r="D66" i="64"/>
  <c r="C62" i="64"/>
  <c r="C54" i="64"/>
  <c r="E51" i="64"/>
  <c r="E62" i="64"/>
  <c r="C70" i="64"/>
  <c r="D65" i="64"/>
  <c r="E60" i="64"/>
  <c r="C66" i="64"/>
  <c r="C69" i="64"/>
  <c r="C61" i="64"/>
  <c r="E70" i="64"/>
  <c r="E56" i="64"/>
  <c r="D56" i="64"/>
  <c r="E71" i="64"/>
  <c r="D69" i="64"/>
  <c r="D46" i="64"/>
  <c r="C68" i="64"/>
  <c r="D71" i="64"/>
  <c r="D63" i="64"/>
  <c r="D54" i="64"/>
  <c r="D64" i="64"/>
  <c r="C60" i="64"/>
  <c r="C67" i="64"/>
  <c r="C59" i="64"/>
  <c r="E58" i="64"/>
  <c r="D58" i="64"/>
  <c r="C58" i="64"/>
  <c r="E48" i="64"/>
  <c r="E53" i="64"/>
  <c r="B8" i="97"/>
  <c r="B8" i="25"/>
  <c r="CA43" i="106" a="1"/>
  <c r="CA43" i="106" s="1"/>
  <c r="BR43" i="106" a="1"/>
  <c r="BR43" i="106" s="1"/>
  <c r="BI43" i="106" a="1"/>
  <c r="BI43" i="106" s="1"/>
  <c r="BA43" i="106" a="1"/>
  <c r="BA43" i="106" s="1"/>
  <c r="BT43" i="106" a="1"/>
  <c r="BT43" i="106" s="1"/>
  <c r="BB43" i="106" a="1"/>
  <c r="BB43" i="106" s="1"/>
  <c r="AR43" i="106" a="1"/>
  <c r="AR43" i="106" s="1"/>
  <c r="AI43" i="106" a="1"/>
  <c r="AI43" i="106" s="1"/>
  <c r="BS43" i="106" a="1"/>
  <c r="BS43" i="106" s="1"/>
  <c r="BJ43" i="106" a="1"/>
  <c r="BJ43" i="106" s="1"/>
  <c r="AZ43" i="106" a="1"/>
  <c r="AZ43" i="106" s="1"/>
  <c r="AQ43" i="106" a="1"/>
  <c r="AQ43" i="106" s="1"/>
  <c r="AY43" i="106" a="1"/>
  <c r="AY43" i="106" s="1"/>
  <c r="AH43" i="106" a="1"/>
  <c r="AH43" i="106" s="1"/>
  <c r="BH43" i="106" a="1"/>
  <c r="BH43" i="106" s="1"/>
  <c r="AX43" i="106" a="1"/>
  <c r="AX43" i="106" s="1"/>
  <c r="AP43" i="106" a="1"/>
  <c r="AP43" i="106" s="1"/>
  <c r="BZ43" i="106" a="1"/>
  <c r="BZ43" i="106" s="1"/>
  <c r="BQ43" i="106" a="1"/>
  <c r="BQ43" i="106" s="1"/>
  <c r="AW43" i="106" a="1"/>
  <c r="AW43" i="106" s="1"/>
  <c r="AO43" i="106" a="1"/>
  <c r="AO43" i="106" s="1"/>
  <c r="AG43" i="106" a="1"/>
  <c r="AG43" i="106" s="1"/>
  <c r="BY43" i="106" a="1"/>
  <c r="BY43" i="106" s="1"/>
  <c r="BG43" i="106" a="1"/>
  <c r="BG43" i="106" s="1"/>
  <c r="AN43" i="106" a="1"/>
  <c r="AN43" i="106" s="1"/>
  <c r="AF43" i="106" a="1"/>
  <c r="AF43" i="106" s="1"/>
  <c r="BX43" i="106" a="1"/>
  <c r="BX43" i="106" s="1"/>
  <c r="BP43" i="106" a="1"/>
  <c r="BP43" i="106" s="1"/>
  <c r="BF43" i="106" a="1"/>
  <c r="BF43" i="106" s="1"/>
  <c r="AV43" i="106" a="1"/>
  <c r="AV43" i="106" s="1"/>
  <c r="AM43" i="106" a="1"/>
  <c r="AM43" i="106" s="1"/>
  <c r="AE43" i="106" a="1"/>
  <c r="AE43" i="106" s="1"/>
  <c r="BO43" i="106" a="1"/>
  <c r="BO43" i="106" s="1"/>
  <c r="AL43" i="106" a="1"/>
  <c r="AL43" i="106" s="1"/>
  <c r="AD43" i="106" a="1"/>
  <c r="AD43" i="106" s="1"/>
  <c r="BW43" i="106" a="1"/>
  <c r="BW43" i="106" s="1"/>
  <c r="BN43" i="106" a="1"/>
  <c r="BN43" i="106" s="1"/>
  <c r="BE43" i="106" a="1"/>
  <c r="BE43" i="106" s="1"/>
  <c r="AU43" i="106" a="1"/>
  <c r="AU43" i="106" s="1"/>
  <c r="AK43" i="106" a="1"/>
  <c r="AK43" i="106" s="1"/>
  <c r="BV43" i="106" a="1"/>
  <c r="BV43" i="106" s="1"/>
  <c r="BM43" i="106" a="1"/>
  <c r="BM43" i="106" s="1"/>
  <c r="AC43" i="106" a="1"/>
  <c r="AC43" i="106" s="1"/>
  <c r="BL43" i="106" a="1"/>
  <c r="BL43" i="106" s="1"/>
  <c r="BK43" i="106" a="1"/>
  <c r="BK43" i="106" s="1"/>
  <c r="BD43" i="106" a="1"/>
  <c r="BD43" i="106" s="1"/>
  <c r="BC43" i="106" a="1"/>
  <c r="BC43" i="106" s="1"/>
  <c r="AT43" i="106" a="1"/>
  <c r="AT43" i="106" s="1"/>
  <c r="AS43" i="106" a="1"/>
  <c r="AS43" i="106" s="1"/>
  <c r="AJ43" i="106" a="1"/>
  <c r="AJ43" i="106" s="1"/>
  <c r="AB43" i="106" a="1"/>
  <c r="AB43" i="106" s="1"/>
  <c r="AA43" i="106" a="1"/>
  <c r="AA43" i="106" s="1"/>
  <c r="BU43" i="106" a="1"/>
  <c r="BU43" i="106" s="1"/>
  <c r="Z43" i="106" a="1"/>
  <c r="Z43" i="106" s="1"/>
  <c r="BS19" i="106" a="1"/>
  <c r="BS19" i="106" s="1"/>
  <c r="BB19" i="106" a="1"/>
  <c r="BB19" i="106" s="1"/>
  <c r="AT19" i="106" a="1"/>
  <c r="AT19" i="106" s="1"/>
  <c r="CA19" i="106" a="1"/>
  <c r="CA19" i="106" s="1"/>
  <c r="BO19" i="106" a="1"/>
  <c r="BO19" i="106" s="1"/>
  <c r="BG19" i="106" a="1"/>
  <c r="BG19" i="106" s="1"/>
  <c r="AX19" i="106" a="1"/>
  <c r="AX19" i="106" s="1"/>
  <c r="AH19" i="106" a="1"/>
  <c r="AH19" i="106" s="1"/>
  <c r="AA19" i="106" a="1"/>
  <c r="AA19" i="106" s="1"/>
  <c r="BX19" i="106" a="1"/>
  <c r="BX19" i="106" s="1"/>
  <c r="BN19" i="106" a="1"/>
  <c r="BN19" i="106" s="1"/>
  <c r="BF19" i="106" a="1"/>
  <c r="BF19" i="106" s="1"/>
  <c r="AO19" i="106" a="1"/>
  <c r="AO19" i="106" s="1"/>
  <c r="BW19" i="106" a="1"/>
  <c r="BW19" i="106" s="1"/>
  <c r="BE19" i="106" a="1"/>
  <c r="BE19" i="106" s="1"/>
  <c r="AW19" i="106" a="1"/>
  <c r="AW19" i="106" s="1"/>
  <c r="AG19" i="106" a="1"/>
  <c r="AG19" i="106" s="1"/>
  <c r="BV19" i="106" a="1"/>
  <c r="BV19" i="106" s="1"/>
  <c r="BM19" i="106" a="1"/>
  <c r="BM19" i="106" s="1"/>
  <c r="BD19" i="106" a="1"/>
  <c r="BD19" i="106" s="1"/>
  <c r="AN19" i="106" a="1"/>
  <c r="AN19" i="106" s="1"/>
  <c r="AF19" i="106" a="1"/>
  <c r="AF19" i="106" s="1"/>
  <c r="BU19" i="106" a="1"/>
  <c r="BU19" i="106" s="1"/>
  <c r="BC19" i="106" a="1"/>
  <c r="BC19" i="106" s="1"/>
  <c r="AV19" i="106" a="1"/>
  <c r="AV19" i="106" s="1"/>
  <c r="BT19" i="106" a="1"/>
  <c r="BT19" i="106" s="1"/>
  <c r="AM19" i="106" a="1"/>
  <c r="AM19" i="106" s="1"/>
  <c r="AB19" i="106" a="1"/>
  <c r="AB19" i="106" s="1"/>
  <c r="BR19" i="106" a="1"/>
  <c r="BR19" i="106" s="1"/>
  <c r="BA19" i="106" a="1"/>
  <c r="BA19" i="106" s="1"/>
  <c r="AL19" i="106" a="1"/>
  <c r="AL19" i="106" s="1"/>
  <c r="AK19" i="106" a="1"/>
  <c r="AK19" i="106" s="1"/>
  <c r="BQ19" i="106" a="1"/>
  <c r="BQ19" i="106" s="1"/>
  <c r="AZ19" i="106" a="1"/>
  <c r="AZ19" i="106" s="1"/>
  <c r="BP19" i="106" a="1"/>
  <c r="BP19" i="106" s="1"/>
  <c r="AJ19" i="106" a="1"/>
  <c r="AJ19" i="106" s="1"/>
  <c r="AY19" i="106" a="1"/>
  <c r="AY19" i="106" s="1"/>
  <c r="BL19" i="106" a="1"/>
  <c r="BL19" i="106" s="1"/>
  <c r="AU19" i="106" a="1"/>
  <c r="AU19" i="106" s="1"/>
  <c r="AI19" i="106" a="1"/>
  <c r="AI19" i="106" s="1"/>
  <c r="BK19" i="106" a="1"/>
  <c r="BK19" i="106" s="1"/>
  <c r="AS19" i="106" a="1"/>
  <c r="AS19" i="106" s="1"/>
  <c r="AE19" i="106" a="1"/>
  <c r="AE19" i="106" s="1"/>
  <c r="BJ19" i="106" a="1"/>
  <c r="BJ19" i="106" s="1"/>
  <c r="AR19" i="106" a="1"/>
  <c r="AR19" i="106" s="1"/>
  <c r="BZ19" i="106" a="1"/>
  <c r="BZ19" i="106" s="1"/>
  <c r="AD19" i="106" a="1"/>
  <c r="AD19" i="106" s="1"/>
  <c r="BI19" i="106" a="1"/>
  <c r="BI19" i="106" s="1"/>
  <c r="AQ19" i="106" a="1"/>
  <c r="AQ19" i="106" s="1"/>
  <c r="AC19" i="106" a="1"/>
  <c r="AC19" i="106" s="1"/>
  <c r="BY19" i="106" a="1"/>
  <c r="BY19" i="106" s="1"/>
  <c r="BH19" i="106" a="1"/>
  <c r="BH19" i="106" s="1"/>
  <c r="AP19" i="106" a="1"/>
  <c r="AP19" i="106" s="1"/>
  <c r="Z19" i="106" a="1"/>
  <c r="Z19" i="106" s="1"/>
  <c r="CA7" i="106" a="1"/>
  <c r="CA7" i="106" s="1"/>
  <c r="BO7" i="106" a="1"/>
  <c r="BO7" i="106" s="1"/>
  <c r="BC7" i="106" a="1"/>
  <c r="BC7" i="106" s="1"/>
  <c r="AQ7" i="106" a="1"/>
  <c r="AQ7" i="106" s="1"/>
  <c r="AE7" i="106" a="1"/>
  <c r="AE7" i="106" s="1"/>
  <c r="BU7" i="106" a="1"/>
  <c r="BU7" i="106" s="1"/>
  <c r="BH7" i="106" a="1"/>
  <c r="BH7" i="106" s="1"/>
  <c r="AU7" i="106" a="1"/>
  <c r="AU7" i="106" s="1"/>
  <c r="AH7" i="106" a="1"/>
  <c r="AH7" i="106" s="1"/>
  <c r="BT7" i="106" a="1"/>
  <c r="BT7" i="106" s="1"/>
  <c r="BG7" i="106" a="1"/>
  <c r="BG7" i="106" s="1"/>
  <c r="AT7" i="106" a="1"/>
  <c r="AT7" i="106" s="1"/>
  <c r="AG7" i="106" a="1"/>
  <c r="AG7" i="106" s="1"/>
  <c r="BS7" i="106" a="1"/>
  <c r="BS7" i="106" s="1"/>
  <c r="BF7" i="106" a="1"/>
  <c r="BF7" i="106" s="1"/>
  <c r="AS7" i="106" a="1"/>
  <c r="AS7" i="106" s="1"/>
  <c r="AF7" i="106" a="1"/>
  <c r="AF7" i="106" s="1"/>
  <c r="BR7" i="106" a="1"/>
  <c r="BR7" i="106" s="1"/>
  <c r="BE7" i="106" a="1"/>
  <c r="BE7" i="106" s="1"/>
  <c r="AR7" i="106" a="1"/>
  <c r="AR7" i="106" s="1"/>
  <c r="AD7" i="106" a="1"/>
  <c r="AD7" i="106" s="1"/>
  <c r="BN7" i="106" a="1"/>
  <c r="BN7" i="106" s="1"/>
  <c r="AA7" i="106" a="1"/>
  <c r="AA7" i="106" s="1"/>
  <c r="BQ7" i="106" a="1"/>
  <c r="BQ7" i="106" s="1"/>
  <c r="BD7" i="106" a="1"/>
  <c r="BD7" i="106" s="1"/>
  <c r="AP7" i="106" a="1"/>
  <c r="AP7" i="106" s="1"/>
  <c r="AC7" i="106" a="1"/>
  <c r="AC7" i="106" s="1"/>
  <c r="AN7" i="106" a="1"/>
  <c r="AN7" i="106" s="1"/>
  <c r="BP7" i="106" a="1"/>
  <c r="BP7" i="106" s="1"/>
  <c r="BB7" i="106" a="1"/>
  <c r="BB7" i="106" s="1"/>
  <c r="AO7" i="106" a="1"/>
  <c r="AO7" i="106" s="1"/>
  <c r="AB7" i="106" a="1"/>
  <c r="AB7" i="106" s="1"/>
  <c r="BA7" i="106" a="1"/>
  <c r="BA7" i="106" s="1"/>
  <c r="BZ7" i="106" a="1"/>
  <c r="BZ7" i="106" s="1"/>
  <c r="BM7" i="106" a="1"/>
  <c r="BM7" i="106" s="1"/>
  <c r="AZ7" i="106" a="1"/>
  <c r="AZ7" i="106" s="1"/>
  <c r="AM7" i="106" a="1"/>
  <c r="AM7" i="106" s="1"/>
  <c r="Z7" i="106" a="1"/>
  <c r="Z7" i="106" s="1"/>
  <c r="BY7" i="106" a="1"/>
  <c r="BY7" i="106" s="1"/>
  <c r="BL7" i="106" a="1"/>
  <c r="BL7" i="106" s="1"/>
  <c r="AY7" i="106" a="1"/>
  <c r="AY7" i="106" s="1"/>
  <c r="AL7" i="106" a="1"/>
  <c r="AL7" i="106" s="1"/>
  <c r="BX7" i="106" a="1"/>
  <c r="BX7" i="106" s="1"/>
  <c r="BK7" i="106" a="1"/>
  <c r="BK7" i="106" s="1"/>
  <c r="AX7" i="106" a="1"/>
  <c r="AX7" i="106" s="1"/>
  <c r="AK7" i="106" a="1"/>
  <c r="AK7" i="106" s="1"/>
  <c r="BW7" i="106" a="1"/>
  <c r="BW7" i="106" s="1"/>
  <c r="BJ7" i="106" a="1"/>
  <c r="BJ7" i="106" s="1"/>
  <c r="AW7" i="106" a="1"/>
  <c r="AW7" i="106" s="1"/>
  <c r="AJ7" i="106" a="1"/>
  <c r="AJ7" i="106" s="1"/>
  <c r="BV7" i="106" a="1"/>
  <c r="BV7" i="106" s="1"/>
  <c r="BI7" i="106" a="1"/>
  <c r="BI7" i="106" s="1"/>
  <c r="AV7" i="106" a="1"/>
  <c r="AV7" i="106" s="1"/>
  <c r="AI7" i="106" a="1"/>
  <c r="AI7" i="106" s="1"/>
  <c r="BY20" i="106" a="1"/>
  <c r="BY20" i="106" s="1"/>
  <c r="BI20" i="106" a="1"/>
  <c r="BI20" i="106" s="1"/>
  <c r="BA20" i="106" a="1"/>
  <c r="BA20" i="106" s="1"/>
  <c r="BO20" i="106" a="1"/>
  <c r="BO20" i="106" s="1"/>
  <c r="BH20" i="106" a="1"/>
  <c r="BH20" i="106" s="1"/>
  <c r="AR20" i="106" a="1"/>
  <c r="AR20" i="106" s="1"/>
  <c r="AJ20" i="106" a="1"/>
  <c r="AJ20" i="106" s="1"/>
  <c r="BX20" i="106" a="1"/>
  <c r="BX20" i="106" s="1"/>
  <c r="AZ20" i="106" a="1"/>
  <c r="AZ20" i="106" s="1"/>
  <c r="AB20" i="106" a="1"/>
  <c r="AB20" i="106" s="1"/>
  <c r="BW20" i="106" a="1"/>
  <c r="BW20" i="106" s="1"/>
  <c r="BN20" i="106" a="1"/>
  <c r="BN20" i="106" s="1"/>
  <c r="BG20" i="106" a="1"/>
  <c r="BG20" i="106" s="1"/>
  <c r="BT20" i="106" a="1"/>
  <c r="BT20" i="106" s="1"/>
  <c r="BL20" i="106" a="1"/>
  <c r="BL20" i="106" s="1"/>
  <c r="BD20" i="106" a="1"/>
  <c r="BD20" i="106" s="1"/>
  <c r="AF20" i="106" a="1"/>
  <c r="AF20" i="106" s="1"/>
  <c r="CA20" i="106" a="1"/>
  <c r="CA20" i="106" s="1"/>
  <c r="BS20" i="106" a="1"/>
  <c r="BS20" i="106" s="1"/>
  <c r="BK20" i="106" a="1"/>
  <c r="BK20" i="106" s="1"/>
  <c r="BC20" i="106" a="1"/>
  <c r="BC20" i="106" s="1"/>
  <c r="AV20" i="106" a="1"/>
  <c r="AV20" i="106" s="1"/>
  <c r="AN20" i="106" a="1"/>
  <c r="AN20" i="106" s="1"/>
  <c r="BR20" i="106" a="1"/>
  <c r="BR20" i="106" s="1"/>
  <c r="AU20" i="106" a="1"/>
  <c r="AU20" i="106" s="1"/>
  <c r="AM20" i="106" a="1"/>
  <c r="AM20" i="106" s="1"/>
  <c r="AE20" i="106" a="1"/>
  <c r="AE20" i="106" s="1"/>
  <c r="BZ20" i="106" a="1"/>
  <c r="BZ20" i="106" s="1"/>
  <c r="BQ20" i="106" a="1"/>
  <c r="BQ20" i="106" s="1"/>
  <c r="BJ20" i="106" a="1"/>
  <c r="BJ20" i="106" s="1"/>
  <c r="BB20" i="106" a="1"/>
  <c r="BB20" i="106" s="1"/>
  <c r="AT20" i="106" a="1"/>
  <c r="AT20" i="106" s="1"/>
  <c r="AL20" i="106" a="1"/>
  <c r="AL20" i="106" s="1"/>
  <c r="BP20" i="106" a="1"/>
  <c r="BP20" i="106" s="1"/>
  <c r="AS20" i="106" a="1"/>
  <c r="AS20" i="106" s="1"/>
  <c r="AK20" i="106" a="1"/>
  <c r="AK20" i="106" s="1"/>
  <c r="AD20" i="106" a="1"/>
  <c r="AD20" i="106" s="1"/>
  <c r="AY20" i="106" a="1"/>
  <c r="AY20" i="106" s="1"/>
  <c r="AG20" i="106" a="1"/>
  <c r="AG20" i="106" s="1"/>
  <c r="AX20" i="106" a="1"/>
  <c r="AX20" i="106" s="1"/>
  <c r="AC20" i="106" a="1"/>
  <c r="AC20" i="106" s="1"/>
  <c r="AW20" i="106" a="1"/>
  <c r="AW20" i="106" s="1"/>
  <c r="AA20" i="106" a="1"/>
  <c r="AA20" i="106" s="1"/>
  <c r="BV20" i="106" a="1"/>
  <c r="BV20" i="106" s="1"/>
  <c r="BU20" i="106" a="1"/>
  <c r="BU20" i="106" s="1"/>
  <c r="AQ20" i="106" a="1"/>
  <c r="AQ20" i="106" s="1"/>
  <c r="AP20" i="106" a="1"/>
  <c r="AP20" i="106" s="1"/>
  <c r="BM20" i="106" a="1"/>
  <c r="BM20" i="106" s="1"/>
  <c r="AO20" i="106" a="1"/>
  <c r="AO20" i="106" s="1"/>
  <c r="BF20" i="106" a="1"/>
  <c r="BF20" i="106" s="1"/>
  <c r="BE20" i="106" a="1"/>
  <c r="BE20" i="106" s="1"/>
  <c r="AI20" i="106" a="1"/>
  <c r="AI20" i="106" s="1"/>
  <c r="AH20" i="106" a="1"/>
  <c r="AH20" i="106" s="1"/>
  <c r="Z20" i="106" a="1"/>
  <c r="Z20" i="106" s="1"/>
  <c r="BU66" i="106" a="1"/>
  <c r="BU66" i="106" s="1"/>
  <c r="BI66" i="106" a="1"/>
  <c r="BI66" i="106" s="1"/>
  <c r="AW66" i="106" a="1"/>
  <c r="AW66" i="106" s="1"/>
  <c r="AK66" i="106" a="1"/>
  <c r="AK66" i="106" s="1"/>
  <c r="BT66" i="106" a="1"/>
  <c r="BT66" i="106" s="1"/>
  <c r="BH66" i="106" a="1"/>
  <c r="BH66" i="106" s="1"/>
  <c r="AV66" i="106" a="1"/>
  <c r="AV66" i="106" s="1"/>
  <c r="AJ66" i="106" a="1"/>
  <c r="AJ66" i="106" s="1"/>
  <c r="BS66" i="106" a="1"/>
  <c r="BS66" i="106" s="1"/>
  <c r="BG66" i="106" a="1"/>
  <c r="BG66" i="106" s="1"/>
  <c r="AU66" i="106" a="1"/>
  <c r="AU66" i="106" s="1"/>
  <c r="AI66" i="106" a="1"/>
  <c r="AI66" i="106" s="1"/>
  <c r="BR66" i="106" a="1"/>
  <c r="BR66" i="106" s="1"/>
  <c r="BF66" i="106" a="1"/>
  <c r="BF66" i="106" s="1"/>
  <c r="AT66" i="106" a="1"/>
  <c r="AT66" i="106" s="1"/>
  <c r="AH66" i="106" a="1"/>
  <c r="AH66" i="106" s="1"/>
  <c r="BQ66" i="106" a="1"/>
  <c r="BQ66" i="106" s="1"/>
  <c r="BE66" i="106" a="1"/>
  <c r="BE66" i="106" s="1"/>
  <c r="AS66" i="106" a="1"/>
  <c r="AS66" i="106" s="1"/>
  <c r="AG66" i="106" a="1"/>
  <c r="AG66" i="106" s="1"/>
  <c r="BP66" i="106" a="1"/>
  <c r="BP66" i="106" s="1"/>
  <c r="BD66" i="106" a="1"/>
  <c r="BD66" i="106" s="1"/>
  <c r="AR66" i="106" a="1"/>
  <c r="AR66" i="106" s="1"/>
  <c r="AF66" i="106" a="1"/>
  <c r="AF66" i="106" s="1"/>
  <c r="CA66" i="106" a="1"/>
  <c r="CA66" i="106" s="1"/>
  <c r="BO66" i="106" a="1"/>
  <c r="BO66" i="106" s="1"/>
  <c r="BC66" i="106" a="1"/>
  <c r="BC66" i="106" s="1"/>
  <c r="AQ66" i="106" a="1"/>
  <c r="AQ66" i="106" s="1"/>
  <c r="AE66" i="106" a="1"/>
  <c r="AE66" i="106" s="1"/>
  <c r="BZ66" i="106" a="1"/>
  <c r="BZ66" i="106" s="1"/>
  <c r="BN66" i="106" a="1"/>
  <c r="BN66" i="106" s="1"/>
  <c r="BB66" i="106" a="1"/>
  <c r="BB66" i="106" s="1"/>
  <c r="AP66" i="106" a="1"/>
  <c r="AP66" i="106" s="1"/>
  <c r="AD66" i="106" a="1"/>
  <c r="AD66" i="106" s="1"/>
  <c r="BY66" i="106" a="1"/>
  <c r="BY66" i="106" s="1"/>
  <c r="BM66" i="106" a="1"/>
  <c r="BM66" i="106" s="1"/>
  <c r="BA66" i="106" a="1"/>
  <c r="BA66" i="106" s="1"/>
  <c r="AO66" i="106" a="1"/>
  <c r="AO66" i="106" s="1"/>
  <c r="AC66" i="106" a="1"/>
  <c r="AC66" i="106" s="1"/>
  <c r="BX66" i="106" a="1"/>
  <c r="BX66" i="106" s="1"/>
  <c r="BL66" i="106" a="1"/>
  <c r="BL66" i="106" s="1"/>
  <c r="AZ66" i="106" a="1"/>
  <c r="AZ66" i="106" s="1"/>
  <c r="AN66" i="106" a="1"/>
  <c r="AN66" i="106" s="1"/>
  <c r="AB66" i="106" a="1"/>
  <c r="AB66" i="106" s="1"/>
  <c r="BW66" i="106" a="1"/>
  <c r="BW66" i="106" s="1"/>
  <c r="BK66" i="106" a="1"/>
  <c r="BK66" i="106" s="1"/>
  <c r="AY66" i="106" a="1"/>
  <c r="AY66" i="106" s="1"/>
  <c r="AM66" i="106" a="1"/>
  <c r="AM66" i="106" s="1"/>
  <c r="AA66" i="106" a="1"/>
  <c r="AA66" i="106" s="1"/>
  <c r="BV66" i="106" a="1"/>
  <c r="BV66" i="106" s="1"/>
  <c r="BJ66" i="106" a="1"/>
  <c r="BJ66" i="106" s="1"/>
  <c r="AX66" i="106" a="1"/>
  <c r="AX66" i="106" s="1"/>
  <c r="AL66" i="106" a="1"/>
  <c r="AL66" i="106" s="1"/>
  <c r="Z66" i="106" a="1"/>
  <c r="Z66" i="106" s="1"/>
  <c r="BT54" i="106" a="1"/>
  <c r="BT54" i="106" s="1"/>
  <c r="BJ54" i="106" a="1"/>
  <c r="BJ54" i="106" s="1"/>
  <c r="AY54" i="106" a="1"/>
  <c r="AY54" i="106" s="1"/>
  <c r="AH54" i="106" a="1"/>
  <c r="AH54" i="106" s="1"/>
  <c r="BS54" i="106" a="1"/>
  <c r="BS54" i="106" s="1"/>
  <c r="BI54" i="106" a="1"/>
  <c r="BI54" i="106" s="1"/>
  <c r="AX54" i="106" a="1"/>
  <c r="AX54" i="106" s="1"/>
  <c r="AO54" i="106" a="1"/>
  <c r="AO54" i="106" s="1"/>
  <c r="AG54" i="106" a="1"/>
  <c r="AG54" i="106" s="1"/>
  <c r="BR54" i="106" a="1"/>
  <c r="BR54" i="106" s="1"/>
  <c r="AW54" i="106" a="1"/>
  <c r="AW54" i="106" s="1"/>
  <c r="BQ54" i="106" a="1"/>
  <c r="BQ54" i="106" s="1"/>
  <c r="BH54" i="106" a="1"/>
  <c r="BH54" i="106" s="1"/>
  <c r="AV54" i="106" a="1"/>
  <c r="AV54" i="106" s="1"/>
  <c r="AN54" i="106" a="1"/>
  <c r="AN54" i="106" s="1"/>
  <c r="AF54" i="106" a="1"/>
  <c r="AF54" i="106" s="1"/>
  <c r="CA54" i="106" a="1"/>
  <c r="CA54" i="106" s="1"/>
  <c r="BP54" i="106" a="1"/>
  <c r="BP54" i="106" s="1"/>
  <c r="BG54" i="106" a="1"/>
  <c r="BG54" i="106" s="1"/>
  <c r="AE54" i="106" a="1"/>
  <c r="AE54" i="106" s="1"/>
  <c r="BZ54" i="106" a="1"/>
  <c r="BZ54" i="106" s="1"/>
  <c r="BO54" i="106" a="1"/>
  <c r="BO54" i="106" s="1"/>
  <c r="BF54" i="106" a="1"/>
  <c r="BF54" i="106" s="1"/>
  <c r="AU54" i="106" a="1"/>
  <c r="AU54" i="106" s="1"/>
  <c r="AM54" i="106" a="1"/>
  <c r="AM54" i="106" s="1"/>
  <c r="AD54" i="106" a="1"/>
  <c r="AD54" i="106" s="1"/>
  <c r="BY54" i="106" a="1"/>
  <c r="BY54" i="106" s="1"/>
  <c r="BE54" i="106" a="1"/>
  <c r="BE54" i="106" s="1"/>
  <c r="AT54" i="106" a="1"/>
  <c r="AT54" i="106" s="1"/>
  <c r="AL54" i="106" a="1"/>
  <c r="AL54" i="106" s="1"/>
  <c r="BX54" i="106" a="1"/>
  <c r="BX54" i="106" s="1"/>
  <c r="BN54" i="106" a="1"/>
  <c r="BN54" i="106" s="1"/>
  <c r="BD54" i="106" a="1"/>
  <c r="BD54" i="106" s="1"/>
  <c r="AC54" i="106" a="1"/>
  <c r="AC54" i="106" s="1"/>
  <c r="BM54" i="106" a="1"/>
  <c r="BM54" i="106" s="1"/>
  <c r="BC54" i="106" a="1"/>
  <c r="BC54" i="106" s="1"/>
  <c r="AS54" i="106" a="1"/>
  <c r="AS54" i="106" s="1"/>
  <c r="AK54" i="106" a="1"/>
  <c r="AK54" i="106" s="1"/>
  <c r="AB54" i="106" a="1"/>
  <c r="AB54" i="106" s="1"/>
  <c r="BW54" i="106" a="1"/>
  <c r="BW54" i="106" s="1"/>
  <c r="BL54" i="106" a="1"/>
  <c r="BL54" i="106" s="1"/>
  <c r="BB54" i="106" a="1"/>
  <c r="BB54" i="106" s="1"/>
  <c r="AR54" i="106" a="1"/>
  <c r="AR54" i="106" s="1"/>
  <c r="AJ54" i="106" a="1"/>
  <c r="AJ54" i="106" s="1"/>
  <c r="BV54" i="106" a="1"/>
  <c r="BV54" i="106" s="1"/>
  <c r="BA54" i="106" a="1"/>
  <c r="BA54" i="106" s="1"/>
  <c r="AQ54" i="106" a="1"/>
  <c r="AQ54" i="106" s="1"/>
  <c r="AA54" i="106" a="1"/>
  <c r="AA54" i="106" s="1"/>
  <c r="AP54" i="106" a="1"/>
  <c r="AP54" i="106" s="1"/>
  <c r="AI54" i="106" a="1"/>
  <c r="AI54" i="106" s="1"/>
  <c r="BU54" i="106" a="1"/>
  <c r="BU54" i="106" s="1"/>
  <c r="BK54" i="106" a="1"/>
  <c r="BK54" i="106" s="1"/>
  <c r="AZ54" i="106" a="1"/>
  <c r="AZ54" i="106" s="1"/>
  <c r="Z54" i="106" a="1"/>
  <c r="Z54" i="106" s="1"/>
  <c r="BZ42" i="106" a="1"/>
  <c r="BZ42" i="106" s="1"/>
  <c r="BQ42" i="106" a="1"/>
  <c r="BQ42" i="106" s="1"/>
  <c r="BH42" i="106" a="1"/>
  <c r="BH42" i="106" s="1"/>
  <c r="AZ42" i="106" a="1"/>
  <c r="AZ42" i="106" s="1"/>
  <c r="AR42" i="106" a="1"/>
  <c r="AR42" i="106" s="1"/>
  <c r="AI42" i="106" a="1"/>
  <c r="AI42" i="106" s="1"/>
  <c r="AB42" i="106" a="1"/>
  <c r="AB42" i="106" s="1"/>
  <c r="BY42" i="106" a="1"/>
  <c r="BY42" i="106" s="1"/>
  <c r="AY42" i="106" a="1"/>
  <c r="AY42" i="106" s="1"/>
  <c r="AA42" i="106" a="1"/>
  <c r="AA42" i="106" s="1"/>
  <c r="BX42" i="106" a="1"/>
  <c r="BX42" i="106" s="1"/>
  <c r="BP42" i="106" a="1"/>
  <c r="BP42" i="106" s="1"/>
  <c r="BG42" i="106" a="1"/>
  <c r="BG42" i="106" s="1"/>
  <c r="AX42" i="106" a="1"/>
  <c r="AX42" i="106" s="1"/>
  <c r="AQ42" i="106" a="1"/>
  <c r="AQ42" i="106" s="1"/>
  <c r="AH42" i="106" a="1"/>
  <c r="AH42" i="106" s="1"/>
  <c r="BF42" i="106" a="1"/>
  <c r="BF42" i="106" s="1"/>
  <c r="AP42" i="106" a="1"/>
  <c r="AP42" i="106" s="1"/>
  <c r="BW42" i="106" a="1"/>
  <c r="BW42" i="106" s="1"/>
  <c r="BO42" i="106" a="1"/>
  <c r="BO42" i="106" s="1"/>
  <c r="AW42" i="106" a="1"/>
  <c r="AW42" i="106" s="1"/>
  <c r="AG42" i="106" a="1"/>
  <c r="AG42" i="106" s="1"/>
  <c r="BV42" i="106" a="1"/>
  <c r="BV42" i="106" s="1"/>
  <c r="BN42" i="106" a="1"/>
  <c r="BN42" i="106" s="1"/>
  <c r="BE42" i="106" a="1"/>
  <c r="BE42" i="106" s="1"/>
  <c r="AV42" i="106" a="1"/>
  <c r="AV42" i="106" s="1"/>
  <c r="AO42" i="106" a="1"/>
  <c r="AO42" i="106" s="1"/>
  <c r="AF42" i="106" a="1"/>
  <c r="AF42" i="106" s="1"/>
  <c r="BU42" i="106" a="1"/>
  <c r="BU42" i="106" s="1"/>
  <c r="BM42" i="106" a="1"/>
  <c r="BM42" i="106" s="1"/>
  <c r="AN42" i="106" a="1"/>
  <c r="AN42" i="106" s="1"/>
  <c r="BT42" i="106" a="1"/>
  <c r="BT42" i="106" s="1"/>
  <c r="BL42" i="106" a="1"/>
  <c r="BL42" i="106" s="1"/>
  <c r="BD42" i="106" a="1"/>
  <c r="BD42" i="106" s="1"/>
  <c r="AU42" i="106" a="1"/>
  <c r="AU42" i="106" s="1"/>
  <c r="AM42" i="106" a="1"/>
  <c r="AM42" i="106" s="1"/>
  <c r="AE42" i="106" a="1"/>
  <c r="AE42" i="106" s="1"/>
  <c r="BS42" i="106" a="1"/>
  <c r="BS42" i="106" s="1"/>
  <c r="BK42" i="106" a="1"/>
  <c r="BK42" i="106" s="1"/>
  <c r="AL42" i="106" a="1"/>
  <c r="AL42" i="106" s="1"/>
  <c r="AD42" i="106" a="1"/>
  <c r="AD42" i="106" s="1"/>
  <c r="BC42" i="106" a="1"/>
  <c r="BC42" i="106" s="1"/>
  <c r="AT42" i="106" a="1"/>
  <c r="AT42" i="106" s="1"/>
  <c r="AK42" i="106" a="1"/>
  <c r="AK42" i="106" s="1"/>
  <c r="CA42" i="106" a="1"/>
  <c r="CA42" i="106" s="1"/>
  <c r="BR42" i="106" a="1"/>
  <c r="BR42" i="106" s="1"/>
  <c r="BJ42" i="106" a="1"/>
  <c r="BJ42" i="106" s="1"/>
  <c r="BI42" i="106" a="1"/>
  <c r="BI42" i="106" s="1"/>
  <c r="BB42" i="106" a="1"/>
  <c r="BB42" i="106" s="1"/>
  <c r="BA42" i="106" a="1"/>
  <c r="BA42" i="106" s="1"/>
  <c r="AS42" i="106" a="1"/>
  <c r="AS42" i="106" s="1"/>
  <c r="AJ42" i="106" a="1"/>
  <c r="AJ42" i="106" s="1"/>
  <c r="AC42" i="106" a="1"/>
  <c r="AC42" i="106" s="1"/>
  <c r="Z42" i="106" a="1"/>
  <c r="Z42" i="106" s="1"/>
  <c r="BI18" i="106" a="1"/>
  <c r="BI18" i="106" s="1"/>
  <c r="AZ18" i="106" a="1"/>
  <c r="AZ18" i="106" s="1"/>
  <c r="BY18" i="106" a="1"/>
  <c r="BY18" i="106" s="1"/>
  <c r="BQ18" i="106" a="1"/>
  <c r="BQ18" i="106" s="1"/>
  <c r="BH18" i="106" a="1"/>
  <c r="BH18" i="106" s="1"/>
  <c r="AP18" i="106" a="1"/>
  <c r="AP18" i="106" s="1"/>
  <c r="BG18" i="106" a="1"/>
  <c r="BG18" i="106" s="1"/>
  <c r="AY18" i="106" a="1"/>
  <c r="AY18" i="106" s="1"/>
  <c r="BX18" i="106" a="1"/>
  <c r="BX18" i="106" s="1"/>
  <c r="BP18" i="106" a="1"/>
  <c r="BP18" i="106" s="1"/>
  <c r="BF18" i="106" a="1"/>
  <c r="BF18" i="106" s="1"/>
  <c r="AX18" i="106" a="1"/>
  <c r="AX18" i="106" s="1"/>
  <c r="AO18" i="106" a="1"/>
  <c r="AO18" i="106" s="1"/>
  <c r="AG18" i="106" a="1"/>
  <c r="AG18" i="106" s="1"/>
  <c r="BW18" i="106" a="1"/>
  <c r="BW18" i="106" s="1"/>
  <c r="BE18" i="106" a="1"/>
  <c r="BE18" i="106" s="1"/>
  <c r="AT18" i="106" a="1"/>
  <c r="AT18" i="106" s="1"/>
  <c r="BT18" i="106" a="1"/>
  <c r="BT18" i="106" s="1"/>
  <c r="AS18" i="106" a="1"/>
  <c r="AS18" i="106" s="1"/>
  <c r="AI18" i="106" a="1"/>
  <c r="AI18" i="106" s="1"/>
  <c r="BS18" i="106" a="1"/>
  <c r="BS18" i="106" s="1"/>
  <c r="BD18" i="106" a="1"/>
  <c r="BD18" i="106" s="1"/>
  <c r="AH18" i="106" a="1"/>
  <c r="AH18" i="106" s="1"/>
  <c r="BR18" i="106" a="1"/>
  <c r="BR18" i="106" s="1"/>
  <c r="BC18" i="106" a="1"/>
  <c r="BC18" i="106" s="1"/>
  <c r="AR18" i="106" a="1"/>
  <c r="AR18" i="106" s="1"/>
  <c r="AF18" i="106" a="1"/>
  <c r="AF18" i="106" s="1"/>
  <c r="BB18" i="106" a="1"/>
  <c r="BB18" i="106" s="1"/>
  <c r="CA18" i="106" a="1"/>
  <c r="CA18" i="106" s="1"/>
  <c r="BN18" i="106" a="1"/>
  <c r="BN18" i="106" s="1"/>
  <c r="BA18" i="106" a="1"/>
  <c r="BA18" i="106" s="1"/>
  <c r="AN18" i="106" a="1"/>
  <c r="AN18" i="106" s="1"/>
  <c r="AD18" i="106" a="1"/>
  <c r="AD18" i="106" s="1"/>
  <c r="AM18" i="106" a="1"/>
  <c r="AM18" i="106" s="1"/>
  <c r="AC18" i="106" a="1"/>
  <c r="AC18" i="106" s="1"/>
  <c r="BZ18" i="106" a="1"/>
  <c r="BZ18" i="106" s="1"/>
  <c r="BM18" i="106" a="1"/>
  <c r="BM18" i="106" s="1"/>
  <c r="AW18" i="106" a="1"/>
  <c r="AW18" i="106" s="1"/>
  <c r="AL18" i="106" a="1"/>
  <c r="AL18" i="106" s="1"/>
  <c r="BL18" i="106" a="1"/>
  <c r="BL18" i="106" s="1"/>
  <c r="AK18" i="106" a="1"/>
  <c r="AK18" i="106" s="1"/>
  <c r="AB18" i="106" a="1"/>
  <c r="AB18" i="106" s="1"/>
  <c r="BV18" i="106" a="1"/>
  <c r="BV18" i="106" s="1"/>
  <c r="BK18" i="106" a="1"/>
  <c r="BK18" i="106" s="1"/>
  <c r="AV18" i="106" a="1"/>
  <c r="AV18" i="106" s="1"/>
  <c r="AA18" i="106" a="1"/>
  <c r="AA18" i="106" s="1"/>
  <c r="BU18" i="106" a="1"/>
  <c r="BU18" i="106" s="1"/>
  <c r="BJ18" i="106" a="1"/>
  <c r="BJ18" i="106" s="1"/>
  <c r="AU18" i="106" a="1"/>
  <c r="AU18" i="106" s="1"/>
  <c r="AJ18" i="106" a="1"/>
  <c r="AJ18" i="106" s="1"/>
  <c r="BO18" i="106" a="1"/>
  <c r="BO18" i="106" s="1"/>
  <c r="AQ18" i="106" a="1"/>
  <c r="AQ18" i="106" s="1"/>
  <c r="AE18" i="106" a="1"/>
  <c r="AE18" i="106" s="1"/>
  <c r="Z18" i="106" a="1"/>
  <c r="Z18" i="106" s="1"/>
  <c r="BP6" i="106" a="1"/>
  <c r="BP6" i="106" s="1"/>
  <c r="BD6" i="106" a="1"/>
  <c r="BD6" i="106" s="1"/>
  <c r="AR6" i="106" a="1"/>
  <c r="AR6" i="106" s="1"/>
  <c r="AF6" i="106" a="1"/>
  <c r="AF6" i="106" s="1"/>
  <c r="CA6" i="106" a="1"/>
  <c r="CA6" i="106" s="1"/>
  <c r="BO6" i="106" a="1"/>
  <c r="BO6" i="106" s="1"/>
  <c r="BC6" i="106" a="1"/>
  <c r="BC6" i="106" s="1"/>
  <c r="AQ6" i="106" a="1"/>
  <c r="AQ6" i="106" s="1"/>
  <c r="AE6" i="106" a="1"/>
  <c r="AE6" i="106" s="1"/>
  <c r="BZ6" i="106" a="1"/>
  <c r="BZ6" i="106" s="1"/>
  <c r="BN6" i="106" a="1"/>
  <c r="BN6" i="106" s="1"/>
  <c r="BB6" i="106" a="1"/>
  <c r="BB6" i="106" s="1"/>
  <c r="AP6" i="106" a="1"/>
  <c r="AP6" i="106" s="1"/>
  <c r="AD6" i="106" a="1"/>
  <c r="AD6" i="106" s="1"/>
  <c r="BY6" i="106" a="1"/>
  <c r="BY6" i="106" s="1"/>
  <c r="BM6" i="106" a="1"/>
  <c r="BM6" i="106" s="1"/>
  <c r="BA6" i="106" a="1"/>
  <c r="BA6" i="106" s="1"/>
  <c r="AO6" i="106" a="1"/>
  <c r="AO6" i="106" s="1"/>
  <c r="AC6" i="106" a="1"/>
  <c r="AC6" i="106" s="1"/>
  <c r="AX6" i="106" a="1"/>
  <c r="AX6" i="106" s="1"/>
  <c r="BX6" i="106" a="1"/>
  <c r="BX6" i="106" s="1"/>
  <c r="BL6" i="106" a="1"/>
  <c r="BL6" i="106" s="1"/>
  <c r="AZ6" i="106" a="1"/>
  <c r="AZ6" i="106" s="1"/>
  <c r="AN6" i="106" a="1"/>
  <c r="AN6" i="106" s="1"/>
  <c r="AB6" i="106" a="1"/>
  <c r="AB6" i="106" s="1"/>
  <c r="BV6" i="106" a="1"/>
  <c r="BV6" i="106" s="1"/>
  <c r="AL6" i="106" a="1"/>
  <c r="AL6" i="106" s="1"/>
  <c r="BW6" i="106" a="1"/>
  <c r="BW6" i="106" s="1"/>
  <c r="BK6" i="106" a="1"/>
  <c r="BK6" i="106" s="1"/>
  <c r="AY6" i="106" a="1"/>
  <c r="AY6" i="106" s="1"/>
  <c r="AM6" i="106" a="1"/>
  <c r="AM6" i="106" s="1"/>
  <c r="AA6" i="106" a="1"/>
  <c r="AA6" i="106" s="1"/>
  <c r="BJ6" i="106" a="1"/>
  <c r="BJ6" i="106" s="1"/>
  <c r="Z6" i="106" a="1"/>
  <c r="Z6" i="106" s="1"/>
  <c r="BU6" i="106" a="1"/>
  <c r="BU6" i="106" s="1"/>
  <c r="BI6" i="106" a="1"/>
  <c r="BI6" i="106" s="1"/>
  <c r="AW6" i="106" a="1"/>
  <c r="AW6" i="106" s="1"/>
  <c r="AK6" i="106" a="1"/>
  <c r="AK6" i="106" s="1"/>
  <c r="BT6" i="106" a="1"/>
  <c r="BT6" i="106" s="1"/>
  <c r="BH6" i="106" a="1"/>
  <c r="BH6" i="106" s="1"/>
  <c r="AV6" i="106" a="1"/>
  <c r="AV6" i="106" s="1"/>
  <c r="AJ6" i="106" a="1"/>
  <c r="AJ6" i="106" s="1"/>
  <c r="BS6" i="106" a="1"/>
  <c r="BS6" i="106" s="1"/>
  <c r="BG6" i="106" a="1"/>
  <c r="BG6" i="106" s="1"/>
  <c r="AU6" i="106" a="1"/>
  <c r="AU6" i="106" s="1"/>
  <c r="AI6" i="106" a="1"/>
  <c r="AI6" i="106" s="1"/>
  <c r="BR6" i="106" a="1"/>
  <c r="BR6" i="106" s="1"/>
  <c r="BF6" i="106" a="1"/>
  <c r="BF6" i="106" s="1"/>
  <c r="AT6" i="106" a="1"/>
  <c r="AT6" i="106" s="1"/>
  <c r="AH6" i="106" a="1"/>
  <c r="AH6" i="106" s="1"/>
  <c r="BQ6" i="106" a="1"/>
  <c r="BQ6" i="106" s="1"/>
  <c r="BE6" i="106" a="1"/>
  <c r="BE6" i="106" s="1"/>
  <c r="AS6" i="106" a="1"/>
  <c r="AS6" i="106" s="1"/>
  <c r="AG6" i="106" a="1"/>
  <c r="AG6" i="106" s="1"/>
  <c r="BZ4" i="106" a="1"/>
  <c r="BZ4" i="106" s="1"/>
  <c r="BN4" i="106" a="1"/>
  <c r="BN4" i="106" s="1"/>
  <c r="BB4" i="106" a="1"/>
  <c r="BB4" i="106" s="1"/>
  <c r="AP4" i="106" a="1"/>
  <c r="AP4" i="106" s="1"/>
  <c r="BY4" i="106" a="1"/>
  <c r="BY4" i="106" s="1"/>
  <c r="BM4" i="106" a="1"/>
  <c r="BM4" i="106" s="1"/>
  <c r="BA4" i="106" a="1"/>
  <c r="BA4" i="106" s="1"/>
  <c r="AO4" i="106" a="1"/>
  <c r="AO4" i="106" s="1"/>
  <c r="AG4" i="106" a="1"/>
  <c r="AG4" i="106" s="1"/>
  <c r="BX4" i="106" a="1"/>
  <c r="BX4" i="106" s="1"/>
  <c r="BL4" i="106" a="1"/>
  <c r="BL4" i="106" s="1"/>
  <c r="AZ4" i="106" a="1"/>
  <c r="AZ4" i="106" s="1"/>
  <c r="AN4" i="106" a="1"/>
  <c r="AN4" i="106" s="1"/>
  <c r="AF4" i="106" a="1"/>
  <c r="AF4" i="106" s="1"/>
  <c r="AK4" i="106" a="1"/>
  <c r="AK4" i="106" s="1"/>
  <c r="BW4" i="106" a="1"/>
  <c r="BW4" i="106" s="1"/>
  <c r="BK4" i="106" a="1"/>
  <c r="BK4" i="106" s="1"/>
  <c r="AY4" i="106" a="1"/>
  <c r="AY4" i="106" s="1"/>
  <c r="AM4" i="106" a="1"/>
  <c r="AM4" i="106" s="1"/>
  <c r="AE4" i="106" a="1"/>
  <c r="AE4" i="106" s="1"/>
  <c r="AV4" i="106" a="1"/>
  <c r="AV4" i="106" s="1"/>
  <c r="BO4" i="106" a="1"/>
  <c r="BO4" i="106" s="1"/>
  <c r="BV4" i="106" a="1"/>
  <c r="BV4" i="106" s="1"/>
  <c r="BJ4" i="106" a="1"/>
  <c r="BJ4" i="106" s="1"/>
  <c r="AX4" i="106" a="1"/>
  <c r="AX4" i="106" s="1"/>
  <c r="AL4" i="106" a="1"/>
  <c r="AL4" i="106" s="1"/>
  <c r="AD4" i="106" a="1"/>
  <c r="AD4" i="106" s="1"/>
  <c r="BI4" i="106" a="1"/>
  <c r="BI4" i="106" s="1"/>
  <c r="AC4" i="106" a="1"/>
  <c r="AC4" i="106" s="1"/>
  <c r="CF4" i="106" a="1"/>
  <c r="CF4" i="106" s="1"/>
  <c r="BH4" i="106" a="1"/>
  <c r="BH4" i="106" s="1"/>
  <c r="AQ4" i="106" a="1"/>
  <c r="AQ4" i="106" s="1"/>
  <c r="CG4" i="106" a="1"/>
  <c r="CG4" i="106" s="1"/>
  <c r="BU4" i="106" a="1"/>
  <c r="BU4" i="106" s="1"/>
  <c r="AW4" i="106" a="1"/>
  <c r="AW4" i="106" s="1"/>
  <c r="BT4" i="106" a="1"/>
  <c r="BT4" i="106" s="1"/>
  <c r="AB4" i="106" a="1"/>
  <c r="AB4" i="106" s="1"/>
  <c r="AH4" i="106" a="1"/>
  <c r="AH4" i="106" s="1"/>
  <c r="CE4" i="106" a="1"/>
  <c r="CE4" i="106" s="1"/>
  <c r="BS4" i="106" a="1"/>
  <c r="BS4" i="106" s="1"/>
  <c r="BG4" i="106" a="1"/>
  <c r="BG4" i="106" s="1"/>
  <c r="AU4" i="106" a="1"/>
  <c r="AU4" i="106" s="1"/>
  <c r="AA4" i="106" a="1"/>
  <c r="AA4" i="106" s="1"/>
  <c r="CD4" i="106" a="1"/>
  <c r="CD4" i="106" s="1"/>
  <c r="BR4" i="106" a="1"/>
  <c r="BR4" i="106" s="1"/>
  <c r="BF4" i="106" a="1"/>
  <c r="BF4" i="106" s="1"/>
  <c r="AT4" i="106" a="1"/>
  <c r="AT4" i="106" s="1"/>
  <c r="AJ4" i="106" a="1"/>
  <c r="AJ4" i="106" s="1"/>
  <c r="CC4" i="106" a="1"/>
  <c r="CC4" i="106" s="1"/>
  <c r="BQ4" i="106" a="1"/>
  <c r="BQ4" i="106" s="1"/>
  <c r="BE4" i="106" a="1"/>
  <c r="BE4" i="106" s="1"/>
  <c r="AS4" i="106" a="1"/>
  <c r="AS4" i="106" s="1"/>
  <c r="BC4" i="106" a="1"/>
  <c r="BC4" i="106" s="1"/>
  <c r="CB4" i="106" a="1"/>
  <c r="CB4" i="106" s="1"/>
  <c r="BP4" i="106" a="1"/>
  <c r="BP4" i="106" s="1"/>
  <c r="BD4" i="106" a="1"/>
  <c r="BD4" i="106" s="1"/>
  <c r="AR4" i="106" a="1"/>
  <c r="AR4" i="106" s="1"/>
  <c r="AI4" i="106" a="1"/>
  <c r="AI4" i="106" s="1"/>
  <c r="CA4" i="106" a="1"/>
  <c r="CA4" i="106" s="1"/>
  <c r="CA41" i="106" a="1"/>
  <c r="CA41" i="106" s="1"/>
  <c r="BR41" i="106" a="1"/>
  <c r="BR41" i="106" s="1"/>
  <c r="BC41" i="106" a="1"/>
  <c r="BC41" i="106" s="1"/>
  <c r="AL41" i="106" a="1"/>
  <c r="AL41" i="106" s="1"/>
  <c r="BZ41" i="106" a="1"/>
  <c r="BZ41" i="106" s="1"/>
  <c r="BJ41" i="106" a="1"/>
  <c r="BJ41" i="106" s="1"/>
  <c r="AT41" i="106" a="1"/>
  <c r="AT41" i="106" s="1"/>
  <c r="AK41" i="106" a="1"/>
  <c r="AK41" i="106" s="1"/>
  <c r="AD41" i="106" a="1"/>
  <c r="AD41" i="106" s="1"/>
  <c r="BY41" i="106" a="1"/>
  <c r="BY41" i="106" s="1"/>
  <c r="BQ41" i="106" a="1"/>
  <c r="BQ41" i="106" s="1"/>
  <c r="BB41" i="106" a="1"/>
  <c r="BB41" i="106" s="1"/>
  <c r="AS41" i="106" a="1"/>
  <c r="AS41" i="106" s="1"/>
  <c r="AC41" i="106" a="1"/>
  <c r="AC41" i="106" s="1"/>
  <c r="BX41" i="106" a="1"/>
  <c r="BX41" i="106" s="1"/>
  <c r="BI41" i="106" a="1"/>
  <c r="BI41" i="106" s="1"/>
  <c r="BA41" i="106" a="1"/>
  <c r="BA41" i="106" s="1"/>
  <c r="AJ41" i="106" a="1"/>
  <c r="AJ41" i="106" s="1"/>
  <c r="BP41" i="106" a="1"/>
  <c r="BP41" i="106" s="1"/>
  <c r="BH41" i="106" a="1"/>
  <c r="BH41" i="106" s="1"/>
  <c r="AZ41" i="106" a="1"/>
  <c r="AZ41" i="106" s="1"/>
  <c r="AR41" i="106" a="1"/>
  <c r="AR41" i="106" s="1"/>
  <c r="AI41" i="106" a="1"/>
  <c r="AI41" i="106" s="1"/>
  <c r="AB41" i="106" a="1"/>
  <c r="AB41" i="106" s="1"/>
  <c r="BW41" i="106" a="1"/>
  <c r="BW41" i="106" s="1"/>
  <c r="BG41" i="106" a="1"/>
  <c r="BG41" i="106" s="1"/>
  <c r="AY41" i="106" a="1"/>
  <c r="AY41" i="106" s="1"/>
  <c r="AA41" i="106" a="1"/>
  <c r="AA41" i="106" s="1"/>
  <c r="BO41" i="106" a="1"/>
  <c r="BO41" i="106" s="1"/>
  <c r="BF41" i="106" a="1"/>
  <c r="BF41" i="106" s="1"/>
  <c r="AX41" i="106" a="1"/>
  <c r="AX41" i="106" s="1"/>
  <c r="AQ41" i="106" a="1"/>
  <c r="AQ41" i="106" s="1"/>
  <c r="AH41" i="106" a="1"/>
  <c r="AH41" i="106" s="1"/>
  <c r="BV41" i="106" a="1"/>
  <c r="BV41" i="106" s="1"/>
  <c r="BU41" i="106" a="1"/>
  <c r="BU41" i="106" s="1"/>
  <c r="BN41" i="106" a="1"/>
  <c r="BN41" i="106" s="1"/>
  <c r="BE41" i="106" a="1"/>
  <c r="BE41" i="106" s="1"/>
  <c r="AW41" i="106" a="1"/>
  <c r="AW41" i="106" s="1"/>
  <c r="AP41" i="106" a="1"/>
  <c r="AP41" i="106" s="1"/>
  <c r="AG41" i="106" a="1"/>
  <c r="AG41" i="106" s="1"/>
  <c r="BT41" i="106" a="1"/>
  <c r="BT41" i="106" s="1"/>
  <c r="BM41" i="106" a="1"/>
  <c r="BM41" i="106" s="1"/>
  <c r="AO41" i="106" a="1"/>
  <c r="AO41" i="106" s="1"/>
  <c r="AF41" i="106" a="1"/>
  <c r="AF41" i="106" s="1"/>
  <c r="AM41" i="106" a="1"/>
  <c r="AM41" i="106" s="1"/>
  <c r="AE41" i="106" a="1"/>
  <c r="AE41" i="106" s="1"/>
  <c r="BS41" i="106" a="1"/>
  <c r="BS41" i="106" s="1"/>
  <c r="BL41" i="106" a="1"/>
  <c r="BL41" i="106" s="1"/>
  <c r="BK41" i="106" a="1"/>
  <c r="BK41" i="106" s="1"/>
  <c r="BD41" i="106" a="1"/>
  <c r="BD41" i="106" s="1"/>
  <c r="AV41" i="106" a="1"/>
  <c r="AV41" i="106" s="1"/>
  <c r="AU41" i="106" a="1"/>
  <c r="AU41" i="106" s="1"/>
  <c r="AN41" i="106" a="1"/>
  <c r="AN41" i="106" s="1"/>
  <c r="Z41" i="106" a="1"/>
  <c r="Z41" i="106" s="1"/>
  <c r="BI17" i="106" a="1"/>
  <c r="BI17" i="106" s="1"/>
  <c r="AZ17" i="106" a="1"/>
  <c r="AZ17" i="106" s="1"/>
  <c r="AR17" i="106" a="1"/>
  <c r="AR17" i="106" s="1"/>
  <c r="AJ17" i="106" a="1"/>
  <c r="AJ17" i="106" s="1"/>
  <c r="BX17" i="106" a="1"/>
  <c r="BX17" i="106" s="1"/>
  <c r="BO17" i="106" a="1"/>
  <c r="BO17" i="106" s="1"/>
  <c r="BF17" i="106" a="1"/>
  <c r="BF17" i="106" s="1"/>
  <c r="AO17" i="106" a="1"/>
  <c r="AO17" i="106" s="1"/>
  <c r="AF17" i="106" a="1"/>
  <c r="AF17" i="106" s="1"/>
  <c r="BW17" i="106" a="1"/>
  <c r="BW17" i="106" s="1"/>
  <c r="BN17" i="106" a="1"/>
  <c r="BN17" i="106" s="1"/>
  <c r="AW17" i="106" a="1"/>
  <c r="AW17" i="106" s="1"/>
  <c r="AN17" i="106" a="1"/>
  <c r="AN17" i="106" s="1"/>
  <c r="BE17" i="106" a="1"/>
  <c r="BE17" i="106" s="1"/>
  <c r="AV17" i="106" a="1"/>
  <c r="AV17" i="106" s="1"/>
  <c r="AE17" i="106" a="1"/>
  <c r="AE17" i="106" s="1"/>
  <c r="BV17" i="106" a="1"/>
  <c r="BV17" i="106" s="1"/>
  <c r="BM17" i="106" a="1"/>
  <c r="BM17" i="106" s="1"/>
  <c r="BD17" i="106" a="1"/>
  <c r="BD17" i="106" s="1"/>
  <c r="AM17" i="106" a="1"/>
  <c r="AM17" i="106" s="1"/>
  <c r="AD17" i="106" a="1"/>
  <c r="AD17" i="106" s="1"/>
  <c r="BT17" i="106" a="1"/>
  <c r="BT17" i="106" s="1"/>
  <c r="BB17" i="106" a="1"/>
  <c r="BB17" i="106" s="1"/>
  <c r="AT17" i="106" a="1"/>
  <c r="AT17" i="106" s="1"/>
  <c r="AC17" i="106" a="1"/>
  <c r="AC17" i="106" s="1"/>
  <c r="BS17" i="106" a="1"/>
  <c r="BS17" i="106" s="1"/>
  <c r="BK17" i="106" a="1"/>
  <c r="BK17" i="106" s="1"/>
  <c r="AS17" i="106" a="1"/>
  <c r="AS17" i="106" s="1"/>
  <c r="AK17" i="106" a="1"/>
  <c r="AK17" i="106" s="1"/>
  <c r="BA17" i="106" a="1"/>
  <c r="BA17" i="106" s="1"/>
  <c r="AI17" i="106" a="1"/>
  <c r="AI17" i="106" s="1"/>
  <c r="AB17" i="106" a="1"/>
  <c r="AB17" i="106" s="1"/>
  <c r="CA17" i="106" a="1"/>
  <c r="CA17" i="106" s="1"/>
  <c r="BR17" i="106" a="1"/>
  <c r="BR17" i="106" s="1"/>
  <c r="BJ17" i="106" a="1"/>
  <c r="BJ17" i="106" s="1"/>
  <c r="AA17" i="106" a="1"/>
  <c r="AA17" i="106" s="1"/>
  <c r="BZ17" i="106" a="1"/>
  <c r="BZ17" i="106" s="1"/>
  <c r="AY17" i="106" a="1"/>
  <c r="AY17" i="106" s="1"/>
  <c r="AQ17" i="106" a="1"/>
  <c r="AQ17" i="106" s="1"/>
  <c r="AH17" i="106" a="1"/>
  <c r="AH17" i="106" s="1"/>
  <c r="BQ17" i="106" a="1"/>
  <c r="BQ17" i="106" s="1"/>
  <c r="BH17" i="106" a="1"/>
  <c r="BH17" i="106" s="1"/>
  <c r="AP17" i="106" a="1"/>
  <c r="AP17" i="106" s="1"/>
  <c r="BY17" i="106" a="1"/>
  <c r="BY17" i="106" s="1"/>
  <c r="BP17" i="106" a="1"/>
  <c r="BP17" i="106" s="1"/>
  <c r="BG17" i="106" a="1"/>
  <c r="BG17" i="106" s="1"/>
  <c r="AX17" i="106" a="1"/>
  <c r="AX17" i="106" s="1"/>
  <c r="Z17" i="106" a="1"/>
  <c r="Z17" i="106" s="1"/>
  <c r="BU17" i="106" a="1"/>
  <c r="BU17" i="106" s="1"/>
  <c r="BL17" i="106" a="1"/>
  <c r="BL17" i="106" s="1"/>
  <c r="BC17" i="106" a="1"/>
  <c r="BC17" i="106" s="1"/>
  <c r="AU17" i="106" a="1"/>
  <c r="AU17" i="106" s="1"/>
  <c r="AL17" i="106" a="1"/>
  <c r="AL17" i="106" s="1"/>
  <c r="AG17" i="106" a="1"/>
  <c r="AG17" i="106" s="1"/>
  <c r="CA5" i="106" a="1"/>
  <c r="CA5" i="106" s="1"/>
  <c r="BO5" i="106" a="1"/>
  <c r="BO5" i="106" s="1"/>
  <c r="BC5" i="106" a="1"/>
  <c r="BC5" i="106" s="1"/>
  <c r="AQ5" i="106" a="1"/>
  <c r="AQ5" i="106" s="1"/>
  <c r="AE5" i="106" a="1"/>
  <c r="AE5" i="106" s="1"/>
  <c r="Z5" i="106" a="1"/>
  <c r="Z5" i="106" s="1"/>
  <c r="BZ5" i="106" a="1"/>
  <c r="BZ5" i="106" s="1"/>
  <c r="BN5" i="106" a="1"/>
  <c r="BN5" i="106" s="1"/>
  <c r="BB5" i="106" a="1"/>
  <c r="BB5" i="106" s="1"/>
  <c r="AP5" i="106" a="1"/>
  <c r="AP5" i="106" s="1"/>
  <c r="AD5" i="106" a="1"/>
  <c r="AD5" i="106" s="1"/>
  <c r="BY5" i="106" a="1"/>
  <c r="BY5" i="106" s="1"/>
  <c r="BM5" i="106" a="1"/>
  <c r="BM5" i="106" s="1"/>
  <c r="BA5" i="106" a="1"/>
  <c r="BA5" i="106" s="1"/>
  <c r="AO5" i="106" a="1"/>
  <c r="AO5" i="106" s="1"/>
  <c r="AC5" i="106" a="1"/>
  <c r="AC5" i="106" s="1"/>
  <c r="BX5" i="106" a="1"/>
  <c r="BX5" i="106" s="1"/>
  <c r="BL5" i="106" a="1"/>
  <c r="BL5" i="106" s="1"/>
  <c r="AZ5" i="106" a="1"/>
  <c r="AZ5" i="106" s="1"/>
  <c r="AN5" i="106" a="1"/>
  <c r="AN5" i="106" s="1"/>
  <c r="AB5" i="106" a="1"/>
  <c r="AB5" i="106" s="1"/>
  <c r="BU5" i="106" a="1"/>
  <c r="BU5" i="106" s="1"/>
  <c r="AK5" i="106" a="1"/>
  <c r="AK5" i="106" s="1"/>
  <c r="BW5" i="106" a="1"/>
  <c r="BW5" i="106" s="1"/>
  <c r="BK5" i="106" a="1"/>
  <c r="BK5" i="106" s="1"/>
  <c r="AY5" i="106" a="1"/>
  <c r="AY5" i="106" s="1"/>
  <c r="AM5" i="106" a="1"/>
  <c r="AM5" i="106" s="1"/>
  <c r="AA5" i="106" a="1"/>
  <c r="AA5" i="106" s="1"/>
  <c r="BI5" i="106" a="1"/>
  <c r="BI5" i="106" s="1"/>
  <c r="BV5" i="106" a="1"/>
  <c r="BV5" i="106" s="1"/>
  <c r="BJ5" i="106" a="1"/>
  <c r="BJ5" i="106" s="1"/>
  <c r="AX5" i="106" a="1"/>
  <c r="AX5" i="106" s="1"/>
  <c r="AL5" i="106" a="1"/>
  <c r="AL5" i="106" s="1"/>
  <c r="AW5" i="106" a="1"/>
  <c r="AW5" i="106" s="1"/>
  <c r="AR5" i="106" a="1"/>
  <c r="AR5" i="106" s="1"/>
  <c r="BT5" i="106" a="1"/>
  <c r="BT5" i="106" s="1"/>
  <c r="BH5" i="106" a="1"/>
  <c r="BH5" i="106" s="1"/>
  <c r="AV5" i="106" a="1"/>
  <c r="AV5" i="106" s="1"/>
  <c r="AJ5" i="106" a="1"/>
  <c r="AJ5" i="106" s="1"/>
  <c r="AF5" i="106" a="1"/>
  <c r="AF5" i="106" s="1"/>
  <c r="BS5" i="106" a="1"/>
  <c r="BS5" i="106" s="1"/>
  <c r="BG5" i="106" a="1"/>
  <c r="BG5" i="106" s="1"/>
  <c r="AU5" i="106" a="1"/>
  <c r="AU5" i="106" s="1"/>
  <c r="AI5" i="106" a="1"/>
  <c r="AI5" i="106" s="1"/>
  <c r="BR5" i="106" a="1"/>
  <c r="BR5" i="106" s="1"/>
  <c r="BF5" i="106" a="1"/>
  <c r="BF5" i="106" s="1"/>
  <c r="AT5" i="106" a="1"/>
  <c r="AT5" i="106" s="1"/>
  <c r="AH5" i="106" a="1"/>
  <c r="AH5" i="106" s="1"/>
  <c r="BQ5" i="106" a="1"/>
  <c r="BQ5" i="106" s="1"/>
  <c r="BE5" i="106" a="1"/>
  <c r="BE5" i="106" s="1"/>
  <c r="AS5" i="106" a="1"/>
  <c r="AS5" i="106" s="1"/>
  <c r="AG5" i="106" a="1"/>
  <c r="AG5" i="106" s="1"/>
  <c r="BP5" i="106" a="1"/>
  <c r="BP5" i="106" s="1"/>
  <c r="BD5" i="106" a="1"/>
  <c r="BD5" i="106" s="1"/>
  <c r="BW8" i="106" a="1"/>
  <c r="BW8" i="106" s="1"/>
  <c r="BL8" i="106" a="1"/>
  <c r="BL8" i="106" s="1"/>
  <c r="BB8" i="106" a="1"/>
  <c r="BB8" i="106" s="1"/>
  <c r="BV8" i="106" a="1"/>
  <c r="BV8" i="106" s="1"/>
  <c r="BA8" i="106" a="1"/>
  <c r="BA8" i="106" s="1"/>
  <c r="AP8" i="106" a="1"/>
  <c r="AP8" i="106" s="1"/>
  <c r="AE8" i="106" a="1"/>
  <c r="AE8" i="106" s="1"/>
  <c r="BY8" i="106" a="1"/>
  <c r="BY8" i="106" s="1"/>
  <c r="BK8" i="106" a="1"/>
  <c r="BK8" i="106" s="1"/>
  <c r="AX8" i="106" a="1"/>
  <c r="AX8" i="106" s="1"/>
  <c r="AL8" i="106" a="1"/>
  <c r="AL8" i="106" s="1"/>
  <c r="AA8" i="106" a="1"/>
  <c r="AA8" i="106" s="1"/>
  <c r="BX8" i="106" a="1"/>
  <c r="BX8" i="106" s="1"/>
  <c r="BJ8" i="106" a="1"/>
  <c r="BJ8" i="106" s="1"/>
  <c r="AK8" i="106" a="1"/>
  <c r="AK8" i="106" s="1"/>
  <c r="BU8" i="106" a="1"/>
  <c r="BU8" i="106" s="1"/>
  <c r="BI8" i="106" a="1"/>
  <c r="BI8" i="106" s="1"/>
  <c r="AW8" i="106" a="1"/>
  <c r="AW8" i="106" s="1"/>
  <c r="AJ8" i="106" a="1"/>
  <c r="AJ8" i="106" s="1"/>
  <c r="BT8" i="106" a="1"/>
  <c r="BT8" i="106" s="1"/>
  <c r="BH8" i="106" a="1"/>
  <c r="BH8" i="106" s="1"/>
  <c r="AV8" i="106" a="1"/>
  <c r="AV8" i="106" s="1"/>
  <c r="AI8" i="106" a="1"/>
  <c r="AI8" i="106" s="1"/>
  <c r="BE8" i="106" a="1"/>
  <c r="BE8" i="106" s="1"/>
  <c r="BS8" i="106" a="1"/>
  <c r="BS8" i="106" s="1"/>
  <c r="BG8" i="106" a="1"/>
  <c r="BG8" i="106" s="1"/>
  <c r="AU8" i="106" a="1"/>
  <c r="AU8" i="106" s="1"/>
  <c r="AS8" i="106" a="1"/>
  <c r="AS8" i="106" s="1"/>
  <c r="BF8" i="106" a="1"/>
  <c r="BF8" i="106" s="1"/>
  <c r="AT8" i="106" a="1"/>
  <c r="AT8" i="106" s="1"/>
  <c r="AH8" i="106" a="1"/>
  <c r="AH8" i="106" s="1"/>
  <c r="BR8" i="106" a="1"/>
  <c r="BR8" i="106" s="1"/>
  <c r="AG8" i="106" a="1"/>
  <c r="AG8" i="106" s="1"/>
  <c r="BQ8" i="106" a="1"/>
  <c r="BQ8" i="106" s="1"/>
  <c r="AR8" i="106" a="1"/>
  <c r="AR8" i="106" s="1"/>
  <c r="AF8" i="106" a="1"/>
  <c r="AF8" i="106" s="1"/>
  <c r="BP8" i="106" a="1"/>
  <c r="BP8" i="106" s="1"/>
  <c r="BD8" i="106" a="1"/>
  <c r="BD8" i="106" s="1"/>
  <c r="AQ8" i="106" a="1"/>
  <c r="AQ8" i="106" s="1"/>
  <c r="AD8" i="106" a="1"/>
  <c r="AD8" i="106" s="1"/>
  <c r="Z8" i="106" a="1"/>
  <c r="Z8" i="106" s="1"/>
  <c r="BO8" i="106" a="1"/>
  <c r="BO8" i="106" s="1"/>
  <c r="BC8" i="106" a="1"/>
  <c r="BC8" i="106" s="1"/>
  <c r="AO8" i="106" a="1"/>
  <c r="AO8" i="106" s="1"/>
  <c r="AC8" i="106" a="1"/>
  <c r="AC8" i="106" s="1"/>
  <c r="CA8" i="106" a="1"/>
  <c r="CA8" i="106" s="1"/>
  <c r="BN8" i="106" a="1"/>
  <c r="BN8" i="106" s="1"/>
  <c r="AZ8" i="106" a="1"/>
  <c r="AZ8" i="106" s="1"/>
  <c r="AN8" i="106" a="1"/>
  <c r="AN8" i="106" s="1"/>
  <c r="AB8" i="106" a="1"/>
  <c r="AB8" i="106" s="1"/>
  <c r="BZ8" i="106" a="1"/>
  <c r="BZ8" i="106" s="1"/>
  <c r="BM8" i="106" a="1"/>
  <c r="BM8" i="106" s="1"/>
  <c r="AY8" i="106" a="1"/>
  <c r="AY8" i="106" s="1"/>
  <c r="AM8" i="106" a="1"/>
  <c r="AM8" i="106" s="1"/>
  <c r="BT64" i="106" a="1"/>
  <c r="BT64" i="106" s="1"/>
  <c r="BH64" i="106" a="1"/>
  <c r="BH64" i="106" s="1"/>
  <c r="AV64" i="106" a="1"/>
  <c r="AV64" i="106" s="1"/>
  <c r="AL64" i="106" a="1"/>
  <c r="AL64" i="106" s="1"/>
  <c r="BS64" i="106" a="1"/>
  <c r="BS64" i="106" s="1"/>
  <c r="BG64" i="106" a="1"/>
  <c r="BG64" i="106" s="1"/>
  <c r="AU64" i="106" a="1"/>
  <c r="AU64" i="106" s="1"/>
  <c r="AB64" i="106" a="1"/>
  <c r="AB64" i="106" s="1"/>
  <c r="BR64" i="106" a="1"/>
  <c r="BR64" i="106" s="1"/>
  <c r="BF64" i="106" a="1"/>
  <c r="BF64" i="106" s="1"/>
  <c r="AT64" i="106" a="1"/>
  <c r="AT64" i="106" s="1"/>
  <c r="AK64" i="106" a="1"/>
  <c r="AK64" i="106" s="1"/>
  <c r="AA64" i="106" a="1"/>
  <c r="AA64" i="106" s="1"/>
  <c r="BQ64" i="106" a="1"/>
  <c r="BQ64" i="106" s="1"/>
  <c r="BE64" i="106" a="1"/>
  <c r="BE64" i="106" s="1"/>
  <c r="AJ64" i="106" a="1"/>
  <c r="AJ64" i="106" s="1"/>
  <c r="BP64" i="106" a="1"/>
  <c r="BP64" i="106" s="1"/>
  <c r="BD64" i="106" a="1"/>
  <c r="BD64" i="106" s="1"/>
  <c r="AS64" i="106" a="1"/>
  <c r="AS64" i="106" s="1"/>
  <c r="AI64" i="106" a="1"/>
  <c r="AI64" i="106" s="1"/>
  <c r="CA64" i="106" a="1"/>
  <c r="CA64" i="106" s="1"/>
  <c r="BO64" i="106" a="1"/>
  <c r="BO64" i="106" s="1"/>
  <c r="BC64" i="106" a="1"/>
  <c r="BC64" i="106" s="1"/>
  <c r="AR64" i="106" a="1"/>
  <c r="AR64" i="106" s="1"/>
  <c r="AH64" i="106" a="1"/>
  <c r="AH64" i="106" s="1"/>
  <c r="BZ64" i="106" a="1"/>
  <c r="BZ64" i="106" s="1"/>
  <c r="BN64" i="106" a="1"/>
  <c r="BN64" i="106" s="1"/>
  <c r="BB64" i="106" a="1"/>
  <c r="BB64" i="106" s="1"/>
  <c r="AQ64" i="106" a="1"/>
  <c r="AQ64" i="106" s="1"/>
  <c r="AG64" i="106" a="1"/>
  <c r="AG64" i="106" s="1"/>
  <c r="BY64" i="106" a="1"/>
  <c r="BY64" i="106" s="1"/>
  <c r="BM64" i="106" a="1"/>
  <c r="BM64" i="106" s="1"/>
  <c r="BA64" i="106" a="1"/>
  <c r="BA64" i="106" s="1"/>
  <c r="AP64" i="106" a="1"/>
  <c r="AP64" i="106" s="1"/>
  <c r="AF64" i="106" a="1"/>
  <c r="AF64" i="106" s="1"/>
  <c r="BX64" i="106" a="1"/>
  <c r="BX64" i="106" s="1"/>
  <c r="BL64" i="106" a="1"/>
  <c r="BL64" i="106" s="1"/>
  <c r="AZ64" i="106" a="1"/>
  <c r="AZ64" i="106" s="1"/>
  <c r="AO64" i="106" a="1"/>
  <c r="AO64" i="106" s="1"/>
  <c r="BW64" i="106" a="1"/>
  <c r="BW64" i="106" s="1"/>
  <c r="BK64" i="106" a="1"/>
  <c r="BK64" i="106" s="1"/>
  <c r="AY64" i="106" a="1"/>
  <c r="AY64" i="106" s="1"/>
  <c r="AN64" i="106" a="1"/>
  <c r="AN64" i="106" s="1"/>
  <c r="AE64" i="106" a="1"/>
  <c r="AE64" i="106" s="1"/>
  <c r="BV64" i="106" a="1"/>
  <c r="BV64" i="106" s="1"/>
  <c r="BJ64" i="106" a="1"/>
  <c r="BJ64" i="106" s="1"/>
  <c r="AX64" i="106" a="1"/>
  <c r="AX64" i="106" s="1"/>
  <c r="AD64" i="106" a="1"/>
  <c r="AD64" i="106" s="1"/>
  <c r="BU64" i="106" a="1"/>
  <c r="BU64" i="106" s="1"/>
  <c r="BI64" i="106" a="1"/>
  <c r="BI64" i="106" s="1"/>
  <c r="AW64" i="106" a="1"/>
  <c r="AW64" i="106" s="1"/>
  <c r="AM64" i="106" a="1"/>
  <c r="AM64" i="106" s="1"/>
  <c r="AC64" i="106" a="1"/>
  <c r="AC64" i="106" s="1"/>
  <c r="Z64" i="106" a="1"/>
  <c r="Z64" i="106" s="1"/>
  <c r="CA52" i="106" a="1"/>
  <c r="CA52" i="106" s="1"/>
  <c r="BT52" i="106" a="1"/>
  <c r="BT52" i="106" s="1"/>
  <c r="BC52" i="106" a="1"/>
  <c r="BC52" i="106" s="1"/>
  <c r="AU52" i="106" a="1"/>
  <c r="AU52" i="106" s="1"/>
  <c r="AC52" i="106" a="1"/>
  <c r="AC52" i="106" s="1"/>
  <c r="BS52" i="106" a="1"/>
  <c r="BS52" i="106" s="1"/>
  <c r="BJ52" i="106" a="1"/>
  <c r="BJ52" i="106" s="1"/>
  <c r="BY52" i="106" a="1"/>
  <c r="BY52" i="106" s="1"/>
  <c r="BQ52" i="106" a="1"/>
  <c r="BQ52" i="106" s="1"/>
  <c r="BI52" i="106" a="1"/>
  <c r="BI52" i="106" s="1"/>
  <c r="AZ52" i="106" a="1"/>
  <c r="AZ52" i="106" s="1"/>
  <c r="AR52" i="106" a="1"/>
  <c r="AR52" i="106" s="1"/>
  <c r="AJ52" i="106" a="1"/>
  <c r="AJ52" i="106" s="1"/>
  <c r="AA52" i="106" a="1"/>
  <c r="AA52" i="106" s="1"/>
  <c r="BX52" i="106" a="1"/>
  <c r="BX52" i="106" s="1"/>
  <c r="AY52" i="106" a="1"/>
  <c r="AY52" i="106" s="1"/>
  <c r="AQ52" i="106" a="1"/>
  <c r="AQ52" i="106" s="1"/>
  <c r="BP52" i="106" a="1"/>
  <c r="BP52" i="106" s="1"/>
  <c r="BH52" i="106" a="1"/>
  <c r="BH52" i="106" s="1"/>
  <c r="AI52" i="106" a="1"/>
  <c r="AI52" i="106" s="1"/>
  <c r="BN52" i="106" a="1"/>
  <c r="BN52" i="106" s="1"/>
  <c r="BG52" i="106" a="1"/>
  <c r="BG52" i="106" s="1"/>
  <c r="BL52" i="106" a="1"/>
  <c r="BL52" i="106" s="1"/>
  <c r="BV52" i="106" a="1"/>
  <c r="BV52" i="106" s="1"/>
  <c r="BD52" i="106" a="1"/>
  <c r="BD52" i="106" s="1"/>
  <c r="AP52" i="106" a="1"/>
  <c r="AP52" i="106" s="1"/>
  <c r="AD52" i="106" a="1"/>
  <c r="AD52" i="106" s="1"/>
  <c r="BU52" i="106" a="1"/>
  <c r="BU52" i="106" s="1"/>
  <c r="AO52" i="106" a="1"/>
  <c r="AO52" i="106" s="1"/>
  <c r="BB52" i="106" a="1"/>
  <c r="BB52" i="106" s="1"/>
  <c r="AN52" i="106" a="1"/>
  <c r="AN52" i="106" s="1"/>
  <c r="AB52" i="106" a="1"/>
  <c r="AB52" i="106" s="1"/>
  <c r="BR52" i="106" a="1"/>
  <c r="BR52" i="106" s="1"/>
  <c r="BA52" i="106" a="1"/>
  <c r="BA52" i="106" s="1"/>
  <c r="BO52" i="106" a="1"/>
  <c r="BO52" i="106" s="1"/>
  <c r="AX52" i="106" a="1"/>
  <c r="AX52" i="106" s="1"/>
  <c r="AM52" i="106" a="1"/>
  <c r="AM52" i="106" s="1"/>
  <c r="BM52" i="106" a="1"/>
  <c r="BM52" i="106" s="1"/>
  <c r="AL52" i="106" a="1"/>
  <c r="AL52" i="106" s="1"/>
  <c r="AW52" i="106" a="1"/>
  <c r="AW52" i="106" s="1"/>
  <c r="AK52" i="106" a="1"/>
  <c r="AK52" i="106" s="1"/>
  <c r="BK52" i="106" a="1"/>
  <c r="BK52" i="106" s="1"/>
  <c r="AV52" i="106" a="1"/>
  <c r="AV52" i="106" s="1"/>
  <c r="AH52" i="106" a="1"/>
  <c r="AH52" i="106" s="1"/>
  <c r="AG52" i="106" a="1"/>
  <c r="AG52" i="106" s="1"/>
  <c r="BZ52" i="106" a="1"/>
  <c r="BZ52" i="106" s="1"/>
  <c r="BF52" i="106" a="1"/>
  <c r="BF52" i="106" s="1"/>
  <c r="AT52" i="106" a="1"/>
  <c r="AT52" i="106" s="1"/>
  <c r="AF52" i="106" a="1"/>
  <c r="AF52" i="106" s="1"/>
  <c r="BW52" i="106" a="1"/>
  <c r="BW52" i="106" s="1"/>
  <c r="BE52" i="106" a="1"/>
  <c r="BE52" i="106" s="1"/>
  <c r="AS52" i="106" a="1"/>
  <c r="AS52" i="106" s="1"/>
  <c r="AE52" i="106" a="1"/>
  <c r="AE52" i="106" s="1"/>
  <c r="Z52" i="106" a="1"/>
  <c r="Z52" i="106" s="1"/>
  <c r="BU40" i="106" a="1"/>
  <c r="BU40" i="106" s="1"/>
  <c r="BM40" i="106" a="1"/>
  <c r="BM40" i="106" s="1"/>
  <c r="AW40" i="106" a="1"/>
  <c r="AW40" i="106" s="1"/>
  <c r="AG40" i="106" a="1"/>
  <c r="AG40" i="106" s="1"/>
  <c r="BS40" i="106" a="1"/>
  <c r="BS40" i="106" s="1"/>
  <c r="BK40" i="106" a="1"/>
  <c r="BK40" i="106" s="1"/>
  <c r="AV40" i="106" a="1"/>
  <c r="AV40" i="106" s="1"/>
  <c r="AN40" i="106" a="1"/>
  <c r="AN40" i="106" s="1"/>
  <c r="CA40" i="106" a="1"/>
  <c r="CA40" i="106" s="1"/>
  <c r="BR40" i="106" a="1"/>
  <c r="BR40" i="106" s="1"/>
  <c r="BC40" i="106" a="1"/>
  <c r="BC40" i="106" s="1"/>
  <c r="AU40" i="106" a="1"/>
  <c r="AU40" i="106" s="1"/>
  <c r="AM40" i="106" a="1"/>
  <c r="AM40" i="106" s="1"/>
  <c r="AE40" i="106" a="1"/>
  <c r="AE40" i="106" s="1"/>
  <c r="BZ40" i="106" a="1"/>
  <c r="BZ40" i="106" s="1"/>
  <c r="BJ40" i="106" a="1"/>
  <c r="BJ40" i="106" s="1"/>
  <c r="AT40" i="106" a="1"/>
  <c r="AT40" i="106" s="1"/>
  <c r="AL40" i="106" a="1"/>
  <c r="AL40" i="106" s="1"/>
  <c r="BQ40" i="106" a="1"/>
  <c r="BQ40" i="106" s="1"/>
  <c r="BB40" i="106" a="1"/>
  <c r="BB40" i="106" s="1"/>
  <c r="AS40" i="106" a="1"/>
  <c r="AS40" i="106" s="1"/>
  <c r="AK40" i="106" a="1"/>
  <c r="AK40" i="106" s="1"/>
  <c r="AD40" i="106" a="1"/>
  <c r="AD40" i="106" s="1"/>
  <c r="BY40" i="106" a="1"/>
  <c r="BY40" i="106" s="1"/>
  <c r="BI40" i="106" a="1"/>
  <c r="BI40" i="106" s="1"/>
  <c r="BX40" i="106" a="1"/>
  <c r="BX40" i="106" s="1"/>
  <c r="BP40" i="106" a="1"/>
  <c r="BP40" i="106" s="1"/>
  <c r="BH40" i="106" a="1"/>
  <c r="BH40" i="106" s="1"/>
  <c r="BA40" i="106" a="1"/>
  <c r="BA40" i="106" s="1"/>
  <c r="AR40" i="106" a="1"/>
  <c r="AR40" i="106" s="1"/>
  <c r="AJ40" i="106" a="1"/>
  <c r="AJ40" i="106" s="1"/>
  <c r="AC40" i="106" a="1"/>
  <c r="AC40" i="106" s="1"/>
  <c r="BG40" i="106" a="1"/>
  <c r="BG40" i="106" s="1"/>
  <c r="AZ40" i="106" a="1"/>
  <c r="AZ40" i="106" s="1"/>
  <c r="AB40" i="106" a="1"/>
  <c r="AB40" i="106" s="1"/>
  <c r="BW40" i="106" a="1"/>
  <c r="BW40" i="106" s="1"/>
  <c r="BO40" i="106" a="1"/>
  <c r="BO40" i="106" s="1"/>
  <c r="BF40" i="106" a="1"/>
  <c r="BF40" i="106" s="1"/>
  <c r="AY40" i="106" a="1"/>
  <c r="AY40" i="106" s="1"/>
  <c r="AQ40" i="106" a="1"/>
  <c r="AQ40" i="106" s="1"/>
  <c r="AI40" i="106" a="1"/>
  <c r="AI40" i="106" s="1"/>
  <c r="AA40" i="106" a="1"/>
  <c r="AA40" i="106" s="1"/>
  <c r="BE40" i="106" a="1"/>
  <c r="BE40" i="106" s="1"/>
  <c r="BD40" i="106" a="1"/>
  <c r="BD40" i="106" s="1"/>
  <c r="AX40" i="106" a="1"/>
  <c r="AX40" i="106" s="1"/>
  <c r="BV40" i="106" a="1"/>
  <c r="BV40" i="106" s="1"/>
  <c r="AP40" i="106" a="1"/>
  <c r="AP40" i="106" s="1"/>
  <c r="BT40" i="106" a="1"/>
  <c r="BT40" i="106" s="1"/>
  <c r="AO40" i="106" a="1"/>
  <c r="AO40" i="106" s="1"/>
  <c r="AH40" i="106" a="1"/>
  <c r="AH40" i="106" s="1"/>
  <c r="BN40" i="106" a="1"/>
  <c r="BN40" i="106" s="1"/>
  <c r="BL40" i="106" a="1"/>
  <c r="BL40" i="106" s="1"/>
  <c r="AF40" i="106" a="1"/>
  <c r="AF40" i="106" s="1"/>
  <c r="Z40" i="106" a="1"/>
  <c r="Z40" i="106" s="1"/>
  <c r="BH28" i="106" a="1"/>
  <c r="BH28" i="106" s="1"/>
  <c r="AS28" i="106" a="1"/>
  <c r="AS28" i="106" s="1"/>
  <c r="AJ28" i="106" a="1"/>
  <c r="AJ28" i="106" s="1"/>
  <c r="AA28" i="106" a="1"/>
  <c r="AA28" i="106" s="1"/>
  <c r="BX28" i="106" a="1"/>
  <c r="BX28" i="106" s="1"/>
  <c r="BO28" i="106" a="1"/>
  <c r="BO28" i="106" s="1"/>
  <c r="AZ28" i="106" a="1"/>
  <c r="AZ28" i="106" s="1"/>
  <c r="AR28" i="106" a="1"/>
  <c r="AR28" i="106" s="1"/>
  <c r="BG28" i="106" a="1"/>
  <c r="BG28" i="106" s="1"/>
  <c r="AI28" i="106" a="1"/>
  <c r="AI28" i="106" s="1"/>
  <c r="BV28" i="106" a="1"/>
  <c r="BV28" i="106" s="1"/>
  <c r="BM28" i="106" a="1"/>
  <c r="BM28" i="106" s="1"/>
  <c r="AX28" i="106" a="1"/>
  <c r="AX28" i="106" s="1"/>
  <c r="AG28" i="106" a="1"/>
  <c r="AG28" i="106" s="1"/>
  <c r="BT28" i="106" a="1"/>
  <c r="BT28" i="106" s="1"/>
  <c r="BL28" i="106" a="1"/>
  <c r="BL28" i="106" s="1"/>
  <c r="BD28" i="106" a="1"/>
  <c r="BD28" i="106" s="1"/>
  <c r="AW28" i="106" a="1"/>
  <c r="AW28" i="106" s="1"/>
  <c r="AO28" i="106" a="1"/>
  <c r="AO28" i="106" s="1"/>
  <c r="BS28" i="106" a="1"/>
  <c r="BS28" i="106" s="1"/>
  <c r="AN28" i="106" a="1"/>
  <c r="AN28" i="106" s="1"/>
  <c r="AE28" i="106" a="1"/>
  <c r="AE28" i="106" s="1"/>
  <c r="BR28" i="106" a="1"/>
  <c r="BR28" i="106" s="1"/>
  <c r="BC28" i="106" a="1"/>
  <c r="BC28" i="106" s="1"/>
  <c r="AM28" i="106" a="1"/>
  <c r="AM28" i="106" s="1"/>
  <c r="AL28" i="106" a="1"/>
  <c r="AL28" i="106" s="1"/>
  <c r="BQ28" i="106" a="1"/>
  <c r="BQ28" i="106" s="1"/>
  <c r="BB28" i="106" a="1"/>
  <c r="BB28" i="106" s="1"/>
  <c r="AK28" i="106" a="1"/>
  <c r="AK28" i="106" s="1"/>
  <c r="BP28" i="106" a="1"/>
  <c r="BP28" i="106" s="1"/>
  <c r="BA28" i="106" a="1"/>
  <c r="BA28" i="106" s="1"/>
  <c r="BN28" i="106" a="1"/>
  <c r="BN28" i="106" s="1"/>
  <c r="AY28" i="106" a="1"/>
  <c r="AY28" i="106" s="1"/>
  <c r="AH28" i="106" a="1"/>
  <c r="AH28" i="106" s="1"/>
  <c r="AF28" i="106" a="1"/>
  <c r="AF28" i="106" s="1"/>
  <c r="CA28" i="106" a="1"/>
  <c r="CA28" i="106" s="1"/>
  <c r="BK28" i="106" a="1"/>
  <c r="BK28" i="106" s="1"/>
  <c r="AV28" i="106" a="1"/>
  <c r="AV28" i="106" s="1"/>
  <c r="AD28" i="106" a="1"/>
  <c r="AD28" i="106" s="1"/>
  <c r="BZ28" i="106" a="1"/>
  <c r="BZ28" i="106" s="1"/>
  <c r="BJ28" i="106" a="1"/>
  <c r="BJ28" i="106" s="1"/>
  <c r="AU28" i="106" a="1"/>
  <c r="AU28" i="106" s="1"/>
  <c r="AT28" i="106" a="1"/>
  <c r="AT28" i="106" s="1"/>
  <c r="AC28" i="106" a="1"/>
  <c r="AC28" i="106" s="1"/>
  <c r="BY28" i="106" a="1"/>
  <c r="BY28" i="106" s="1"/>
  <c r="BI28" i="106" a="1"/>
  <c r="BI28" i="106" s="1"/>
  <c r="AB28" i="106" a="1"/>
  <c r="AB28" i="106" s="1"/>
  <c r="BW28" i="106" a="1"/>
  <c r="BW28" i="106" s="1"/>
  <c r="BF28" i="106" a="1"/>
  <c r="BF28" i="106" s="1"/>
  <c r="AQ28" i="106" a="1"/>
  <c r="AQ28" i="106" s="1"/>
  <c r="BU28" i="106" a="1"/>
  <c r="BU28" i="106" s="1"/>
  <c r="BE28" i="106" a="1"/>
  <c r="BE28" i="106" s="1"/>
  <c r="AP28" i="106" a="1"/>
  <c r="AP28" i="106" s="1"/>
  <c r="Z28" i="106" a="1"/>
  <c r="Z28" i="106" s="1"/>
  <c r="BP16" i="106" a="1"/>
  <c r="BP16" i="106" s="1"/>
  <c r="BH16" i="106" a="1"/>
  <c r="BH16" i="106" s="1"/>
  <c r="AS16" i="106" a="1"/>
  <c r="AS16" i="106" s="1"/>
  <c r="AK16" i="106" a="1"/>
  <c r="AK16" i="106" s="1"/>
  <c r="AD16" i="106" a="1"/>
  <c r="AD16" i="106" s="1"/>
  <c r="BW16" i="106" a="1"/>
  <c r="BW16" i="106" s="1"/>
  <c r="BG16" i="106" a="1"/>
  <c r="BG16" i="106" s="1"/>
  <c r="AZ16" i="106" a="1"/>
  <c r="AZ16" i="106" s="1"/>
  <c r="AC16" i="106" a="1"/>
  <c r="AC16" i="106" s="1"/>
  <c r="BO16" i="106" a="1"/>
  <c r="BO16" i="106" s="1"/>
  <c r="AY16" i="106" a="1"/>
  <c r="AY16" i="106" s="1"/>
  <c r="AR16" i="106" a="1"/>
  <c r="AR16" i="106" s="1"/>
  <c r="AJ16" i="106" a="1"/>
  <c r="AJ16" i="106" s="1"/>
  <c r="BV16" i="106" a="1"/>
  <c r="BV16" i="106" s="1"/>
  <c r="BN16" i="106" a="1"/>
  <c r="BN16" i="106" s="1"/>
  <c r="BF16" i="106" a="1"/>
  <c r="BF16" i="106" s="1"/>
  <c r="AI16" i="106" a="1"/>
  <c r="AI16" i="106" s="1"/>
  <c r="AB16" i="106" a="1"/>
  <c r="AB16" i="106" s="1"/>
  <c r="BL16" i="106" a="1"/>
  <c r="BL16" i="106" s="1"/>
  <c r="BE16" i="106" a="1"/>
  <c r="BE16" i="106" s="1"/>
  <c r="AP16" i="106" a="1"/>
  <c r="AP16" i="106" s="1"/>
  <c r="AH16" i="106" a="1"/>
  <c r="AH16" i="106" s="1"/>
  <c r="CA16" i="106" a="1"/>
  <c r="CA16" i="106" s="1"/>
  <c r="BT16" i="106" a="1"/>
  <c r="BT16" i="106" s="1"/>
  <c r="AW16" i="106" a="1"/>
  <c r="AW16" i="106" s="1"/>
  <c r="AO16" i="106" a="1"/>
  <c r="AO16" i="106" s="1"/>
  <c r="AG16" i="106" a="1"/>
  <c r="AG16" i="106" s="1"/>
  <c r="BS16" i="106" a="1"/>
  <c r="BS16" i="106" s="1"/>
  <c r="BK16" i="106" a="1"/>
  <c r="BK16" i="106" s="1"/>
  <c r="BD16" i="106" a="1"/>
  <c r="BD16" i="106" s="1"/>
  <c r="AN16" i="106" a="1"/>
  <c r="AN16" i="106" s="1"/>
  <c r="BZ16" i="106" a="1"/>
  <c r="BZ16" i="106" s="1"/>
  <c r="BC16" i="106" a="1"/>
  <c r="BC16" i="106" s="1"/>
  <c r="AV16" i="106" a="1"/>
  <c r="AV16" i="106" s="1"/>
  <c r="AF16" i="106" a="1"/>
  <c r="AF16" i="106" s="1"/>
  <c r="BY16" i="106" a="1"/>
  <c r="BY16" i="106" s="1"/>
  <c r="BR16" i="106" a="1"/>
  <c r="BR16" i="106" s="1"/>
  <c r="BJ16" i="106" a="1"/>
  <c r="BJ16" i="106" s="1"/>
  <c r="AU16" i="106" a="1"/>
  <c r="AU16" i="106" s="1"/>
  <c r="AM16" i="106" a="1"/>
  <c r="AM16" i="106" s="1"/>
  <c r="BX16" i="106" a="1"/>
  <c r="BX16" i="106" s="1"/>
  <c r="BQ16" i="106" a="1"/>
  <c r="BQ16" i="106" s="1"/>
  <c r="BI16" i="106" a="1"/>
  <c r="BI16" i="106" s="1"/>
  <c r="BA16" i="106" a="1"/>
  <c r="BA16" i="106" s="1"/>
  <c r="AQ16" i="106" a="1"/>
  <c r="AQ16" i="106" s="1"/>
  <c r="AL16" i="106" a="1"/>
  <c r="AL16" i="106" s="1"/>
  <c r="Z16" i="106" a="1"/>
  <c r="Z16" i="106" s="1"/>
  <c r="AE16" i="106" a="1"/>
  <c r="AE16" i="106" s="1"/>
  <c r="BU16" i="106" a="1"/>
  <c r="BU16" i="106" s="1"/>
  <c r="AA16" i="106" a="1"/>
  <c r="AA16" i="106" s="1"/>
  <c r="BM16" i="106" a="1"/>
  <c r="BM16" i="106" s="1"/>
  <c r="BB16" i="106" a="1"/>
  <c r="BB16" i="106" s="1"/>
  <c r="AX16" i="106" a="1"/>
  <c r="AX16" i="106" s="1"/>
  <c r="AT16" i="106" a="1"/>
  <c r="AT16" i="106" s="1"/>
  <c r="BQ53" i="106" a="1"/>
  <c r="BQ53" i="106" s="1"/>
  <c r="BI53" i="106" a="1"/>
  <c r="BI53" i="106" s="1"/>
  <c r="BX53" i="106" a="1"/>
  <c r="BX53" i="106" s="1"/>
  <c r="AZ53" i="106" a="1"/>
  <c r="AZ53" i="106" s="1"/>
  <c r="AR53" i="106" a="1"/>
  <c r="AR53" i="106" s="1"/>
  <c r="AB53" i="106" a="1"/>
  <c r="AB53" i="106" s="1"/>
  <c r="BP53" i="106" a="1"/>
  <c r="BP53" i="106" s="1"/>
  <c r="BH53" i="106" a="1"/>
  <c r="BH53" i="106" s="1"/>
  <c r="AY53" i="106" a="1"/>
  <c r="AY53" i="106" s="1"/>
  <c r="AQ53" i="106" a="1"/>
  <c r="AQ53" i="106" s="1"/>
  <c r="AJ53" i="106" a="1"/>
  <c r="AJ53" i="106" s="1"/>
  <c r="BW53" i="106" a="1"/>
  <c r="BW53" i="106" s="1"/>
  <c r="BO53" i="106" a="1"/>
  <c r="BO53" i="106" s="1"/>
  <c r="BG53" i="106" a="1"/>
  <c r="BG53" i="106" s="1"/>
  <c r="BV53" i="106" a="1"/>
  <c r="BV53" i="106" s="1"/>
  <c r="BN53" i="106" a="1"/>
  <c r="BN53" i="106" s="1"/>
  <c r="AX53" i="106" a="1"/>
  <c r="AX53" i="106" s="1"/>
  <c r="AP53" i="106" a="1"/>
  <c r="AP53" i="106" s="1"/>
  <c r="BM53" i="106" a="1"/>
  <c r="BM53" i="106" s="1"/>
  <c r="BF53" i="106" a="1"/>
  <c r="BF53" i="106" s="1"/>
  <c r="AO53" i="106" a="1"/>
  <c r="AO53" i="106" s="1"/>
  <c r="AH53" i="106" a="1"/>
  <c r="AH53" i="106" s="1"/>
  <c r="BU53" i="106" a="1"/>
  <c r="BU53" i="106" s="1"/>
  <c r="BE53" i="106" a="1"/>
  <c r="BE53" i="106" s="1"/>
  <c r="AW53" i="106" a="1"/>
  <c r="AW53" i="106" s="1"/>
  <c r="AG53" i="106" a="1"/>
  <c r="AG53" i="106" s="1"/>
  <c r="BL53" i="106" a="1"/>
  <c r="BL53" i="106" s="1"/>
  <c r="BD53" i="106" a="1"/>
  <c r="BD53" i="106" s="1"/>
  <c r="AV53" i="106" a="1"/>
  <c r="AV53" i="106" s="1"/>
  <c r="AN53" i="106" a="1"/>
  <c r="AN53" i="106" s="1"/>
  <c r="CA53" i="106" a="1"/>
  <c r="CA53" i="106" s="1"/>
  <c r="BT53" i="106" a="1"/>
  <c r="BT53" i="106" s="1"/>
  <c r="AU53" i="106" a="1"/>
  <c r="AU53" i="106" s="1"/>
  <c r="AF53" i="106" a="1"/>
  <c r="AF53" i="106" s="1"/>
  <c r="BS53" i="106" a="1"/>
  <c r="BS53" i="106" s="1"/>
  <c r="BK53" i="106" a="1"/>
  <c r="BK53" i="106" s="1"/>
  <c r="BC53" i="106" a="1"/>
  <c r="BC53" i="106" s="1"/>
  <c r="AM53" i="106" a="1"/>
  <c r="AM53" i="106" s="1"/>
  <c r="AE53" i="106" a="1"/>
  <c r="AE53" i="106" s="1"/>
  <c r="BZ53" i="106" a="1"/>
  <c r="BZ53" i="106" s="1"/>
  <c r="BB53" i="106" a="1"/>
  <c r="BB53" i="106" s="1"/>
  <c r="AT53" i="106" a="1"/>
  <c r="AT53" i="106" s="1"/>
  <c r="AL53" i="106" a="1"/>
  <c r="AL53" i="106" s="1"/>
  <c r="AD53" i="106" a="1"/>
  <c r="AD53" i="106" s="1"/>
  <c r="AK53" i="106" a="1"/>
  <c r="AK53" i="106" s="1"/>
  <c r="AI53" i="106" a="1"/>
  <c r="AI53" i="106" s="1"/>
  <c r="BY53" i="106" a="1"/>
  <c r="BY53" i="106" s="1"/>
  <c r="BR53" i="106" a="1"/>
  <c r="BR53" i="106" s="1"/>
  <c r="AC53" i="106" a="1"/>
  <c r="AC53" i="106" s="1"/>
  <c r="BJ53" i="106" a="1"/>
  <c r="BJ53" i="106" s="1"/>
  <c r="BA53" i="106" a="1"/>
  <c r="BA53" i="106" s="1"/>
  <c r="AA53" i="106" a="1"/>
  <c r="AA53" i="106" s="1"/>
  <c r="AS53" i="106" a="1"/>
  <c r="AS53" i="106" s="1"/>
  <c r="Z53" i="106" a="1"/>
  <c r="Z53" i="106" s="1"/>
  <c r="BZ27" i="106" a="1"/>
  <c r="BZ27" i="106" s="1"/>
  <c r="BS27" i="106" a="1"/>
  <c r="BS27" i="106" s="1"/>
  <c r="AZ27" i="106" a="1"/>
  <c r="AZ27" i="106" s="1"/>
  <c r="AH27" i="106" a="1"/>
  <c r="AH27" i="106" s="1"/>
  <c r="BJ27" i="106" a="1"/>
  <c r="BJ27" i="106" s="1"/>
  <c r="AY27" i="106" a="1"/>
  <c r="AY27" i="106" s="1"/>
  <c r="AP27" i="106" a="1"/>
  <c r="AP27" i="106" s="1"/>
  <c r="BY27" i="106" a="1"/>
  <c r="BY27" i="106" s="1"/>
  <c r="BR27" i="106" a="1"/>
  <c r="BR27" i="106" s="1"/>
  <c r="BI27" i="106" a="1"/>
  <c r="BI27" i="106" s="1"/>
  <c r="AX27" i="106" a="1"/>
  <c r="AX27" i="106" s="1"/>
  <c r="AO27" i="106" a="1"/>
  <c r="AO27" i="106" s="1"/>
  <c r="AG27" i="106" a="1"/>
  <c r="AG27" i="106" s="1"/>
  <c r="BX27" i="106" a="1"/>
  <c r="BX27" i="106" s="1"/>
  <c r="BQ27" i="106" a="1"/>
  <c r="BQ27" i="106" s="1"/>
  <c r="BG27" i="106" a="1"/>
  <c r="BG27" i="106" s="1"/>
  <c r="AN27" i="106" a="1"/>
  <c r="AN27" i="106" s="1"/>
  <c r="AE27" i="106" a="1"/>
  <c r="AE27" i="106" s="1"/>
  <c r="BW27" i="106" a="1"/>
  <c r="BW27" i="106" s="1"/>
  <c r="BP27" i="106" a="1"/>
  <c r="BP27" i="106" s="1"/>
  <c r="BV27" i="106" a="1"/>
  <c r="BV27" i="106" s="1"/>
  <c r="BO27" i="106" a="1"/>
  <c r="BO27" i="106" s="1"/>
  <c r="BD27" i="106" a="1"/>
  <c r="BD27" i="106" s="1"/>
  <c r="AK27" i="106" a="1"/>
  <c r="AK27" i="106" s="1"/>
  <c r="BN27" i="106" a="1"/>
  <c r="BN27" i="106" s="1"/>
  <c r="AV27" i="106" a="1"/>
  <c r="AV27" i="106" s="1"/>
  <c r="AI27" i="106" a="1"/>
  <c r="AI27" i="106" s="1"/>
  <c r="BM27" i="106" a="1"/>
  <c r="BM27" i="106" s="1"/>
  <c r="AU27" i="106" a="1"/>
  <c r="AU27" i="106" s="1"/>
  <c r="AF27" i="106" a="1"/>
  <c r="AF27" i="106" s="1"/>
  <c r="CA27" i="106" a="1"/>
  <c r="CA27" i="106" s="1"/>
  <c r="BL27" i="106" a="1"/>
  <c r="BL27" i="106" s="1"/>
  <c r="AT27" i="106" a="1"/>
  <c r="AT27" i="106" s="1"/>
  <c r="BK27" i="106" a="1"/>
  <c r="BK27" i="106" s="1"/>
  <c r="AS27" i="106" a="1"/>
  <c r="AS27" i="106" s="1"/>
  <c r="AD27" i="106" a="1"/>
  <c r="AD27" i="106" s="1"/>
  <c r="BH27" i="106" a="1"/>
  <c r="BH27" i="106" s="1"/>
  <c r="AR27" i="106" a="1"/>
  <c r="AR27" i="106" s="1"/>
  <c r="AC27" i="106" a="1"/>
  <c r="AC27" i="106" s="1"/>
  <c r="BF27" i="106" a="1"/>
  <c r="BF27" i="106" s="1"/>
  <c r="AQ27" i="106" a="1"/>
  <c r="AQ27" i="106" s="1"/>
  <c r="AB27" i="106" a="1"/>
  <c r="AB27" i="106" s="1"/>
  <c r="BU27" i="106" a="1"/>
  <c r="BU27" i="106" s="1"/>
  <c r="BE27" i="106" a="1"/>
  <c r="BE27" i="106" s="1"/>
  <c r="AA27" i="106" a="1"/>
  <c r="AA27" i="106" s="1"/>
  <c r="BC27" i="106" a="1"/>
  <c r="BC27" i="106" s="1"/>
  <c r="AM27" i="106" a="1"/>
  <c r="AM27" i="106" s="1"/>
  <c r="BT27" i="106" a="1"/>
  <c r="BT27" i="106" s="1"/>
  <c r="BB27" i="106" a="1"/>
  <c r="BB27" i="106" s="1"/>
  <c r="AL27" i="106" a="1"/>
  <c r="AL27" i="106" s="1"/>
  <c r="BA27" i="106" a="1"/>
  <c r="BA27" i="106" s="1"/>
  <c r="AJ27" i="106" a="1"/>
  <c r="AJ27" i="106" s="1"/>
  <c r="AW27" i="106" a="1"/>
  <c r="AW27" i="106" s="1"/>
  <c r="Z27" i="106" a="1"/>
  <c r="Z27" i="106" s="1"/>
  <c r="BU15" i="106" a="1"/>
  <c r="BU15" i="106" s="1"/>
  <c r="BM15" i="106" a="1"/>
  <c r="BM15" i="106" s="1"/>
  <c r="AP15" i="106" a="1"/>
  <c r="AP15" i="106" s="1"/>
  <c r="AI15" i="106" a="1"/>
  <c r="AI15" i="106" s="1"/>
  <c r="BL15" i="106" a="1"/>
  <c r="BL15" i="106" s="1"/>
  <c r="BE15" i="106" a="1"/>
  <c r="BE15" i="106" s="1"/>
  <c r="AW15" i="106" a="1"/>
  <c r="AW15" i="106" s="1"/>
  <c r="AH15" i="106" a="1"/>
  <c r="AH15" i="106" s="1"/>
  <c r="CA15" i="106" a="1"/>
  <c r="CA15" i="106" s="1"/>
  <c r="BT15" i="106" a="1"/>
  <c r="BT15" i="106" s="1"/>
  <c r="AO15" i="106" a="1"/>
  <c r="AO15" i="106" s="1"/>
  <c r="AG15" i="106" a="1"/>
  <c r="AG15" i="106" s="1"/>
  <c r="BS15" i="106" a="1"/>
  <c r="BS15" i="106" s="1"/>
  <c r="BK15" i="106" a="1"/>
  <c r="BK15" i="106" s="1"/>
  <c r="BD15" i="106" a="1"/>
  <c r="BD15" i="106" s="1"/>
  <c r="AV15" i="106" a="1"/>
  <c r="AV15" i="106" s="1"/>
  <c r="AN15" i="106" a="1"/>
  <c r="AN15" i="106" s="1"/>
  <c r="BJ15" i="106" a="1"/>
  <c r="BJ15" i="106" s="1"/>
  <c r="AT15" i="106" a="1"/>
  <c r="AT15" i="106" s="1"/>
  <c r="AM15" i="106" a="1"/>
  <c r="AM15" i="106" s="1"/>
  <c r="BY15" i="106" a="1"/>
  <c r="BY15" i="106" s="1"/>
  <c r="BQ15" i="106" a="1"/>
  <c r="BQ15" i="106" s="1"/>
  <c r="BB15" i="106" a="1"/>
  <c r="BB15" i="106" s="1"/>
  <c r="AL15" i="106" a="1"/>
  <c r="AL15" i="106" s="1"/>
  <c r="AE15" i="106" a="1"/>
  <c r="AE15" i="106" s="1"/>
  <c r="BX15" i="106" a="1"/>
  <c r="BX15" i="106" s="1"/>
  <c r="BP15" i="106" a="1"/>
  <c r="BP15" i="106" s="1"/>
  <c r="BI15" i="106" a="1"/>
  <c r="BI15" i="106" s="1"/>
  <c r="BA15" i="106" a="1"/>
  <c r="BA15" i="106" s="1"/>
  <c r="AS15" i="106" a="1"/>
  <c r="AS15" i="106" s="1"/>
  <c r="BH15" i="106" a="1"/>
  <c r="BH15" i="106" s="1"/>
  <c r="AZ15" i="106" a="1"/>
  <c r="AZ15" i="106" s="1"/>
  <c r="AK15" i="106" a="1"/>
  <c r="AK15" i="106" s="1"/>
  <c r="AD15" i="106" a="1"/>
  <c r="AD15" i="106" s="1"/>
  <c r="BW15" i="106" a="1"/>
  <c r="BW15" i="106" s="1"/>
  <c r="BO15" i="106" a="1"/>
  <c r="BO15" i="106" s="1"/>
  <c r="AY15" i="106" a="1"/>
  <c r="AY15" i="106" s="1"/>
  <c r="AR15" i="106" a="1"/>
  <c r="AR15" i="106" s="1"/>
  <c r="AC15" i="106" a="1"/>
  <c r="AC15" i="106" s="1"/>
  <c r="BV15" i="106" a="1"/>
  <c r="BV15" i="106" s="1"/>
  <c r="BF15" i="106" a="1"/>
  <c r="BF15" i="106" s="1"/>
  <c r="AX15" i="106" a="1"/>
  <c r="AX15" i="106" s="1"/>
  <c r="AQ15" i="106" a="1"/>
  <c r="AQ15" i="106" s="1"/>
  <c r="AA15" i="106" a="1"/>
  <c r="AA15" i="106" s="1"/>
  <c r="BC15" i="106" a="1"/>
  <c r="BC15" i="106" s="1"/>
  <c r="AU15" i="106" a="1"/>
  <c r="AU15" i="106" s="1"/>
  <c r="Z15" i="106" a="1"/>
  <c r="Z15" i="106" s="1"/>
  <c r="AF15" i="106" a="1"/>
  <c r="AF15" i="106" s="1"/>
  <c r="AJ15" i="106" a="1"/>
  <c r="AJ15" i="106" s="1"/>
  <c r="BZ15" i="106" a="1"/>
  <c r="BZ15" i="106" s="1"/>
  <c r="AB15" i="106" a="1"/>
  <c r="AB15" i="106" s="1"/>
  <c r="BR15" i="106" a="1"/>
  <c r="BR15" i="106" s="1"/>
  <c r="BN15" i="106" a="1"/>
  <c r="BN15" i="106" s="1"/>
  <c r="BG15" i="106" a="1"/>
  <c r="BG15" i="106" s="1"/>
  <c r="BY50" i="106" a="1"/>
  <c r="BY50" i="106" s="1"/>
  <c r="BQ50" i="106" a="1"/>
  <c r="BQ50" i="106" s="1"/>
  <c r="BI50" i="106" a="1"/>
  <c r="BI50" i="106" s="1"/>
  <c r="AT50" i="106" a="1"/>
  <c r="AT50" i="106" s="1"/>
  <c r="AB50" i="106" a="1"/>
  <c r="AB50" i="106" s="1"/>
  <c r="BX50" i="106" a="1"/>
  <c r="BX50" i="106" s="1"/>
  <c r="AZ50" i="106" a="1"/>
  <c r="AZ50" i="106" s="1"/>
  <c r="AS50" i="106" a="1"/>
  <c r="AS50" i="106" s="1"/>
  <c r="BW50" i="106" a="1"/>
  <c r="BW50" i="106" s="1"/>
  <c r="BP50" i="106" a="1"/>
  <c r="BP50" i="106" s="1"/>
  <c r="BZ50" i="106" a="1"/>
  <c r="BZ50" i="106" s="1"/>
  <c r="BD50" i="106" a="1"/>
  <c r="BD50" i="106" s="1"/>
  <c r="AK50" i="106" a="1"/>
  <c r="AK50" i="106" s="1"/>
  <c r="AA50" i="106" a="1"/>
  <c r="AA50" i="106" s="1"/>
  <c r="BM50" i="106" a="1"/>
  <c r="BM50" i="106" s="1"/>
  <c r="AU50" i="106" a="1"/>
  <c r="AU50" i="106" s="1"/>
  <c r="AJ50" i="106" a="1"/>
  <c r="AJ50" i="106" s="1"/>
  <c r="BV50" i="106" a="1"/>
  <c r="BV50" i="106" s="1"/>
  <c r="BL50" i="106" a="1"/>
  <c r="BL50" i="106" s="1"/>
  <c r="BC50" i="106" a="1"/>
  <c r="BC50" i="106" s="1"/>
  <c r="BK50" i="106" a="1"/>
  <c r="BK50" i="106" s="1"/>
  <c r="BB50" i="106" a="1"/>
  <c r="BB50" i="106" s="1"/>
  <c r="AR50" i="106" a="1"/>
  <c r="AR50" i="106" s="1"/>
  <c r="AI50" i="106" a="1"/>
  <c r="AI50" i="106" s="1"/>
  <c r="BU50" i="106" a="1"/>
  <c r="BU50" i="106" s="1"/>
  <c r="BA50" i="106" a="1"/>
  <c r="BA50" i="106" s="1"/>
  <c r="AQ50" i="106" a="1"/>
  <c r="AQ50" i="106" s="1"/>
  <c r="BJ50" i="106" a="1"/>
  <c r="BJ50" i="106" s="1"/>
  <c r="AY50" i="106" a="1"/>
  <c r="AY50" i="106" s="1"/>
  <c r="AH50" i="106" a="1"/>
  <c r="AH50" i="106" s="1"/>
  <c r="BT50" i="106" a="1"/>
  <c r="BT50" i="106" s="1"/>
  <c r="AP50" i="106" a="1"/>
  <c r="AP50" i="106" s="1"/>
  <c r="AG50" i="106" a="1"/>
  <c r="AG50" i="106" s="1"/>
  <c r="BS50" i="106" a="1"/>
  <c r="BS50" i="106" s="1"/>
  <c r="BH50" i="106" a="1"/>
  <c r="BH50" i="106" s="1"/>
  <c r="AX50" i="106" a="1"/>
  <c r="AX50" i="106" s="1"/>
  <c r="AO50" i="106" a="1"/>
  <c r="AO50" i="106" s="1"/>
  <c r="AF50" i="106" a="1"/>
  <c r="AF50" i="106" s="1"/>
  <c r="AN50" i="106" a="1"/>
  <c r="AN50" i="106" s="1"/>
  <c r="AE50" i="106" a="1"/>
  <c r="AE50" i="106" s="1"/>
  <c r="BR50" i="106" a="1"/>
  <c r="BR50" i="106" s="1"/>
  <c r="BG50" i="106" a="1"/>
  <c r="BG50" i="106" s="1"/>
  <c r="AW50" i="106" a="1"/>
  <c r="AW50" i="106" s="1"/>
  <c r="AM50" i="106" a="1"/>
  <c r="AM50" i="106" s="1"/>
  <c r="AD50" i="106" a="1"/>
  <c r="AD50" i="106" s="1"/>
  <c r="BN50" i="106" a="1"/>
  <c r="BN50" i="106" s="1"/>
  <c r="BF50" i="106" a="1"/>
  <c r="BF50" i="106" s="1"/>
  <c r="BE50" i="106" a="1"/>
  <c r="BE50" i="106" s="1"/>
  <c r="AV50" i="106" a="1"/>
  <c r="AV50" i="106" s="1"/>
  <c r="AL50" i="106" a="1"/>
  <c r="AL50" i="106" s="1"/>
  <c r="AC50" i="106" a="1"/>
  <c r="AC50" i="106" s="1"/>
  <c r="CA50" i="106" a="1"/>
  <c r="CA50" i="106" s="1"/>
  <c r="BO50" i="106" a="1"/>
  <c r="BO50" i="106" s="1"/>
  <c r="Z50" i="106" a="1"/>
  <c r="Z50" i="106" s="1"/>
  <c r="BX26" i="106" a="1"/>
  <c r="BX26" i="106" s="1"/>
  <c r="BP26" i="106" a="1"/>
  <c r="BP26" i="106" s="1"/>
  <c r="AY26" i="106" a="1"/>
  <c r="AY26" i="106" s="1"/>
  <c r="AP26" i="106" a="1"/>
  <c r="AP26" i="106" s="1"/>
  <c r="AE26" i="106" a="1"/>
  <c r="AE26" i="106" s="1"/>
  <c r="BO26" i="106" a="1"/>
  <c r="BO26" i="106" s="1"/>
  <c r="BG26" i="106" a="1"/>
  <c r="BG26" i="106" s="1"/>
  <c r="AO26" i="106" a="1"/>
  <c r="AO26" i="106" s="1"/>
  <c r="AD26" i="106" a="1"/>
  <c r="AD26" i="106" s="1"/>
  <c r="BV26" i="106" a="1"/>
  <c r="BV26" i="106" s="1"/>
  <c r="BF26" i="106" a="1"/>
  <c r="BF26" i="106" s="1"/>
  <c r="BL26" i="106" a="1"/>
  <c r="BL26" i="106" s="1"/>
  <c r="CA26" i="106" a="1"/>
  <c r="CA26" i="106" s="1"/>
  <c r="BN26" i="106" a="1"/>
  <c r="BN26" i="106" s="1"/>
  <c r="AR26" i="106" a="1"/>
  <c r="AR26" i="106" s="1"/>
  <c r="AF26" i="106" a="1"/>
  <c r="AF26" i="106" s="1"/>
  <c r="BZ26" i="106" a="1"/>
  <c r="BZ26" i="106" s="1"/>
  <c r="BM26" i="106" a="1"/>
  <c r="BM26" i="106" s="1"/>
  <c r="BC26" i="106" a="1"/>
  <c r="BC26" i="106" s="1"/>
  <c r="BY26" i="106" a="1"/>
  <c r="BY26" i="106" s="1"/>
  <c r="BB26" i="106" a="1"/>
  <c r="BB26" i="106" s="1"/>
  <c r="AQ26" i="106" a="1"/>
  <c r="AQ26" i="106" s="1"/>
  <c r="AC26" i="106" a="1"/>
  <c r="AC26" i="106" s="1"/>
  <c r="BK26" i="106" a="1"/>
  <c r="BK26" i="106" s="1"/>
  <c r="BA26" i="106" a="1"/>
  <c r="BA26" i="106" s="1"/>
  <c r="AN26" i="106" a="1"/>
  <c r="AN26" i="106" s="1"/>
  <c r="AB26" i="106" a="1"/>
  <c r="AB26" i="106" s="1"/>
  <c r="BW26" i="106" a="1"/>
  <c r="BW26" i="106" s="1"/>
  <c r="AZ26" i="106" a="1"/>
  <c r="AZ26" i="106" s="1"/>
  <c r="AM26" i="106" a="1"/>
  <c r="AM26" i="106" s="1"/>
  <c r="BU26" i="106" a="1"/>
  <c r="BU26" i="106" s="1"/>
  <c r="BJ26" i="106" a="1"/>
  <c r="BJ26" i="106" s="1"/>
  <c r="AX26" i="106" a="1"/>
  <c r="AX26" i="106" s="1"/>
  <c r="AL26" i="106" a="1"/>
  <c r="AL26" i="106" s="1"/>
  <c r="AA26" i="106" a="1"/>
  <c r="AA26" i="106" s="1"/>
  <c r="BT26" i="106" a="1"/>
  <c r="BT26" i="106" s="1"/>
  <c r="BI26" i="106" a="1"/>
  <c r="BI26" i="106" s="1"/>
  <c r="AK26" i="106" a="1"/>
  <c r="AK26" i="106" s="1"/>
  <c r="BS26" i="106" a="1"/>
  <c r="BS26" i="106" s="1"/>
  <c r="BH26" i="106" a="1"/>
  <c r="BH26" i="106" s="1"/>
  <c r="AW26" i="106" a="1"/>
  <c r="AW26" i="106" s="1"/>
  <c r="AJ26" i="106" a="1"/>
  <c r="AJ26" i="106" s="1"/>
  <c r="BR26" i="106" a="1"/>
  <c r="BR26" i="106" s="1"/>
  <c r="AV26" i="106" a="1"/>
  <c r="AV26" i="106" s="1"/>
  <c r="AU26" i="106" a="1"/>
  <c r="AU26" i="106" s="1"/>
  <c r="AI26" i="106" a="1"/>
  <c r="AI26" i="106" s="1"/>
  <c r="BQ26" i="106" a="1"/>
  <c r="BQ26" i="106" s="1"/>
  <c r="BE26" i="106" a="1"/>
  <c r="BE26" i="106" s="1"/>
  <c r="AT26" i="106" a="1"/>
  <c r="AT26" i="106" s="1"/>
  <c r="AH26" i="106" a="1"/>
  <c r="AH26" i="106" s="1"/>
  <c r="BD26" i="106" a="1"/>
  <c r="BD26" i="106" s="1"/>
  <c r="AS26" i="106" a="1"/>
  <c r="AS26" i="106" s="1"/>
  <c r="AG26" i="106" a="1"/>
  <c r="AG26" i="106" s="1"/>
  <c r="Z26" i="106" a="1"/>
  <c r="Z26" i="106" s="1"/>
  <c r="BZ14" i="106" a="1"/>
  <c r="BZ14" i="106" s="1"/>
  <c r="BR14" i="106" a="1"/>
  <c r="BR14" i="106" s="1"/>
  <c r="BA14" i="106" a="1"/>
  <c r="BA14" i="106" s="1"/>
  <c r="AS14" i="106" a="1"/>
  <c r="AS14" i="106" s="1"/>
  <c r="AJ14" i="106" a="1"/>
  <c r="AJ14" i="106" s="1"/>
  <c r="AB14" i="106" a="1"/>
  <c r="AB14" i="106" s="1"/>
  <c r="BY14" i="106" a="1"/>
  <c r="BY14" i="106" s="1"/>
  <c r="BQ14" i="106" a="1"/>
  <c r="BQ14" i="106" s="1"/>
  <c r="BI14" i="106" a="1"/>
  <c r="BI14" i="106" s="1"/>
  <c r="AR14" i="106" a="1"/>
  <c r="AR14" i="106" s="1"/>
  <c r="AA14" i="106" a="1"/>
  <c r="AA14" i="106" s="1"/>
  <c r="BP14" i="106" a="1"/>
  <c r="BP14" i="106" s="1"/>
  <c r="BH14" i="106" a="1"/>
  <c r="BH14" i="106" s="1"/>
  <c r="AZ14" i="106" a="1"/>
  <c r="AZ14" i="106" s="1"/>
  <c r="AI14" i="106" a="1"/>
  <c r="AI14" i="106" s="1"/>
  <c r="BX14" i="106" a="1"/>
  <c r="BX14" i="106" s="1"/>
  <c r="AY14" i="106" a="1"/>
  <c r="AY14" i="106" s="1"/>
  <c r="AQ14" i="106" a="1"/>
  <c r="AQ14" i="106" s="1"/>
  <c r="AH14" i="106" a="1"/>
  <c r="AH14" i="106" s="1"/>
  <c r="BN14" i="106" a="1"/>
  <c r="BN14" i="106" s="1"/>
  <c r="BF14" i="106" a="1"/>
  <c r="BF14" i="106" s="1"/>
  <c r="AX14" i="106" a="1"/>
  <c r="AX14" i="106" s="1"/>
  <c r="BV14" i="106" a="1"/>
  <c r="BV14" i="106" s="1"/>
  <c r="BE14" i="106" a="1"/>
  <c r="BE14" i="106" s="1"/>
  <c r="AW14" i="106" a="1"/>
  <c r="AW14" i="106" s="1"/>
  <c r="AO14" i="106" a="1"/>
  <c r="AO14" i="106" s="1"/>
  <c r="AF14" i="106" a="1"/>
  <c r="AF14" i="106" s="1"/>
  <c r="BU14" i="106" a="1"/>
  <c r="BU14" i="106" s="1"/>
  <c r="BM14" i="106" a="1"/>
  <c r="BM14" i="106" s="1"/>
  <c r="AN14" i="106" a="1"/>
  <c r="AN14" i="106" s="1"/>
  <c r="AE14" i="106" a="1"/>
  <c r="AE14" i="106" s="1"/>
  <c r="BD14" i="106" a="1"/>
  <c r="BD14" i="106" s="1"/>
  <c r="AV14" i="106" a="1"/>
  <c r="AV14" i="106" s="1"/>
  <c r="AM14" i="106" a="1"/>
  <c r="AM14" i="106" s="1"/>
  <c r="BT14" i="106" a="1"/>
  <c r="BT14" i="106" s="1"/>
  <c r="BL14" i="106" a="1"/>
  <c r="BL14" i="106" s="1"/>
  <c r="BC14" i="106" a="1"/>
  <c r="BC14" i="106" s="1"/>
  <c r="AU14" i="106" a="1"/>
  <c r="AU14" i="106" s="1"/>
  <c r="AL14" i="106" a="1"/>
  <c r="AL14" i="106" s="1"/>
  <c r="AD14" i="106" a="1"/>
  <c r="AD14" i="106" s="1"/>
  <c r="BJ14" i="106" a="1"/>
  <c r="BJ14" i="106" s="1"/>
  <c r="BB14" i="106" a="1"/>
  <c r="BB14" i="106" s="1"/>
  <c r="AT14" i="106" a="1"/>
  <c r="AT14" i="106" s="1"/>
  <c r="AK14" i="106" a="1"/>
  <c r="AK14" i="106" s="1"/>
  <c r="BO14" i="106" a="1"/>
  <c r="BO14" i="106" s="1"/>
  <c r="BK14" i="106" a="1"/>
  <c r="BK14" i="106" s="1"/>
  <c r="BG14" i="106" a="1"/>
  <c r="BG14" i="106" s="1"/>
  <c r="Z14" i="106" a="1"/>
  <c r="Z14" i="106" s="1"/>
  <c r="AP14" i="106" a="1"/>
  <c r="AP14" i="106" s="1"/>
  <c r="AG14" i="106" a="1"/>
  <c r="AG14" i="106" s="1"/>
  <c r="CA14" i="106" a="1"/>
  <c r="CA14" i="106" s="1"/>
  <c r="AC14" i="106" a="1"/>
  <c r="AC14" i="106" s="1"/>
  <c r="BW14" i="106" a="1"/>
  <c r="BW14" i="106" s="1"/>
  <c r="BS14" i="106" a="1"/>
  <c r="BS14" i="106" s="1"/>
  <c r="BY61" i="106" a="1"/>
  <c r="BY61" i="106" s="1"/>
  <c r="BO61" i="106" a="1"/>
  <c r="BO61" i="106" s="1"/>
  <c r="BE61" i="106" a="1"/>
  <c r="BE61" i="106" s="1"/>
  <c r="AV61" i="106" a="1"/>
  <c r="AV61" i="106" s="1"/>
  <c r="AL61" i="106" a="1"/>
  <c r="AL61" i="106" s="1"/>
  <c r="AA61" i="106" a="1"/>
  <c r="AA61" i="106" s="1"/>
  <c r="BX61" i="106" a="1"/>
  <c r="BX61" i="106" s="1"/>
  <c r="AU61" i="106" a="1"/>
  <c r="AU61" i="106" s="1"/>
  <c r="AK61" i="106" a="1"/>
  <c r="AK61" i="106" s="1"/>
  <c r="BW61" i="106" a="1"/>
  <c r="BW61" i="106" s="1"/>
  <c r="BN61" i="106" a="1"/>
  <c r="BN61" i="106" s="1"/>
  <c r="BD61" i="106" a="1"/>
  <c r="BD61" i="106" s="1"/>
  <c r="AT61" i="106" a="1"/>
  <c r="AT61" i="106" s="1"/>
  <c r="AJ61" i="106" a="1"/>
  <c r="AJ61" i="106" s="1"/>
  <c r="BM61" i="106" a="1"/>
  <c r="BM61" i="106" s="1"/>
  <c r="BC61" i="106" a="1"/>
  <c r="BC61" i="106" s="1"/>
  <c r="AS61" i="106" a="1"/>
  <c r="AS61" i="106" s="1"/>
  <c r="AI61" i="106" a="1"/>
  <c r="AI61" i="106" s="1"/>
  <c r="BV61" i="106" a="1"/>
  <c r="BV61" i="106" s="1"/>
  <c r="BL61" i="106" a="1"/>
  <c r="BL61" i="106" s="1"/>
  <c r="BB61" i="106" a="1"/>
  <c r="BB61" i="106" s="1"/>
  <c r="AR61" i="106" a="1"/>
  <c r="AR61" i="106" s="1"/>
  <c r="AH61" i="106" a="1"/>
  <c r="AH61" i="106" s="1"/>
  <c r="BU61" i="106" a="1"/>
  <c r="BU61" i="106" s="1"/>
  <c r="BA61" i="106" a="1"/>
  <c r="BA61" i="106" s="1"/>
  <c r="AQ61" i="106" a="1"/>
  <c r="AQ61" i="106" s="1"/>
  <c r="AG61" i="106" a="1"/>
  <c r="AG61" i="106" s="1"/>
  <c r="BK61" i="106" a="1"/>
  <c r="BK61" i="106" s="1"/>
  <c r="AZ61" i="106" a="1"/>
  <c r="AZ61" i="106" s="1"/>
  <c r="BT61" i="106" a="1"/>
  <c r="BT61" i="106" s="1"/>
  <c r="BJ61" i="106" a="1"/>
  <c r="BJ61" i="106" s="1"/>
  <c r="AY61" i="106" a="1"/>
  <c r="AY61" i="106" s="1"/>
  <c r="AP61" i="106" a="1"/>
  <c r="AP61" i="106" s="1"/>
  <c r="AF61" i="106" a="1"/>
  <c r="AF61" i="106" s="1"/>
  <c r="BS61" i="106" a="1"/>
  <c r="BS61" i="106" s="1"/>
  <c r="BI61" i="106" a="1"/>
  <c r="BI61" i="106" s="1"/>
  <c r="AO61" i="106" a="1"/>
  <c r="AO61" i="106" s="1"/>
  <c r="AE61" i="106" a="1"/>
  <c r="AE61" i="106" s="1"/>
  <c r="BR61" i="106" a="1"/>
  <c r="BR61" i="106" s="1"/>
  <c r="BH61" i="106" a="1"/>
  <c r="BH61" i="106" s="1"/>
  <c r="AX61" i="106" a="1"/>
  <c r="AX61" i="106" s="1"/>
  <c r="AN61" i="106" a="1"/>
  <c r="AN61" i="106" s="1"/>
  <c r="AD61" i="106" a="1"/>
  <c r="AD61" i="106" s="1"/>
  <c r="CA61" i="106" a="1"/>
  <c r="CA61" i="106" s="1"/>
  <c r="BQ61" i="106" a="1"/>
  <c r="BQ61" i="106" s="1"/>
  <c r="BG61" i="106" a="1"/>
  <c r="BG61" i="106" s="1"/>
  <c r="AW61" i="106" a="1"/>
  <c r="AW61" i="106" s="1"/>
  <c r="AC61" i="106" a="1"/>
  <c r="AC61" i="106" s="1"/>
  <c r="BF61" i="106" a="1"/>
  <c r="BF61" i="106" s="1"/>
  <c r="AM61" i="106" a="1"/>
  <c r="AM61" i="106" s="1"/>
  <c r="AB61" i="106" a="1"/>
  <c r="AB61" i="106" s="1"/>
  <c r="BZ61" i="106" a="1"/>
  <c r="BZ61" i="106" s="1"/>
  <c r="BP61" i="106" a="1"/>
  <c r="BP61" i="106" s="1"/>
  <c r="Z61" i="106" a="1"/>
  <c r="Z61" i="106" s="1"/>
  <c r="BX37" i="106" a="1"/>
  <c r="BX37" i="106" s="1"/>
  <c r="BO37" i="106" a="1"/>
  <c r="BO37" i="106" s="1"/>
  <c r="BG37" i="106" a="1"/>
  <c r="BG37" i="106" s="1"/>
  <c r="AY37" i="106" a="1"/>
  <c r="AY37" i="106" s="1"/>
  <c r="AQ37" i="106" a="1"/>
  <c r="AQ37" i="106" s="1"/>
  <c r="AA37" i="106" a="1"/>
  <c r="AA37" i="106" s="1"/>
  <c r="BN37" i="106" a="1"/>
  <c r="BN37" i="106" s="1"/>
  <c r="BE37" i="106" a="1"/>
  <c r="BE37" i="106" s="1"/>
  <c r="AP37" i="106" a="1"/>
  <c r="AP37" i="106" s="1"/>
  <c r="AH37" i="106" a="1"/>
  <c r="AH37" i="106" s="1"/>
  <c r="BV37" i="106" a="1"/>
  <c r="BV37" i="106" s="1"/>
  <c r="BM37" i="106" a="1"/>
  <c r="BM37" i="106" s="1"/>
  <c r="AW37" i="106" a="1"/>
  <c r="AW37" i="106" s="1"/>
  <c r="AG37" i="106" a="1"/>
  <c r="AG37" i="106" s="1"/>
  <c r="BU37" i="106" a="1"/>
  <c r="BU37" i="106" s="1"/>
  <c r="BD37" i="106" a="1"/>
  <c r="BD37" i="106" s="1"/>
  <c r="AO37" i="106" a="1"/>
  <c r="AO37" i="106" s="1"/>
  <c r="AF37" i="106" a="1"/>
  <c r="AF37" i="106" s="1"/>
  <c r="BT37" i="106" a="1"/>
  <c r="BT37" i="106" s="1"/>
  <c r="BS37" i="106" a="1"/>
  <c r="BS37" i="106" s="1"/>
  <c r="BK37" i="106" a="1"/>
  <c r="BK37" i="106" s="1"/>
  <c r="BC37" i="106" a="1"/>
  <c r="BC37" i="106" s="1"/>
  <c r="AU37" i="106" a="1"/>
  <c r="AU37" i="106" s="1"/>
  <c r="AN37" i="106" a="1"/>
  <c r="AN37" i="106" s="1"/>
  <c r="AE37" i="106" a="1"/>
  <c r="AE37" i="106" s="1"/>
  <c r="CA37" i="106" a="1"/>
  <c r="CA37" i="106" s="1"/>
  <c r="BR37" i="106" a="1"/>
  <c r="BR37" i="106" s="1"/>
  <c r="AT37" i="106" a="1"/>
  <c r="AT37" i="106" s="1"/>
  <c r="AM37" i="106" a="1"/>
  <c r="AM37" i="106" s="1"/>
  <c r="AD37" i="106" a="1"/>
  <c r="AD37" i="106" s="1"/>
  <c r="BZ37" i="106" a="1"/>
  <c r="BZ37" i="106" s="1"/>
  <c r="BQ37" i="106" a="1"/>
  <c r="BQ37" i="106" s="1"/>
  <c r="BJ37" i="106" a="1"/>
  <c r="BJ37" i="106" s="1"/>
  <c r="BB37" i="106" a="1"/>
  <c r="BB37" i="106" s="1"/>
  <c r="AS37" i="106" a="1"/>
  <c r="AS37" i="106" s="1"/>
  <c r="AL37" i="106" a="1"/>
  <c r="AL37" i="106" s="1"/>
  <c r="AK37" i="106" a="1"/>
  <c r="AK37" i="106" s="1"/>
  <c r="AC37" i="106" a="1"/>
  <c r="AC37" i="106" s="1"/>
  <c r="BF37" i="106" a="1"/>
  <c r="BF37" i="106" s="1"/>
  <c r="AI37" i="106" a="1"/>
  <c r="AI37" i="106" s="1"/>
  <c r="BA37" i="106" a="1"/>
  <c r="BA37" i="106" s="1"/>
  <c r="BY37" i="106" a="1"/>
  <c r="BY37" i="106" s="1"/>
  <c r="AZ37" i="106" a="1"/>
  <c r="AZ37" i="106" s="1"/>
  <c r="AB37" i="106" a="1"/>
  <c r="AB37" i="106" s="1"/>
  <c r="AX37" i="106" a="1"/>
  <c r="AX37" i="106" s="1"/>
  <c r="BW37" i="106" a="1"/>
  <c r="BW37" i="106" s="1"/>
  <c r="AV37" i="106" a="1"/>
  <c r="AV37" i="106" s="1"/>
  <c r="BP37" i="106" a="1"/>
  <c r="BP37" i="106" s="1"/>
  <c r="AR37" i="106" a="1"/>
  <c r="AR37" i="106" s="1"/>
  <c r="BL37" i="106" a="1"/>
  <c r="BL37" i="106" s="1"/>
  <c r="BI37" i="106" a="1"/>
  <c r="BI37" i="106" s="1"/>
  <c r="BH37" i="106" a="1"/>
  <c r="BH37" i="106" s="1"/>
  <c r="AJ37" i="106" a="1"/>
  <c r="AJ37" i="106" s="1"/>
  <c r="Z37" i="106" a="1"/>
  <c r="Z37" i="106" s="1"/>
  <c r="BU25" i="106" a="1"/>
  <c r="BU25" i="106" s="1"/>
  <c r="BM25" i="106" a="1"/>
  <c r="BM25" i="106" s="1"/>
  <c r="BE25" i="106" a="1"/>
  <c r="BE25" i="106" s="1"/>
  <c r="AP25" i="106" a="1"/>
  <c r="AP25" i="106" s="1"/>
  <c r="AF25" i="106" a="1"/>
  <c r="AF25" i="106" s="1"/>
  <c r="BT25" i="106" a="1"/>
  <c r="BT25" i="106" s="1"/>
  <c r="AW25" i="106" a="1"/>
  <c r="AW25" i="106" s="1"/>
  <c r="CA25" i="106" a="1"/>
  <c r="CA25" i="106" s="1"/>
  <c r="BI25" i="106" a="1"/>
  <c r="BI25" i="106" s="1"/>
  <c r="AY25" i="106" a="1"/>
  <c r="AY25" i="106" s="1"/>
  <c r="BZ25" i="106" a="1"/>
  <c r="BZ25" i="106" s="1"/>
  <c r="BQ25" i="106" a="1"/>
  <c r="BQ25" i="106" s="1"/>
  <c r="BH25" i="106" a="1"/>
  <c r="BH25" i="106" s="1"/>
  <c r="AO25" i="106" a="1"/>
  <c r="AO25" i="106" s="1"/>
  <c r="AE25" i="106" a="1"/>
  <c r="AE25" i="106" s="1"/>
  <c r="BY25" i="106" a="1"/>
  <c r="BY25" i="106" s="1"/>
  <c r="BG25" i="106" a="1"/>
  <c r="BG25" i="106" s="1"/>
  <c r="AX25" i="106" a="1"/>
  <c r="AX25" i="106" s="1"/>
  <c r="AN25" i="106" a="1"/>
  <c r="AN25" i="106" s="1"/>
  <c r="BP25" i="106" a="1"/>
  <c r="BP25" i="106" s="1"/>
  <c r="BF25" i="106" a="1"/>
  <c r="BF25" i="106" s="1"/>
  <c r="AV25" i="106" a="1"/>
  <c r="AV25" i="106" s="1"/>
  <c r="AM25" i="106" a="1"/>
  <c r="AM25" i="106" s="1"/>
  <c r="AD25" i="106" a="1"/>
  <c r="AD25" i="106" s="1"/>
  <c r="BX25" i="106" a="1"/>
  <c r="BX25" i="106" s="1"/>
  <c r="BO25" i="106" a="1"/>
  <c r="BO25" i="106" s="1"/>
  <c r="AU25" i="106" a="1"/>
  <c r="AU25" i="106" s="1"/>
  <c r="AC25" i="106" a="1"/>
  <c r="AC25" i="106" s="1"/>
  <c r="BD25" i="106" a="1"/>
  <c r="BD25" i="106" s="1"/>
  <c r="AL25" i="106" a="1"/>
  <c r="AL25" i="106" s="1"/>
  <c r="AB25" i="106" a="1"/>
  <c r="AB25" i="106" s="1"/>
  <c r="BW25" i="106" a="1"/>
  <c r="BW25" i="106" s="1"/>
  <c r="BN25" i="106" a="1"/>
  <c r="BN25" i="106" s="1"/>
  <c r="AT25" i="106" a="1"/>
  <c r="AT25" i="106" s="1"/>
  <c r="AA25" i="106" a="1"/>
  <c r="AA25" i="106" s="1"/>
  <c r="BV25" i="106" a="1"/>
  <c r="BV25" i="106" s="1"/>
  <c r="BL25" i="106" a="1"/>
  <c r="BL25" i="106" s="1"/>
  <c r="BC25" i="106" a="1"/>
  <c r="BC25" i="106" s="1"/>
  <c r="AK25" i="106" a="1"/>
  <c r="AK25" i="106" s="1"/>
  <c r="BB25" i="106" a="1"/>
  <c r="BB25" i="106" s="1"/>
  <c r="AS25" i="106" a="1"/>
  <c r="AS25" i="106" s="1"/>
  <c r="AJ25" i="106" a="1"/>
  <c r="AJ25" i="106" s="1"/>
  <c r="BS25" i="106" a="1"/>
  <c r="BS25" i="106" s="1"/>
  <c r="BK25" i="106" a="1"/>
  <c r="BK25" i="106" s="1"/>
  <c r="BA25" i="106" a="1"/>
  <c r="BA25" i="106" s="1"/>
  <c r="AR25" i="106" a="1"/>
  <c r="AR25" i="106" s="1"/>
  <c r="AI25" i="106" a="1"/>
  <c r="AI25" i="106" s="1"/>
  <c r="AH25" i="106" a="1"/>
  <c r="AH25" i="106" s="1"/>
  <c r="BR25" i="106" a="1"/>
  <c r="BR25" i="106" s="1"/>
  <c r="BJ25" i="106" a="1"/>
  <c r="BJ25" i="106" s="1"/>
  <c r="AZ25" i="106" a="1"/>
  <c r="AZ25" i="106" s="1"/>
  <c r="AQ25" i="106" a="1"/>
  <c r="AQ25" i="106" s="1"/>
  <c r="AG25" i="106" a="1"/>
  <c r="AG25" i="106" s="1"/>
  <c r="Z25" i="106" a="1"/>
  <c r="Z25" i="106" s="1"/>
  <c r="BR13" i="106" a="1"/>
  <c r="BR13" i="106" s="1"/>
  <c r="AR13" i="106" a="1"/>
  <c r="AR13" i="106" s="1"/>
  <c r="AA13" i="106" a="1"/>
  <c r="AA13" i="106" s="1"/>
  <c r="BZ13" i="106" a="1"/>
  <c r="BZ13" i="106" s="1"/>
  <c r="BQ13" i="106" a="1"/>
  <c r="BQ13" i="106" s="1"/>
  <c r="BI13" i="106" a="1"/>
  <c r="BI13" i="106" s="1"/>
  <c r="AZ13" i="106" a="1"/>
  <c r="AZ13" i="106" s="1"/>
  <c r="AI13" i="106" a="1"/>
  <c r="AI13" i="106" s="1"/>
  <c r="BY13" i="106" a="1"/>
  <c r="BY13" i="106" s="1"/>
  <c r="BP13" i="106" a="1"/>
  <c r="BP13" i="106" s="1"/>
  <c r="BH13" i="106" a="1"/>
  <c r="BH13" i="106" s="1"/>
  <c r="AQ13" i="106" a="1"/>
  <c r="AQ13" i="106" s="1"/>
  <c r="AH13" i="106" a="1"/>
  <c r="AH13" i="106" s="1"/>
  <c r="BG13" i="106" a="1"/>
  <c r="BG13" i="106" s="1"/>
  <c r="AY13" i="106" a="1"/>
  <c r="AY13" i="106" s="1"/>
  <c r="AP13" i="106" a="1"/>
  <c r="AP13" i="106" s="1"/>
  <c r="AG13" i="106" a="1"/>
  <c r="AG13" i="106" s="1"/>
  <c r="BW13" i="106" a="1"/>
  <c r="BW13" i="106" s="1"/>
  <c r="BN13" i="106" a="1"/>
  <c r="BN13" i="106" s="1"/>
  <c r="AW13" i="106" a="1"/>
  <c r="AW13" i="106" s="1"/>
  <c r="AO13" i="106" a="1"/>
  <c r="AO13" i="106" s="1"/>
  <c r="BV13" i="106" a="1"/>
  <c r="BV13" i="106" s="1"/>
  <c r="BE13" i="106" a="1"/>
  <c r="BE13" i="106" s="1"/>
  <c r="AN13" i="106" a="1"/>
  <c r="AN13" i="106" s="1"/>
  <c r="AE13" i="106" a="1"/>
  <c r="AE13" i="106" s="1"/>
  <c r="BU13" i="106" a="1"/>
  <c r="BU13" i="106" s="1"/>
  <c r="BM13" i="106" a="1"/>
  <c r="BM13" i="106" s="1"/>
  <c r="BD13" i="106" a="1"/>
  <c r="BD13" i="106" s="1"/>
  <c r="AV13" i="106" a="1"/>
  <c r="AV13" i="106" s="1"/>
  <c r="BL13" i="106" a="1"/>
  <c r="BL13" i="106" s="1"/>
  <c r="BC13" i="106" a="1"/>
  <c r="BC13" i="106" s="1"/>
  <c r="AU13" i="106" a="1"/>
  <c r="AU13" i="106" s="1"/>
  <c r="AM13" i="106" a="1"/>
  <c r="AM13" i="106" s="1"/>
  <c r="AD13" i="106" a="1"/>
  <c r="AD13" i="106" s="1"/>
  <c r="BT13" i="106" a="1"/>
  <c r="BT13" i="106" s="1"/>
  <c r="AL13" i="106" a="1"/>
  <c r="AL13" i="106" s="1"/>
  <c r="AC13" i="106" a="1"/>
  <c r="AC13" i="106" s="1"/>
  <c r="CA13" i="106" a="1"/>
  <c r="CA13" i="106" s="1"/>
  <c r="BJ13" i="106" a="1"/>
  <c r="BJ13" i="106" s="1"/>
  <c r="BA13" i="106" a="1"/>
  <c r="BA13" i="106" s="1"/>
  <c r="AS13" i="106" a="1"/>
  <c r="AS13" i="106" s="1"/>
  <c r="AJ13" i="106" a="1"/>
  <c r="AJ13" i="106" s="1"/>
  <c r="AB13" i="106" a="1"/>
  <c r="AB13" i="106" s="1"/>
  <c r="BX13" i="106" a="1"/>
  <c r="BX13" i="106" s="1"/>
  <c r="BS13" i="106" a="1"/>
  <c r="BS13" i="106" s="1"/>
  <c r="BO13" i="106" a="1"/>
  <c r="BO13" i="106" s="1"/>
  <c r="BK13" i="106" a="1"/>
  <c r="BK13" i="106" s="1"/>
  <c r="BF13" i="106" a="1"/>
  <c r="BF13" i="106" s="1"/>
  <c r="Z13" i="106" a="1"/>
  <c r="Z13" i="106" s="1"/>
  <c r="AX13" i="106" a="1"/>
  <c r="AX13" i="106" s="1"/>
  <c r="BB13" i="106" a="1"/>
  <c r="BB13" i="106" s="1"/>
  <c r="AT13" i="106" a="1"/>
  <c r="AT13" i="106" s="1"/>
  <c r="AK13" i="106" a="1"/>
  <c r="AK13" i="106" s="1"/>
  <c r="AF13" i="106" a="1"/>
  <c r="AF13" i="106" s="1"/>
  <c r="BY60" i="106" a="1"/>
  <c r="BY60" i="106" s="1"/>
  <c r="BO60" i="106" a="1"/>
  <c r="BO60" i="106" s="1"/>
  <c r="BE60" i="106" a="1"/>
  <c r="BE60" i="106" s="1"/>
  <c r="AU60" i="106" a="1"/>
  <c r="AU60" i="106" s="1"/>
  <c r="AK60" i="106" a="1"/>
  <c r="AK60" i="106" s="1"/>
  <c r="AA60" i="106" a="1"/>
  <c r="AA60" i="106" s="1"/>
  <c r="BX60" i="106" a="1"/>
  <c r="BX60" i="106" s="1"/>
  <c r="BN60" i="106" a="1"/>
  <c r="BN60" i="106" s="1"/>
  <c r="BD60" i="106" a="1"/>
  <c r="BD60" i="106" s="1"/>
  <c r="AT60" i="106" a="1"/>
  <c r="AT60" i="106" s="1"/>
  <c r="AJ60" i="106" a="1"/>
  <c r="AJ60" i="106" s="1"/>
  <c r="BW60" i="106" a="1"/>
  <c r="BW60" i="106" s="1"/>
  <c r="BM60" i="106" a="1"/>
  <c r="BM60" i="106" s="1"/>
  <c r="BC60" i="106" a="1"/>
  <c r="BC60" i="106" s="1"/>
  <c r="AS60" i="106" a="1"/>
  <c r="AS60" i="106" s="1"/>
  <c r="BL60" i="106" a="1"/>
  <c r="BL60" i="106" s="1"/>
  <c r="BB60" i="106" a="1"/>
  <c r="BB60" i="106" s="1"/>
  <c r="AR60" i="106" a="1"/>
  <c r="AR60" i="106" s="1"/>
  <c r="AI60" i="106" a="1"/>
  <c r="AI60" i="106" s="1"/>
  <c r="BV60" i="106" a="1"/>
  <c r="BV60" i="106" s="1"/>
  <c r="BK60" i="106" a="1"/>
  <c r="BK60" i="106" s="1"/>
  <c r="AH60" i="106" a="1"/>
  <c r="AH60" i="106" s="1"/>
  <c r="BU60" i="106" a="1"/>
  <c r="BU60" i="106" s="1"/>
  <c r="BJ60" i="106" a="1"/>
  <c r="BJ60" i="106" s="1"/>
  <c r="BA60" i="106" a="1"/>
  <c r="BA60" i="106" s="1"/>
  <c r="AQ60" i="106" a="1"/>
  <c r="AQ60" i="106" s="1"/>
  <c r="AG60" i="106" a="1"/>
  <c r="AG60" i="106" s="1"/>
  <c r="BT60" i="106" a="1"/>
  <c r="BT60" i="106" s="1"/>
  <c r="AZ60" i="106" a="1"/>
  <c r="AZ60" i="106" s="1"/>
  <c r="AP60" i="106" a="1"/>
  <c r="AP60" i="106" s="1"/>
  <c r="AF60" i="106" a="1"/>
  <c r="AF60" i="106" s="1"/>
  <c r="BS60" i="106" a="1"/>
  <c r="BS60" i="106" s="1"/>
  <c r="BI60" i="106" a="1"/>
  <c r="BI60" i="106" s="1"/>
  <c r="AY60" i="106" a="1"/>
  <c r="AY60" i="106" s="1"/>
  <c r="AO60" i="106" a="1"/>
  <c r="AO60" i="106" s="1"/>
  <c r="AE60" i="106" a="1"/>
  <c r="AE60" i="106" s="1"/>
  <c r="BR60" i="106" a="1"/>
  <c r="BR60" i="106" s="1"/>
  <c r="BH60" i="106" a="1"/>
  <c r="BH60" i="106" s="1"/>
  <c r="AN60" i="106" a="1"/>
  <c r="AN60" i="106" s="1"/>
  <c r="AD60" i="106" a="1"/>
  <c r="AD60" i="106" s="1"/>
  <c r="CA60" i="106" a="1"/>
  <c r="CA60" i="106" s="1"/>
  <c r="BQ60" i="106" a="1"/>
  <c r="BQ60" i="106" s="1"/>
  <c r="AX60" i="106" a="1"/>
  <c r="AX60" i="106" s="1"/>
  <c r="AM60" i="106" a="1"/>
  <c r="AM60" i="106" s="1"/>
  <c r="BZ60" i="106" a="1"/>
  <c r="BZ60" i="106" s="1"/>
  <c r="BP60" i="106" a="1"/>
  <c r="BP60" i="106" s="1"/>
  <c r="BG60" i="106" a="1"/>
  <c r="BG60" i="106" s="1"/>
  <c r="AW60" i="106" a="1"/>
  <c r="AW60" i="106" s="1"/>
  <c r="AL60" i="106" a="1"/>
  <c r="AL60" i="106" s="1"/>
  <c r="AC60" i="106" a="1"/>
  <c r="AC60" i="106" s="1"/>
  <c r="BF60" i="106" a="1"/>
  <c r="BF60" i="106" s="1"/>
  <c r="AV60" i="106" a="1"/>
  <c r="AV60" i="106" s="1"/>
  <c r="AB60" i="106" a="1"/>
  <c r="AB60" i="106" s="1"/>
  <c r="Z60" i="106" a="1"/>
  <c r="Z60" i="106" s="1"/>
  <c r="CA48" i="106" a="1"/>
  <c r="CA48" i="106" s="1"/>
  <c r="BI48" i="106" a="1"/>
  <c r="BI48" i="106" s="1"/>
  <c r="BA48" i="106" a="1"/>
  <c r="BA48" i="106" s="1"/>
  <c r="AS48" i="106" a="1"/>
  <c r="AS48" i="106" s="1"/>
  <c r="AJ48" i="106" a="1"/>
  <c r="AJ48" i="106" s="1"/>
  <c r="AB48" i="106" a="1"/>
  <c r="AB48" i="106" s="1"/>
  <c r="BY48" i="106" a="1"/>
  <c r="BY48" i="106" s="1"/>
  <c r="BQ48" i="106" a="1"/>
  <c r="BQ48" i="106" s="1"/>
  <c r="BG48" i="106" a="1"/>
  <c r="BG48" i="106" s="1"/>
  <c r="AW48" i="106" a="1"/>
  <c r="AW48" i="106" s="1"/>
  <c r="AN48" i="106" a="1"/>
  <c r="AN48" i="106" s="1"/>
  <c r="AF48" i="106" a="1"/>
  <c r="AF48" i="106" s="1"/>
  <c r="BX48" i="106" a="1"/>
  <c r="BX48" i="106" s="1"/>
  <c r="BP48" i="106" a="1"/>
  <c r="BP48" i="106" s="1"/>
  <c r="BF48" i="106" a="1"/>
  <c r="BF48" i="106" s="1"/>
  <c r="AM48" i="106" a="1"/>
  <c r="AM48" i="106" s="1"/>
  <c r="AE48" i="106" a="1"/>
  <c r="AE48" i="106" s="1"/>
  <c r="BO48" i="106" a="1"/>
  <c r="BO48" i="106" s="1"/>
  <c r="AV48" i="106" a="1"/>
  <c r="AV48" i="106" s="1"/>
  <c r="AL48" i="106" a="1"/>
  <c r="AL48" i="106" s="1"/>
  <c r="AD48" i="106" a="1"/>
  <c r="AD48" i="106" s="1"/>
  <c r="BW48" i="106" a="1"/>
  <c r="BW48" i="106" s="1"/>
  <c r="BN48" i="106" a="1"/>
  <c r="BN48" i="106" s="1"/>
  <c r="BE48" i="106" a="1"/>
  <c r="BE48" i="106" s="1"/>
  <c r="BV48" i="106" a="1"/>
  <c r="BV48" i="106" s="1"/>
  <c r="BM48" i="106" a="1"/>
  <c r="BM48" i="106" s="1"/>
  <c r="BD48" i="106" a="1"/>
  <c r="BD48" i="106" s="1"/>
  <c r="AU48" i="106" a="1"/>
  <c r="AU48" i="106" s="1"/>
  <c r="AK48" i="106" a="1"/>
  <c r="AK48" i="106" s="1"/>
  <c r="AC48" i="106" a="1"/>
  <c r="AC48" i="106" s="1"/>
  <c r="BL48" i="106" a="1"/>
  <c r="BL48" i="106" s="1"/>
  <c r="AA48" i="106" a="1"/>
  <c r="AA48" i="106" s="1"/>
  <c r="BU48" i="106" a="1"/>
  <c r="BU48" i="106" s="1"/>
  <c r="BK48" i="106" a="1"/>
  <c r="BK48" i="106" s="1"/>
  <c r="BC48" i="106" a="1"/>
  <c r="BC48" i="106" s="1"/>
  <c r="AT48" i="106" a="1"/>
  <c r="AT48" i="106" s="1"/>
  <c r="BJ48" i="106" a="1"/>
  <c r="BJ48" i="106" s="1"/>
  <c r="BB48" i="106" a="1"/>
  <c r="BB48" i="106" s="1"/>
  <c r="AR48" i="106" a="1"/>
  <c r="AR48" i="106" s="1"/>
  <c r="AI48" i="106" a="1"/>
  <c r="AI48" i="106" s="1"/>
  <c r="BT48" i="106" a="1"/>
  <c r="BT48" i="106" s="1"/>
  <c r="AZ48" i="106" a="1"/>
  <c r="AZ48" i="106" s="1"/>
  <c r="AQ48" i="106" a="1"/>
  <c r="AQ48" i="106" s="1"/>
  <c r="BS48" i="106" a="1"/>
  <c r="BS48" i="106" s="1"/>
  <c r="AY48" i="106" a="1"/>
  <c r="AY48" i="106" s="1"/>
  <c r="AH48" i="106" a="1"/>
  <c r="AH48" i="106" s="1"/>
  <c r="BH48" i="106" a="1"/>
  <c r="BH48" i="106" s="1"/>
  <c r="AX48" i="106" a="1"/>
  <c r="AX48" i="106" s="1"/>
  <c r="AP48" i="106" a="1"/>
  <c r="AP48" i="106" s="1"/>
  <c r="AO48" i="106" a="1"/>
  <c r="AO48" i="106" s="1"/>
  <c r="AG48" i="106" a="1"/>
  <c r="AG48" i="106" s="1"/>
  <c r="BZ48" i="106" a="1"/>
  <c r="BZ48" i="106" s="1"/>
  <c r="BR48" i="106" a="1"/>
  <c r="BR48" i="106" s="1"/>
  <c r="Z48" i="106" a="1"/>
  <c r="Z48" i="106" s="1"/>
  <c r="BR24" i="106" a="1"/>
  <c r="BR24" i="106" s="1"/>
  <c r="BK24" i="106" a="1"/>
  <c r="BK24" i="106" s="1"/>
  <c r="AU24" i="106" a="1"/>
  <c r="AU24" i="106" s="1"/>
  <c r="AN24" i="106" a="1"/>
  <c r="AN24" i="106" s="1"/>
  <c r="AF24" i="106" a="1"/>
  <c r="AF24" i="106" s="1"/>
  <c r="BD24" i="106" a="1"/>
  <c r="BD24" i="106" s="1"/>
  <c r="AM24" i="106" a="1"/>
  <c r="AM24" i="106" s="1"/>
  <c r="AE24" i="106" a="1"/>
  <c r="AE24" i="106" s="1"/>
  <c r="BQ24" i="106" a="1"/>
  <c r="BQ24" i="106" s="1"/>
  <c r="BJ24" i="106" a="1"/>
  <c r="BJ24" i="106" s="1"/>
  <c r="BC24" i="106" a="1"/>
  <c r="BC24" i="106" s="1"/>
  <c r="AT24" i="106" a="1"/>
  <c r="AT24" i="106" s="1"/>
  <c r="AL24" i="106" a="1"/>
  <c r="AL24" i="106" s="1"/>
  <c r="AD24" i="106" a="1"/>
  <c r="AD24" i="106" s="1"/>
  <c r="CA24" i="106" a="1"/>
  <c r="CA24" i="106" s="1"/>
  <c r="BI24" i="106" a="1"/>
  <c r="BI24" i="106" s="1"/>
  <c r="AK24" i="106" a="1"/>
  <c r="AK24" i="106" s="1"/>
  <c r="BZ24" i="106" a="1"/>
  <c r="BZ24" i="106" s="1"/>
  <c r="BP24" i="106" a="1"/>
  <c r="BP24" i="106" s="1"/>
  <c r="BB24" i="106" a="1"/>
  <c r="BB24" i="106" s="1"/>
  <c r="AS24" i="106" a="1"/>
  <c r="AS24" i="106" s="1"/>
  <c r="AC24" i="106" a="1"/>
  <c r="AC24" i="106" s="1"/>
  <c r="BY24" i="106" a="1"/>
  <c r="BY24" i="106" s="1"/>
  <c r="BH24" i="106" a="1"/>
  <c r="BH24" i="106" s="1"/>
  <c r="BA24" i="106" a="1"/>
  <c r="BA24" i="106" s="1"/>
  <c r="AJ24" i="106" a="1"/>
  <c r="AJ24" i="106" s="1"/>
  <c r="BX24" i="106" a="1"/>
  <c r="BX24" i="106" s="1"/>
  <c r="BW24" i="106" a="1"/>
  <c r="BW24" i="106" s="1"/>
  <c r="BG24" i="106" a="1"/>
  <c r="BG24" i="106" s="1"/>
  <c r="AY24" i="106" a="1"/>
  <c r="AY24" i="106" s="1"/>
  <c r="AQ24" i="106" a="1"/>
  <c r="AQ24" i="106" s="1"/>
  <c r="AA24" i="106" a="1"/>
  <c r="AA24" i="106" s="1"/>
  <c r="BV24" i="106" a="1"/>
  <c r="BV24" i="106" s="1"/>
  <c r="BN24" i="106" a="1"/>
  <c r="BN24" i="106" s="1"/>
  <c r="AX24" i="106" a="1"/>
  <c r="AX24" i="106" s="1"/>
  <c r="AH24" i="106" a="1"/>
  <c r="AH24" i="106" s="1"/>
  <c r="BU24" i="106" a="1"/>
  <c r="BU24" i="106" s="1"/>
  <c r="BF24" i="106" a="1"/>
  <c r="BF24" i="106" s="1"/>
  <c r="AW24" i="106" a="1"/>
  <c r="AW24" i="106" s="1"/>
  <c r="AP24" i="106" a="1"/>
  <c r="AP24" i="106" s="1"/>
  <c r="BT24" i="106" a="1"/>
  <c r="BT24" i="106" s="1"/>
  <c r="BM24" i="106" a="1"/>
  <c r="BM24" i="106" s="1"/>
  <c r="AV24" i="106" a="1"/>
  <c r="AV24" i="106" s="1"/>
  <c r="AG24" i="106" a="1"/>
  <c r="AG24" i="106" s="1"/>
  <c r="BS24" i="106" a="1"/>
  <c r="BS24" i="106" s="1"/>
  <c r="BL24" i="106" a="1"/>
  <c r="BL24" i="106" s="1"/>
  <c r="BE24" i="106" a="1"/>
  <c r="BE24" i="106" s="1"/>
  <c r="AO24" i="106" a="1"/>
  <c r="AO24" i="106" s="1"/>
  <c r="BO24" i="106" a="1"/>
  <c r="BO24" i="106" s="1"/>
  <c r="AZ24" i="106" a="1"/>
  <c r="AZ24" i="106" s="1"/>
  <c r="AR24" i="106" a="1"/>
  <c r="AR24" i="106" s="1"/>
  <c r="AI24" i="106" a="1"/>
  <c r="AI24" i="106" s="1"/>
  <c r="AB24" i="106" a="1"/>
  <c r="AB24" i="106" s="1"/>
  <c r="Z24" i="106" a="1"/>
  <c r="Z24" i="106" s="1"/>
  <c r="CA12" i="106" a="1"/>
  <c r="CA12" i="106" s="1"/>
  <c r="BS12" i="106" a="1"/>
  <c r="BS12" i="106" s="1"/>
  <c r="BJ12" i="106" a="1"/>
  <c r="BJ12" i="106" s="1"/>
  <c r="BA12" i="106" a="1"/>
  <c r="BA12" i="106" s="1"/>
  <c r="AI12" i="106" a="1"/>
  <c r="AI12" i="106" s="1"/>
  <c r="BZ12" i="106" a="1"/>
  <c r="BZ12" i="106" s="1"/>
  <c r="BR12" i="106" a="1"/>
  <c r="BR12" i="106" s="1"/>
  <c r="BI12" i="106" a="1"/>
  <c r="BI12" i="106" s="1"/>
  <c r="AZ12" i="106" a="1"/>
  <c r="AZ12" i="106" s="1"/>
  <c r="AQ12" i="106" a="1"/>
  <c r="AQ12" i="106" s="1"/>
  <c r="AH12" i="106" a="1"/>
  <c r="AH12" i="106" s="1"/>
  <c r="BQ12" i="106" a="1"/>
  <c r="BQ12" i="106" s="1"/>
  <c r="AY12" i="106" a="1"/>
  <c r="AY12" i="106" s="1"/>
  <c r="AP12" i="106" a="1"/>
  <c r="AP12" i="106" s="1"/>
  <c r="AG12" i="106" a="1"/>
  <c r="AG12" i="106" s="1"/>
  <c r="BY12" i="106" a="1"/>
  <c r="BY12" i="106" s="1"/>
  <c r="BP12" i="106" a="1"/>
  <c r="BP12" i="106" s="1"/>
  <c r="BH12" i="106" a="1"/>
  <c r="BH12" i="106" s="1"/>
  <c r="AF12" i="106" a="1"/>
  <c r="AF12" i="106" s="1"/>
  <c r="BW12" i="106" a="1"/>
  <c r="BW12" i="106" s="1"/>
  <c r="BO12" i="106" a="1"/>
  <c r="BO12" i="106" s="1"/>
  <c r="BF12" i="106" a="1"/>
  <c r="BF12" i="106" s="1"/>
  <c r="AW12" i="106" a="1"/>
  <c r="AW12" i="106" s="1"/>
  <c r="AN12" i="106" a="1"/>
  <c r="AN12" i="106" s="1"/>
  <c r="AE12" i="106" a="1"/>
  <c r="AE12" i="106" s="1"/>
  <c r="BN12" i="106" a="1"/>
  <c r="BN12" i="106" s="1"/>
  <c r="BE12" i="106" a="1"/>
  <c r="BE12" i="106" s="1"/>
  <c r="AM12" i="106" a="1"/>
  <c r="AM12" i="106" s="1"/>
  <c r="AD12" i="106" a="1"/>
  <c r="AD12" i="106" s="1"/>
  <c r="BV12" i="106" a="1"/>
  <c r="BV12" i="106" s="1"/>
  <c r="BD12" i="106" a="1"/>
  <c r="BD12" i="106" s="1"/>
  <c r="AV12" i="106" a="1"/>
  <c r="AV12" i="106" s="1"/>
  <c r="BU12" i="106" a="1"/>
  <c r="BU12" i="106" s="1"/>
  <c r="BM12" i="106" a="1"/>
  <c r="BM12" i="106" s="1"/>
  <c r="AU12" i="106" a="1"/>
  <c r="AU12" i="106" s="1"/>
  <c r="AL12" i="106" a="1"/>
  <c r="AL12" i="106" s="1"/>
  <c r="AC12" i="106" a="1"/>
  <c r="AC12" i="106" s="1"/>
  <c r="BL12" i="106" a="1"/>
  <c r="BL12" i="106" s="1"/>
  <c r="BC12" i="106" a="1"/>
  <c r="BC12" i="106" s="1"/>
  <c r="AT12" i="106" a="1"/>
  <c r="AT12" i="106" s="1"/>
  <c r="AK12" i="106" a="1"/>
  <c r="AK12" i="106" s="1"/>
  <c r="AB12" i="106" a="1"/>
  <c r="AB12" i="106" s="1"/>
  <c r="AR12" i="106" a="1"/>
  <c r="AR12" i="106" s="1"/>
  <c r="AJ12" i="106" a="1"/>
  <c r="AJ12" i="106" s="1"/>
  <c r="AA12" i="106" a="1"/>
  <c r="AA12" i="106" s="1"/>
  <c r="BX12" i="106" a="1"/>
  <c r="BX12" i="106" s="1"/>
  <c r="Z12" i="106" a="1"/>
  <c r="Z12" i="106" s="1"/>
  <c r="BT12" i="106" a="1"/>
  <c r="BT12" i="106" s="1"/>
  <c r="BK12" i="106" a="1"/>
  <c r="BK12" i="106" s="1"/>
  <c r="BG12" i="106" a="1"/>
  <c r="BG12" i="106" s="1"/>
  <c r="BB12" i="106" a="1"/>
  <c r="BB12" i="106" s="1"/>
  <c r="AX12" i="106" a="1"/>
  <c r="AX12" i="106" s="1"/>
  <c r="AS12" i="106" a="1"/>
  <c r="AS12" i="106" s="1"/>
  <c r="AO12" i="106" a="1"/>
  <c r="AO12" i="106" s="1"/>
  <c r="BX59" i="106" a="1"/>
  <c r="BX59" i="106" s="1"/>
  <c r="BN59" i="106" a="1"/>
  <c r="BN59" i="106" s="1"/>
  <c r="BD59" i="106" a="1"/>
  <c r="BD59" i="106" s="1"/>
  <c r="AK59" i="106" a="1"/>
  <c r="AK59" i="106" s="1"/>
  <c r="BW59" i="106" a="1"/>
  <c r="BW59" i="106" s="1"/>
  <c r="BM59" i="106" a="1"/>
  <c r="BM59" i="106" s="1"/>
  <c r="BC59" i="106" a="1"/>
  <c r="BC59" i="106" s="1"/>
  <c r="AT59" i="106" a="1"/>
  <c r="AT59" i="106" s="1"/>
  <c r="AJ59" i="106" a="1"/>
  <c r="AJ59" i="106" s="1"/>
  <c r="BV59" i="106" a="1"/>
  <c r="BV59" i="106" s="1"/>
  <c r="AS59" i="106" a="1"/>
  <c r="AS59" i="106" s="1"/>
  <c r="AI59" i="106" a="1"/>
  <c r="AI59" i="106" s="1"/>
  <c r="BU59" i="106" a="1"/>
  <c r="BU59" i="106" s="1"/>
  <c r="BL59" i="106" a="1"/>
  <c r="BL59" i="106" s="1"/>
  <c r="BB59" i="106" a="1"/>
  <c r="BB59" i="106" s="1"/>
  <c r="AR59" i="106" a="1"/>
  <c r="AR59" i="106" s="1"/>
  <c r="AH59" i="106" a="1"/>
  <c r="AH59" i="106" s="1"/>
  <c r="BK59" i="106" a="1"/>
  <c r="BK59" i="106" s="1"/>
  <c r="BA59" i="106" a="1"/>
  <c r="BA59" i="106" s="1"/>
  <c r="AQ59" i="106" a="1"/>
  <c r="AQ59" i="106" s="1"/>
  <c r="AG59" i="106" a="1"/>
  <c r="AG59" i="106" s="1"/>
  <c r="BT59" i="106" a="1"/>
  <c r="BT59" i="106" s="1"/>
  <c r="BJ59" i="106" a="1"/>
  <c r="BJ59" i="106" s="1"/>
  <c r="AZ59" i="106" a="1"/>
  <c r="AZ59" i="106" s="1"/>
  <c r="AP59" i="106" a="1"/>
  <c r="AP59" i="106" s="1"/>
  <c r="AF59" i="106" a="1"/>
  <c r="AF59" i="106" s="1"/>
  <c r="BS59" i="106" a="1"/>
  <c r="BS59" i="106" s="1"/>
  <c r="AY59" i="106" a="1"/>
  <c r="AY59" i="106" s="1"/>
  <c r="AO59" i="106" a="1"/>
  <c r="AO59" i="106" s="1"/>
  <c r="AE59" i="106" a="1"/>
  <c r="AE59" i="106" s="1"/>
  <c r="BI59" i="106" a="1"/>
  <c r="BI59" i="106" s="1"/>
  <c r="AX59" i="106" a="1"/>
  <c r="AX59" i="106" s="1"/>
  <c r="CA59" i="106" a="1"/>
  <c r="CA59" i="106" s="1"/>
  <c r="BR59" i="106" a="1"/>
  <c r="BR59" i="106" s="1"/>
  <c r="BH59" i="106" a="1"/>
  <c r="BH59" i="106" s="1"/>
  <c r="AW59" i="106" a="1"/>
  <c r="AW59" i="106" s="1"/>
  <c r="AN59" i="106" a="1"/>
  <c r="AN59" i="106" s="1"/>
  <c r="AD59" i="106" a="1"/>
  <c r="AD59" i="106" s="1"/>
  <c r="BQ59" i="106" a="1"/>
  <c r="BQ59" i="106" s="1"/>
  <c r="BG59" i="106" a="1"/>
  <c r="BG59" i="106" s="1"/>
  <c r="AM59" i="106" a="1"/>
  <c r="AM59" i="106" s="1"/>
  <c r="AC59" i="106" a="1"/>
  <c r="AC59" i="106" s="1"/>
  <c r="BZ59" i="106" a="1"/>
  <c r="BZ59" i="106" s="1"/>
  <c r="BP59" i="106" a="1"/>
  <c r="BP59" i="106" s="1"/>
  <c r="BF59" i="106" a="1"/>
  <c r="BF59" i="106" s="1"/>
  <c r="AV59" i="106" a="1"/>
  <c r="AV59" i="106" s="1"/>
  <c r="AL59" i="106" a="1"/>
  <c r="AL59" i="106" s="1"/>
  <c r="AB59" i="106" a="1"/>
  <c r="AB59" i="106" s="1"/>
  <c r="BE59" i="106" a="1"/>
  <c r="BE59" i="106" s="1"/>
  <c r="AU59" i="106" a="1"/>
  <c r="AU59" i="106" s="1"/>
  <c r="AA59" i="106" a="1"/>
  <c r="AA59" i="106" s="1"/>
  <c r="BY59" i="106" a="1"/>
  <c r="BY59" i="106" s="1"/>
  <c r="BO59" i="106" a="1"/>
  <c r="BO59" i="106" s="1"/>
  <c r="Z59" i="106" a="1"/>
  <c r="Z59" i="106" s="1"/>
  <c r="BO23" i="106" a="1"/>
  <c r="BO23" i="106" s="1"/>
  <c r="AX23" i="106" a="1"/>
  <c r="AX23" i="106" s="1"/>
  <c r="AQ23" i="106" a="1"/>
  <c r="AQ23" i="106" s="1"/>
  <c r="BV23" i="106" a="1"/>
  <c r="BV23" i="106" s="1"/>
  <c r="BN23" i="106" a="1"/>
  <c r="BN23" i="106" s="1"/>
  <c r="BF23" i="106" a="1"/>
  <c r="BF23" i="106" s="1"/>
  <c r="AP23" i="106" a="1"/>
  <c r="AP23" i="106" s="1"/>
  <c r="AG23" i="106" a="1"/>
  <c r="AG23" i="106" s="1"/>
  <c r="BU23" i="106" a="1"/>
  <c r="BU23" i="106" s="1"/>
  <c r="BM23" i="106" a="1"/>
  <c r="BM23" i="106" s="1"/>
  <c r="AW23" i="106" a="1"/>
  <c r="AW23" i="106" s="1"/>
  <c r="BT23" i="106" a="1"/>
  <c r="BT23" i="106" s="1"/>
  <c r="BL23" i="106" a="1"/>
  <c r="BL23" i="106" s="1"/>
  <c r="BE23" i="106" a="1"/>
  <c r="BE23" i="106" s="1"/>
  <c r="AV23" i="106" a="1"/>
  <c r="AV23" i="106" s="1"/>
  <c r="AO23" i="106" a="1"/>
  <c r="AO23" i="106" s="1"/>
  <c r="AF23" i="106" a="1"/>
  <c r="AF23" i="106" s="1"/>
  <c r="BK23" i="106" a="1"/>
  <c r="BK23" i="106" s="1"/>
  <c r="AN23" i="106" a="1"/>
  <c r="AN23" i="106" s="1"/>
  <c r="BZ23" i="106" a="1"/>
  <c r="BZ23" i="106" s="1"/>
  <c r="BR23" i="106" a="1"/>
  <c r="BR23" i="106" s="1"/>
  <c r="BB23" i="106" a="1"/>
  <c r="BB23" i="106" s="1"/>
  <c r="AK23" i="106" a="1"/>
  <c r="AK23" i="106" s="1"/>
  <c r="BY23" i="106" a="1"/>
  <c r="BY23" i="106" s="1"/>
  <c r="BI23" i="106" a="1"/>
  <c r="BI23" i="106" s="1"/>
  <c r="BA23" i="106" a="1"/>
  <c r="BA23" i="106" s="1"/>
  <c r="AS23" i="106" a="1"/>
  <c r="AS23" i="106" s="1"/>
  <c r="AJ23" i="106" a="1"/>
  <c r="AJ23" i="106" s="1"/>
  <c r="AC23" i="106" a="1"/>
  <c r="AC23" i="106" s="1"/>
  <c r="BX23" i="106" a="1"/>
  <c r="BX23" i="106" s="1"/>
  <c r="BQ23" i="106" a="1"/>
  <c r="BQ23" i="106" s="1"/>
  <c r="BH23" i="106" a="1"/>
  <c r="BH23" i="106" s="1"/>
  <c r="AI23" i="106" a="1"/>
  <c r="AI23" i="106" s="1"/>
  <c r="BP23" i="106" a="1"/>
  <c r="BP23" i="106" s="1"/>
  <c r="AZ23" i="106" a="1"/>
  <c r="AZ23" i="106" s="1"/>
  <c r="AR23" i="106" a="1"/>
  <c r="AR23" i="106" s="1"/>
  <c r="AB23" i="106" a="1"/>
  <c r="AB23" i="106" s="1"/>
  <c r="BW23" i="106" a="1"/>
  <c r="BW23" i="106" s="1"/>
  <c r="BG23" i="106" a="1"/>
  <c r="BG23" i="106" s="1"/>
  <c r="AY23" i="106" a="1"/>
  <c r="AY23" i="106" s="1"/>
  <c r="AH23" i="106" a="1"/>
  <c r="AH23" i="106" s="1"/>
  <c r="AA23" i="106" a="1"/>
  <c r="AA23" i="106" s="1"/>
  <c r="BJ23" i="106" a="1"/>
  <c r="BJ23" i="106" s="1"/>
  <c r="BD23" i="106" a="1"/>
  <c r="BD23" i="106" s="1"/>
  <c r="BC23" i="106" a="1"/>
  <c r="BC23" i="106" s="1"/>
  <c r="AU23" i="106" a="1"/>
  <c r="AU23" i="106" s="1"/>
  <c r="AT23" i="106" a="1"/>
  <c r="AT23" i="106" s="1"/>
  <c r="AM23" i="106" a="1"/>
  <c r="AM23" i="106" s="1"/>
  <c r="AL23" i="106" a="1"/>
  <c r="AL23" i="106" s="1"/>
  <c r="AE23" i="106" a="1"/>
  <c r="AE23" i="106" s="1"/>
  <c r="CA23" i="106" a="1"/>
  <c r="CA23" i="106" s="1"/>
  <c r="AD23" i="106" a="1"/>
  <c r="AD23" i="106" s="1"/>
  <c r="BS23" i="106" a="1"/>
  <c r="BS23" i="106" s="1"/>
  <c r="Z23" i="106" a="1"/>
  <c r="Z23" i="106" s="1"/>
  <c r="BV11" i="106" a="1"/>
  <c r="BV11" i="106" s="1"/>
  <c r="BL11" i="106" a="1"/>
  <c r="BL11" i="106" s="1"/>
  <c r="BB11" i="106" a="1"/>
  <c r="BB11" i="106" s="1"/>
  <c r="BK11" i="106" a="1"/>
  <c r="BK11" i="106" s="1"/>
  <c r="BA11" i="106" a="1"/>
  <c r="BA11" i="106" s="1"/>
  <c r="AP11" i="106" a="1"/>
  <c r="AP11" i="106" s="1"/>
  <c r="AE11" i="106" a="1"/>
  <c r="AE11" i="106" s="1"/>
  <c r="BU11" i="106" a="1"/>
  <c r="BU11" i="106" s="1"/>
  <c r="BJ11" i="106" a="1"/>
  <c r="BJ11" i="106" s="1"/>
  <c r="AO11" i="106" a="1"/>
  <c r="AO11" i="106" s="1"/>
  <c r="BR11" i="106" a="1"/>
  <c r="BR11" i="106" s="1"/>
  <c r="BH11" i="106" a="1"/>
  <c r="BH11" i="106" s="1"/>
  <c r="AX11" i="106" a="1"/>
  <c r="AX11" i="106" s="1"/>
  <c r="AL11" i="106" a="1"/>
  <c r="AL11" i="106" s="1"/>
  <c r="AB11" i="106" a="1"/>
  <c r="AB11" i="106" s="1"/>
  <c r="CA11" i="106" a="1"/>
  <c r="CA11" i="106" s="1"/>
  <c r="BQ11" i="106" a="1"/>
  <c r="BQ11" i="106" s="1"/>
  <c r="AW11" i="106" a="1"/>
  <c r="AW11" i="106" s="1"/>
  <c r="AA11" i="106" a="1"/>
  <c r="AA11" i="106" s="1"/>
  <c r="BZ11" i="106" a="1"/>
  <c r="BZ11" i="106" s="1"/>
  <c r="BP11" i="106" a="1"/>
  <c r="BP11" i="106" s="1"/>
  <c r="BG11" i="106" a="1"/>
  <c r="BG11" i="106" s="1"/>
  <c r="AV11" i="106" a="1"/>
  <c r="AV11" i="106" s="1"/>
  <c r="AK11" i="106" a="1"/>
  <c r="AK11" i="106" s="1"/>
  <c r="BY11" i="106" a="1"/>
  <c r="BY11" i="106" s="1"/>
  <c r="BO11" i="106" a="1"/>
  <c r="BO11" i="106" s="1"/>
  <c r="BF11" i="106" a="1"/>
  <c r="BF11" i="106" s="1"/>
  <c r="AU11" i="106" a="1"/>
  <c r="AU11" i="106" s="1"/>
  <c r="AJ11" i="106" a="1"/>
  <c r="AJ11" i="106" s="1"/>
  <c r="BE11" i="106" a="1"/>
  <c r="BE11" i="106" s="1"/>
  <c r="AT11" i="106" a="1"/>
  <c r="AT11" i="106" s="1"/>
  <c r="BI11" i="106" a="1"/>
  <c r="BI11" i="106" s="1"/>
  <c r="AG11" i="106" a="1"/>
  <c r="AG11" i="106" s="1"/>
  <c r="BD11" i="106" a="1"/>
  <c r="BD11" i="106" s="1"/>
  <c r="AF11" i="106" a="1"/>
  <c r="AF11" i="106" s="1"/>
  <c r="BC11" i="106" a="1"/>
  <c r="BC11" i="106" s="1"/>
  <c r="AD11" i="106" a="1"/>
  <c r="AD11" i="106" s="1"/>
  <c r="AZ11" i="106" a="1"/>
  <c r="AZ11" i="106" s="1"/>
  <c r="AC11" i="106" a="1"/>
  <c r="AC11" i="106" s="1"/>
  <c r="AY11" i="106" a="1"/>
  <c r="AY11" i="106" s="1"/>
  <c r="BW11" i="106" a="1"/>
  <c r="BW11" i="106" s="1"/>
  <c r="BX11" i="106" a="1"/>
  <c r="BX11" i="106" s="1"/>
  <c r="AS11" i="106" a="1"/>
  <c r="AS11" i="106" s="1"/>
  <c r="AR11" i="106" a="1"/>
  <c r="AR11" i="106" s="1"/>
  <c r="BT11" i="106" a="1"/>
  <c r="BT11" i="106" s="1"/>
  <c r="AQ11" i="106" a="1"/>
  <c r="AQ11" i="106" s="1"/>
  <c r="Z11" i="106" a="1"/>
  <c r="Z11" i="106" s="1"/>
  <c r="BS11" i="106" a="1"/>
  <c r="BS11" i="106" s="1"/>
  <c r="AN11" i="106" a="1"/>
  <c r="AN11" i="106" s="1"/>
  <c r="BN11" i="106" a="1"/>
  <c r="BN11" i="106" s="1"/>
  <c r="AM11" i="106" a="1"/>
  <c r="AM11" i="106" s="1"/>
  <c r="BM11" i="106" a="1"/>
  <c r="BM11" i="106" s="1"/>
  <c r="AI11" i="106" a="1"/>
  <c r="AI11" i="106" s="1"/>
  <c r="AH11" i="106" a="1"/>
  <c r="AH11" i="106" s="1"/>
  <c r="BX58" i="106" a="1"/>
  <c r="BX58" i="106" s="1"/>
  <c r="BN58" i="106" a="1"/>
  <c r="BN58" i="106" s="1"/>
  <c r="BD58" i="106" a="1"/>
  <c r="BD58" i="106" s="1"/>
  <c r="AS58" i="106" a="1"/>
  <c r="AS58" i="106" s="1"/>
  <c r="AH58" i="106" a="1"/>
  <c r="AH58" i="106" s="1"/>
  <c r="BC58" i="106" a="1"/>
  <c r="BC58" i="106" s="1"/>
  <c r="AR58" i="106" a="1"/>
  <c r="AR58" i="106" s="1"/>
  <c r="AG58" i="106" a="1"/>
  <c r="AG58" i="106" s="1"/>
  <c r="BW58" i="106" a="1"/>
  <c r="BW58" i="106" s="1"/>
  <c r="BM58" i="106" a="1"/>
  <c r="BM58" i="106" s="1"/>
  <c r="BB58" i="106" a="1"/>
  <c r="BB58" i="106" s="1"/>
  <c r="AQ58" i="106" a="1"/>
  <c r="AQ58" i="106" s="1"/>
  <c r="AF58" i="106" a="1"/>
  <c r="AF58" i="106" s="1"/>
  <c r="BV58" i="106" a="1"/>
  <c r="BV58" i="106" s="1"/>
  <c r="BL58" i="106" a="1"/>
  <c r="BL58" i="106" s="1"/>
  <c r="BA58" i="106" a="1"/>
  <c r="BA58" i="106" s="1"/>
  <c r="AP58" i="106" a="1"/>
  <c r="AP58" i="106" s="1"/>
  <c r="AE58" i="106" a="1"/>
  <c r="AE58" i="106" s="1"/>
  <c r="BU58" i="106" a="1"/>
  <c r="BU58" i="106" s="1"/>
  <c r="BK58" i="106" a="1"/>
  <c r="BK58" i="106" s="1"/>
  <c r="AZ58" i="106" a="1"/>
  <c r="AZ58" i="106" s="1"/>
  <c r="AO58" i="106" a="1"/>
  <c r="AO58" i="106" s="1"/>
  <c r="BJ58" i="106" a="1"/>
  <c r="BJ58" i="106" s="1"/>
  <c r="AN58" i="106" a="1"/>
  <c r="AN58" i="106" s="1"/>
  <c r="AD58" i="106" a="1"/>
  <c r="AD58" i="106" s="1"/>
  <c r="BT58" i="106" a="1"/>
  <c r="BT58" i="106" s="1"/>
  <c r="BI58" i="106" a="1"/>
  <c r="BI58" i="106" s="1"/>
  <c r="AY58" i="106" a="1"/>
  <c r="AY58" i="106" s="1"/>
  <c r="AM58" i="106" a="1"/>
  <c r="AM58" i="106" s="1"/>
  <c r="AC58" i="106" a="1"/>
  <c r="AC58" i="106" s="1"/>
  <c r="BS58" i="106" a="1"/>
  <c r="BS58" i="106" s="1"/>
  <c r="BH58" i="106" a="1"/>
  <c r="BH58" i="106" s="1"/>
  <c r="AX58" i="106" a="1"/>
  <c r="AX58" i="106" s="1"/>
  <c r="AL58" i="106" a="1"/>
  <c r="AL58" i="106" s="1"/>
  <c r="AB58" i="106" a="1"/>
  <c r="AB58" i="106" s="1"/>
  <c r="CA58" i="106" a="1"/>
  <c r="CA58" i="106" s="1"/>
  <c r="BR58" i="106" a="1"/>
  <c r="BR58" i="106" s="1"/>
  <c r="AW58" i="106" a="1"/>
  <c r="AW58" i="106" s="1"/>
  <c r="AK58" i="106" a="1"/>
  <c r="AK58" i="106" s="1"/>
  <c r="BQ58" i="106" a="1"/>
  <c r="BQ58" i="106" s="1"/>
  <c r="BG58" i="106" a="1"/>
  <c r="BG58" i="106" s="1"/>
  <c r="AV58" i="106" a="1"/>
  <c r="AV58" i="106" s="1"/>
  <c r="AJ58" i="106" a="1"/>
  <c r="AJ58" i="106" s="1"/>
  <c r="AA58" i="106" a="1"/>
  <c r="AA58" i="106" s="1"/>
  <c r="BZ58" i="106" a="1"/>
  <c r="BZ58" i="106" s="1"/>
  <c r="BP58" i="106" a="1"/>
  <c r="BP58" i="106" s="1"/>
  <c r="BF58" i="106" a="1"/>
  <c r="BF58" i="106" s="1"/>
  <c r="AU58" i="106" a="1"/>
  <c r="AU58" i="106" s="1"/>
  <c r="BY58" i="106" a="1"/>
  <c r="BY58" i="106" s="1"/>
  <c r="BO58" i="106" a="1"/>
  <c r="BO58" i="106" s="1"/>
  <c r="BE58" i="106" a="1"/>
  <c r="BE58" i="106" s="1"/>
  <c r="AT58" i="106" a="1"/>
  <c r="AT58" i="106" s="1"/>
  <c r="AI58" i="106" a="1"/>
  <c r="AI58" i="106" s="1"/>
  <c r="Z58" i="106" a="1"/>
  <c r="Z58" i="106" s="1"/>
  <c r="BY22" i="106" a="1"/>
  <c r="BY22" i="106" s="1"/>
  <c r="BP22" i="106" a="1"/>
  <c r="BP22" i="106" s="1"/>
  <c r="BG22" i="106" a="1"/>
  <c r="BG22" i="106" s="1"/>
  <c r="AZ22" i="106" a="1"/>
  <c r="AZ22" i="106" s="1"/>
  <c r="AA22" i="106" a="1"/>
  <c r="AA22" i="106" s="1"/>
  <c r="BX22" i="106" a="1"/>
  <c r="BX22" i="106" s="1"/>
  <c r="AY22" i="106" a="1"/>
  <c r="AY22" i="106" s="1"/>
  <c r="AQ22" i="106" a="1"/>
  <c r="AQ22" i="106" s="1"/>
  <c r="AH22" i="106" a="1"/>
  <c r="AH22" i="106" s="1"/>
  <c r="BO22" i="106" a="1"/>
  <c r="BO22" i="106" s="1"/>
  <c r="BF22" i="106" a="1"/>
  <c r="BF22" i="106" s="1"/>
  <c r="AX22" i="106" a="1"/>
  <c r="AX22" i="106" s="1"/>
  <c r="AP22" i="106" a="1"/>
  <c r="AP22" i="106" s="1"/>
  <c r="BW22" i="106" a="1"/>
  <c r="BW22" i="106" s="1"/>
  <c r="AO22" i="106" a="1"/>
  <c r="AO22" i="106" s="1"/>
  <c r="AG22" i="106" a="1"/>
  <c r="AG22" i="106" s="1"/>
  <c r="BV22" i="106" a="1"/>
  <c r="BV22" i="106" s="1"/>
  <c r="BN22" i="106" a="1"/>
  <c r="BN22" i="106" s="1"/>
  <c r="BE22" i="106" a="1"/>
  <c r="BE22" i="106" s="1"/>
  <c r="AW22" i="106" a="1"/>
  <c r="AW22" i="106" s="1"/>
  <c r="AN22" i="106" a="1"/>
  <c r="AN22" i="106" s="1"/>
  <c r="BS22" i="106" a="1"/>
  <c r="BS22" i="106" s="1"/>
  <c r="BK22" i="106" a="1"/>
  <c r="BK22" i="106" s="1"/>
  <c r="BC22" i="106" a="1"/>
  <c r="BC22" i="106" s="1"/>
  <c r="AT22" i="106" a="1"/>
  <c r="AT22" i="106" s="1"/>
  <c r="AL22" i="106" a="1"/>
  <c r="AL22" i="106" s="1"/>
  <c r="AE22" i="106" a="1"/>
  <c r="AE22" i="106" s="1"/>
  <c r="AK22" i="106" a="1"/>
  <c r="AK22" i="106" s="1"/>
  <c r="CA22" i="106" a="1"/>
  <c r="CA22" i="106" s="1"/>
  <c r="BR22" i="106" a="1"/>
  <c r="BR22" i="106" s="1"/>
  <c r="BJ22" i="106" a="1"/>
  <c r="BJ22" i="106" s="1"/>
  <c r="BB22" i="106" a="1"/>
  <c r="BB22" i="106" s="1"/>
  <c r="AS22" i="106" a="1"/>
  <c r="AS22" i="106" s="1"/>
  <c r="AD22" i="106" a="1"/>
  <c r="AD22" i="106" s="1"/>
  <c r="BI22" i="106" a="1"/>
  <c r="BI22" i="106" s="1"/>
  <c r="BA22" i="106" a="1"/>
  <c r="BA22" i="106" s="1"/>
  <c r="AJ22" i="106" a="1"/>
  <c r="AJ22" i="106" s="1"/>
  <c r="AC22" i="106" a="1"/>
  <c r="AC22" i="106" s="1"/>
  <c r="BZ22" i="106" a="1"/>
  <c r="BZ22" i="106" s="1"/>
  <c r="BQ22" i="106" a="1"/>
  <c r="BQ22" i="106" s="1"/>
  <c r="BH22" i="106" a="1"/>
  <c r="BH22" i="106" s="1"/>
  <c r="AR22" i="106" a="1"/>
  <c r="AR22" i="106" s="1"/>
  <c r="AI22" i="106" a="1"/>
  <c r="AI22" i="106" s="1"/>
  <c r="AB22" i="106" a="1"/>
  <c r="AB22" i="106" s="1"/>
  <c r="BT22" i="106" a="1"/>
  <c r="BT22" i="106" s="1"/>
  <c r="BM22" i="106" a="1"/>
  <c r="BM22" i="106" s="1"/>
  <c r="BL22" i="106" a="1"/>
  <c r="BL22" i="106" s="1"/>
  <c r="BD22" i="106" a="1"/>
  <c r="BD22" i="106" s="1"/>
  <c r="AV22" i="106" a="1"/>
  <c r="AV22" i="106" s="1"/>
  <c r="AU22" i="106" a="1"/>
  <c r="AU22" i="106" s="1"/>
  <c r="AM22" i="106" a="1"/>
  <c r="AM22" i="106" s="1"/>
  <c r="AF22" i="106" a="1"/>
  <c r="AF22" i="106" s="1"/>
  <c r="BU22" i="106" a="1"/>
  <c r="BU22" i="106" s="1"/>
  <c r="Z22" i="106" a="1"/>
  <c r="Z22" i="106" s="1"/>
  <c r="BQ10" i="106" a="1"/>
  <c r="BQ10" i="106" s="1"/>
  <c r="BF10" i="106" a="1"/>
  <c r="BF10" i="106" s="1"/>
  <c r="AU10" i="106" a="1"/>
  <c r="AU10" i="106" s="1"/>
  <c r="AK10" i="106" a="1"/>
  <c r="AK10" i="106" s="1"/>
  <c r="CA10" i="106" a="1"/>
  <c r="CA10" i="106" s="1"/>
  <c r="BP10" i="106" a="1"/>
  <c r="BP10" i="106" s="1"/>
  <c r="BX10" i="106" a="1"/>
  <c r="BX10" i="106" s="1"/>
  <c r="BM10" i="106" a="1"/>
  <c r="BM10" i="106" s="1"/>
  <c r="BB10" i="106" a="1"/>
  <c r="BB10" i="106" s="1"/>
  <c r="AR10" i="106" a="1"/>
  <c r="AR10" i="106" s="1"/>
  <c r="AG10" i="106" a="1"/>
  <c r="AG10" i="106" s="1"/>
  <c r="BL10" i="106" a="1"/>
  <c r="BL10" i="106" s="1"/>
  <c r="AQ10" i="106" a="1"/>
  <c r="AQ10" i="106" s="1"/>
  <c r="AF10" i="106" a="1"/>
  <c r="AF10" i="106" s="1"/>
  <c r="BW10" i="106" a="1"/>
  <c r="BW10" i="106" s="1"/>
  <c r="BT10" i="106" a="1"/>
  <c r="BT10" i="106" s="1"/>
  <c r="BD10" i="106" a="1"/>
  <c r="BD10" i="106" s="1"/>
  <c r="AO10" i="106" a="1"/>
  <c r="AO10" i="106" s="1"/>
  <c r="AA10" i="106" a="1"/>
  <c r="AA10" i="106" s="1"/>
  <c r="BS10" i="106" a="1"/>
  <c r="BS10" i="106" s="1"/>
  <c r="BC10" i="106" a="1"/>
  <c r="BC10" i="106" s="1"/>
  <c r="AN10" i="106" a="1"/>
  <c r="AN10" i="106" s="1"/>
  <c r="BR10" i="106" a="1"/>
  <c r="BR10" i="106" s="1"/>
  <c r="BA10" i="106" a="1"/>
  <c r="BA10" i="106" s="1"/>
  <c r="BO10" i="106" a="1"/>
  <c r="BO10" i="106" s="1"/>
  <c r="AZ10" i="106" a="1"/>
  <c r="AZ10" i="106" s="1"/>
  <c r="AM10" i="106" a="1"/>
  <c r="AM10" i="106" s="1"/>
  <c r="BJ10" i="106" a="1"/>
  <c r="BJ10" i="106" s="1"/>
  <c r="BN10" i="106" a="1"/>
  <c r="BN10" i="106" s="1"/>
  <c r="AY10" i="106" a="1"/>
  <c r="AY10" i="106" s="1"/>
  <c r="AL10" i="106" a="1"/>
  <c r="AL10" i="106" s="1"/>
  <c r="AW10" i="106" a="1"/>
  <c r="AW10" i="106" s="1"/>
  <c r="BK10" i="106" a="1"/>
  <c r="BK10" i="106" s="1"/>
  <c r="AX10" i="106" a="1"/>
  <c r="AX10" i="106" s="1"/>
  <c r="AJ10" i="106" a="1"/>
  <c r="AJ10" i="106" s="1"/>
  <c r="AI10" i="106" a="1"/>
  <c r="AI10" i="106" s="1"/>
  <c r="BI10" i="106" a="1"/>
  <c r="BI10" i="106" s="1"/>
  <c r="AV10" i="106" a="1"/>
  <c r="AV10" i="106" s="1"/>
  <c r="AH10" i="106" a="1"/>
  <c r="AH10" i="106" s="1"/>
  <c r="BZ10" i="106" a="1"/>
  <c r="BZ10" i="106" s="1"/>
  <c r="AE10" i="106" a="1"/>
  <c r="AE10" i="106" s="1"/>
  <c r="Z10" i="106" a="1"/>
  <c r="Z10" i="106" s="1"/>
  <c r="BY10" i="106" a="1"/>
  <c r="BY10" i="106" s="1"/>
  <c r="BH10" i="106" a="1"/>
  <c r="BH10" i="106" s="1"/>
  <c r="AT10" i="106" a="1"/>
  <c r="AT10" i="106" s="1"/>
  <c r="AD10" i="106" a="1"/>
  <c r="AD10" i="106" s="1"/>
  <c r="BV10" i="106" a="1"/>
  <c r="BV10" i="106" s="1"/>
  <c r="BG10" i="106" a="1"/>
  <c r="BG10" i="106" s="1"/>
  <c r="AS10" i="106" a="1"/>
  <c r="AS10" i="106" s="1"/>
  <c r="AC10" i="106" a="1"/>
  <c r="AC10" i="106" s="1"/>
  <c r="BU10" i="106" a="1"/>
  <c r="BU10" i="106" s="1"/>
  <c r="BE10" i="106" a="1"/>
  <c r="BE10" i="106" s="1"/>
  <c r="AP10" i="106" a="1"/>
  <c r="AP10" i="106" s="1"/>
  <c r="AB10" i="106" a="1"/>
  <c r="AB10" i="106" s="1"/>
  <c r="BY56" i="106" a="1"/>
  <c r="BY56" i="106" s="1"/>
  <c r="BN56" i="106" a="1"/>
  <c r="BN56" i="106" s="1"/>
  <c r="BD56" i="106" a="1"/>
  <c r="BD56" i="106" s="1"/>
  <c r="AT56" i="106" a="1"/>
  <c r="AT56" i="106" s="1"/>
  <c r="AH56" i="106" a="1"/>
  <c r="AH56" i="106" s="1"/>
  <c r="BM56" i="106" a="1"/>
  <c r="BM56" i="106" s="1"/>
  <c r="BC56" i="106" a="1"/>
  <c r="BC56" i="106" s="1"/>
  <c r="AS56" i="106" a="1"/>
  <c r="AS56" i="106" s="1"/>
  <c r="AG56" i="106" a="1"/>
  <c r="AG56" i="106" s="1"/>
  <c r="BX56" i="106" a="1"/>
  <c r="BX56" i="106" s="1"/>
  <c r="BL56" i="106" a="1"/>
  <c r="BL56" i="106" s="1"/>
  <c r="BB56" i="106" a="1"/>
  <c r="BB56" i="106" s="1"/>
  <c r="AR56" i="106" a="1"/>
  <c r="AR56" i="106" s="1"/>
  <c r="AF56" i="106" a="1"/>
  <c r="AF56" i="106" s="1"/>
  <c r="BW56" i="106" a="1"/>
  <c r="BW56" i="106" s="1"/>
  <c r="BA56" i="106" a="1"/>
  <c r="BA56" i="106" s="1"/>
  <c r="AQ56" i="106" a="1"/>
  <c r="AQ56" i="106" s="1"/>
  <c r="BV56" i="106" a="1"/>
  <c r="BV56" i="106" s="1"/>
  <c r="BK56" i="106" a="1"/>
  <c r="BK56" i="106" s="1"/>
  <c r="AP56" i="106" a="1"/>
  <c r="AP56" i="106" s="1"/>
  <c r="AE56" i="106" a="1"/>
  <c r="AE56" i="106" s="1"/>
  <c r="BU56" i="106" a="1"/>
  <c r="BU56" i="106" s="1"/>
  <c r="BJ56" i="106" a="1"/>
  <c r="BJ56" i="106" s="1"/>
  <c r="AZ56" i="106" a="1"/>
  <c r="AZ56" i="106" s="1"/>
  <c r="AO56" i="106" a="1"/>
  <c r="AO56" i="106" s="1"/>
  <c r="AD56" i="106" a="1"/>
  <c r="AD56" i="106" s="1"/>
  <c r="BT56" i="106" a="1"/>
  <c r="BT56" i="106" s="1"/>
  <c r="BI56" i="106" a="1"/>
  <c r="BI56" i="106" s="1"/>
  <c r="AY56" i="106" a="1"/>
  <c r="AY56" i="106" s="1"/>
  <c r="AN56" i="106" a="1"/>
  <c r="AN56" i="106" s="1"/>
  <c r="AC56" i="106" a="1"/>
  <c r="AC56" i="106" s="1"/>
  <c r="BS56" i="106" a="1"/>
  <c r="BS56" i="106" s="1"/>
  <c r="BH56" i="106" a="1"/>
  <c r="BH56" i="106" s="1"/>
  <c r="AX56" i="106" a="1"/>
  <c r="AX56" i="106" s="1"/>
  <c r="AM56" i="106" a="1"/>
  <c r="AM56" i="106" s="1"/>
  <c r="AB56" i="106" a="1"/>
  <c r="AB56" i="106" s="1"/>
  <c r="BR56" i="106" a="1"/>
  <c r="BR56" i="106" s="1"/>
  <c r="BG56" i="106" a="1"/>
  <c r="BG56" i="106" s="1"/>
  <c r="AW56" i="106" a="1"/>
  <c r="AW56" i="106" s="1"/>
  <c r="AL56" i="106" a="1"/>
  <c r="AL56" i="106" s="1"/>
  <c r="AA56" i="106" a="1"/>
  <c r="AA56" i="106" s="1"/>
  <c r="BQ56" i="106" a="1"/>
  <c r="BQ56" i="106" s="1"/>
  <c r="AV56" i="106" a="1"/>
  <c r="AV56" i="106" s="1"/>
  <c r="AK56" i="106" a="1"/>
  <c r="AK56" i="106" s="1"/>
  <c r="CA56" i="106" a="1"/>
  <c r="CA56" i="106" s="1"/>
  <c r="BP56" i="106" a="1"/>
  <c r="BP56" i="106" s="1"/>
  <c r="BF56" i="106" a="1"/>
  <c r="BF56" i="106" s="1"/>
  <c r="AU56" i="106" a="1"/>
  <c r="AU56" i="106" s="1"/>
  <c r="AJ56" i="106" a="1"/>
  <c r="AJ56" i="106" s="1"/>
  <c r="BZ56" i="106" a="1"/>
  <c r="BZ56" i="106" s="1"/>
  <c r="BO56" i="106" a="1"/>
  <c r="BO56" i="106" s="1"/>
  <c r="BE56" i="106" a="1"/>
  <c r="BE56" i="106" s="1"/>
  <c r="AI56" i="106" a="1"/>
  <c r="AI56" i="106" s="1"/>
  <c r="Z56" i="106" a="1"/>
  <c r="Z56" i="106" s="1"/>
  <c r="BT57" i="106" a="1"/>
  <c r="BT57" i="106" s="1"/>
  <c r="BJ57" i="106" a="1"/>
  <c r="BJ57" i="106" s="1"/>
  <c r="AY57" i="106" a="1"/>
  <c r="AY57" i="106" s="1"/>
  <c r="AN57" i="106" a="1"/>
  <c r="AN57" i="106" s="1"/>
  <c r="AC57" i="106" a="1"/>
  <c r="AC57" i="106" s="1"/>
  <c r="BS57" i="106" a="1"/>
  <c r="BS57" i="106" s="1"/>
  <c r="BI57" i="106" a="1"/>
  <c r="BI57" i="106" s="1"/>
  <c r="AX57" i="106" a="1"/>
  <c r="AX57" i="106" s="1"/>
  <c r="AM57" i="106" a="1"/>
  <c r="AM57" i="106" s="1"/>
  <c r="BH57" i="106" a="1"/>
  <c r="BH57" i="106" s="1"/>
  <c r="AW57" i="106" a="1"/>
  <c r="AW57" i="106" s="1"/>
  <c r="AL57" i="106" a="1"/>
  <c r="AL57" i="106" s="1"/>
  <c r="AB57" i="106" a="1"/>
  <c r="AB57" i="106" s="1"/>
  <c r="BR57" i="106" a="1"/>
  <c r="BR57" i="106" s="1"/>
  <c r="BG57" i="106" a="1"/>
  <c r="BG57" i="106" s="1"/>
  <c r="AV57" i="106" a="1"/>
  <c r="AV57" i="106" s="1"/>
  <c r="AK57" i="106" a="1"/>
  <c r="AK57" i="106" s="1"/>
  <c r="AA57" i="106" a="1"/>
  <c r="AA57" i="106" s="1"/>
  <c r="CA57" i="106" a="1"/>
  <c r="CA57" i="106" s="1"/>
  <c r="BQ57" i="106" a="1"/>
  <c r="BQ57" i="106" s="1"/>
  <c r="BF57" i="106" a="1"/>
  <c r="BF57" i="106" s="1"/>
  <c r="AU57" i="106" a="1"/>
  <c r="AU57" i="106" s="1"/>
  <c r="AJ57" i="106" a="1"/>
  <c r="AJ57" i="106" s="1"/>
  <c r="BZ57" i="106" a="1"/>
  <c r="BZ57" i="106" s="1"/>
  <c r="BP57" i="106" a="1"/>
  <c r="BP57" i="106" s="1"/>
  <c r="BE57" i="106" a="1"/>
  <c r="BE57" i="106" s="1"/>
  <c r="BY57" i="106" a="1"/>
  <c r="BY57" i="106" s="1"/>
  <c r="BO57" i="106" a="1"/>
  <c r="BO57" i="106" s="1"/>
  <c r="BD57" i="106" a="1"/>
  <c r="BD57" i="106" s="1"/>
  <c r="AT57" i="106" a="1"/>
  <c r="AT57" i="106" s="1"/>
  <c r="AI57" i="106" a="1"/>
  <c r="AI57" i="106" s="1"/>
  <c r="BN57" i="106" a="1"/>
  <c r="BN57" i="106" s="1"/>
  <c r="BC57" i="106" a="1"/>
  <c r="BC57" i="106" s="1"/>
  <c r="AS57" i="106" a="1"/>
  <c r="AS57" i="106" s="1"/>
  <c r="AH57" i="106" a="1"/>
  <c r="AH57" i="106" s="1"/>
  <c r="BX57" i="106" a="1"/>
  <c r="BX57" i="106" s="1"/>
  <c r="BM57" i="106" a="1"/>
  <c r="BM57" i="106" s="1"/>
  <c r="BB57" i="106" a="1"/>
  <c r="BB57" i="106" s="1"/>
  <c r="AR57" i="106" a="1"/>
  <c r="AR57" i="106" s="1"/>
  <c r="AG57" i="106" a="1"/>
  <c r="AG57" i="106" s="1"/>
  <c r="BW57" i="106" a="1"/>
  <c r="BW57" i="106" s="1"/>
  <c r="BL57" i="106" a="1"/>
  <c r="BL57" i="106" s="1"/>
  <c r="BA57" i="106" a="1"/>
  <c r="BA57" i="106" s="1"/>
  <c r="AQ57" i="106" a="1"/>
  <c r="AQ57" i="106" s="1"/>
  <c r="AF57" i="106" a="1"/>
  <c r="AF57" i="106" s="1"/>
  <c r="BV57" i="106" a="1"/>
  <c r="BV57" i="106" s="1"/>
  <c r="BK57" i="106" a="1"/>
  <c r="BK57" i="106" s="1"/>
  <c r="AP57" i="106" a="1"/>
  <c r="AP57" i="106" s="1"/>
  <c r="AE57" i="106" a="1"/>
  <c r="AE57" i="106" s="1"/>
  <c r="AZ57" i="106" a="1"/>
  <c r="AZ57" i="106" s="1"/>
  <c r="AO57" i="106" a="1"/>
  <c r="AO57" i="106" s="1"/>
  <c r="AD57" i="106" a="1"/>
  <c r="AD57" i="106" s="1"/>
  <c r="BU57" i="106" a="1"/>
  <c r="BU57" i="106" s="1"/>
  <c r="Z57" i="106" a="1"/>
  <c r="Z57" i="106" s="1"/>
  <c r="BP21" i="106" a="1"/>
  <c r="BP21" i="106" s="1"/>
  <c r="AY21" i="106" a="1"/>
  <c r="AY21" i="106" s="1"/>
  <c r="AQ21" i="106" a="1"/>
  <c r="AQ21" i="106" s="1"/>
  <c r="AH21" i="106" a="1"/>
  <c r="AH21" i="106" s="1"/>
  <c r="BY21" i="106" a="1"/>
  <c r="BY21" i="106" s="1"/>
  <c r="BG21" i="106" a="1"/>
  <c r="BG21" i="106" s="1"/>
  <c r="AX21" i="106" a="1"/>
  <c r="AX21" i="106" s="1"/>
  <c r="AP21" i="106" a="1"/>
  <c r="AP21" i="106" s="1"/>
  <c r="AG21" i="106" a="1"/>
  <c r="AG21" i="106" s="1"/>
  <c r="BX21" i="106" a="1"/>
  <c r="BX21" i="106" s="1"/>
  <c r="BO21" i="106" a="1"/>
  <c r="BO21" i="106" s="1"/>
  <c r="BF21" i="106" a="1"/>
  <c r="BF21" i="106" s="1"/>
  <c r="BN21" i="106" a="1"/>
  <c r="BN21" i="106" s="1"/>
  <c r="AW21" i="106" a="1"/>
  <c r="AW21" i="106" s="1"/>
  <c r="AO21" i="106" a="1"/>
  <c r="AO21" i="106" s="1"/>
  <c r="AF21" i="106" a="1"/>
  <c r="AF21" i="106" s="1"/>
  <c r="BW21" i="106" a="1"/>
  <c r="BW21" i="106" s="1"/>
  <c r="BE21" i="106" a="1"/>
  <c r="BE21" i="106" s="1"/>
  <c r="AV21" i="106" a="1"/>
  <c r="AV21" i="106" s="1"/>
  <c r="AN21" i="106" a="1"/>
  <c r="AN21" i="106" s="1"/>
  <c r="BT21" i="106" a="1"/>
  <c r="BT21" i="106" s="1"/>
  <c r="BK21" i="106" a="1"/>
  <c r="BK21" i="106" s="1"/>
  <c r="BC21" i="106" a="1"/>
  <c r="BC21" i="106" s="1"/>
  <c r="AL21" i="106" a="1"/>
  <c r="AL21" i="106" s="1"/>
  <c r="AD21" i="106" a="1"/>
  <c r="AD21" i="106" s="1"/>
  <c r="BS21" i="106" a="1"/>
  <c r="BS21" i="106" s="1"/>
  <c r="AS21" i="106" a="1"/>
  <c r="AS21" i="106" s="1"/>
  <c r="AK21" i="106" a="1"/>
  <c r="AK21" i="106" s="1"/>
  <c r="AC21" i="106" a="1"/>
  <c r="AC21" i="106" s="1"/>
  <c r="CA21" i="106" a="1"/>
  <c r="CA21" i="106" s="1"/>
  <c r="BR21" i="106" a="1"/>
  <c r="BR21" i="106" s="1"/>
  <c r="BJ21" i="106" a="1"/>
  <c r="BJ21" i="106" s="1"/>
  <c r="BB21" i="106" a="1"/>
  <c r="BB21" i="106" s="1"/>
  <c r="AB21" i="106" a="1"/>
  <c r="AB21" i="106" s="1"/>
  <c r="BI21" i="106" a="1"/>
  <c r="BI21" i="106" s="1"/>
  <c r="BA21" i="106" a="1"/>
  <c r="BA21" i="106" s="1"/>
  <c r="AR21" i="106" a="1"/>
  <c r="AR21" i="106" s="1"/>
  <c r="AJ21" i="106" a="1"/>
  <c r="AJ21" i="106" s="1"/>
  <c r="AA21" i="106" a="1"/>
  <c r="AA21" i="106" s="1"/>
  <c r="BZ21" i="106" a="1"/>
  <c r="BZ21" i="106" s="1"/>
  <c r="BQ21" i="106" a="1"/>
  <c r="BQ21" i="106" s="1"/>
  <c r="BH21" i="106" a="1"/>
  <c r="BH21" i="106" s="1"/>
  <c r="AZ21" i="106" a="1"/>
  <c r="AZ21" i="106" s="1"/>
  <c r="AI21" i="106" a="1"/>
  <c r="AI21" i="106" s="1"/>
  <c r="BV21" i="106" a="1"/>
  <c r="BV21" i="106" s="1"/>
  <c r="BU21" i="106" a="1"/>
  <c r="BU21" i="106" s="1"/>
  <c r="BM21" i="106" a="1"/>
  <c r="BM21" i="106" s="1"/>
  <c r="BL21" i="106" a="1"/>
  <c r="BL21" i="106" s="1"/>
  <c r="BD21" i="106" a="1"/>
  <c r="BD21" i="106" s="1"/>
  <c r="AU21" i="106" a="1"/>
  <c r="AU21" i="106" s="1"/>
  <c r="AT21" i="106" a="1"/>
  <c r="AT21" i="106" s="1"/>
  <c r="AM21" i="106" a="1"/>
  <c r="AM21" i="106" s="1"/>
  <c r="AE21" i="106" a="1"/>
  <c r="AE21" i="106" s="1"/>
  <c r="Z21" i="106" a="1"/>
  <c r="Z21" i="106" s="1"/>
  <c r="BV9" i="106" a="1"/>
  <c r="BV9" i="106" s="1"/>
  <c r="BK9" i="106" a="1"/>
  <c r="BK9" i="106" s="1"/>
  <c r="AZ9" i="106" a="1"/>
  <c r="AZ9" i="106" s="1"/>
  <c r="BR9" i="106" a="1"/>
  <c r="BR9" i="106" s="1"/>
  <c r="BH9" i="106" a="1"/>
  <c r="BH9" i="106" s="1"/>
  <c r="AV9" i="106" a="1"/>
  <c r="AV9" i="106" s="1"/>
  <c r="AL9" i="106" a="1"/>
  <c r="AL9" i="106" s="1"/>
  <c r="AA9" i="106" a="1"/>
  <c r="AA9" i="106" s="1"/>
  <c r="BG9" i="106" a="1"/>
  <c r="BG9" i="106" s="1"/>
  <c r="AK9" i="106" a="1"/>
  <c r="AK9" i="106" s="1"/>
  <c r="BT9" i="106" a="1"/>
  <c r="BT9" i="106" s="1"/>
  <c r="BE9" i="106" a="1"/>
  <c r="BE9" i="106" s="1"/>
  <c r="AQ9" i="106" a="1"/>
  <c r="AQ9" i="106" s="1"/>
  <c r="AE9" i="106" a="1"/>
  <c r="AE9" i="106" s="1"/>
  <c r="BS9" i="106" a="1"/>
  <c r="BS9" i="106" s="1"/>
  <c r="BD9" i="106" a="1"/>
  <c r="BD9" i="106" s="1"/>
  <c r="AP9" i="106" a="1"/>
  <c r="AP9" i="106" s="1"/>
  <c r="AD9" i="106" a="1"/>
  <c r="AD9" i="106" s="1"/>
  <c r="BQ9" i="106" a="1"/>
  <c r="BQ9" i="106" s="1"/>
  <c r="BC9" i="106" a="1"/>
  <c r="BC9" i="106" s="1"/>
  <c r="AO9" i="106" a="1"/>
  <c r="AO9" i="106" s="1"/>
  <c r="AC9" i="106" a="1"/>
  <c r="AC9" i="106" s="1"/>
  <c r="BP9" i="106" a="1"/>
  <c r="BP9" i="106" s="1"/>
  <c r="BB9" i="106" a="1"/>
  <c r="BB9" i="106" s="1"/>
  <c r="AB9" i="106" a="1"/>
  <c r="AB9" i="106" s="1"/>
  <c r="BZ9" i="106" a="1"/>
  <c r="BZ9" i="106" s="1"/>
  <c r="AJ9" i="106" a="1"/>
  <c r="AJ9" i="106" s="1"/>
  <c r="BO9" i="106" a="1"/>
  <c r="BO9" i="106" s="1"/>
  <c r="BA9" i="106" a="1"/>
  <c r="BA9" i="106" s="1"/>
  <c r="AN9" i="106" a="1"/>
  <c r="AN9" i="106" s="1"/>
  <c r="BM9" i="106" a="1"/>
  <c r="BM9" i="106" s="1"/>
  <c r="CA9" i="106" a="1"/>
  <c r="CA9" i="106" s="1"/>
  <c r="BN9" i="106" a="1"/>
  <c r="BN9" i="106" s="1"/>
  <c r="AY9" i="106" a="1"/>
  <c r="AY9" i="106" s="1"/>
  <c r="AM9" i="106" a="1"/>
  <c r="AM9" i="106" s="1"/>
  <c r="AX9" i="106" a="1"/>
  <c r="AX9" i="106" s="1"/>
  <c r="BY9" i="106" a="1"/>
  <c r="BY9" i="106" s="1"/>
  <c r="BL9" i="106" a="1"/>
  <c r="BL9" i="106" s="1"/>
  <c r="AW9" i="106" a="1"/>
  <c r="AW9" i="106" s="1"/>
  <c r="AI9" i="106" a="1"/>
  <c r="AI9" i="106" s="1"/>
  <c r="AU9" i="106" a="1"/>
  <c r="AU9" i="106" s="1"/>
  <c r="AH9" i="106" a="1"/>
  <c r="AH9" i="106" s="1"/>
  <c r="Z9" i="106" a="1"/>
  <c r="Z9" i="106" s="1"/>
  <c r="BX9" i="106" a="1"/>
  <c r="BX9" i="106" s="1"/>
  <c r="BJ9" i="106" a="1"/>
  <c r="BJ9" i="106" s="1"/>
  <c r="AT9" i="106" a="1"/>
  <c r="AT9" i="106" s="1"/>
  <c r="BW9" i="106" a="1"/>
  <c r="BW9" i="106" s="1"/>
  <c r="BI9" i="106" a="1"/>
  <c r="BI9" i="106" s="1"/>
  <c r="AS9" i="106" a="1"/>
  <c r="AS9" i="106" s="1"/>
  <c r="AG9" i="106" a="1"/>
  <c r="AG9" i="106" s="1"/>
  <c r="BU9" i="106" a="1"/>
  <c r="BU9" i="106" s="1"/>
  <c r="BF9" i="106" a="1"/>
  <c r="BF9" i="106" s="1"/>
  <c r="AR9" i="106" a="1"/>
  <c r="AR9" i="106" s="1"/>
  <c r="AF9" i="106" a="1"/>
  <c r="AF9" i="106" s="1"/>
  <c r="AE62" i="106" a="1"/>
  <c r="AE62" i="106" s="1"/>
  <c r="AQ62" i="106" a="1"/>
  <c r="AQ62" i="106" s="1"/>
  <c r="BA62" i="106" a="1"/>
  <c r="BA62" i="106" s="1"/>
  <c r="BM62" i="106" a="1"/>
  <c r="BM62" i="106" s="1"/>
  <c r="AF62" i="106" a="1"/>
  <c r="AF62" i="106" s="1"/>
  <c r="AR62" i="106" a="1"/>
  <c r="AR62" i="106" s="1"/>
  <c r="BB62" i="106" a="1"/>
  <c r="BB62" i="106" s="1"/>
  <c r="BN62" i="106" a="1"/>
  <c r="BN62" i="106" s="1"/>
  <c r="AG62" i="106" a="1"/>
  <c r="AG62" i="106" s="1"/>
  <c r="BC62" i="106" a="1"/>
  <c r="BC62" i="106" s="1"/>
  <c r="BO62" i="106" a="1"/>
  <c r="BO62" i="106" s="1"/>
  <c r="BY62" i="106" a="1"/>
  <c r="BY62" i="106" s="1"/>
  <c r="AK62" i="106" a="1"/>
  <c r="AK62" i="106" s="1"/>
  <c r="BG62" i="106" a="1"/>
  <c r="BG62" i="106" s="1"/>
  <c r="BS62" i="106" a="1"/>
  <c r="BS62" i="106" s="1"/>
  <c r="AL62" i="106" a="1"/>
  <c r="AL62" i="106" s="1"/>
  <c r="AV62" i="106" a="1"/>
  <c r="AV62" i="106" s="1"/>
  <c r="BH62" i="106" a="1"/>
  <c r="BH62" i="106" s="1"/>
  <c r="BT62" i="106" a="1"/>
  <c r="BT62" i="106" s="1"/>
  <c r="AA62" i="106" a="1"/>
  <c r="AA62" i="106" s="1"/>
  <c r="AM62" i="106" a="1"/>
  <c r="AM62" i="106" s="1"/>
  <c r="AW62" i="106" a="1"/>
  <c r="AW62" i="106" s="1"/>
  <c r="BI62" i="106" a="1"/>
  <c r="BI62" i="106" s="1"/>
  <c r="BU62" i="106" a="1"/>
  <c r="BU62" i="106" s="1"/>
  <c r="AB62" i="106" a="1"/>
  <c r="AB62" i="106" s="1"/>
  <c r="AN62" i="106" a="1"/>
  <c r="AN62" i="106" s="1"/>
  <c r="AX62" i="106" a="1"/>
  <c r="AX62" i="106" s="1"/>
  <c r="BJ62" i="106" a="1"/>
  <c r="BJ62" i="106" s="1"/>
  <c r="AO62" i="106" a="1"/>
  <c r="AO62" i="106" s="1"/>
  <c r="BP62" i="106" a="1"/>
  <c r="BP62" i="106" s="1"/>
  <c r="AP62" i="106" a="1"/>
  <c r="AP62" i="106" s="1"/>
  <c r="BQ62" i="106" a="1"/>
  <c r="BQ62" i="106" s="1"/>
  <c r="AS62" i="106" a="1"/>
  <c r="AS62" i="106" s="1"/>
  <c r="BR62" i="106" a="1"/>
  <c r="BR62" i="106" s="1"/>
  <c r="AT62" i="106" a="1"/>
  <c r="AT62" i="106" s="1"/>
  <c r="BV62" i="106" a="1"/>
  <c r="BV62" i="106" s="1"/>
  <c r="AU62" i="106" a="1"/>
  <c r="AU62" i="106" s="1"/>
  <c r="BW62" i="106" a="1"/>
  <c r="BW62" i="106" s="1"/>
  <c r="AY62" i="106" a="1"/>
  <c r="AY62" i="106" s="1"/>
  <c r="BX62" i="106" a="1"/>
  <c r="BX62" i="106" s="1"/>
  <c r="AZ62" i="106" a="1"/>
  <c r="AZ62" i="106" s="1"/>
  <c r="BZ62" i="106" a="1"/>
  <c r="BZ62" i="106" s="1"/>
  <c r="AC62" i="106" a="1"/>
  <c r="AC62" i="106" s="1"/>
  <c r="BD62" i="106" a="1"/>
  <c r="BD62" i="106" s="1"/>
  <c r="CA62" i="106" a="1"/>
  <c r="CA62" i="106" s="1"/>
  <c r="AD62" i="106" a="1"/>
  <c r="AD62" i="106" s="1"/>
  <c r="BE62" i="106" a="1"/>
  <c r="BE62" i="106" s="1"/>
  <c r="AH62" i="106" a="1"/>
  <c r="AH62" i="106" s="1"/>
  <c r="BF62" i="106" a="1"/>
  <c r="BF62" i="106" s="1"/>
  <c r="AI62" i="106" a="1"/>
  <c r="AI62" i="106" s="1"/>
  <c r="BK62" i="106" a="1"/>
  <c r="BK62" i="106" s="1"/>
  <c r="Z62" i="106" a="1"/>
  <c r="Z62" i="106" s="1"/>
  <c r="AJ62" i="106" a="1"/>
  <c r="AJ62" i="106" s="1"/>
  <c r="BL62" i="106" a="1"/>
  <c r="BL62" i="106" s="1"/>
  <c r="AE47" i="106" a="1"/>
  <c r="AE47" i="106" s="1"/>
  <c r="AF47" i="106" a="1"/>
  <c r="AF47" i="106" s="1"/>
  <c r="AQ47" i="106" a="1"/>
  <c r="AQ47" i="106" s="1"/>
  <c r="AR47" i="106" a="1"/>
  <c r="AR47" i="106" s="1"/>
  <c r="BC47" i="106" a="1"/>
  <c r="BC47" i="106" s="1"/>
  <c r="AG47" i="106" a="1"/>
  <c r="AG47" i="106" s="1"/>
  <c r="AS47" i="106" a="1"/>
  <c r="AS47" i="106" s="1"/>
  <c r="BD47" i="106" a="1"/>
  <c r="BD47" i="106" s="1"/>
  <c r="BO47" i="106" a="1"/>
  <c r="BO47" i="106" s="1"/>
  <c r="CA47" i="106" a="1"/>
  <c r="CA47" i="106" s="1"/>
  <c r="AA47" i="106" a="1"/>
  <c r="AA47" i="106" s="1"/>
  <c r="AL47" i="106" a="1"/>
  <c r="AL47" i="106" s="1"/>
  <c r="AX47" i="106" a="1"/>
  <c r="AX47" i="106" s="1"/>
  <c r="AB47" i="106" a="1"/>
  <c r="AB47" i="106" s="1"/>
  <c r="AM47" i="106" a="1"/>
  <c r="AM47" i="106" s="1"/>
  <c r="BI47" i="106" a="1"/>
  <c r="BI47" i="106" s="1"/>
  <c r="AT47" i="106" a="1"/>
  <c r="AT47" i="106" s="1"/>
  <c r="BH47" i="106" a="1"/>
  <c r="BH47" i="106" s="1"/>
  <c r="BV47" i="106" a="1"/>
  <c r="BV47" i="106" s="1"/>
  <c r="AU47" i="106" a="1"/>
  <c r="AU47" i="106" s="1"/>
  <c r="BJ47" i="106" a="1"/>
  <c r="BJ47" i="106" s="1"/>
  <c r="BW47" i="106" a="1"/>
  <c r="BW47" i="106" s="1"/>
  <c r="AV47" i="106" a="1"/>
  <c r="AV47" i="106" s="1"/>
  <c r="BK47" i="106" a="1"/>
  <c r="BK47" i="106" s="1"/>
  <c r="BX47" i="106" a="1"/>
  <c r="BX47" i="106" s="1"/>
  <c r="AC47" i="106" a="1"/>
  <c r="AC47" i="106" s="1"/>
  <c r="AW47" i="106" a="1"/>
  <c r="AW47" i="106" s="1"/>
  <c r="BL47" i="106" a="1"/>
  <c r="BL47" i="106" s="1"/>
  <c r="BY47" i="106" a="1"/>
  <c r="BY47" i="106" s="1"/>
  <c r="AD47" i="106" a="1"/>
  <c r="AD47" i="106" s="1"/>
  <c r="AY47" i="106" a="1"/>
  <c r="AY47" i="106" s="1"/>
  <c r="BM47" i="106" a="1"/>
  <c r="BM47" i="106" s="1"/>
  <c r="BZ47" i="106" a="1"/>
  <c r="BZ47" i="106" s="1"/>
  <c r="AH47" i="106" a="1"/>
  <c r="AH47" i="106" s="1"/>
  <c r="AZ47" i="106" a="1"/>
  <c r="AZ47" i="106" s="1"/>
  <c r="BN47" i="106" a="1"/>
  <c r="BN47" i="106" s="1"/>
  <c r="AI47" i="106" a="1"/>
  <c r="AI47" i="106" s="1"/>
  <c r="AJ47" i="106" a="1"/>
  <c r="AJ47" i="106" s="1"/>
  <c r="BB47" i="106" a="1"/>
  <c r="BB47" i="106" s="1"/>
  <c r="BQ47" i="106" a="1"/>
  <c r="BQ47" i="106" s="1"/>
  <c r="AK47" i="106" a="1"/>
  <c r="AK47" i="106" s="1"/>
  <c r="BE47" i="106" a="1"/>
  <c r="BE47" i="106" s="1"/>
  <c r="BR47" i="106" a="1"/>
  <c r="BR47" i="106" s="1"/>
  <c r="AN47" i="106" a="1"/>
  <c r="AN47" i="106" s="1"/>
  <c r="BF47" i="106" a="1"/>
  <c r="BF47" i="106" s="1"/>
  <c r="BS47" i="106" a="1"/>
  <c r="BS47" i="106" s="1"/>
  <c r="AO47" i="106" a="1"/>
  <c r="AO47" i="106" s="1"/>
  <c r="BG47" i="106" a="1"/>
  <c r="BG47" i="106" s="1"/>
  <c r="BT47" i="106" a="1"/>
  <c r="BT47" i="106" s="1"/>
  <c r="AP47" i="106" a="1"/>
  <c r="AP47" i="106" s="1"/>
  <c r="BU47" i="106" a="1"/>
  <c r="BU47" i="106" s="1"/>
  <c r="BA47" i="106" a="1"/>
  <c r="BA47" i="106" s="1"/>
  <c r="BP47" i="106" a="1"/>
  <c r="BP47" i="106" s="1"/>
  <c r="Z47" i="106" a="1"/>
  <c r="Z47" i="106" s="1"/>
  <c r="AE44" i="106" a="1"/>
  <c r="AE44" i="106" s="1"/>
  <c r="AP44" i="106" a="1"/>
  <c r="AP44" i="106" s="1"/>
  <c r="BA44" i="106" a="1"/>
  <c r="BA44" i="106" s="1"/>
  <c r="BL44" i="106" a="1"/>
  <c r="BL44" i="106" s="1"/>
  <c r="BX44" i="106" a="1"/>
  <c r="BX44" i="106" s="1"/>
  <c r="AF44" i="106" a="1"/>
  <c r="AF44" i="106" s="1"/>
  <c r="AQ44" i="106" a="1"/>
  <c r="AQ44" i="106" s="1"/>
  <c r="BB44" i="106" a="1"/>
  <c r="BB44" i="106" s="1"/>
  <c r="BM44" i="106" a="1"/>
  <c r="BM44" i="106" s="1"/>
  <c r="BY44" i="106" a="1"/>
  <c r="BY44" i="106" s="1"/>
  <c r="AG44" i="106" a="1"/>
  <c r="AG44" i="106" s="1"/>
  <c r="AR44" i="106" a="1"/>
  <c r="AR44" i="106" s="1"/>
  <c r="BC44" i="106" a="1"/>
  <c r="BC44" i="106" s="1"/>
  <c r="BN44" i="106" a="1"/>
  <c r="BN44" i="106" s="1"/>
  <c r="BZ44" i="106" a="1"/>
  <c r="BZ44" i="106" s="1"/>
  <c r="AH44" i="106" a="1"/>
  <c r="AH44" i="106" s="1"/>
  <c r="AS44" i="106" a="1"/>
  <c r="AS44" i="106" s="1"/>
  <c r="BD44" i="106" a="1"/>
  <c r="BD44" i="106" s="1"/>
  <c r="BO44" i="106" a="1"/>
  <c r="BO44" i="106" s="1"/>
  <c r="CA44" i="106" a="1"/>
  <c r="CA44" i="106" s="1"/>
  <c r="AI44" i="106" a="1"/>
  <c r="AI44" i="106" s="1"/>
  <c r="AT44" i="106" a="1"/>
  <c r="AT44" i="106" s="1"/>
  <c r="BP44" i="106" a="1"/>
  <c r="BP44" i="106" s="1"/>
  <c r="AJ44" i="106" a="1"/>
  <c r="AJ44" i="106" s="1"/>
  <c r="AU44" i="106" a="1"/>
  <c r="AU44" i="106" s="1"/>
  <c r="AK44" i="106" a="1"/>
  <c r="AK44" i="106" s="1"/>
  <c r="AV44" i="106" a="1"/>
  <c r="AV44" i="106" s="1"/>
  <c r="BG44" i="106" a="1"/>
  <c r="BG44" i="106" s="1"/>
  <c r="BS44" i="106" a="1"/>
  <c r="BS44" i="106" s="1"/>
  <c r="AA44" i="106" a="1"/>
  <c r="AA44" i="106" s="1"/>
  <c r="AL44" i="106" a="1"/>
  <c r="AL44" i="106" s="1"/>
  <c r="AW44" i="106" a="1"/>
  <c r="AW44" i="106" s="1"/>
  <c r="BH44" i="106" a="1"/>
  <c r="BH44" i="106" s="1"/>
  <c r="BT44" i="106" a="1"/>
  <c r="BT44" i="106" s="1"/>
  <c r="AB44" i="106" a="1"/>
  <c r="AB44" i="106" s="1"/>
  <c r="AM44" i="106" a="1"/>
  <c r="AM44" i="106" s="1"/>
  <c r="AX44" i="106" a="1"/>
  <c r="AX44" i="106" s="1"/>
  <c r="BI44" i="106" a="1"/>
  <c r="BI44" i="106" s="1"/>
  <c r="BU44" i="106" a="1"/>
  <c r="BU44" i="106" s="1"/>
  <c r="AC44" i="106" a="1"/>
  <c r="AC44" i="106" s="1"/>
  <c r="AN44" i="106" a="1"/>
  <c r="AN44" i="106" s="1"/>
  <c r="AY44" i="106" a="1"/>
  <c r="AY44" i="106" s="1"/>
  <c r="BJ44" i="106" a="1"/>
  <c r="BJ44" i="106" s="1"/>
  <c r="BV44" i="106" a="1"/>
  <c r="BV44" i="106" s="1"/>
  <c r="AD44" i="106" a="1"/>
  <c r="AD44" i="106" s="1"/>
  <c r="AO44" i="106" a="1"/>
  <c r="AO44" i="106" s="1"/>
  <c r="AZ44" i="106" a="1"/>
  <c r="AZ44" i="106" s="1"/>
  <c r="BK44" i="106" a="1"/>
  <c r="BK44" i="106" s="1"/>
  <c r="BW44" i="106" a="1"/>
  <c r="BW44" i="106" s="1"/>
  <c r="BE44" i="106" a="1"/>
  <c r="BE44" i="106" s="1"/>
  <c r="BF44" i="106" a="1"/>
  <c r="BF44" i="106" s="1"/>
  <c r="BQ44" i="106" a="1"/>
  <c r="BQ44" i="106" s="1"/>
  <c r="BR44" i="106" a="1"/>
  <c r="BR44" i="106" s="1"/>
  <c r="Z44" i="106" a="1"/>
  <c r="Z44" i="106" s="1"/>
  <c r="AI32" i="106" a="1"/>
  <c r="AI32" i="106" s="1"/>
  <c r="AU32" i="106" a="1"/>
  <c r="AU32" i="106" s="1"/>
  <c r="BF32" i="106" a="1"/>
  <c r="BF32" i="106" s="1"/>
  <c r="BR32" i="106" a="1"/>
  <c r="BR32" i="106" s="1"/>
  <c r="AJ32" i="106" a="1"/>
  <c r="AJ32" i="106" s="1"/>
  <c r="AV32" i="106" a="1"/>
  <c r="AV32" i="106" s="1"/>
  <c r="BG32" i="106" a="1"/>
  <c r="BG32" i="106" s="1"/>
  <c r="BS32" i="106" a="1"/>
  <c r="BS32" i="106" s="1"/>
  <c r="AE32" i="106" a="1"/>
  <c r="AE32" i="106" s="1"/>
  <c r="AS32" i="106" a="1"/>
  <c r="AS32" i="106" s="1"/>
  <c r="BH32" i="106" a="1"/>
  <c r="BH32" i="106" s="1"/>
  <c r="BV32" i="106" a="1"/>
  <c r="BV32" i="106" s="1"/>
  <c r="AF32" i="106" a="1"/>
  <c r="AF32" i="106" s="1"/>
  <c r="AT32" i="106" a="1"/>
  <c r="AT32" i="106" s="1"/>
  <c r="BI32" i="106" a="1"/>
  <c r="BI32" i="106" s="1"/>
  <c r="BW32" i="106" a="1"/>
  <c r="BW32" i="106" s="1"/>
  <c r="AG32" i="106" a="1"/>
  <c r="AG32" i="106" s="1"/>
  <c r="AW32" i="106" a="1"/>
  <c r="AW32" i="106" s="1"/>
  <c r="BJ32" i="106" a="1"/>
  <c r="BJ32" i="106" s="1"/>
  <c r="BX32" i="106" a="1"/>
  <c r="BX32" i="106" s="1"/>
  <c r="AH32" i="106" a="1"/>
  <c r="AH32" i="106" s="1"/>
  <c r="AX32" i="106" a="1"/>
  <c r="AX32" i="106" s="1"/>
  <c r="BK32" i="106" a="1"/>
  <c r="BK32" i="106" s="1"/>
  <c r="BY32" i="106" a="1"/>
  <c r="BY32" i="106" s="1"/>
  <c r="AK32" i="106" a="1"/>
  <c r="AK32" i="106" s="1"/>
  <c r="AY32" i="106" a="1"/>
  <c r="AY32" i="106" s="1"/>
  <c r="BL32" i="106" a="1"/>
  <c r="BL32" i="106" s="1"/>
  <c r="BZ32" i="106" a="1"/>
  <c r="BZ32" i="106" s="1"/>
  <c r="AL32" i="106" a="1"/>
  <c r="AL32" i="106" s="1"/>
  <c r="AZ32" i="106" a="1"/>
  <c r="AZ32" i="106" s="1"/>
  <c r="BM32" i="106" a="1"/>
  <c r="BM32" i="106" s="1"/>
  <c r="CA32" i="106" a="1"/>
  <c r="CA32" i="106" s="1"/>
  <c r="AM32" i="106" a="1"/>
  <c r="AM32" i="106" s="1"/>
  <c r="BA32" i="106" a="1"/>
  <c r="BA32" i="106" s="1"/>
  <c r="BN32" i="106" a="1"/>
  <c r="BN32" i="106" s="1"/>
  <c r="AN32" i="106" a="1"/>
  <c r="AN32" i="106" s="1"/>
  <c r="BB32" i="106" a="1"/>
  <c r="BB32" i="106" s="1"/>
  <c r="BO32" i="106" a="1"/>
  <c r="BO32" i="106" s="1"/>
  <c r="AA32" i="106" a="1"/>
  <c r="AA32" i="106" s="1"/>
  <c r="AO32" i="106" a="1"/>
  <c r="AO32" i="106" s="1"/>
  <c r="BP32" i="106" a="1"/>
  <c r="BP32" i="106" s="1"/>
  <c r="AB32" i="106" a="1"/>
  <c r="AB32" i="106" s="1"/>
  <c r="AP32" i="106" a="1"/>
  <c r="AP32" i="106" s="1"/>
  <c r="BC32" i="106" a="1"/>
  <c r="BC32" i="106" s="1"/>
  <c r="BQ32" i="106" a="1"/>
  <c r="BQ32" i="106" s="1"/>
  <c r="AC32" i="106" a="1"/>
  <c r="AC32" i="106" s="1"/>
  <c r="AQ32" i="106" a="1"/>
  <c r="AQ32" i="106" s="1"/>
  <c r="BD32" i="106" a="1"/>
  <c r="BD32" i="106" s="1"/>
  <c r="BT32" i="106" a="1"/>
  <c r="BT32" i="106" s="1"/>
  <c r="AD32" i="106" a="1"/>
  <c r="AD32" i="106" s="1"/>
  <c r="AR32" i="106" a="1"/>
  <c r="AR32" i="106" s="1"/>
  <c r="BE32" i="106" a="1"/>
  <c r="BE32" i="106" s="1"/>
  <c r="BU32" i="106" a="1"/>
  <c r="BU32" i="106" s="1"/>
  <c r="Z32" i="106" a="1"/>
  <c r="Z32" i="106" s="1"/>
  <c r="Z4" i="106" a="1"/>
  <c r="Z4" i="106" s="1"/>
  <c r="AE55" i="106" a="1"/>
  <c r="AE55" i="106" s="1"/>
  <c r="AQ55" i="106" a="1"/>
  <c r="AQ55" i="106" s="1"/>
  <c r="BC55" i="106" a="1"/>
  <c r="BC55" i="106" s="1"/>
  <c r="BO55" i="106" a="1"/>
  <c r="BO55" i="106" s="1"/>
  <c r="CA55" i="106" a="1"/>
  <c r="CA55" i="106" s="1"/>
  <c r="AF55" i="106" a="1"/>
  <c r="AF55" i="106" s="1"/>
  <c r="AR55" i="106" a="1"/>
  <c r="AR55" i="106" s="1"/>
  <c r="BD55" i="106" a="1"/>
  <c r="BD55" i="106" s="1"/>
  <c r="BP55" i="106" a="1"/>
  <c r="BP55" i="106" s="1"/>
  <c r="AG55" i="106" a="1"/>
  <c r="AG55" i="106" s="1"/>
  <c r="AS55" i="106" a="1"/>
  <c r="AS55" i="106" s="1"/>
  <c r="BE55" i="106" a="1"/>
  <c r="BE55" i="106" s="1"/>
  <c r="BQ55" i="106" a="1"/>
  <c r="BQ55" i="106" s="1"/>
  <c r="AH55" i="106" a="1"/>
  <c r="AH55" i="106" s="1"/>
  <c r="AT55" i="106" a="1"/>
  <c r="AT55" i="106" s="1"/>
  <c r="BF55" i="106" a="1"/>
  <c r="BF55" i="106" s="1"/>
  <c r="BR55" i="106" a="1"/>
  <c r="BR55" i="106" s="1"/>
  <c r="AI55" i="106" a="1"/>
  <c r="AI55" i="106" s="1"/>
  <c r="AU55" i="106" a="1"/>
  <c r="AU55" i="106" s="1"/>
  <c r="BG55" i="106" a="1"/>
  <c r="BG55" i="106" s="1"/>
  <c r="BS55" i="106" a="1"/>
  <c r="BS55" i="106" s="1"/>
  <c r="AL55" i="106" a="1"/>
  <c r="AL55" i="106" s="1"/>
  <c r="AX55" i="106" a="1"/>
  <c r="AX55" i="106" s="1"/>
  <c r="BJ55" i="106" a="1"/>
  <c r="BJ55" i="106" s="1"/>
  <c r="BV55" i="106" a="1"/>
  <c r="BV55" i="106" s="1"/>
  <c r="AA55" i="106" a="1"/>
  <c r="AA55" i="106" s="1"/>
  <c r="AM55" i="106" a="1"/>
  <c r="AM55" i="106" s="1"/>
  <c r="AY55" i="106" a="1"/>
  <c r="AY55" i="106" s="1"/>
  <c r="BK55" i="106" a="1"/>
  <c r="BK55" i="106" s="1"/>
  <c r="BW55" i="106" a="1"/>
  <c r="BW55" i="106" s="1"/>
  <c r="AB55" i="106" a="1"/>
  <c r="AB55" i="106" s="1"/>
  <c r="AN55" i="106" a="1"/>
  <c r="AN55" i="106" s="1"/>
  <c r="AZ55" i="106" a="1"/>
  <c r="AZ55" i="106" s="1"/>
  <c r="BL55" i="106" a="1"/>
  <c r="BL55" i="106" s="1"/>
  <c r="BX55" i="106" a="1"/>
  <c r="BX55" i="106" s="1"/>
  <c r="AC55" i="106" a="1"/>
  <c r="AC55" i="106" s="1"/>
  <c r="AO55" i="106" a="1"/>
  <c r="AO55" i="106" s="1"/>
  <c r="BA55" i="106" a="1"/>
  <c r="BA55" i="106" s="1"/>
  <c r="BM55" i="106" a="1"/>
  <c r="BM55" i="106" s="1"/>
  <c r="BY55" i="106" a="1"/>
  <c r="BY55" i="106" s="1"/>
  <c r="AD55" i="106" a="1"/>
  <c r="AD55" i="106" s="1"/>
  <c r="AP55" i="106" a="1"/>
  <c r="AP55" i="106" s="1"/>
  <c r="BB55" i="106" a="1"/>
  <c r="BB55" i="106" s="1"/>
  <c r="BN55" i="106" a="1"/>
  <c r="BN55" i="106" s="1"/>
  <c r="BZ55" i="106" a="1"/>
  <c r="BZ55" i="106" s="1"/>
  <c r="BI55" i="106" a="1"/>
  <c r="BI55" i="106" s="1"/>
  <c r="BT55" i="106" a="1"/>
  <c r="BT55" i="106" s="1"/>
  <c r="BU55" i="106" a="1"/>
  <c r="BU55" i="106" s="1"/>
  <c r="AJ55" i="106" a="1"/>
  <c r="AJ55" i="106" s="1"/>
  <c r="AK55" i="106" a="1"/>
  <c r="AK55" i="106" s="1"/>
  <c r="AV55" i="106" a="1"/>
  <c r="AV55" i="106" s="1"/>
  <c r="AW55" i="106" a="1"/>
  <c r="AW55" i="106" s="1"/>
  <c r="BH55" i="106" a="1"/>
  <c r="BH55" i="106" s="1"/>
  <c r="Z55" i="106" a="1"/>
  <c r="Z55" i="106" s="1"/>
  <c r="AD31" i="106" a="1"/>
  <c r="AD31" i="106" s="1"/>
  <c r="AO31" i="106" a="1"/>
  <c r="AO31" i="106" s="1"/>
  <c r="BA31" i="106" a="1"/>
  <c r="BA31" i="106" s="1"/>
  <c r="BM31" i="106" a="1"/>
  <c r="BM31" i="106" s="1"/>
  <c r="BX31" i="106" a="1"/>
  <c r="BX31" i="106" s="1"/>
  <c r="AE31" i="106" a="1"/>
  <c r="AE31" i="106" s="1"/>
  <c r="AP31" i="106" a="1"/>
  <c r="AP31" i="106" s="1"/>
  <c r="BB31" i="106" a="1"/>
  <c r="BB31" i="106" s="1"/>
  <c r="BN31" i="106" a="1"/>
  <c r="BN31" i="106" s="1"/>
  <c r="BY31" i="106" a="1"/>
  <c r="BY31" i="106" s="1"/>
  <c r="AC31" i="106" a="1"/>
  <c r="AC31" i="106" s="1"/>
  <c r="AQ31" i="106" a="1"/>
  <c r="AQ31" i="106" s="1"/>
  <c r="BE31" i="106" a="1"/>
  <c r="BE31" i="106" s="1"/>
  <c r="BS31" i="106" a="1"/>
  <c r="BS31" i="106" s="1"/>
  <c r="AR31" i="106" a="1"/>
  <c r="AR31" i="106" s="1"/>
  <c r="BF31" i="106" a="1"/>
  <c r="BF31" i="106" s="1"/>
  <c r="BT31" i="106" a="1"/>
  <c r="BT31" i="106" s="1"/>
  <c r="AF31" i="106" a="1"/>
  <c r="AF31" i="106" s="1"/>
  <c r="AS31" i="106" a="1"/>
  <c r="AS31" i="106" s="1"/>
  <c r="BG31" i="106" a="1"/>
  <c r="BG31" i="106" s="1"/>
  <c r="BU31" i="106" a="1"/>
  <c r="BU31" i="106" s="1"/>
  <c r="AG31" i="106" a="1"/>
  <c r="AG31" i="106" s="1"/>
  <c r="AT31" i="106" a="1"/>
  <c r="AT31" i="106" s="1"/>
  <c r="BH31" i="106" a="1"/>
  <c r="BH31" i="106" s="1"/>
  <c r="BV31" i="106" a="1"/>
  <c r="BV31" i="106" s="1"/>
  <c r="AH31" i="106" a="1"/>
  <c r="AH31" i="106" s="1"/>
  <c r="AU31" i="106" a="1"/>
  <c r="AU31" i="106" s="1"/>
  <c r="BI31" i="106" a="1"/>
  <c r="BI31" i="106" s="1"/>
  <c r="AI31" i="106" a="1"/>
  <c r="AI31" i="106" s="1"/>
  <c r="AV31" i="106" a="1"/>
  <c r="AV31" i="106" s="1"/>
  <c r="BJ31" i="106" a="1"/>
  <c r="BJ31" i="106" s="1"/>
  <c r="BW31" i="106" a="1"/>
  <c r="BW31" i="106" s="1"/>
  <c r="AJ31" i="106" a="1"/>
  <c r="AJ31" i="106" s="1"/>
  <c r="AW31" i="106" a="1"/>
  <c r="AW31" i="106" s="1"/>
  <c r="BK31" i="106" a="1"/>
  <c r="BK31" i="106" s="1"/>
  <c r="BZ31" i="106" a="1"/>
  <c r="BZ31" i="106" s="1"/>
  <c r="AK31" i="106" a="1"/>
  <c r="AK31" i="106" s="1"/>
  <c r="AX31" i="106" a="1"/>
  <c r="AX31" i="106" s="1"/>
  <c r="BL31" i="106" a="1"/>
  <c r="BL31" i="106" s="1"/>
  <c r="CA31" i="106" a="1"/>
  <c r="CA31" i="106" s="1"/>
  <c r="AY31" i="106" a="1"/>
  <c r="AY31" i="106" s="1"/>
  <c r="BO31" i="106" a="1"/>
  <c r="BO31" i="106" s="1"/>
  <c r="AL31" i="106" a="1"/>
  <c r="AL31" i="106" s="1"/>
  <c r="AZ31" i="106" a="1"/>
  <c r="AZ31" i="106" s="1"/>
  <c r="BP31" i="106" a="1"/>
  <c r="BP31" i="106" s="1"/>
  <c r="AA31" i="106" a="1"/>
  <c r="AA31" i="106" s="1"/>
  <c r="AM31" i="106" a="1"/>
  <c r="AM31" i="106" s="1"/>
  <c r="BC31" i="106" a="1"/>
  <c r="BC31" i="106" s="1"/>
  <c r="BQ31" i="106" a="1"/>
  <c r="BQ31" i="106" s="1"/>
  <c r="AB31" i="106" a="1"/>
  <c r="AB31" i="106" s="1"/>
  <c r="AN31" i="106" a="1"/>
  <c r="AN31" i="106" s="1"/>
  <c r="BD31" i="106" a="1"/>
  <c r="BD31" i="106" s="1"/>
  <c r="BR31" i="106" a="1"/>
  <c r="BR31" i="106" s="1"/>
  <c r="Z31" i="106" a="1"/>
  <c r="Z31" i="106" s="1"/>
  <c r="AG39" i="106" a="1"/>
  <c r="AG39" i="106" s="1"/>
  <c r="AS39" i="106" a="1"/>
  <c r="AS39" i="106" s="1"/>
  <c r="BD39" i="106" a="1"/>
  <c r="BD39" i="106" s="1"/>
  <c r="BO39" i="106" a="1"/>
  <c r="BO39" i="106" s="1"/>
  <c r="CA39" i="106" a="1"/>
  <c r="CA39" i="106" s="1"/>
  <c r="AH39" i="106" a="1"/>
  <c r="AH39" i="106" s="1"/>
  <c r="AT39" i="106" a="1"/>
  <c r="AT39" i="106" s="1"/>
  <c r="BE39" i="106" a="1"/>
  <c r="BE39" i="106" s="1"/>
  <c r="BP39" i="106" a="1"/>
  <c r="BP39" i="106" s="1"/>
  <c r="AI39" i="106" a="1"/>
  <c r="AI39" i="106" s="1"/>
  <c r="AU39" i="106" a="1"/>
  <c r="AU39" i="106" s="1"/>
  <c r="BQ39" i="106" a="1"/>
  <c r="BQ39" i="106" s="1"/>
  <c r="AJ39" i="106" a="1"/>
  <c r="AJ39" i="106" s="1"/>
  <c r="AV39" i="106" a="1"/>
  <c r="AV39" i="106" s="1"/>
  <c r="BF39" i="106" a="1"/>
  <c r="BF39" i="106" s="1"/>
  <c r="BR39" i="106" a="1"/>
  <c r="BR39" i="106" s="1"/>
  <c r="AK39" i="106" a="1"/>
  <c r="AK39" i="106" s="1"/>
  <c r="AW39" i="106" a="1"/>
  <c r="AW39" i="106" s="1"/>
  <c r="BG39" i="106" a="1"/>
  <c r="BG39" i="106" s="1"/>
  <c r="BS39" i="106" a="1"/>
  <c r="BS39" i="106" s="1"/>
  <c r="AA39" i="106" a="1"/>
  <c r="AA39" i="106" s="1"/>
  <c r="AM39" i="106" a="1"/>
  <c r="AM39" i="106" s="1"/>
  <c r="AY39" i="106" a="1"/>
  <c r="AY39" i="106" s="1"/>
  <c r="BI39" i="106" a="1"/>
  <c r="BI39" i="106" s="1"/>
  <c r="BU39" i="106" a="1"/>
  <c r="BU39" i="106" s="1"/>
  <c r="AB39" i="106" a="1"/>
  <c r="AB39" i="106" s="1"/>
  <c r="AN39" i="106" a="1"/>
  <c r="AN39" i="106" s="1"/>
  <c r="BJ39" i="106" a="1"/>
  <c r="BJ39" i="106" s="1"/>
  <c r="BV39" i="106" a="1"/>
  <c r="BV39" i="106" s="1"/>
  <c r="AC39" i="106" a="1"/>
  <c r="AC39" i="106" s="1"/>
  <c r="AO39" i="106" a="1"/>
  <c r="AO39" i="106" s="1"/>
  <c r="AZ39" i="106" a="1"/>
  <c r="AZ39" i="106" s="1"/>
  <c r="BK39" i="106" a="1"/>
  <c r="BK39" i="106" s="1"/>
  <c r="BW39" i="106" a="1"/>
  <c r="BW39" i="106" s="1"/>
  <c r="AD39" i="106" a="1"/>
  <c r="AD39" i="106" s="1"/>
  <c r="AP39" i="106" a="1"/>
  <c r="AP39" i="106" s="1"/>
  <c r="BA39" i="106" a="1"/>
  <c r="BA39" i="106" s="1"/>
  <c r="BL39" i="106" a="1"/>
  <c r="BL39" i="106" s="1"/>
  <c r="BX39" i="106" a="1"/>
  <c r="BX39" i="106" s="1"/>
  <c r="AE39" i="106" a="1"/>
  <c r="AE39" i="106" s="1"/>
  <c r="AQ39" i="106" a="1"/>
  <c r="AQ39" i="106" s="1"/>
  <c r="BB39" i="106" a="1"/>
  <c r="BB39" i="106" s="1"/>
  <c r="BM39" i="106" a="1"/>
  <c r="BM39" i="106" s="1"/>
  <c r="BY39" i="106" a="1"/>
  <c r="BY39" i="106" s="1"/>
  <c r="AF39" i="106" a="1"/>
  <c r="AF39" i="106" s="1"/>
  <c r="AR39" i="106" a="1"/>
  <c r="AR39" i="106" s="1"/>
  <c r="BC39" i="106" a="1"/>
  <c r="BC39" i="106" s="1"/>
  <c r="BN39" i="106" a="1"/>
  <c r="BN39" i="106" s="1"/>
  <c r="BZ39" i="106" a="1"/>
  <c r="BZ39" i="106" s="1"/>
  <c r="AL39" i="106" a="1"/>
  <c r="AL39" i="106" s="1"/>
  <c r="AX39" i="106" a="1"/>
  <c r="AX39" i="106" s="1"/>
  <c r="BH39" i="106" a="1"/>
  <c r="BH39" i="106" s="1"/>
  <c r="BT39" i="106" a="1"/>
  <c r="BT39" i="106" s="1"/>
  <c r="Z39" i="106" a="1"/>
  <c r="Z39" i="106" s="1"/>
  <c r="AI30" i="106" a="1"/>
  <c r="AI30" i="106" s="1"/>
  <c r="AK30" i="106" a="1"/>
  <c r="AK30" i="106" s="1"/>
  <c r="AV30" i="106" a="1"/>
  <c r="AV30" i="106" s="1"/>
  <c r="BH30" i="106" a="1"/>
  <c r="BH30" i="106" s="1"/>
  <c r="BS30" i="106" a="1"/>
  <c r="BS30" i="106" s="1"/>
  <c r="AL30" i="106" a="1"/>
  <c r="AL30" i="106" s="1"/>
  <c r="AW30" i="106" a="1"/>
  <c r="AW30" i="106" s="1"/>
  <c r="BI30" i="106" a="1"/>
  <c r="BI30" i="106" s="1"/>
  <c r="BT30" i="106" a="1"/>
  <c r="BT30" i="106" s="1"/>
  <c r="AA30" i="106" a="1"/>
  <c r="AA30" i="106" s="1"/>
  <c r="AM30" i="106" a="1"/>
  <c r="AM30" i="106" s="1"/>
  <c r="AX30" i="106" a="1"/>
  <c r="AX30" i="106" s="1"/>
  <c r="BU30" i="106" a="1"/>
  <c r="BU30" i="106" s="1"/>
  <c r="AC30" i="106" a="1"/>
  <c r="AC30" i="106" s="1"/>
  <c r="AZ30" i="106" a="1"/>
  <c r="AZ30" i="106" s="1"/>
  <c r="AD30" i="106" a="1"/>
  <c r="AD30" i="106" s="1"/>
  <c r="AG30" i="106" a="1"/>
  <c r="AG30" i="106" s="1"/>
  <c r="AF30" i="106" a="1"/>
  <c r="AF30" i="106" s="1"/>
  <c r="BA30" i="106" a="1"/>
  <c r="BA30" i="106" s="1"/>
  <c r="BO30" i="106" a="1"/>
  <c r="BO30" i="106" s="1"/>
  <c r="AH30" i="106" a="1"/>
  <c r="AH30" i="106" s="1"/>
  <c r="BB30" i="106" a="1"/>
  <c r="BB30" i="106" s="1"/>
  <c r="BP30" i="106" a="1"/>
  <c r="BP30" i="106" s="1"/>
  <c r="AJ30" i="106" a="1"/>
  <c r="AJ30" i="106" s="1"/>
  <c r="BC30" i="106" a="1"/>
  <c r="BC30" i="106" s="1"/>
  <c r="BQ30" i="106" a="1"/>
  <c r="BQ30" i="106" s="1"/>
  <c r="AN30" i="106" a="1"/>
  <c r="AN30" i="106" s="1"/>
  <c r="BD30" i="106" a="1"/>
  <c r="BD30" i="106" s="1"/>
  <c r="BR30" i="106" a="1"/>
  <c r="BR30" i="106" s="1"/>
  <c r="AO30" i="106" a="1"/>
  <c r="AO30" i="106" s="1"/>
  <c r="BE30" i="106" a="1"/>
  <c r="BE30" i="106" s="1"/>
  <c r="BV30" i="106" a="1"/>
  <c r="BV30" i="106" s="1"/>
  <c r="AP30" i="106" a="1"/>
  <c r="AP30" i="106" s="1"/>
  <c r="BF30" i="106" a="1"/>
  <c r="BF30" i="106" s="1"/>
  <c r="BW30" i="106" a="1"/>
  <c r="BW30" i="106" s="1"/>
  <c r="AQ30" i="106" a="1"/>
  <c r="AQ30" i="106" s="1"/>
  <c r="BG30" i="106" a="1"/>
  <c r="BG30" i="106" s="1"/>
  <c r="BX30" i="106" a="1"/>
  <c r="BX30" i="106" s="1"/>
  <c r="AR30" i="106" a="1"/>
  <c r="AR30" i="106" s="1"/>
  <c r="BJ30" i="106" a="1"/>
  <c r="BJ30" i="106" s="1"/>
  <c r="BY30" i="106" a="1"/>
  <c r="BY30" i="106" s="1"/>
  <c r="AS30" i="106" a="1"/>
  <c r="AS30" i="106" s="1"/>
  <c r="BK30" i="106" a="1"/>
  <c r="BK30" i="106" s="1"/>
  <c r="BZ30" i="106" a="1"/>
  <c r="BZ30" i="106" s="1"/>
  <c r="AT30" i="106" a="1"/>
  <c r="AT30" i="106" s="1"/>
  <c r="BL30" i="106" a="1"/>
  <c r="BL30" i="106" s="1"/>
  <c r="CA30" i="106" a="1"/>
  <c r="CA30" i="106" s="1"/>
  <c r="AB30" i="106" a="1"/>
  <c r="AB30" i="106" s="1"/>
  <c r="AU30" i="106" a="1"/>
  <c r="AU30" i="106" s="1"/>
  <c r="BM30" i="106" a="1"/>
  <c r="BM30" i="106" s="1"/>
  <c r="AE30" i="106" a="1"/>
  <c r="AE30" i="106" s="1"/>
  <c r="AY30" i="106" a="1"/>
  <c r="AY30" i="106" s="1"/>
  <c r="BN30" i="106" a="1"/>
  <c r="BN30" i="106" s="1"/>
  <c r="Z30" i="106" a="1"/>
  <c r="Z30" i="106" s="1"/>
  <c r="AC65" i="106" a="1"/>
  <c r="AC65" i="106" s="1"/>
  <c r="AN65" i="106" a="1"/>
  <c r="AN65" i="106" s="1"/>
  <c r="AZ65" i="106" a="1"/>
  <c r="AZ65" i="106" s="1"/>
  <c r="BL65" i="106" a="1"/>
  <c r="BL65" i="106" s="1"/>
  <c r="BX65" i="106" a="1"/>
  <c r="BX65" i="106" s="1"/>
  <c r="AD65" i="106" a="1"/>
  <c r="AD65" i="106" s="1"/>
  <c r="AQ65" i="106" a="1"/>
  <c r="AQ65" i="106" s="1"/>
  <c r="BD65" i="106" a="1"/>
  <c r="BD65" i="106" s="1"/>
  <c r="BQ65" i="106" a="1"/>
  <c r="BQ65" i="106" s="1"/>
  <c r="AE65" i="106" a="1"/>
  <c r="AE65" i="106" s="1"/>
  <c r="AR65" i="106" a="1"/>
  <c r="AR65" i="106" s="1"/>
  <c r="BE65" i="106" a="1"/>
  <c r="BE65" i="106" s="1"/>
  <c r="BR65" i="106" a="1"/>
  <c r="BR65" i="106" s="1"/>
  <c r="AF65" i="106" a="1"/>
  <c r="AF65" i="106" s="1"/>
  <c r="AS65" i="106" a="1"/>
  <c r="AS65" i="106" s="1"/>
  <c r="BF65" i="106" a="1"/>
  <c r="BF65" i="106" s="1"/>
  <c r="BS65" i="106" a="1"/>
  <c r="BS65" i="106" s="1"/>
  <c r="AG65" i="106" a="1"/>
  <c r="AG65" i="106" s="1"/>
  <c r="AT65" i="106" a="1"/>
  <c r="AT65" i="106" s="1"/>
  <c r="BG65" i="106" a="1"/>
  <c r="BG65" i="106" s="1"/>
  <c r="BT65" i="106" a="1"/>
  <c r="BT65" i="106" s="1"/>
  <c r="AH65" i="106" a="1"/>
  <c r="AH65" i="106" s="1"/>
  <c r="AU65" i="106" a="1"/>
  <c r="AU65" i="106" s="1"/>
  <c r="BH65" i="106" a="1"/>
  <c r="BH65" i="106" s="1"/>
  <c r="BU65" i="106" a="1"/>
  <c r="BU65" i="106" s="1"/>
  <c r="AI65" i="106" a="1"/>
  <c r="AI65" i="106" s="1"/>
  <c r="AV65" i="106" a="1"/>
  <c r="AV65" i="106" s="1"/>
  <c r="BI65" i="106" a="1"/>
  <c r="BI65" i="106" s="1"/>
  <c r="BV65" i="106" a="1"/>
  <c r="BV65" i="106" s="1"/>
  <c r="AJ65" i="106" a="1"/>
  <c r="AJ65" i="106" s="1"/>
  <c r="AW65" i="106" a="1"/>
  <c r="AW65" i="106" s="1"/>
  <c r="BJ65" i="106" a="1"/>
  <c r="BJ65" i="106" s="1"/>
  <c r="BW65" i="106" a="1"/>
  <c r="BW65" i="106" s="1"/>
  <c r="AK65" i="106" a="1"/>
  <c r="AK65" i="106" s="1"/>
  <c r="AX65" i="106" a="1"/>
  <c r="AX65" i="106" s="1"/>
  <c r="BK65" i="106" a="1"/>
  <c r="BK65" i="106" s="1"/>
  <c r="BY65" i="106" a="1"/>
  <c r="BY65" i="106" s="1"/>
  <c r="AL65" i="106" a="1"/>
  <c r="AL65" i="106" s="1"/>
  <c r="AY65" i="106" a="1"/>
  <c r="AY65" i="106" s="1"/>
  <c r="BM65" i="106" a="1"/>
  <c r="BM65" i="106" s="1"/>
  <c r="BZ65" i="106" a="1"/>
  <c r="BZ65" i="106" s="1"/>
  <c r="AA65" i="106" a="1"/>
  <c r="AA65" i="106" s="1"/>
  <c r="AM65" i="106" a="1"/>
  <c r="AM65" i="106" s="1"/>
  <c r="BA65" i="106" a="1"/>
  <c r="BA65" i="106" s="1"/>
  <c r="BN65" i="106" a="1"/>
  <c r="BN65" i="106" s="1"/>
  <c r="CA65" i="106" a="1"/>
  <c r="CA65" i="106" s="1"/>
  <c r="AB65" i="106" a="1"/>
  <c r="AB65" i="106" s="1"/>
  <c r="AO65" i="106" a="1"/>
  <c r="AO65" i="106" s="1"/>
  <c r="BB65" i="106" a="1"/>
  <c r="BB65" i="106" s="1"/>
  <c r="BO65" i="106" a="1"/>
  <c r="BO65" i="106" s="1"/>
  <c r="Z65" i="106" a="1"/>
  <c r="Z65" i="106" s="1"/>
  <c r="AP65" i="106" a="1"/>
  <c r="AP65" i="106" s="1"/>
  <c r="BC65" i="106" a="1"/>
  <c r="BC65" i="106" s="1"/>
  <c r="BP65" i="106" a="1"/>
  <c r="BP65" i="106" s="1"/>
  <c r="AH29" i="106" a="1"/>
  <c r="AH29" i="106" s="1"/>
  <c r="AS29" i="106" a="1"/>
  <c r="AS29" i="106" s="1"/>
  <c r="BC29" i="106" a="1"/>
  <c r="BC29" i="106" s="1"/>
  <c r="BM29" i="106" a="1"/>
  <c r="BM29" i="106" s="1"/>
  <c r="AI29" i="106" a="1"/>
  <c r="AI29" i="106" s="1"/>
  <c r="AT29" i="106" a="1"/>
  <c r="AT29" i="106" s="1"/>
  <c r="BD29" i="106" a="1"/>
  <c r="BD29" i="106" s="1"/>
  <c r="BN29" i="106" a="1"/>
  <c r="BN29" i="106" s="1"/>
  <c r="BY29" i="106" a="1"/>
  <c r="BY29" i="106" s="1"/>
  <c r="AJ29" i="106" a="1"/>
  <c r="AJ29" i="106" s="1"/>
  <c r="BE29" i="106" a="1"/>
  <c r="BE29" i="106" s="1"/>
  <c r="BO29" i="106" a="1"/>
  <c r="BO29" i="106" s="1"/>
  <c r="BZ29" i="106" a="1"/>
  <c r="BZ29" i="106" s="1"/>
  <c r="AK29" i="106" a="1"/>
  <c r="AK29" i="106" s="1"/>
  <c r="AU29" i="106" a="1"/>
  <c r="AU29" i="106" s="1"/>
  <c r="BF29" i="106" a="1"/>
  <c r="BF29" i="106" s="1"/>
  <c r="BP29" i="106" a="1"/>
  <c r="BP29" i="106" s="1"/>
  <c r="CA29" i="106" a="1"/>
  <c r="CA29" i="106" s="1"/>
  <c r="AL29" i="106" a="1"/>
  <c r="AL29" i="106" s="1"/>
  <c r="AV29" i="106" a="1"/>
  <c r="AV29" i="106" s="1"/>
  <c r="BG29" i="106" a="1"/>
  <c r="BG29" i="106" s="1"/>
  <c r="BQ29" i="106" a="1"/>
  <c r="BQ29" i="106" s="1"/>
  <c r="AB29" i="106" a="1"/>
  <c r="AB29" i="106" s="1"/>
  <c r="AM29" i="106" a="1"/>
  <c r="AM29" i="106" s="1"/>
  <c r="AX29" i="106" a="1"/>
  <c r="AX29" i="106" s="1"/>
  <c r="BI29" i="106" a="1"/>
  <c r="BI29" i="106" s="1"/>
  <c r="BS29" i="106" a="1"/>
  <c r="BS29" i="106" s="1"/>
  <c r="AC29" i="106" a="1"/>
  <c r="AC29" i="106" s="1"/>
  <c r="AN29" i="106" a="1"/>
  <c r="AN29" i="106" s="1"/>
  <c r="AY29" i="106" a="1"/>
  <c r="AY29" i="106" s="1"/>
  <c r="BJ29" i="106" a="1"/>
  <c r="BJ29" i="106" s="1"/>
  <c r="BT29" i="106" a="1"/>
  <c r="BT29" i="106" s="1"/>
  <c r="AD29" i="106" a="1"/>
  <c r="AD29" i="106" s="1"/>
  <c r="AO29" i="106" a="1"/>
  <c r="AO29" i="106" s="1"/>
  <c r="BK29" i="106" a="1"/>
  <c r="BK29" i="106" s="1"/>
  <c r="BU29" i="106" a="1"/>
  <c r="BU29" i="106" s="1"/>
  <c r="AF29" i="106" a="1"/>
  <c r="AF29" i="106" s="1"/>
  <c r="AQ29" i="106" a="1"/>
  <c r="AQ29" i="106" s="1"/>
  <c r="BA29" i="106" a="1"/>
  <c r="BA29" i="106" s="1"/>
  <c r="BL29" i="106" a="1"/>
  <c r="BL29" i="106" s="1"/>
  <c r="BW29" i="106" a="1"/>
  <c r="BW29" i="106" s="1"/>
  <c r="AR29" i="106" a="1"/>
  <c r="AR29" i="106" s="1"/>
  <c r="AW29" i="106" a="1"/>
  <c r="AW29" i="106" s="1"/>
  <c r="AZ29" i="106" a="1"/>
  <c r="AZ29" i="106" s="1"/>
  <c r="BB29" i="106" a="1"/>
  <c r="BB29" i="106" s="1"/>
  <c r="BH29" i="106" a="1"/>
  <c r="BH29" i="106" s="1"/>
  <c r="AA29" i="106" a="1"/>
  <c r="AA29" i="106" s="1"/>
  <c r="BR29" i="106" a="1"/>
  <c r="BR29" i="106" s="1"/>
  <c r="AE29" i="106" a="1"/>
  <c r="AE29" i="106" s="1"/>
  <c r="BV29" i="106" a="1"/>
  <c r="BV29" i="106" s="1"/>
  <c r="AG29" i="106" a="1"/>
  <c r="AG29" i="106" s="1"/>
  <c r="BX29" i="106" a="1"/>
  <c r="BX29" i="106" s="1"/>
  <c r="AP29" i="106" a="1"/>
  <c r="AP29" i="106" s="1"/>
  <c r="Z29" i="106" a="1"/>
  <c r="Z29" i="106" s="1"/>
  <c r="AB49" i="106" a="1"/>
  <c r="AB49" i="106" s="1"/>
  <c r="AM49" i="106" a="1"/>
  <c r="AM49" i="106" s="1"/>
  <c r="AY49" i="106" a="1"/>
  <c r="AY49" i="106" s="1"/>
  <c r="BI49" i="106" a="1"/>
  <c r="BI49" i="106" s="1"/>
  <c r="BT49" i="106" a="1"/>
  <c r="BT49" i="106" s="1"/>
  <c r="AC49" i="106" a="1"/>
  <c r="AC49" i="106" s="1"/>
  <c r="AN49" i="106" a="1"/>
  <c r="AN49" i="106" s="1"/>
  <c r="AZ49" i="106" a="1"/>
  <c r="AZ49" i="106" s="1"/>
  <c r="BJ49" i="106" a="1"/>
  <c r="BJ49" i="106" s="1"/>
  <c r="BU49" i="106" a="1"/>
  <c r="BU49" i="106" s="1"/>
  <c r="AO49" i="106" a="1"/>
  <c r="AO49" i="106" s="1"/>
  <c r="BA49" i="106" a="1"/>
  <c r="BA49" i="106" s="1"/>
  <c r="BK49" i="106" a="1"/>
  <c r="BK49" i="106" s="1"/>
  <c r="BV49" i="106" a="1"/>
  <c r="BV49" i="106" s="1"/>
  <c r="AD49" i="106" a="1"/>
  <c r="AD49" i="106" s="1"/>
  <c r="AP49" i="106" a="1"/>
  <c r="AP49" i="106" s="1"/>
  <c r="BB49" i="106" a="1"/>
  <c r="BB49" i="106" s="1"/>
  <c r="BL49" i="106" a="1"/>
  <c r="BL49" i="106" s="1"/>
  <c r="BW49" i="106" a="1"/>
  <c r="BW49" i="106" s="1"/>
  <c r="AE49" i="106" a="1"/>
  <c r="AE49" i="106" s="1"/>
  <c r="AQ49" i="106" a="1"/>
  <c r="AQ49" i="106" s="1"/>
  <c r="BM49" i="106" a="1"/>
  <c r="BM49" i="106" s="1"/>
  <c r="BX49" i="106" a="1"/>
  <c r="BX49" i="106" s="1"/>
  <c r="AF49" i="106" a="1"/>
  <c r="AF49" i="106" s="1"/>
  <c r="AR49" i="106" a="1"/>
  <c r="AR49" i="106" s="1"/>
  <c r="BC49" i="106" a="1"/>
  <c r="BC49" i="106" s="1"/>
  <c r="BN49" i="106" a="1"/>
  <c r="BN49" i="106" s="1"/>
  <c r="BY49" i="106" a="1"/>
  <c r="BY49" i="106" s="1"/>
  <c r="AH49" i="106" a="1"/>
  <c r="AH49" i="106" s="1"/>
  <c r="AT49" i="106" a="1"/>
  <c r="AT49" i="106" s="1"/>
  <c r="BD49" i="106" a="1"/>
  <c r="BD49" i="106" s="1"/>
  <c r="BP49" i="106" a="1"/>
  <c r="BP49" i="106" s="1"/>
  <c r="BZ49" i="106" a="1"/>
  <c r="BZ49" i="106" s="1"/>
  <c r="AI49" i="106" a="1"/>
  <c r="AI49" i="106" s="1"/>
  <c r="AU49" i="106" a="1"/>
  <c r="AU49" i="106" s="1"/>
  <c r="BE49" i="106" a="1"/>
  <c r="BE49" i="106" s="1"/>
  <c r="CA49" i="106" a="1"/>
  <c r="CA49" i="106" s="1"/>
  <c r="AJ49" i="106" a="1"/>
  <c r="AJ49" i="106" s="1"/>
  <c r="AV49" i="106" a="1"/>
  <c r="AV49" i="106" s="1"/>
  <c r="BF49" i="106" a="1"/>
  <c r="BF49" i="106" s="1"/>
  <c r="BQ49" i="106" a="1"/>
  <c r="BQ49" i="106" s="1"/>
  <c r="AK49" i="106" a="1"/>
  <c r="AK49" i="106" s="1"/>
  <c r="AW49" i="106" a="1"/>
  <c r="AW49" i="106" s="1"/>
  <c r="BG49" i="106" a="1"/>
  <c r="BG49" i="106" s="1"/>
  <c r="BR49" i="106" a="1"/>
  <c r="BR49" i="106" s="1"/>
  <c r="AA49" i="106" a="1"/>
  <c r="AA49" i="106" s="1"/>
  <c r="AL49" i="106" a="1"/>
  <c r="AL49" i="106" s="1"/>
  <c r="AX49" i="106" a="1"/>
  <c r="AX49" i="106" s="1"/>
  <c r="BH49" i="106" a="1"/>
  <c r="BH49" i="106" s="1"/>
  <c r="BS49" i="106" a="1"/>
  <c r="BS49" i="106" s="1"/>
  <c r="AG49" i="106" a="1"/>
  <c r="AG49" i="106" s="1"/>
  <c r="AS49" i="106" a="1"/>
  <c r="AS49" i="106" s="1"/>
  <c r="BO49" i="106" a="1"/>
  <c r="BO49" i="106" s="1"/>
  <c r="Z49" i="106" a="1"/>
  <c r="Z49" i="106" s="1"/>
  <c r="AI36" i="106" a="1"/>
  <c r="AI36" i="106" s="1"/>
  <c r="AU36" i="106" a="1"/>
  <c r="AU36" i="106" s="1"/>
  <c r="BF36" i="106" a="1"/>
  <c r="BF36" i="106" s="1"/>
  <c r="BP36" i="106" a="1"/>
  <c r="BP36" i="106" s="1"/>
  <c r="AJ36" i="106" a="1"/>
  <c r="AJ36" i="106" s="1"/>
  <c r="AV36" i="106" a="1"/>
  <c r="AV36" i="106" s="1"/>
  <c r="BG36" i="106" a="1"/>
  <c r="BG36" i="106" s="1"/>
  <c r="BQ36" i="106" a="1"/>
  <c r="BQ36" i="106" s="1"/>
  <c r="AK36" i="106" a="1"/>
  <c r="AK36" i="106" s="1"/>
  <c r="AW36" i="106" a="1"/>
  <c r="AW36" i="106" s="1"/>
  <c r="BH36" i="106" a="1"/>
  <c r="BH36" i="106" s="1"/>
  <c r="BR36" i="106" a="1"/>
  <c r="BR36" i="106" s="1"/>
  <c r="AA36" i="106" a="1"/>
  <c r="AA36" i="106" s="1"/>
  <c r="AL36" i="106" a="1"/>
  <c r="AL36" i="106" s="1"/>
  <c r="AX36" i="106" a="1"/>
  <c r="AX36" i="106" s="1"/>
  <c r="BS36" i="106" a="1"/>
  <c r="BS36" i="106" s="1"/>
  <c r="AB36" i="106" a="1"/>
  <c r="AB36" i="106" s="1"/>
  <c r="AM36" i="106" a="1"/>
  <c r="AM36" i="106" s="1"/>
  <c r="AY36" i="106" a="1"/>
  <c r="AY36" i="106" s="1"/>
  <c r="BI36" i="106" a="1"/>
  <c r="BI36" i="106" s="1"/>
  <c r="BT36" i="106" a="1"/>
  <c r="BT36" i="106" s="1"/>
  <c r="AC36" i="106" a="1"/>
  <c r="AC36" i="106" s="1"/>
  <c r="AN36" i="106" a="1"/>
  <c r="AN36" i="106" s="1"/>
  <c r="AZ36" i="106" a="1"/>
  <c r="AZ36" i="106" s="1"/>
  <c r="BJ36" i="106" a="1"/>
  <c r="BJ36" i="106" s="1"/>
  <c r="BU36" i="106" a="1"/>
  <c r="BU36" i="106" s="1"/>
  <c r="AD36" i="106" a="1"/>
  <c r="AD36" i="106" s="1"/>
  <c r="AO36" i="106" a="1"/>
  <c r="AO36" i="106" s="1"/>
  <c r="BA36" i="106" a="1"/>
  <c r="BA36" i="106" s="1"/>
  <c r="BK36" i="106" a="1"/>
  <c r="BK36" i="106" s="1"/>
  <c r="BV36" i="106" a="1"/>
  <c r="BV36" i="106" s="1"/>
  <c r="AE36" i="106" a="1"/>
  <c r="AE36" i="106" s="1"/>
  <c r="AP36" i="106" a="1"/>
  <c r="AP36" i="106" s="1"/>
  <c r="BB36" i="106" a="1"/>
  <c r="BB36" i="106" s="1"/>
  <c r="BL36" i="106" a="1"/>
  <c r="BL36" i="106" s="1"/>
  <c r="BW36" i="106" a="1"/>
  <c r="BW36" i="106" s="1"/>
  <c r="AQ36" i="106" a="1"/>
  <c r="AQ36" i="106" s="1"/>
  <c r="BC36" i="106" a="1"/>
  <c r="BC36" i="106" s="1"/>
  <c r="BM36" i="106" a="1"/>
  <c r="BM36" i="106" s="1"/>
  <c r="BX36" i="106" a="1"/>
  <c r="BX36" i="106" s="1"/>
  <c r="AF36" i="106" a="1"/>
  <c r="AF36" i="106" s="1"/>
  <c r="AR36" i="106" a="1"/>
  <c r="AR36" i="106" s="1"/>
  <c r="BD36" i="106" a="1"/>
  <c r="BD36" i="106" s="1"/>
  <c r="BN36" i="106" a="1"/>
  <c r="BN36" i="106" s="1"/>
  <c r="BY36" i="106" a="1"/>
  <c r="BY36" i="106" s="1"/>
  <c r="AG36" i="106" a="1"/>
  <c r="AG36" i="106" s="1"/>
  <c r="AS36" i="106" a="1"/>
  <c r="AS36" i="106" s="1"/>
  <c r="BZ36" i="106" a="1"/>
  <c r="BZ36" i="106" s="1"/>
  <c r="AH36" i="106" a="1"/>
  <c r="AH36" i="106" s="1"/>
  <c r="AT36" i="106" a="1"/>
  <c r="AT36" i="106" s="1"/>
  <c r="BE36" i="106" a="1"/>
  <c r="BE36" i="106" s="1"/>
  <c r="BO36" i="106" a="1"/>
  <c r="BO36" i="106" s="1"/>
  <c r="CA36" i="106" a="1"/>
  <c r="CA36" i="106" s="1"/>
  <c r="Z36" i="106" a="1"/>
  <c r="Z36" i="106" s="1"/>
  <c r="AE51" i="106" a="1"/>
  <c r="AE51" i="106" s="1"/>
  <c r="AQ51" i="106" a="1"/>
  <c r="AQ51" i="106" s="1"/>
  <c r="BC51" i="106" a="1"/>
  <c r="BC51" i="106" s="1"/>
  <c r="BO51" i="106" a="1"/>
  <c r="BO51" i="106" s="1"/>
  <c r="CA51" i="106" a="1"/>
  <c r="CA51" i="106" s="1"/>
  <c r="AF51" i="106" a="1"/>
  <c r="AF51" i="106" s="1"/>
  <c r="AR51" i="106" a="1"/>
  <c r="AR51" i="106" s="1"/>
  <c r="BD51" i="106" a="1"/>
  <c r="BD51" i="106" s="1"/>
  <c r="BP51" i="106" a="1"/>
  <c r="BP51" i="106" s="1"/>
  <c r="AG51" i="106" a="1"/>
  <c r="AG51" i="106" s="1"/>
  <c r="AS51" i="106" a="1"/>
  <c r="AS51" i="106" s="1"/>
  <c r="BE51" i="106" a="1"/>
  <c r="BE51" i="106" s="1"/>
  <c r="BQ51" i="106" a="1"/>
  <c r="BQ51" i="106" s="1"/>
  <c r="AH51" i="106" a="1"/>
  <c r="AH51" i="106" s="1"/>
  <c r="AT51" i="106" a="1"/>
  <c r="AT51" i="106" s="1"/>
  <c r="BF51" i="106" a="1"/>
  <c r="BF51" i="106" s="1"/>
  <c r="BR51" i="106" a="1"/>
  <c r="BR51" i="106" s="1"/>
  <c r="AI51" i="106" a="1"/>
  <c r="AI51" i="106" s="1"/>
  <c r="AU51" i="106" a="1"/>
  <c r="AU51" i="106" s="1"/>
  <c r="BG51" i="106" a="1"/>
  <c r="BG51" i="106" s="1"/>
  <c r="BS51" i="106" a="1"/>
  <c r="BS51" i="106" s="1"/>
  <c r="AJ51" i="106" a="1"/>
  <c r="AJ51" i="106" s="1"/>
  <c r="AV51" i="106" a="1"/>
  <c r="AV51" i="106" s="1"/>
  <c r="BH51" i="106" a="1"/>
  <c r="BH51" i="106" s="1"/>
  <c r="BT51" i="106" a="1"/>
  <c r="BT51" i="106" s="1"/>
  <c r="AL51" i="106" a="1"/>
  <c r="AL51" i="106" s="1"/>
  <c r="AX51" i="106" a="1"/>
  <c r="AX51" i="106" s="1"/>
  <c r="BJ51" i="106" a="1"/>
  <c r="BJ51" i="106" s="1"/>
  <c r="BV51" i="106" a="1"/>
  <c r="BV51" i="106" s="1"/>
  <c r="AA51" i="106" a="1"/>
  <c r="AA51" i="106" s="1"/>
  <c r="AM51" i="106" a="1"/>
  <c r="AM51" i="106" s="1"/>
  <c r="AY51" i="106" a="1"/>
  <c r="AY51" i="106" s="1"/>
  <c r="BK51" i="106" a="1"/>
  <c r="BK51" i="106" s="1"/>
  <c r="BW51" i="106" a="1"/>
  <c r="BW51" i="106" s="1"/>
  <c r="AB51" i="106" a="1"/>
  <c r="AB51" i="106" s="1"/>
  <c r="AN51" i="106" a="1"/>
  <c r="AN51" i="106" s="1"/>
  <c r="AZ51" i="106" a="1"/>
  <c r="AZ51" i="106" s="1"/>
  <c r="BL51" i="106" a="1"/>
  <c r="BL51" i="106" s="1"/>
  <c r="BX51" i="106" a="1"/>
  <c r="BX51" i="106" s="1"/>
  <c r="AC51" i="106" a="1"/>
  <c r="AC51" i="106" s="1"/>
  <c r="AO51" i="106" a="1"/>
  <c r="AO51" i="106" s="1"/>
  <c r="BA51" i="106" a="1"/>
  <c r="BA51" i="106" s="1"/>
  <c r="BM51" i="106" a="1"/>
  <c r="BM51" i="106" s="1"/>
  <c r="BY51" i="106" a="1"/>
  <c r="BY51" i="106" s="1"/>
  <c r="AD51" i="106" a="1"/>
  <c r="AD51" i="106" s="1"/>
  <c r="AP51" i="106" a="1"/>
  <c r="AP51" i="106" s="1"/>
  <c r="BB51" i="106" a="1"/>
  <c r="BB51" i="106" s="1"/>
  <c r="BN51" i="106" a="1"/>
  <c r="BN51" i="106" s="1"/>
  <c r="BZ51" i="106" a="1"/>
  <c r="BZ51" i="106" s="1"/>
  <c r="AK51" i="106" a="1"/>
  <c r="AK51" i="106" s="1"/>
  <c r="AW51" i="106" a="1"/>
  <c r="AW51" i="106" s="1"/>
  <c r="BI51" i="106" a="1"/>
  <c r="BI51" i="106" s="1"/>
  <c r="BU51" i="106" a="1"/>
  <c r="BU51" i="106" s="1"/>
  <c r="Z51" i="106" a="1"/>
  <c r="Z51" i="106" s="1"/>
  <c r="AA35" i="106" a="1"/>
  <c r="AA35" i="106" s="1"/>
  <c r="AC35" i="106" a="1"/>
  <c r="AC35" i="106" s="1"/>
  <c r="AO35" i="106" a="1"/>
  <c r="AO35" i="106" s="1"/>
  <c r="BA35" i="106" a="1"/>
  <c r="BA35" i="106" s="1"/>
  <c r="BM35" i="106" a="1"/>
  <c r="BM35" i="106" s="1"/>
  <c r="BY35" i="106" a="1"/>
  <c r="BY35" i="106" s="1"/>
  <c r="AD35" i="106" a="1"/>
  <c r="AD35" i="106" s="1"/>
  <c r="AP35" i="106" a="1"/>
  <c r="AP35" i="106" s="1"/>
  <c r="BB35" i="106" a="1"/>
  <c r="BB35" i="106" s="1"/>
  <c r="BN35" i="106" a="1"/>
  <c r="BN35" i="106" s="1"/>
  <c r="BZ35" i="106" a="1"/>
  <c r="BZ35" i="106" s="1"/>
  <c r="AE35" i="106" a="1"/>
  <c r="AE35" i="106" s="1"/>
  <c r="AQ35" i="106" a="1"/>
  <c r="AQ35" i="106" s="1"/>
  <c r="BC35" i="106" a="1"/>
  <c r="BC35" i="106" s="1"/>
  <c r="BO35" i="106" a="1"/>
  <c r="BO35" i="106" s="1"/>
  <c r="CA35" i="106" a="1"/>
  <c r="CA35" i="106" s="1"/>
  <c r="AF35" i="106" a="1"/>
  <c r="AF35" i="106" s="1"/>
  <c r="AR35" i="106" a="1"/>
  <c r="AR35" i="106" s="1"/>
  <c r="BD35" i="106" a="1"/>
  <c r="BD35" i="106" s="1"/>
  <c r="BP35" i="106" a="1"/>
  <c r="BP35" i="106" s="1"/>
  <c r="AG35" i="106" a="1"/>
  <c r="AG35" i="106" s="1"/>
  <c r="AS35" i="106" a="1"/>
  <c r="AS35" i="106" s="1"/>
  <c r="BE35" i="106" a="1"/>
  <c r="BE35" i="106" s="1"/>
  <c r="BQ35" i="106" a="1"/>
  <c r="BQ35" i="106" s="1"/>
  <c r="AH35" i="106" a="1"/>
  <c r="AH35" i="106" s="1"/>
  <c r="AT35" i="106" a="1"/>
  <c r="AT35" i="106" s="1"/>
  <c r="BF35" i="106" a="1"/>
  <c r="BF35" i="106" s="1"/>
  <c r="BR35" i="106" a="1"/>
  <c r="BR35" i="106" s="1"/>
  <c r="AI35" i="106" a="1"/>
  <c r="AI35" i="106" s="1"/>
  <c r="AU35" i="106" a="1"/>
  <c r="AU35" i="106" s="1"/>
  <c r="BG35" i="106" a="1"/>
  <c r="BG35" i="106" s="1"/>
  <c r="BS35" i="106" a="1"/>
  <c r="BS35" i="106" s="1"/>
  <c r="AJ35" i="106" a="1"/>
  <c r="AJ35" i="106" s="1"/>
  <c r="AV35" i="106" a="1"/>
  <c r="AV35" i="106" s="1"/>
  <c r="BH35" i="106" a="1"/>
  <c r="BH35" i="106" s="1"/>
  <c r="BT35" i="106" a="1"/>
  <c r="BT35" i="106" s="1"/>
  <c r="AK35" i="106" a="1"/>
  <c r="AK35" i="106" s="1"/>
  <c r="AW35" i="106" a="1"/>
  <c r="AW35" i="106" s="1"/>
  <c r="BI35" i="106" a="1"/>
  <c r="BI35" i="106" s="1"/>
  <c r="BU35" i="106" a="1"/>
  <c r="BU35" i="106" s="1"/>
  <c r="AL35" i="106" a="1"/>
  <c r="AL35" i="106" s="1"/>
  <c r="AX35" i="106" a="1"/>
  <c r="AX35" i="106" s="1"/>
  <c r="BJ35" i="106" a="1"/>
  <c r="BJ35" i="106" s="1"/>
  <c r="BV35" i="106" a="1"/>
  <c r="BV35" i="106" s="1"/>
  <c r="AM35" i="106" a="1"/>
  <c r="AM35" i="106" s="1"/>
  <c r="AY35" i="106" a="1"/>
  <c r="AY35" i="106" s="1"/>
  <c r="BK35" i="106" a="1"/>
  <c r="BK35" i="106" s="1"/>
  <c r="BW35" i="106" a="1"/>
  <c r="BW35" i="106" s="1"/>
  <c r="AB35" i="106" a="1"/>
  <c r="AB35" i="106" s="1"/>
  <c r="AN35" i="106" a="1"/>
  <c r="AN35" i="106" s="1"/>
  <c r="AZ35" i="106" a="1"/>
  <c r="AZ35" i="106" s="1"/>
  <c r="BL35" i="106" a="1"/>
  <c r="BL35" i="106" s="1"/>
  <c r="BX35" i="106" a="1"/>
  <c r="BX35" i="106" s="1"/>
  <c r="Z35" i="106" a="1"/>
  <c r="Z35" i="106" s="1"/>
  <c r="AH34" i="106" a="1"/>
  <c r="AH34" i="106" s="1"/>
  <c r="AS34" i="106" a="1"/>
  <c r="AS34" i="106" s="1"/>
  <c r="BE34" i="106" a="1"/>
  <c r="BE34" i="106" s="1"/>
  <c r="BQ34" i="106" a="1"/>
  <c r="BQ34" i="106" s="1"/>
  <c r="AE34" i="106" a="1"/>
  <c r="AE34" i="106" s="1"/>
  <c r="AQ34" i="106" a="1"/>
  <c r="AQ34" i="106" s="1"/>
  <c r="BD34" i="106" a="1"/>
  <c r="BD34" i="106" s="1"/>
  <c r="BR34" i="106" a="1"/>
  <c r="BR34" i="106" s="1"/>
  <c r="AF34" i="106" a="1"/>
  <c r="AF34" i="106" s="1"/>
  <c r="AR34" i="106" a="1"/>
  <c r="AR34" i="106" s="1"/>
  <c r="BF34" i="106" a="1"/>
  <c r="BF34" i="106" s="1"/>
  <c r="BS34" i="106" a="1"/>
  <c r="BS34" i="106" s="1"/>
  <c r="AG34" i="106" a="1"/>
  <c r="AG34" i="106" s="1"/>
  <c r="AT34" i="106" a="1"/>
  <c r="AT34" i="106" s="1"/>
  <c r="BG34" i="106" a="1"/>
  <c r="BG34" i="106" s="1"/>
  <c r="BT34" i="106" a="1"/>
  <c r="BT34" i="106" s="1"/>
  <c r="AI34" i="106" a="1"/>
  <c r="AI34" i="106" s="1"/>
  <c r="AU34" i="106" a="1"/>
  <c r="AU34" i="106" s="1"/>
  <c r="BH34" i="106" a="1"/>
  <c r="BH34" i="106" s="1"/>
  <c r="BU34" i="106" a="1"/>
  <c r="BU34" i="106" s="1"/>
  <c r="AJ34" i="106" a="1"/>
  <c r="AJ34" i="106" s="1"/>
  <c r="AV34" i="106" a="1"/>
  <c r="AV34" i="106" s="1"/>
  <c r="BI34" i="106" a="1"/>
  <c r="BI34" i="106" s="1"/>
  <c r="BV34" i="106" a="1"/>
  <c r="BV34" i="106" s="1"/>
  <c r="AK34" i="106" a="1"/>
  <c r="AK34" i="106" s="1"/>
  <c r="AW34" i="106" a="1"/>
  <c r="AW34" i="106" s="1"/>
  <c r="BJ34" i="106" a="1"/>
  <c r="BJ34" i="106" s="1"/>
  <c r="BW34" i="106" a="1"/>
  <c r="BW34" i="106" s="1"/>
  <c r="AL34" i="106" a="1"/>
  <c r="AL34" i="106" s="1"/>
  <c r="AX34" i="106" a="1"/>
  <c r="AX34" i="106" s="1"/>
  <c r="BK34" i="106" a="1"/>
  <c r="BK34" i="106" s="1"/>
  <c r="BX34" i="106" a="1"/>
  <c r="BX34" i="106" s="1"/>
  <c r="AM34" i="106" a="1"/>
  <c r="AM34" i="106" s="1"/>
  <c r="AY34" i="106" a="1"/>
  <c r="AY34" i="106" s="1"/>
  <c r="BL34" i="106" a="1"/>
  <c r="BL34" i="106" s="1"/>
  <c r="BY34" i="106" a="1"/>
  <c r="BY34" i="106" s="1"/>
  <c r="AA34" i="106" a="1"/>
  <c r="AA34" i="106" s="1"/>
  <c r="AN34" i="106" a="1"/>
  <c r="AN34" i="106" s="1"/>
  <c r="AZ34" i="106" a="1"/>
  <c r="AZ34" i="106" s="1"/>
  <c r="BM34" i="106" a="1"/>
  <c r="BM34" i="106" s="1"/>
  <c r="BZ34" i="106" a="1"/>
  <c r="BZ34" i="106" s="1"/>
  <c r="AB34" i="106" a="1"/>
  <c r="AB34" i="106" s="1"/>
  <c r="BA34" i="106" a="1"/>
  <c r="BA34" i="106" s="1"/>
  <c r="BN34" i="106" a="1"/>
  <c r="BN34" i="106" s="1"/>
  <c r="AC34" i="106" a="1"/>
  <c r="AC34" i="106" s="1"/>
  <c r="AO34" i="106" a="1"/>
  <c r="AO34" i="106" s="1"/>
  <c r="BB34" i="106" a="1"/>
  <c r="BB34" i="106" s="1"/>
  <c r="BO34" i="106" a="1"/>
  <c r="BO34" i="106" s="1"/>
  <c r="CA34" i="106" a="1"/>
  <c r="CA34" i="106" s="1"/>
  <c r="AD34" i="106" a="1"/>
  <c r="AD34" i="106" s="1"/>
  <c r="AP34" i="106" a="1"/>
  <c r="AP34" i="106" s="1"/>
  <c r="BC34" i="106" a="1"/>
  <c r="BC34" i="106" s="1"/>
  <c r="BP34" i="106" a="1"/>
  <c r="BP34" i="106" s="1"/>
  <c r="Z34" i="106" a="1"/>
  <c r="Z34" i="106" s="1"/>
  <c r="AH63" i="106" a="1"/>
  <c r="AH63" i="106" s="1"/>
  <c r="AS63" i="106" a="1"/>
  <c r="AS63" i="106" s="1"/>
  <c r="BD63" i="106" a="1"/>
  <c r="BD63" i="106" s="1"/>
  <c r="BM63" i="106" a="1"/>
  <c r="BM63" i="106" s="1"/>
  <c r="BY63" i="106" a="1"/>
  <c r="BY63" i="106" s="1"/>
  <c r="AI63" i="106" a="1"/>
  <c r="AI63" i="106" s="1"/>
  <c r="AT63" i="106" a="1"/>
  <c r="AT63" i="106" s="1"/>
  <c r="BN63" i="106" a="1"/>
  <c r="BN63" i="106" s="1"/>
  <c r="AA63" i="106" a="1"/>
  <c r="AA63" i="106" s="1"/>
  <c r="AM63" i="106" a="1"/>
  <c r="AM63" i="106" s="1"/>
  <c r="BR63" i="106" a="1"/>
  <c r="BR63" i="106" s="1"/>
  <c r="AB63" i="106" a="1"/>
  <c r="AB63" i="106" s="1"/>
  <c r="AC63" i="106" a="1"/>
  <c r="AC63" i="106" s="1"/>
  <c r="AO63" i="106" a="1"/>
  <c r="AO63" i="106" s="1"/>
  <c r="AY63" i="106" a="1"/>
  <c r="AY63" i="106" s="1"/>
  <c r="BI63" i="106" a="1"/>
  <c r="BI63" i="106" s="1"/>
  <c r="AD63" i="106" a="1"/>
  <c r="AD63" i="106" s="1"/>
  <c r="AZ63" i="106" a="1"/>
  <c r="AZ63" i="106" s="1"/>
  <c r="AJ63" i="106" a="1"/>
  <c r="AJ63" i="106" s="1"/>
  <c r="BB63" i="106" a="1"/>
  <c r="BB63" i="106" s="1"/>
  <c r="BQ63" i="106" a="1"/>
  <c r="BQ63" i="106" s="1"/>
  <c r="AK63" i="106" a="1"/>
  <c r="AK63" i="106" s="1"/>
  <c r="BC63" i="106" a="1"/>
  <c r="BC63" i="106" s="1"/>
  <c r="BS63" i="106" a="1"/>
  <c r="BS63" i="106" s="1"/>
  <c r="AL63" i="106" a="1"/>
  <c r="AL63" i="106" s="1"/>
  <c r="BE63" i="106" a="1"/>
  <c r="BE63" i="106" s="1"/>
  <c r="BT63" i="106" a="1"/>
  <c r="BT63" i="106" s="1"/>
  <c r="AN63" i="106" a="1"/>
  <c r="AN63" i="106" s="1"/>
  <c r="BF63" i="106" a="1"/>
  <c r="BF63" i="106" s="1"/>
  <c r="BU63" i="106" a="1"/>
  <c r="BU63" i="106" s="1"/>
  <c r="AP63" i="106" a="1"/>
  <c r="AP63" i="106" s="1"/>
  <c r="BG63" i="106" a="1"/>
  <c r="BG63" i="106" s="1"/>
  <c r="BV63" i="106" a="1"/>
  <c r="BV63" i="106" s="1"/>
  <c r="AQ63" i="106" a="1"/>
  <c r="AQ63" i="106" s="1"/>
  <c r="BH63" i="106" a="1"/>
  <c r="BH63" i="106" s="1"/>
  <c r="BW63" i="106" a="1"/>
  <c r="BW63" i="106" s="1"/>
  <c r="AR63" i="106" a="1"/>
  <c r="AR63" i="106" s="1"/>
  <c r="BJ63" i="106" a="1"/>
  <c r="BJ63" i="106" s="1"/>
  <c r="BX63" i="106" a="1"/>
  <c r="BX63" i="106" s="1"/>
  <c r="AU63" i="106" a="1"/>
  <c r="AU63" i="106" s="1"/>
  <c r="BZ63" i="106" a="1"/>
  <c r="BZ63" i="106" s="1"/>
  <c r="AV63" i="106" a="1"/>
  <c r="AV63" i="106" s="1"/>
  <c r="BK63" i="106" a="1"/>
  <c r="BK63" i="106" s="1"/>
  <c r="CA63" i="106" a="1"/>
  <c r="CA63" i="106" s="1"/>
  <c r="AE63" i="106" a="1"/>
  <c r="AE63" i="106" s="1"/>
  <c r="AW63" i="106" a="1"/>
  <c r="AW63" i="106" s="1"/>
  <c r="BL63" i="106" a="1"/>
  <c r="BL63" i="106" s="1"/>
  <c r="AF63" i="106" a="1"/>
  <c r="AF63" i="106" s="1"/>
  <c r="AX63" i="106" a="1"/>
  <c r="AX63" i="106" s="1"/>
  <c r="BO63" i="106" a="1"/>
  <c r="BO63" i="106" s="1"/>
  <c r="BA63" i="106" a="1"/>
  <c r="BA63" i="106" s="1"/>
  <c r="BP63" i="106" a="1"/>
  <c r="BP63" i="106" s="1"/>
  <c r="Z63" i="106" a="1"/>
  <c r="Z63" i="106" s="1"/>
  <c r="AG63" i="106" a="1"/>
  <c r="AG63" i="106" s="1"/>
  <c r="AD38" i="106" a="1"/>
  <c r="AD38" i="106" s="1"/>
  <c r="AP38" i="106" a="1"/>
  <c r="AP38" i="106" s="1"/>
  <c r="AZ38" i="106" a="1"/>
  <c r="AZ38" i="106" s="1"/>
  <c r="BL38" i="106" a="1"/>
  <c r="BL38" i="106" s="1"/>
  <c r="BW38" i="106" a="1"/>
  <c r="BW38" i="106" s="1"/>
  <c r="AE38" i="106" a="1"/>
  <c r="AE38" i="106" s="1"/>
  <c r="AQ38" i="106" a="1"/>
  <c r="AQ38" i="106" s="1"/>
  <c r="BA38" i="106" a="1"/>
  <c r="BA38" i="106" s="1"/>
  <c r="BM38" i="106" a="1"/>
  <c r="BM38" i="106" s="1"/>
  <c r="BX38" i="106" a="1"/>
  <c r="BX38" i="106" s="1"/>
  <c r="AF38" i="106" a="1"/>
  <c r="AF38" i="106" s="1"/>
  <c r="AR38" i="106" a="1"/>
  <c r="AR38" i="106" s="1"/>
  <c r="BB38" i="106" a="1"/>
  <c r="BB38" i="106" s="1"/>
  <c r="BN38" i="106" a="1"/>
  <c r="BN38" i="106" s="1"/>
  <c r="BY38" i="106" a="1"/>
  <c r="BY38" i="106" s="1"/>
  <c r="AG38" i="106" a="1"/>
  <c r="AG38" i="106" s="1"/>
  <c r="BC38" i="106" a="1"/>
  <c r="BC38" i="106" s="1"/>
  <c r="BO38" i="106" a="1"/>
  <c r="BO38" i="106" s="1"/>
  <c r="BZ38" i="106" a="1"/>
  <c r="BZ38" i="106" s="1"/>
  <c r="AH38" i="106" a="1"/>
  <c r="AH38" i="106" s="1"/>
  <c r="AS38" i="106" a="1"/>
  <c r="AS38" i="106" s="1"/>
  <c r="BD38" i="106" a="1"/>
  <c r="BD38" i="106" s="1"/>
  <c r="BP38" i="106" a="1"/>
  <c r="BP38" i="106" s="1"/>
  <c r="AJ38" i="106" a="1"/>
  <c r="AJ38" i="106" s="1"/>
  <c r="AU38" i="106" a="1"/>
  <c r="AU38" i="106" s="1"/>
  <c r="BF38" i="106" a="1"/>
  <c r="BF38" i="106" s="1"/>
  <c r="BQ38" i="106" a="1"/>
  <c r="BQ38" i="106" s="1"/>
  <c r="AK38" i="106" a="1"/>
  <c r="AK38" i="106" s="1"/>
  <c r="AV38" i="106" a="1"/>
  <c r="AV38" i="106" s="1"/>
  <c r="BG38" i="106" a="1"/>
  <c r="BG38" i="106" s="1"/>
  <c r="BR38" i="106" a="1"/>
  <c r="BR38" i="106" s="1"/>
  <c r="AL38" i="106" a="1"/>
  <c r="AL38" i="106" s="1"/>
  <c r="AW38" i="106" a="1"/>
  <c r="AW38" i="106" s="1"/>
  <c r="BH38" i="106" a="1"/>
  <c r="BH38" i="106" s="1"/>
  <c r="BS38" i="106" a="1"/>
  <c r="BS38" i="106" s="1"/>
  <c r="AA38" i="106" a="1"/>
  <c r="AA38" i="106" s="1"/>
  <c r="AM38" i="106" a="1"/>
  <c r="AM38" i="106" s="1"/>
  <c r="AX38" i="106" a="1"/>
  <c r="AX38" i="106" s="1"/>
  <c r="BI38" i="106" a="1"/>
  <c r="BI38" i="106" s="1"/>
  <c r="BT38" i="106" a="1"/>
  <c r="BT38" i="106" s="1"/>
  <c r="AB38" i="106" a="1"/>
  <c r="AB38" i="106" s="1"/>
  <c r="AN38" i="106" a="1"/>
  <c r="AN38" i="106" s="1"/>
  <c r="BJ38" i="106" a="1"/>
  <c r="BJ38" i="106" s="1"/>
  <c r="BU38" i="106" a="1"/>
  <c r="BU38" i="106" s="1"/>
  <c r="AC38" i="106" a="1"/>
  <c r="AC38" i="106" s="1"/>
  <c r="AO38" i="106" a="1"/>
  <c r="AO38" i="106" s="1"/>
  <c r="AY38" i="106" a="1"/>
  <c r="AY38" i="106" s="1"/>
  <c r="BK38" i="106" a="1"/>
  <c r="BK38" i="106" s="1"/>
  <c r="BV38" i="106" a="1"/>
  <c r="BV38" i="106" s="1"/>
  <c r="AI38" i="106" a="1"/>
  <c r="AI38" i="106" s="1"/>
  <c r="AT38" i="106" a="1"/>
  <c r="AT38" i="106" s="1"/>
  <c r="BE38" i="106" a="1"/>
  <c r="BE38" i="106" s="1"/>
  <c r="CA38" i="106" a="1"/>
  <c r="CA38" i="106" s="1"/>
  <c r="Z38" i="106" a="1"/>
  <c r="Z38" i="106" s="1"/>
  <c r="AA46" i="106" a="1"/>
  <c r="AA46" i="106" s="1"/>
  <c r="AM46" i="106" a="1"/>
  <c r="AM46" i="106" s="1"/>
  <c r="AY46" i="106" a="1"/>
  <c r="AY46" i="106" s="1"/>
  <c r="BJ46" i="106" a="1"/>
  <c r="BJ46" i="106" s="1"/>
  <c r="AB46" i="106" a="1"/>
  <c r="AB46" i="106" s="1"/>
  <c r="AN46" i="106" a="1"/>
  <c r="AN46" i="106" s="1"/>
  <c r="BK46" i="106" a="1"/>
  <c r="BK46" i="106" s="1"/>
  <c r="BV46" i="106" a="1"/>
  <c r="BV46" i="106" s="1"/>
  <c r="AC46" i="106" a="1"/>
  <c r="AC46" i="106" s="1"/>
  <c r="AO46" i="106" a="1"/>
  <c r="AO46" i="106" s="1"/>
  <c r="AZ46" i="106" a="1"/>
  <c r="AZ46" i="106" s="1"/>
  <c r="BL46" i="106" a="1"/>
  <c r="BL46" i="106" s="1"/>
  <c r="BW46" i="106" a="1"/>
  <c r="BW46" i="106" s="1"/>
  <c r="AD46" i="106" a="1"/>
  <c r="AD46" i="106" s="1"/>
  <c r="AP46" i="106" a="1"/>
  <c r="AP46" i="106" s="1"/>
  <c r="BA46" i="106" a="1"/>
  <c r="BA46" i="106" s="1"/>
  <c r="BM46" i="106" a="1"/>
  <c r="BM46" i="106" s="1"/>
  <c r="AE46" i="106" a="1"/>
  <c r="AE46" i="106" s="1"/>
  <c r="AQ46" i="106" a="1"/>
  <c r="AQ46" i="106" s="1"/>
  <c r="AI46" i="106" a="1"/>
  <c r="AI46" i="106" s="1"/>
  <c r="AU46" i="106" a="1"/>
  <c r="AU46" i="106" s="1"/>
  <c r="BF46" i="106" a="1"/>
  <c r="BF46" i="106" s="1"/>
  <c r="BR46" i="106" a="1"/>
  <c r="BR46" i="106" s="1"/>
  <c r="AJ46" i="106" a="1"/>
  <c r="AJ46" i="106" s="1"/>
  <c r="AV46" i="106" a="1"/>
  <c r="AV46" i="106" s="1"/>
  <c r="BG46" i="106" a="1"/>
  <c r="BG46" i="106" s="1"/>
  <c r="BS46" i="106" a="1"/>
  <c r="BS46" i="106" s="1"/>
  <c r="AK46" i="106" a="1"/>
  <c r="AK46" i="106" s="1"/>
  <c r="AW46" i="106" a="1"/>
  <c r="AW46" i="106" s="1"/>
  <c r="BH46" i="106" a="1"/>
  <c r="BH46" i="106" s="1"/>
  <c r="BT46" i="106" a="1"/>
  <c r="BT46" i="106" s="1"/>
  <c r="AL46" i="106" a="1"/>
  <c r="AL46" i="106" s="1"/>
  <c r="AX46" i="106" a="1"/>
  <c r="AX46" i="106" s="1"/>
  <c r="BI46" i="106" a="1"/>
  <c r="BI46" i="106" s="1"/>
  <c r="AS46" i="106" a="1"/>
  <c r="AS46" i="106" s="1"/>
  <c r="BY46" i="106" a="1"/>
  <c r="BY46" i="106" s="1"/>
  <c r="AT46" i="106" a="1"/>
  <c r="AT46" i="106" s="1"/>
  <c r="BZ46" i="106" a="1"/>
  <c r="BZ46" i="106" s="1"/>
  <c r="BB46" i="106" a="1"/>
  <c r="BB46" i="106" s="1"/>
  <c r="CA46" i="106" a="1"/>
  <c r="CA46" i="106" s="1"/>
  <c r="BC46" i="106" a="1"/>
  <c r="BC46" i="106" s="1"/>
  <c r="BD46" i="106" a="1"/>
  <c r="BD46" i="106" s="1"/>
  <c r="BE46" i="106" a="1"/>
  <c r="BE46" i="106" s="1"/>
  <c r="BN46" i="106" a="1"/>
  <c r="BN46" i="106" s="1"/>
  <c r="BO46" i="106" a="1"/>
  <c r="BO46" i="106" s="1"/>
  <c r="AF46" i="106" a="1"/>
  <c r="AF46" i="106" s="1"/>
  <c r="BP46" i="106" a="1"/>
  <c r="BP46" i="106" s="1"/>
  <c r="AG46" i="106" a="1"/>
  <c r="AG46" i="106" s="1"/>
  <c r="BQ46" i="106" a="1"/>
  <c r="BQ46" i="106" s="1"/>
  <c r="AH46" i="106" a="1"/>
  <c r="AH46" i="106" s="1"/>
  <c r="BU46" i="106" a="1"/>
  <c r="BU46" i="106" s="1"/>
  <c r="AR46" i="106" a="1"/>
  <c r="AR46" i="106" s="1"/>
  <c r="BX46" i="106" a="1"/>
  <c r="BX46" i="106" s="1"/>
  <c r="Z46" i="106" a="1"/>
  <c r="Z46" i="106" s="1"/>
  <c r="AH45" i="106" a="1"/>
  <c r="AH45" i="106" s="1"/>
  <c r="AT45" i="106" a="1"/>
  <c r="AT45" i="106" s="1"/>
  <c r="BE45" i="106" a="1"/>
  <c r="BE45" i="106" s="1"/>
  <c r="AI45" i="106" a="1"/>
  <c r="AI45" i="106" s="1"/>
  <c r="AU45" i="106" a="1"/>
  <c r="AU45" i="106" s="1"/>
  <c r="BF45" i="106" a="1"/>
  <c r="BF45" i="106" s="1"/>
  <c r="BQ45" i="106" a="1"/>
  <c r="BQ45" i="106" s="1"/>
  <c r="AJ45" i="106" a="1"/>
  <c r="AJ45" i="106" s="1"/>
  <c r="AV45" i="106" a="1"/>
  <c r="AV45" i="106" s="1"/>
  <c r="BG45" i="106" a="1"/>
  <c r="BG45" i="106" s="1"/>
  <c r="BR45" i="106" a="1"/>
  <c r="BR45" i="106" s="1"/>
  <c r="AK45" i="106" a="1"/>
  <c r="AK45" i="106" s="1"/>
  <c r="AW45" i="106" a="1"/>
  <c r="AW45" i="106" s="1"/>
  <c r="BH45" i="106" a="1"/>
  <c r="BH45" i="106" s="1"/>
  <c r="BS45" i="106" a="1"/>
  <c r="BS45" i="106" s="1"/>
  <c r="AA45" i="106" a="1"/>
  <c r="AA45" i="106" s="1"/>
  <c r="AL45" i="106" a="1"/>
  <c r="AL45" i="106" s="1"/>
  <c r="AX45" i="106" a="1"/>
  <c r="AX45" i="106" s="1"/>
  <c r="BI45" i="106" a="1"/>
  <c r="BI45" i="106" s="1"/>
  <c r="BT45" i="106" a="1"/>
  <c r="BT45" i="106" s="1"/>
  <c r="AD45" i="106" a="1"/>
  <c r="AD45" i="106" s="1"/>
  <c r="AO45" i="106" a="1"/>
  <c r="AO45" i="106" s="1"/>
  <c r="BA45" i="106" a="1"/>
  <c r="BA45" i="106" s="1"/>
  <c r="BL45" i="106" a="1"/>
  <c r="BL45" i="106" s="1"/>
  <c r="BW45" i="106" a="1"/>
  <c r="BW45" i="106" s="1"/>
  <c r="AE45" i="106" a="1"/>
  <c r="AE45" i="106" s="1"/>
  <c r="AP45" i="106" a="1"/>
  <c r="AP45" i="106" s="1"/>
  <c r="BB45" i="106" a="1"/>
  <c r="BB45" i="106" s="1"/>
  <c r="BM45" i="106" a="1"/>
  <c r="BM45" i="106" s="1"/>
  <c r="BX45" i="106" a="1"/>
  <c r="BX45" i="106" s="1"/>
  <c r="AF45" i="106" a="1"/>
  <c r="AF45" i="106" s="1"/>
  <c r="AQ45" i="106" a="1"/>
  <c r="AQ45" i="106" s="1"/>
  <c r="BN45" i="106" a="1"/>
  <c r="BN45" i="106" s="1"/>
  <c r="BY45" i="106" a="1"/>
  <c r="BY45" i="106" s="1"/>
  <c r="AR45" i="106" a="1"/>
  <c r="AR45" i="106" s="1"/>
  <c r="BC45" i="106" a="1"/>
  <c r="BC45" i="106" s="1"/>
  <c r="BO45" i="106" a="1"/>
  <c r="BO45" i="106" s="1"/>
  <c r="BZ45" i="106" a="1"/>
  <c r="BZ45" i="106" s="1"/>
  <c r="AG45" i="106" a="1"/>
  <c r="AG45" i="106" s="1"/>
  <c r="AS45" i="106" a="1"/>
  <c r="AS45" i="106" s="1"/>
  <c r="BD45" i="106" a="1"/>
  <c r="BD45" i="106" s="1"/>
  <c r="BP45" i="106" a="1"/>
  <c r="BP45" i="106" s="1"/>
  <c r="CA45" i="106" a="1"/>
  <c r="CA45" i="106" s="1"/>
  <c r="AM45" i="106" a="1"/>
  <c r="AM45" i="106" s="1"/>
  <c r="AN45" i="106" a="1"/>
  <c r="AN45" i="106" s="1"/>
  <c r="AY45" i="106" a="1"/>
  <c r="AY45" i="106" s="1"/>
  <c r="AZ45" i="106" a="1"/>
  <c r="AZ45" i="106" s="1"/>
  <c r="BJ45" i="106" a="1"/>
  <c r="BJ45" i="106" s="1"/>
  <c r="BK45" i="106" a="1"/>
  <c r="BK45" i="106" s="1"/>
  <c r="BU45" i="106" a="1"/>
  <c r="BU45" i="106" s="1"/>
  <c r="BV45" i="106" a="1"/>
  <c r="BV45" i="106" s="1"/>
  <c r="AB45" i="106" a="1"/>
  <c r="AB45" i="106" s="1"/>
  <c r="AC45" i="106" a="1"/>
  <c r="AC45" i="106" s="1"/>
  <c r="Z45" i="106" a="1"/>
  <c r="Z45" i="106" s="1"/>
  <c r="AC33" i="106" a="1"/>
  <c r="AC33" i="106" s="1"/>
  <c r="AN33" i="106" a="1"/>
  <c r="AN33" i="106" s="1"/>
  <c r="AZ33" i="106" a="1"/>
  <c r="AZ33" i="106" s="1"/>
  <c r="BK33" i="106" a="1"/>
  <c r="BK33" i="106" s="1"/>
  <c r="BW33" i="106" a="1"/>
  <c r="BW33" i="106" s="1"/>
  <c r="AH33" i="106" a="1"/>
  <c r="AH33" i="106" s="1"/>
  <c r="AT33" i="106" a="1"/>
  <c r="AT33" i="106" s="1"/>
  <c r="BG33" i="106" a="1"/>
  <c r="BG33" i="106" s="1"/>
  <c r="BS33" i="106" a="1"/>
  <c r="BS33" i="106" s="1"/>
  <c r="AU33" i="106" a="1"/>
  <c r="AU33" i="106" s="1"/>
  <c r="BT33" i="106" a="1"/>
  <c r="BT33" i="106" s="1"/>
  <c r="AI33" i="106" a="1"/>
  <c r="AI33" i="106" s="1"/>
  <c r="AV33" i="106" a="1"/>
  <c r="AV33" i="106" s="1"/>
  <c r="BH33" i="106" a="1"/>
  <c r="BH33" i="106" s="1"/>
  <c r="BU33" i="106" a="1"/>
  <c r="BU33" i="106" s="1"/>
  <c r="AJ33" i="106" a="1"/>
  <c r="AJ33" i="106" s="1"/>
  <c r="AW33" i="106" a="1"/>
  <c r="AW33" i="106" s="1"/>
  <c r="BI33" i="106" a="1"/>
  <c r="BI33" i="106" s="1"/>
  <c r="BV33" i="106" a="1"/>
  <c r="BV33" i="106" s="1"/>
  <c r="AK33" i="106" a="1"/>
  <c r="AK33" i="106" s="1"/>
  <c r="AX33" i="106" a="1"/>
  <c r="AX33" i="106" s="1"/>
  <c r="BJ33" i="106" a="1"/>
  <c r="BJ33" i="106" s="1"/>
  <c r="BX33" i="106" a="1"/>
  <c r="BX33" i="106" s="1"/>
  <c r="AL33" i="106" a="1"/>
  <c r="AL33" i="106" s="1"/>
  <c r="AY33" i="106" a="1"/>
  <c r="AY33" i="106" s="1"/>
  <c r="BL33" i="106" a="1"/>
  <c r="BL33" i="106" s="1"/>
  <c r="BY33" i="106" a="1"/>
  <c r="BY33" i="106" s="1"/>
  <c r="AA33" i="106" a="1"/>
  <c r="AA33" i="106" s="1"/>
  <c r="AM33" i="106" a="1"/>
  <c r="AM33" i="106" s="1"/>
  <c r="BA33" i="106" a="1"/>
  <c r="BA33" i="106" s="1"/>
  <c r="BM33" i="106" a="1"/>
  <c r="BM33" i="106" s="1"/>
  <c r="BZ33" i="106" a="1"/>
  <c r="BZ33" i="106" s="1"/>
  <c r="AB33" i="106" a="1"/>
  <c r="AB33" i="106" s="1"/>
  <c r="AO33" i="106" a="1"/>
  <c r="AO33" i="106" s="1"/>
  <c r="BB33" i="106" a="1"/>
  <c r="BB33" i="106" s="1"/>
  <c r="BN33" i="106" a="1"/>
  <c r="BN33" i="106" s="1"/>
  <c r="CA33" i="106" a="1"/>
  <c r="CA33" i="106" s="1"/>
  <c r="AD33" i="106" a="1"/>
  <c r="AD33" i="106" s="1"/>
  <c r="AP33" i="106" a="1"/>
  <c r="AP33" i="106" s="1"/>
  <c r="BC33" i="106" a="1"/>
  <c r="BC33" i="106" s="1"/>
  <c r="BO33" i="106" a="1"/>
  <c r="BO33" i="106" s="1"/>
  <c r="AE33" i="106" a="1"/>
  <c r="AE33" i="106" s="1"/>
  <c r="AQ33" i="106" a="1"/>
  <c r="AQ33" i="106" s="1"/>
  <c r="BD33" i="106" a="1"/>
  <c r="BD33" i="106" s="1"/>
  <c r="BP33" i="106" a="1"/>
  <c r="BP33" i="106" s="1"/>
  <c r="AF33" i="106" a="1"/>
  <c r="AF33" i="106" s="1"/>
  <c r="AR33" i="106" a="1"/>
  <c r="AR33" i="106" s="1"/>
  <c r="BE33" i="106" a="1"/>
  <c r="BE33" i="106" s="1"/>
  <c r="BQ33" i="106" a="1"/>
  <c r="BQ33" i="106" s="1"/>
  <c r="AG33" i="106" a="1"/>
  <c r="AG33" i="106" s="1"/>
  <c r="AS33" i="106" a="1"/>
  <c r="AS33" i="106" s="1"/>
  <c r="BF33" i="106" a="1"/>
  <c r="BF33" i="106" s="1"/>
  <c r="BR33" i="106" a="1"/>
  <c r="BR33" i="106" s="1"/>
  <c r="Z33" i="106" a="1"/>
  <c r="Z33" i="106" s="1"/>
  <c r="CB51" i="106" a="1"/>
  <c r="CB51" i="106" s="1"/>
  <c r="CC51" i="106" a="1"/>
  <c r="CC51" i="106" s="1"/>
  <c r="CF32" i="106" a="1"/>
  <c r="CF32" i="106" s="1"/>
  <c r="CB32" i="106" a="1"/>
  <c r="CB32" i="106" s="1"/>
  <c r="CC32" i="106" a="1"/>
  <c r="CC32" i="106" s="1"/>
  <c r="CD32" i="106" a="1"/>
  <c r="CD32" i="106" s="1"/>
  <c r="CE32" i="106" a="1"/>
  <c r="CE32" i="106" s="1"/>
  <c r="CF36" i="106" a="1"/>
  <c r="CF36" i="106" s="1"/>
  <c r="CB36" i="106" a="1"/>
  <c r="CB36" i="106" s="1"/>
  <c r="CC36" i="106" a="1"/>
  <c r="CC36" i="106" s="1"/>
  <c r="CD36" i="106" a="1"/>
  <c r="CD36" i="106" s="1"/>
  <c r="CE36" i="106" a="1"/>
  <c r="CE36" i="106" s="1"/>
  <c r="CD46" i="106" a="1"/>
  <c r="CD46" i="106" s="1"/>
  <c r="CE46" i="106" a="1"/>
  <c r="CE46" i="106" s="1"/>
  <c r="CF46" i="106" a="1"/>
  <c r="CF46" i="106" s="1"/>
  <c r="CG46" i="106" a="1"/>
  <c r="CG46" i="106" s="1"/>
  <c r="CB46" i="106" a="1"/>
  <c r="CB46" i="106" s="1"/>
  <c r="CC46" i="106" a="1"/>
  <c r="CC46" i="106" s="1"/>
  <c r="CB55" i="106" a="1"/>
  <c r="CB55" i="106" s="1"/>
  <c r="CB31" i="106" a="1"/>
  <c r="CB31" i="106" s="1"/>
  <c r="CC31" i="106" a="1"/>
  <c r="CC31" i="106" s="1"/>
  <c r="CD31" i="106" a="1"/>
  <c r="CD31" i="106" s="1"/>
  <c r="CE31" i="106" a="1"/>
  <c r="CE31" i="106" s="1"/>
  <c r="CF31" i="106" a="1"/>
  <c r="CF31" i="106" s="1"/>
  <c r="CC62" i="106" a="1"/>
  <c r="CC62" i="106" s="1"/>
  <c r="CD62" i="106" a="1"/>
  <c r="CD62" i="106" s="1"/>
  <c r="CE62" i="106" a="1"/>
  <c r="CE62" i="106" s="1"/>
  <c r="CB62" i="106" a="1"/>
  <c r="CB62" i="106" s="1"/>
  <c r="CF35" i="106" a="1"/>
  <c r="CF35" i="106" s="1"/>
  <c r="CG35" i="106" a="1"/>
  <c r="CG35" i="106" s="1"/>
  <c r="CB35" i="106" a="1"/>
  <c r="CB35" i="106" s="1"/>
  <c r="CC35" i="106" a="1"/>
  <c r="CC35" i="106" s="1"/>
  <c r="CD35" i="106" a="1"/>
  <c r="CD35" i="106" s="1"/>
  <c r="CE35" i="106" a="1"/>
  <c r="CE35" i="106" s="1"/>
  <c r="CB30" i="106" a="1"/>
  <c r="CB30" i="106" s="1"/>
  <c r="CC30" i="106" a="1"/>
  <c r="CC30" i="106" s="1"/>
  <c r="CD30" i="106" a="1"/>
  <c r="CD30" i="106" s="1"/>
  <c r="CE30" i="106" a="1"/>
  <c r="CE30" i="106" s="1"/>
  <c r="CF30" i="106" a="1"/>
  <c r="CF30" i="106" s="1"/>
  <c r="CG30" i="106" a="1"/>
  <c r="CG30" i="106" s="1"/>
  <c r="CB29" i="106" a="1"/>
  <c r="CB29" i="106" s="1"/>
  <c r="CC29" i="106" a="1"/>
  <c r="CC29" i="106" s="1"/>
  <c r="CD29" i="106" a="1"/>
  <c r="CD29" i="106" s="1"/>
  <c r="CE29" i="106" a="1"/>
  <c r="CE29" i="106" s="1"/>
  <c r="CF29" i="106" a="1"/>
  <c r="CF29" i="106" s="1"/>
  <c r="CG29" i="106" a="1"/>
  <c r="CG29" i="106" s="1"/>
  <c r="CC65" i="106" a="1"/>
  <c r="CC65" i="106" s="1"/>
  <c r="CB65" i="106" a="1"/>
  <c r="CB65" i="106" s="1"/>
  <c r="CD65" i="106" a="1"/>
  <c r="CD65" i="106" s="1"/>
  <c r="CE65" i="106" a="1"/>
  <c r="CE65" i="106" s="1"/>
  <c r="CF65" i="106" a="1"/>
  <c r="CF65" i="106" s="1"/>
  <c r="CG65" i="106" a="1"/>
  <c r="CG65" i="106" s="1"/>
  <c r="CB39" i="106" a="1"/>
  <c r="CB39" i="106" s="1"/>
  <c r="CC39" i="106" a="1"/>
  <c r="CC39" i="106" s="1"/>
  <c r="CD39" i="106" a="1"/>
  <c r="CD39" i="106" s="1"/>
  <c r="CE39" i="106" a="1"/>
  <c r="CE39" i="106" s="1"/>
  <c r="CE47" i="106" a="1"/>
  <c r="CE47" i="106" s="1"/>
  <c r="CF47" i="106" a="1"/>
  <c r="CF47" i="106" s="1"/>
  <c r="CG47" i="106" a="1"/>
  <c r="CG47" i="106" s="1"/>
  <c r="CB47" i="106" a="1"/>
  <c r="CB47" i="106" s="1"/>
  <c r="CC47" i="106" a="1"/>
  <c r="CC47" i="106" s="1"/>
  <c r="CD47" i="106" a="1"/>
  <c r="CD47" i="106" s="1"/>
  <c r="CB38" i="106" a="1"/>
  <c r="CB38" i="106" s="1"/>
  <c r="CC38" i="106" a="1"/>
  <c r="CC38" i="106" s="1"/>
  <c r="CD38" i="106" a="1"/>
  <c r="CD38" i="106" s="1"/>
  <c r="CE38" i="106" a="1"/>
  <c r="CE38" i="106" s="1"/>
  <c r="CF38" i="106" a="1"/>
  <c r="CF38" i="106" s="1"/>
  <c r="CE34" i="106" a="1"/>
  <c r="CE34" i="106" s="1"/>
  <c r="CG34" i="106" a="1"/>
  <c r="CG34" i="106" s="1"/>
  <c r="CB34" i="106" a="1"/>
  <c r="CB34" i="106" s="1"/>
  <c r="CC34" i="106" a="1"/>
  <c r="CC34" i="106" s="1"/>
  <c r="CD34" i="106" a="1"/>
  <c r="CD34" i="106" s="1"/>
  <c r="CF34" i="106" a="1"/>
  <c r="CF34" i="106" s="1"/>
  <c r="CE33" i="106" a="1"/>
  <c r="CE33" i="106" s="1"/>
  <c r="CG33" i="106" a="1"/>
  <c r="CG33" i="106" s="1"/>
  <c r="CB33" i="106" a="1"/>
  <c r="CB33" i="106" s="1"/>
  <c r="CC33" i="106" a="1"/>
  <c r="CC33" i="106" s="1"/>
  <c r="CF33" i="106" a="1"/>
  <c r="CF33" i="106" s="1"/>
  <c r="CD33" i="106" a="1"/>
  <c r="CD33" i="106" s="1"/>
  <c r="G20" i="107"/>
  <c r="F53" i="64" l="1"/>
  <c r="F52" i="64"/>
  <c r="DK19" i="107"/>
  <c r="DL19" i="107" s="1"/>
  <c r="DM19" i="107" s="1"/>
  <c r="DN19" i="107" s="1"/>
  <c r="DO19" i="107" s="1"/>
  <c r="DP19" i="107" s="1"/>
  <c r="DQ19" i="107" s="1"/>
  <c r="DR19" i="107" s="1"/>
  <c r="DS19" i="107" s="1"/>
  <c r="DT19" i="107" s="1"/>
  <c r="DU19" i="107" s="1"/>
  <c r="DV19" i="107" s="1"/>
  <c r="DW19" i="107" s="1"/>
  <c r="DX19" i="107" s="1"/>
  <c r="DY19" i="107" s="1"/>
  <c r="DZ19" i="107" s="1"/>
  <c r="EA19" i="107" s="1"/>
  <c r="EB19" i="107" s="1"/>
  <c r="EC19" i="107" s="1"/>
  <c r="ED19" i="107" s="1"/>
  <c r="EE19" i="107" s="1"/>
  <c r="EF19" i="107" s="1"/>
  <c r="EG19" i="107" s="1"/>
  <c r="O9" i="107"/>
  <c r="P9" i="107"/>
  <c r="N9" i="107"/>
  <c r="H39" i="107"/>
  <c r="H34" i="107"/>
  <c r="H29" i="107"/>
  <c r="H24" i="107"/>
  <c r="H38" i="107"/>
  <c r="H33" i="107"/>
  <c r="H28" i="107"/>
  <c r="H23" i="107"/>
  <c r="H37" i="107"/>
  <c r="H32" i="107"/>
  <c r="H27" i="107"/>
  <c r="H22" i="107"/>
  <c r="H36" i="107"/>
  <c r="H31" i="107"/>
  <c r="H26" i="107"/>
  <c r="H21" i="107"/>
  <c r="H35" i="107"/>
  <c r="H30" i="107"/>
  <c r="H25" i="107"/>
  <c r="H20" i="107"/>
  <c r="A43" i="107"/>
  <c r="A44" i="107" s="1"/>
  <c r="A45" i="107" s="1"/>
  <c r="A46" i="107" s="1"/>
  <c r="A47" i="107" s="1"/>
  <c r="A48" i="107" s="1"/>
  <c r="A49" i="107" s="1"/>
  <c r="A50" i="107" s="1"/>
  <c r="A51" i="107" s="1"/>
  <c r="A52" i="107" s="1"/>
  <c r="A53" i="107" s="1"/>
  <c r="A54" i="107" s="1"/>
  <c r="A55" i="107" s="1"/>
  <c r="A56" i="107" s="1"/>
  <c r="A57" i="107" s="1"/>
  <c r="A58" i="107" s="1"/>
  <c r="A59" i="107" s="1"/>
  <c r="A60" i="107" s="1"/>
  <c r="A61" i="107" s="1"/>
  <c r="A62" i="107" s="1"/>
  <c r="A63" i="107" s="1"/>
  <c r="A64" i="107" s="1"/>
  <c r="A65" i="107" s="1"/>
  <c r="A66" i="107" s="1"/>
  <c r="A67" i="107" s="1"/>
  <c r="A68" i="107" s="1"/>
  <c r="A69" i="107" s="1"/>
  <c r="A70" i="107" s="1"/>
  <c r="A71" i="107" s="1"/>
  <c r="A72" i="107" s="1"/>
  <c r="A73" i="107" s="1"/>
  <c r="F16" i="107"/>
  <c r="E16" i="107"/>
  <c r="D16" i="107"/>
  <c r="C16" i="107"/>
  <c r="B16" i="107"/>
  <c r="F15" i="107"/>
  <c r="DO11" i="106"/>
  <c r="DO12" i="106" s="1"/>
  <c r="DO13" i="106" s="1"/>
  <c r="DO14" i="106" s="1"/>
  <c r="DO15" i="106" s="1"/>
  <c r="DO16" i="106" s="1"/>
  <c r="DO17" i="106" s="1"/>
  <c r="DO18" i="106" s="1"/>
  <c r="DO19" i="106" s="1"/>
  <c r="DO20" i="106" s="1"/>
  <c r="DO21" i="106" s="1"/>
  <c r="DO22" i="106" s="1"/>
  <c r="DO23" i="106" s="1"/>
  <c r="DO24" i="106" s="1"/>
  <c r="DO25" i="106" s="1"/>
  <c r="DO26" i="106" s="1"/>
  <c r="DO27" i="106" s="1"/>
  <c r="DO28" i="106" s="1"/>
  <c r="DO29" i="106" s="1"/>
  <c r="DO30" i="106" s="1"/>
  <c r="DO31" i="106" s="1"/>
  <c r="DO32" i="106" s="1"/>
  <c r="DO33" i="106" s="1"/>
  <c r="DO34" i="106" s="1"/>
  <c r="DO35" i="106" s="1"/>
  <c r="DO36" i="106" s="1"/>
  <c r="DO37" i="106" s="1"/>
  <c r="DO38" i="106" s="1"/>
  <c r="DO39" i="106" s="1"/>
  <c r="DO40" i="106" s="1"/>
  <c r="DO41" i="106" s="1"/>
  <c r="DP7" i="106"/>
  <c r="DP3" i="106"/>
  <c r="DQ3" i="106" s="1"/>
  <c r="DR3" i="106" s="1"/>
  <c r="DS3" i="106" s="1"/>
  <c r="DT3" i="106" s="1"/>
  <c r="DU3" i="106" s="1"/>
  <c r="DV3" i="106" s="1"/>
  <c r="DW3" i="106" s="1"/>
  <c r="DX3" i="106" s="1"/>
  <c r="DY3" i="106" s="1"/>
  <c r="DZ3" i="106" s="1"/>
  <c r="EA3" i="106" s="1"/>
  <c r="EB3" i="106" s="1"/>
  <c r="EC3" i="106" s="1"/>
  <c r="ED3" i="106" s="1"/>
  <c r="EE3" i="106" s="1"/>
  <c r="EF3" i="106" s="1"/>
  <c r="EG3" i="106" s="1"/>
  <c r="EH3" i="106" s="1"/>
  <c r="EI3" i="106" s="1"/>
  <c r="EJ3" i="106" s="1"/>
  <c r="EK3" i="106" s="1"/>
  <c r="EL3" i="106" s="1"/>
  <c r="EM3" i="106" s="1"/>
  <c r="EN3" i="106" s="1"/>
  <c r="EO3" i="106" s="1"/>
  <c r="EP3" i="106" s="1"/>
  <c r="EQ3" i="106" s="1"/>
  <c r="ER3" i="106" s="1"/>
  <c r="ES3" i="106" s="1"/>
  <c r="ET3" i="106" s="1"/>
  <c r="Y5" i="106"/>
  <c r="Y6" i="106"/>
  <c r="Y7" i="106"/>
  <c r="Y8" i="106"/>
  <c r="Y9" i="106"/>
  <c r="Y10" i="106"/>
  <c r="Y11" i="106"/>
  <c r="Y12" i="106"/>
  <c r="Y13" i="106"/>
  <c r="Y14" i="106"/>
  <c r="Y15" i="106"/>
  <c r="Y16" i="106"/>
  <c r="Y17" i="106"/>
  <c r="Y18" i="106"/>
  <c r="Y19" i="106"/>
  <c r="Y20" i="106"/>
  <c r="Y21" i="106"/>
  <c r="Y22" i="106"/>
  <c r="Y23" i="106"/>
  <c r="Y24" i="106"/>
  <c r="Y25" i="106"/>
  <c r="Y26" i="106"/>
  <c r="Y27" i="106"/>
  <c r="Y28" i="106"/>
  <c r="Y29" i="106"/>
  <c r="Y30" i="106"/>
  <c r="Y31" i="106"/>
  <c r="CG31" i="106" s="1" a="1"/>
  <c r="CG31" i="106" s="1"/>
  <c r="Y32" i="106"/>
  <c r="CG32" i="106" s="1" a="1"/>
  <c r="CG32" i="106" s="1"/>
  <c r="Y33" i="106"/>
  <c r="Y34" i="106"/>
  <c r="Y35" i="106"/>
  <c r="Y36" i="106"/>
  <c r="CG36" i="106" s="1" a="1"/>
  <c r="CG36" i="106" s="1"/>
  <c r="Y37" i="106"/>
  <c r="Y38" i="106"/>
  <c r="CG38" i="106" s="1" a="1"/>
  <c r="CG38" i="106" s="1"/>
  <c r="Y39" i="106"/>
  <c r="Y40" i="106"/>
  <c r="Y41" i="106"/>
  <c r="Y42" i="106"/>
  <c r="Y43" i="106"/>
  <c r="Y44" i="106"/>
  <c r="Y45" i="106"/>
  <c r="Y46" i="106"/>
  <c r="Y47" i="106"/>
  <c r="Y48" i="106"/>
  <c r="Y49" i="106"/>
  <c r="Y50" i="106"/>
  <c r="Y52" i="106"/>
  <c r="Y53" i="106"/>
  <c r="Y54" i="106"/>
  <c r="Y55" i="106"/>
  <c r="Y56" i="106"/>
  <c r="Y57" i="106"/>
  <c r="Y58" i="106"/>
  <c r="Y59" i="106"/>
  <c r="Y60" i="106"/>
  <c r="Y61" i="106"/>
  <c r="Y62" i="106"/>
  <c r="Y63" i="106"/>
  <c r="Y64" i="106"/>
  <c r="Y65" i="106"/>
  <c r="Y66" i="106"/>
  <c r="V30" i="106"/>
  <c r="V31" i="106"/>
  <c r="V32" i="106"/>
  <c r="V33" i="106"/>
  <c r="V34" i="106"/>
  <c r="V35" i="106"/>
  <c r="V36" i="106"/>
  <c r="V37" i="106"/>
  <c r="V38" i="106"/>
  <c r="V39" i="106"/>
  <c r="V40" i="106"/>
  <c r="V41" i="106"/>
  <c r="V42" i="106"/>
  <c r="V43" i="106"/>
  <c r="V44" i="106"/>
  <c r="V45" i="106"/>
  <c r="V46" i="106"/>
  <c r="V47" i="106"/>
  <c r="V48" i="106"/>
  <c r="V49" i="106"/>
  <c r="V50" i="106"/>
  <c r="V51" i="106"/>
  <c r="V52" i="106"/>
  <c r="V53" i="106"/>
  <c r="V54" i="106"/>
  <c r="V55" i="106"/>
  <c r="V56" i="106"/>
  <c r="V57" i="106"/>
  <c r="V58" i="106"/>
  <c r="V59" i="106"/>
  <c r="V60" i="106"/>
  <c r="V61" i="106"/>
  <c r="V62" i="106"/>
  <c r="V63" i="106"/>
  <c r="V64" i="106"/>
  <c r="V65" i="106"/>
  <c r="V66" i="106"/>
  <c r="V5" i="106"/>
  <c r="V6" i="106"/>
  <c r="V7" i="106"/>
  <c r="V8" i="106"/>
  <c r="V9" i="106"/>
  <c r="V10" i="106"/>
  <c r="V11" i="106"/>
  <c r="V12" i="106"/>
  <c r="V13" i="106"/>
  <c r="V14" i="106"/>
  <c r="V15" i="106"/>
  <c r="V16" i="106"/>
  <c r="V17" i="106"/>
  <c r="V18" i="106"/>
  <c r="V19" i="106"/>
  <c r="V20" i="106"/>
  <c r="V21" i="106"/>
  <c r="V22" i="106"/>
  <c r="V23" i="106"/>
  <c r="V24" i="106"/>
  <c r="V25" i="106"/>
  <c r="V26" i="106"/>
  <c r="V27" i="106"/>
  <c r="V28" i="106"/>
  <c r="V29" i="106"/>
  <c r="J5" i="105"/>
  <c r="F7" i="62" s="1"/>
  <c r="J6" i="105"/>
  <c r="F8" i="62" s="1"/>
  <c r="J7" i="105"/>
  <c r="F9" i="62" s="1"/>
  <c r="J8" i="105"/>
  <c r="F10" i="62" s="1"/>
  <c r="J9" i="105"/>
  <c r="F11" i="62" s="1"/>
  <c r="J4" i="105"/>
  <c r="F6" i="62" s="1"/>
  <c r="K4" i="105"/>
  <c r="L5" i="105"/>
  <c r="L6" i="105"/>
  <c r="L7" i="105"/>
  <c r="L8" i="105"/>
  <c r="L4" i="105"/>
  <c r="K5" i="105"/>
  <c r="K6" i="105"/>
  <c r="K7" i="105"/>
  <c r="K8" i="105"/>
  <c r="G5" i="105"/>
  <c r="G6" i="105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22" i="105"/>
  <c r="G23" i="105"/>
  <c r="G24" i="105"/>
  <c r="G25" i="105"/>
  <c r="G26" i="105"/>
  <c r="G27" i="105"/>
  <c r="G28" i="105"/>
  <c r="G29" i="105"/>
  <c r="G30" i="105"/>
  <c r="G31" i="105"/>
  <c r="G32" i="105"/>
  <c r="G33" i="105"/>
  <c r="G34" i="105"/>
  <c r="G35" i="105"/>
  <c r="G36" i="105"/>
  <c r="G37" i="105"/>
  <c r="G38" i="105"/>
  <c r="G39" i="105"/>
  <c r="G40" i="105"/>
  <c r="G41" i="105"/>
  <c r="G42" i="105"/>
  <c r="G43" i="105"/>
  <c r="G44" i="105"/>
  <c r="G45" i="105"/>
  <c r="G46" i="105"/>
  <c r="G47" i="105"/>
  <c r="G48" i="105"/>
  <c r="G49" i="105"/>
  <c r="G50" i="105"/>
  <c r="G51" i="105"/>
  <c r="G52" i="105"/>
  <c r="G53" i="105"/>
  <c r="G54" i="105"/>
  <c r="G55" i="105"/>
  <c r="G56" i="105"/>
  <c r="G57" i="105"/>
  <c r="G58" i="105"/>
  <c r="G59" i="105"/>
  <c r="G60" i="105"/>
  <c r="G61" i="105"/>
  <c r="G62" i="105"/>
  <c r="G63" i="105"/>
  <c r="G64" i="105"/>
  <c r="G65" i="105"/>
  <c r="G66" i="105"/>
  <c r="G4" i="105"/>
  <c r="CE56" i="106" l="1" a="1"/>
  <c r="CE56" i="106" s="1"/>
  <c r="CC56" i="106" a="1"/>
  <c r="CC56" i="106" s="1"/>
  <c r="CG56" i="106" a="1"/>
  <c r="CG56" i="106" s="1"/>
  <c r="CF56" i="106" a="1"/>
  <c r="CF56" i="106" s="1"/>
  <c r="CD56" i="106" a="1"/>
  <c r="CD56" i="106" s="1"/>
  <c r="CB56" i="106" a="1"/>
  <c r="CB56" i="106" s="1"/>
  <c r="CD54" i="106" a="1"/>
  <c r="CD54" i="106" s="1"/>
  <c r="CF54" i="106" a="1"/>
  <c r="CF54" i="106" s="1"/>
  <c r="CB54" i="106" a="1"/>
  <c r="CB54" i="106" s="1"/>
  <c r="CG54" i="106" a="1"/>
  <c r="CG54" i="106" s="1"/>
  <c r="CE54" i="106" a="1"/>
  <c r="CE54" i="106" s="1"/>
  <c r="CC54" i="106" a="1"/>
  <c r="CC54" i="106" s="1"/>
  <c r="CG18" i="106" a="1"/>
  <c r="CG18" i="106" s="1"/>
  <c r="CF18" i="106" a="1"/>
  <c r="CF18" i="106" s="1"/>
  <c r="CB18" i="106" a="1"/>
  <c r="CB18" i="106" s="1"/>
  <c r="CC18" i="106" a="1"/>
  <c r="CC18" i="106" s="1"/>
  <c r="CE18" i="106" a="1"/>
  <c r="CE18" i="106" s="1"/>
  <c r="CD18" i="106" a="1"/>
  <c r="CD18" i="106" s="1"/>
  <c r="CC5" i="106" a="1"/>
  <c r="CC5" i="106" s="1"/>
  <c r="CE5" i="106" a="1"/>
  <c r="CE5" i="106" s="1"/>
  <c r="CG5" i="106" a="1"/>
  <c r="CG5" i="106" s="1"/>
  <c r="CB5" i="106" a="1"/>
  <c r="CB5" i="106" s="1"/>
  <c r="CD5" i="106" a="1"/>
  <c r="CD5" i="106" s="1"/>
  <c r="CF5" i="106" a="1"/>
  <c r="CF5" i="106" s="1"/>
  <c r="CD48" i="106" a="1"/>
  <c r="CD48" i="106" s="1"/>
  <c r="CG48" i="106" a="1"/>
  <c r="CG48" i="106" s="1"/>
  <c r="CE48" i="106" a="1"/>
  <c r="CE48" i="106" s="1"/>
  <c r="CB48" i="106" a="1"/>
  <c r="CB48" i="106" s="1"/>
  <c r="CF48" i="106" a="1"/>
  <c r="CF48" i="106" s="1"/>
  <c r="CC48" i="106" a="1"/>
  <c r="CC48" i="106" s="1"/>
  <c r="CF59" i="106" a="1"/>
  <c r="CF59" i="106" s="1"/>
  <c r="CC59" i="106" a="1"/>
  <c r="CC59" i="106" s="1"/>
  <c r="CE59" i="106" a="1"/>
  <c r="CE59" i="106" s="1"/>
  <c r="CG59" i="106" a="1"/>
  <c r="CG59" i="106" s="1"/>
  <c r="CB59" i="106" a="1"/>
  <c r="CB59" i="106" s="1"/>
  <c r="CD59" i="106" a="1"/>
  <c r="CD59" i="106" s="1"/>
  <c r="CG23" i="106" a="1"/>
  <c r="CG23" i="106" s="1"/>
  <c r="CD23" i="106" a="1"/>
  <c r="CD23" i="106" s="1"/>
  <c r="CE23" i="106" a="1"/>
  <c r="CE23" i="106" s="1"/>
  <c r="CB23" i="106" a="1"/>
  <c r="CB23" i="106" s="1"/>
  <c r="CC23" i="106" a="1"/>
  <c r="CC23" i="106" s="1"/>
  <c r="CF23" i="106" a="1"/>
  <c r="CF23" i="106" s="1"/>
  <c r="CG11" i="106" a="1"/>
  <c r="CG11" i="106" s="1"/>
  <c r="CD11" i="106" a="1"/>
  <c r="CD11" i="106" s="1"/>
  <c r="CE11" i="106" a="1"/>
  <c r="CE11" i="106" s="1"/>
  <c r="CC11" i="106" a="1"/>
  <c r="CC11" i="106" s="1"/>
  <c r="CB11" i="106" a="1"/>
  <c r="CB11" i="106" s="1"/>
  <c r="CF11" i="106" a="1"/>
  <c r="CF11" i="106" s="1"/>
  <c r="CF60" i="106" a="1"/>
  <c r="CF60" i="106" s="1"/>
  <c r="CB60" i="106" a="1"/>
  <c r="CB60" i="106" s="1"/>
  <c r="CD60" i="106" a="1"/>
  <c r="CD60" i="106" s="1"/>
  <c r="CG60" i="106" a="1"/>
  <c r="CG60" i="106" s="1"/>
  <c r="CC60" i="106" a="1"/>
  <c r="CC60" i="106" s="1"/>
  <c r="CE60" i="106" a="1"/>
  <c r="CE60" i="106" s="1"/>
  <c r="CE58" i="106" a="1"/>
  <c r="CE58" i="106" s="1"/>
  <c r="CC58" i="106" a="1"/>
  <c r="CC58" i="106" s="1"/>
  <c r="CF58" i="106" a="1"/>
  <c r="CF58" i="106" s="1"/>
  <c r="CD58" i="106" a="1"/>
  <c r="CD58" i="106" s="1"/>
  <c r="CB58" i="106" a="1"/>
  <c r="CB58" i="106" s="1"/>
  <c r="CG58" i="106" a="1"/>
  <c r="CG58" i="106" s="1"/>
  <c r="CE22" i="106" a="1"/>
  <c r="CE22" i="106" s="1"/>
  <c r="CG22" i="106" a="1"/>
  <c r="CG22" i="106" s="1"/>
  <c r="CB22" i="106" a="1"/>
  <c r="CB22" i="106" s="1"/>
  <c r="CD22" i="106" a="1"/>
  <c r="CD22" i="106" s="1"/>
  <c r="CC22" i="106" a="1"/>
  <c r="CC22" i="106" s="1"/>
  <c r="CF22" i="106" a="1"/>
  <c r="CF22" i="106" s="1"/>
  <c r="CG10" i="106" a="1"/>
  <c r="CG10" i="106" s="1"/>
  <c r="CF10" i="106" a="1"/>
  <c r="CF10" i="106" s="1"/>
  <c r="CC10" i="106" a="1"/>
  <c r="CC10" i="106" s="1"/>
  <c r="CE10" i="106" a="1"/>
  <c r="CE10" i="106" s="1"/>
  <c r="CD10" i="106" a="1"/>
  <c r="CD10" i="106" s="1"/>
  <c r="CB10" i="106" a="1"/>
  <c r="CB10" i="106" s="1"/>
  <c r="CB43" i="106" a="1"/>
  <c r="CB43" i="106" s="1"/>
  <c r="CG43" i="106" a="1"/>
  <c r="CG43" i="106" s="1"/>
  <c r="CC43" i="106" a="1"/>
  <c r="CC43" i="106" s="1"/>
  <c r="CE43" i="106" a="1"/>
  <c r="CE43" i="106" s="1"/>
  <c r="CD43" i="106" a="1"/>
  <c r="CD43" i="106" s="1"/>
  <c r="CF43" i="106" a="1"/>
  <c r="CF43" i="106" s="1"/>
  <c r="CG66" i="106" a="1"/>
  <c r="CG66" i="106" s="1"/>
  <c r="CB66" i="106" a="1"/>
  <c r="CB66" i="106" s="1"/>
  <c r="CD66" i="106" a="1"/>
  <c r="CD66" i="106" s="1"/>
  <c r="CF66" i="106" a="1"/>
  <c r="CF66" i="106" s="1"/>
  <c r="CC66" i="106" a="1"/>
  <c r="CC66" i="106" s="1"/>
  <c r="CE66" i="106" a="1"/>
  <c r="CE66" i="106" s="1"/>
  <c r="CG42" i="106" a="1"/>
  <c r="CG42" i="106" s="1"/>
  <c r="CD42" i="106" a="1"/>
  <c r="CD42" i="106" s="1"/>
  <c r="CE42" i="106" a="1"/>
  <c r="CE42" i="106" s="1"/>
  <c r="CF42" i="106" a="1"/>
  <c r="CF42" i="106" s="1"/>
  <c r="CB42" i="106" a="1"/>
  <c r="CB42" i="106" s="1"/>
  <c r="CC42" i="106" a="1"/>
  <c r="CC42" i="106" s="1"/>
  <c r="CC53" i="106" a="1"/>
  <c r="CC53" i="106" s="1"/>
  <c r="CF53" i="106" a="1"/>
  <c r="CF53" i="106" s="1"/>
  <c r="CD53" i="106" a="1"/>
  <c r="CD53" i="106" s="1"/>
  <c r="CB53" i="106" a="1"/>
  <c r="CB53" i="106" s="1"/>
  <c r="CE53" i="106" a="1"/>
  <c r="CE53" i="106" s="1"/>
  <c r="CG53" i="106" a="1"/>
  <c r="CG53" i="106" s="1"/>
  <c r="CE17" i="106" a="1"/>
  <c r="CE17" i="106" s="1"/>
  <c r="CC17" i="106" a="1"/>
  <c r="CC17" i="106" s="1"/>
  <c r="CG17" i="106" a="1"/>
  <c r="CG17" i="106" s="1"/>
  <c r="CD17" i="106" a="1"/>
  <c r="CD17" i="106" s="1"/>
  <c r="CB17" i="106" a="1"/>
  <c r="CB17" i="106" s="1"/>
  <c r="CF17" i="106" a="1"/>
  <c r="CF17" i="106" s="1"/>
  <c r="CB57" i="106" a="1"/>
  <c r="CB57" i="106" s="1"/>
  <c r="CD57" i="106" a="1"/>
  <c r="CD57" i="106" s="1"/>
  <c r="CF57" i="106" a="1"/>
  <c r="CF57" i="106" s="1"/>
  <c r="CG57" i="106" a="1"/>
  <c r="CG57" i="106" s="1"/>
  <c r="CC57" i="106" a="1"/>
  <c r="CC57" i="106" s="1"/>
  <c r="CE57" i="106" a="1"/>
  <c r="CE57" i="106" s="1"/>
  <c r="CE21" i="106" a="1"/>
  <c r="CE21" i="106" s="1"/>
  <c r="CG21" i="106" a="1"/>
  <c r="CG21" i="106" s="1"/>
  <c r="CD21" i="106" a="1"/>
  <c r="CD21" i="106" s="1"/>
  <c r="CC21" i="106" a="1"/>
  <c r="CC21" i="106" s="1"/>
  <c r="CF21" i="106" a="1"/>
  <c r="CF21" i="106" s="1"/>
  <c r="CB21" i="106" a="1"/>
  <c r="CB21" i="106" s="1"/>
  <c r="CE9" i="106" a="1"/>
  <c r="CE9" i="106" s="1"/>
  <c r="CC9" i="106" a="1"/>
  <c r="CC9" i="106" s="1"/>
  <c r="CG9" i="106" a="1"/>
  <c r="CG9" i="106" s="1"/>
  <c r="CD9" i="106" a="1"/>
  <c r="CD9" i="106" s="1"/>
  <c r="CB9" i="106" a="1"/>
  <c r="CB9" i="106" s="1"/>
  <c r="CF9" i="106" a="1"/>
  <c r="CF9" i="106" s="1"/>
  <c r="CG20" i="106" a="1"/>
  <c r="CG20" i="106" s="1"/>
  <c r="CF20" i="106" a="1"/>
  <c r="CF20" i="106" s="1"/>
  <c r="CD20" i="106" a="1"/>
  <c r="CD20" i="106" s="1"/>
  <c r="CB20" i="106" a="1"/>
  <c r="CB20" i="106" s="1"/>
  <c r="CC20" i="106" a="1"/>
  <c r="CC20" i="106" s="1"/>
  <c r="CE20" i="106" a="1"/>
  <c r="CE20" i="106" s="1"/>
  <c r="CE8" i="106" a="1"/>
  <c r="CE8" i="106" s="1"/>
  <c r="CC8" i="106" a="1"/>
  <c r="CC8" i="106" s="1"/>
  <c r="CF8" i="106" a="1"/>
  <c r="CF8" i="106" s="1"/>
  <c r="CB8" i="106" a="1"/>
  <c r="CB8" i="106" s="1"/>
  <c r="CG8" i="106" a="1"/>
  <c r="CG8" i="106" s="1"/>
  <c r="CD8" i="106" a="1"/>
  <c r="CD8" i="106" s="1"/>
  <c r="CC19" i="106" a="1"/>
  <c r="CC19" i="106" s="1"/>
  <c r="CD19" i="106" a="1"/>
  <c r="CD19" i="106" s="1"/>
  <c r="CG19" i="106" a="1"/>
  <c r="CG19" i="106" s="1"/>
  <c r="CE19" i="106" a="1"/>
  <c r="CE19" i="106" s="1"/>
  <c r="CF19" i="106" a="1"/>
  <c r="CF19" i="106" s="1"/>
  <c r="CB19" i="106" a="1"/>
  <c r="CB19" i="106" s="1"/>
  <c r="CF7" i="106" a="1"/>
  <c r="CF7" i="106" s="1"/>
  <c r="CD7" i="106" a="1"/>
  <c r="CD7" i="106" s="1"/>
  <c r="CE7" i="106" a="1"/>
  <c r="CE7" i="106" s="1"/>
  <c r="CB7" i="106" a="1"/>
  <c r="CB7" i="106" s="1"/>
  <c r="CG7" i="106" a="1"/>
  <c r="CG7" i="106" s="1"/>
  <c r="CC7" i="106" a="1"/>
  <c r="CC7" i="106" s="1"/>
  <c r="CC27" i="106" a="1"/>
  <c r="CC27" i="106" s="1"/>
  <c r="CG27" i="106" a="1"/>
  <c r="CG27" i="106" s="1"/>
  <c r="CB27" i="106" a="1"/>
  <c r="CB27" i="106" s="1"/>
  <c r="CF27" i="106" a="1"/>
  <c r="CF27" i="106" s="1"/>
  <c r="CD27" i="106" a="1"/>
  <c r="CD27" i="106" s="1"/>
  <c r="CE27" i="106" a="1"/>
  <c r="CE27" i="106" s="1"/>
  <c r="CE15" i="106" a="1"/>
  <c r="CE15" i="106" s="1"/>
  <c r="CF15" i="106" a="1"/>
  <c r="CF15" i="106" s="1"/>
  <c r="CB15" i="106" a="1"/>
  <c r="CB15" i="106" s="1"/>
  <c r="CD15" i="106" a="1"/>
  <c r="CD15" i="106" s="1"/>
  <c r="CC15" i="106" a="1"/>
  <c r="CC15" i="106" s="1"/>
  <c r="CG15" i="106" a="1"/>
  <c r="CG15" i="106" s="1"/>
  <c r="CF26" i="106" a="1"/>
  <c r="CF26" i="106" s="1"/>
  <c r="CC26" i="106" a="1"/>
  <c r="CC26" i="106" s="1"/>
  <c r="CB26" i="106" a="1"/>
  <c r="CB26" i="106" s="1"/>
  <c r="CE26" i="106" a="1"/>
  <c r="CE26" i="106" s="1"/>
  <c r="CG26" i="106" a="1"/>
  <c r="CG26" i="106" s="1"/>
  <c r="CD26" i="106" a="1"/>
  <c r="CD26" i="106" s="1"/>
  <c r="CB14" i="106" a="1"/>
  <c r="CB14" i="106" s="1"/>
  <c r="CG14" i="106" a="1"/>
  <c r="CG14" i="106" s="1"/>
  <c r="CC14" i="106" a="1"/>
  <c r="CC14" i="106" s="1"/>
  <c r="CE14" i="106" a="1"/>
  <c r="CE14" i="106" s="1"/>
  <c r="CF14" i="106" a="1"/>
  <c r="CF14" i="106" s="1"/>
  <c r="CD14" i="106" a="1"/>
  <c r="CD14" i="106" s="1"/>
  <c r="CB6" i="106" a="1"/>
  <c r="CB6" i="106" s="1"/>
  <c r="CD6" i="106" a="1"/>
  <c r="CD6" i="106" s="1"/>
  <c r="CF6" i="106" a="1"/>
  <c r="CF6" i="106" s="1"/>
  <c r="CC6" i="106" a="1"/>
  <c r="CC6" i="106" s="1"/>
  <c r="CE6" i="106" a="1"/>
  <c r="CE6" i="106" s="1"/>
  <c r="CG6" i="106" a="1"/>
  <c r="CG6" i="106" s="1"/>
  <c r="CC41" i="106" a="1"/>
  <c r="CC41" i="106" s="1"/>
  <c r="CB41" i="106" a="1"/>
  <c r="CB41" i="106" s="1"/>
  <c r="CF41" i="106" a="1"/>
  <c r="CF41" i="106" s="1"/>
  <c r="CD41" i="106" a="1"/>
  <c r="CD41" i="106" s="1"/>
  <c r="CE41" i="106" a="1"/>
  <c r="CE41" i="106" s="1"/>
  <c r="CG41" i="106" a="1"/>
  <c r="CG41" i="106" s="1"/>
  <c r="CC64" i="106" a="1"/>
  <c r="CC64" i="106" s="1"/>
  <c r="CE64" i="106" a="1"/>
  <c r="CE64" i="106" s="1"/>
  <c r="CG64" i="106" a="1"/>
  <c r="CG64" i="106" s="1"/>
  <c r="CB64" i="106" a="1"/>
  <c r="CB64" i="106" s="1"/>
  <c r="CD64" i="106" a="1"/>
  <c r="CD64" i="106" s="1"/>
  <c r="CF64" i="106" a="1"/>
  <c r="CF64" i="106" s="1"/>
  <c r="CD52" i="106" a="1"/>
  <c r="CD52" i="106" s="1"/>
  <c r="CB52" i="106" a="1"/>
  <c r="CB52" i="106" s="1"/>
  <c r="CG52" i="106" a="1"/>
  <c r="CG52" i="106" s="1"/>
  <c r="CF52" i="106" a="1"/>
  <c r="CF52" i="106" s="1"/>
  <c r="CE52" i="106" a="1"/>
  <c r="CE52" i="106" s="1"/>
  <c r="CC52" i="106" a="1"/>
  <c r="CC52" i="106" s="1"/>
  <c r="CC40" i="106" a="1"/>
  <c r="CC40" i="106" s="1"/>
  <c r="CF40" i="106" a="1"/>
  <c r="CF40" i="106" s="1"/>
  <c r="CD40" i="106" a="1"/>
  <c r="CD40" i="106" s="1"/>
  <c r="CB40" i="106" a="1"/>
  <c r="CB40" i="106" s="1"/>
  <c r="CE40" i="106" a="1"/>
  <c r="CE40" i="106" s="1"/>
  <c r="CG40" i="106" a="1"/>
  <c r="CG40" i="106" s="1"/>
  <c r="CD28" i="106" a="1"/>
  <c r="CD28" i="106" s="1"/>
  <c r="CC28" i="106" a="1"/>
  <c r="CC28" i="106" s="1"/>
  <c r="CE28" i="106" a="1"/>
  <c r="CE28" i="106" s="1"/>
  <c r="CB28" i="106" a="1"/>
  <c r="CB28" i="106" s="1"/>
  <c r="CG28" i="106" a="1"/>
  <c r="CG28" i="106" s="1"/>
  <c r="CF28" i="106" a="1"/>
  <c r="CF28" i="106" s="1"/>
  <c r="CG16" i="106" a="1"/>
  <c r="CG16" i="106" s="1"/>
  <c r="CC16" i="106" a="1"/>
  <c r="CC16" i="106" s="1"/>
  <c r="CF16" i="106" a="1"/>
  <c r="CF16" i="106" s="1"/>
  <c r="CB16" i="106" a="1"/>
  <c r="CB16" i="106" s="1"/>
  <c r="CD16" i="106" a="1"/>
  <c r="CD16" i="106" s="1"/>
  <c r="CE16" i="106" a="1"/>
  <c r="CE16" i="106" s="1"/>
  <c r="CF50" i="106" a="1"/>
  <c r="CF50" i="106" s="1"/>
  <c r="CD50" i="106" a="1"/>
  <c r="CD50" i="106" s="1"/>
  <c r="CG50" i="106" a="1"/>
  <c r="CG50" i="106" s="1"/>
  <c r="CE50" i="106" a="1"/>
  <c r="CE50" i="106" s="1"/>
  <c r="CC50" i="106" a="1"/>
  <c r="CC50" i="106" s="1"/>
  <c r="CB50" i="106" a="1"/>
  <c r="CB50" i="106" s="1"/>
  <c r="CE61" i="106" a="1"/>
  <c r="CE61" i="106" s="1"/>
  <c r="CG61" i="106" a="1"/>
  <c r="CG61" i="106" s="1"/>
  <c r="CD61" i="106" a="1"/>
  <c r="CD61" i="106" s="1"/>
  <c r="CF61" i="106" a="1"/>
  <c r="CF61" i="106" s="1"/>
  <c r="CB61" i="106" a="1"/>
  <c r="CB61" i="106" s="1"/>
  <c r="CC61" i="106" a="1"/>
  <c r="CC61" i="106" s="1"/>
  <c r="CG37" i="106" a="1"/>
  <c r="CG37" i="106" s="1"/>
  <c r="CD37" i="106" a="1"/>
  <c r="CD37" i="106" s="1"/>
  <c r="CB37" i="106" a="1"/>
  <c r="CB37" i="106" s="1"/>
  <c r="CF37" i="106" a="1"/>
  <c r="CF37" i="106" s="1"/>
  <c r="CE37" i="106" a="1"/>
  <c r="CE37" i="106" s="1"/>
  <c r="CC37" i="106" a="1"/>
  <c r="CC37" i="106" s="1"/>
  <c r="CF25" i="106" a="1"/>
  <c r="CF25" i="106" s="1"/>
  <c r="CD25" i="106" a="1"/>
  <c r="CD25" i="106" s="1"/>
  <c r="CC25" i="106" a="1"/>
  <c r="CC25" i="106" s="1"/>
  <c r="CB25" i="106" a="1"/>
  <c r="CB25" i="106" s="1"/>
  <c r="CE25" i="106" a="1"/>
  <c r="CE25" i="106" s="1"/>
  <c r="CG25" i="106" a="1"/>
  <c r="CG25" i="106" s="1"/>
  <c r="CG13" i="106" a="1"/>
  <c r="CG13" i="106" s="1"/>
  <c r="CC13" i="106" a="1"/>
  <c r="CC13" i="106" s="1"/>
  <c r="CD13" i="106" a="1"/>
  <c r="CD13" i="106" s="1"/>
  <c r="CF13" i="106" a="1"/>
  <c r="CF13" i="106" s="1"/>
  <c r="CE13" i="106" a="1"/>
  <c r="CE13" i="106" s="1"/>
  <c r="CB13" i="106" a="1"/>
  <c r="CB13" i="106" s="1"/>
  <c r="CD24" i="106" a="1"/>
  <c r="CD24" i="106" s="1"/>
  <c r="CC24" i="106" a="1"/>
  <c r="CC24" i="106" s="1"/>
  <c r="CG24" i="106" a="1"/>
  <c r="CG24" i="106" s="1"/>
  <c r="CE24" i="106" a="1"/>
  <c r="CE24" i="106" s="1"/>
  <c r="CB24" i="106" a="1"/>
  <c r="CB24" i="106" s="1"/>
  <c r="CF24" i="106" a="1"/>
  <c r="CF24" i="106" s="1"/>
  <c r="CB12" i="106" a="1"/>
  <c r="CB12" i="106" s="1"/>
  <c r="CE12" i="106" a="1"/>
  <c r="CE12" i="106" s="1"/>
  <c r="CC12" i="106" a="1"/>
  <c r="CC12" i="106" s="1"/>
  <c r="CD12" i="106" a="1"/>
  <c r="CD12" i="106" s="1"/>
  <c r="CG12" i="106" a="1"/>
  <c r="CG12" i="106" s="1"/>
  <c r="CF12" i="106" a="1"/>
  <c r="CF12" i="106" s="1"/>
  <c r="T35" i="107"/>
  <c r="AF35" i="107"/>
  <c r="AR35" i="107"/>
  <c r="U35" i="107"/>
  <c r="AG35" i="107"/>
  <c r="AS35" i="107"/>
  <c r="J35" i="107"/>
  <c r="V35" i="107"/>
  <c r="AH35" i="107"/>
  <c r="AT35" i="107"/>
  <c r="K35" i="107"/>
  <c r="W35" i="107"/>
  <c r="AI35" i="107"/>
  <c r="AU35" i="107"/>
  <c r="L35" i="107"/>
  <c r="X35" i="107"/>
  <c r="AJ35" i="107"/>
  <c r="AV35" i="107"/>
  <c r="S35" i="107"/>
  <c r="M35" i="107"/>
  <c r="Y35" i="107"/>
  <c r="AK35" i="107"/>
  <c r="N35" i="107"/>
  <c r="Z35" i="107"/>
  <c r="AL35" i="107"/>
  <c r="AQ35" i="107"/>
  <c r="O35" i="107"/>
  <c r="AA35" i="107"/>
  <c r="AM35" i="107"/>
  <c r="AE35" i="107"/>
  <c r="P35" i="107"/>
  <c r="AB35" i="107"/>
  <c r="AN35" i="107"/>
  <c r="Q35" i="107"/>
  <c r="AC35" i="107"/>
  <c r="AO35" i="107"/>
  <c r="R35" i="107"/>
  <c r="AD35" i="107"/>
  <c r="AP35" i="107"/>
  <c r="K38" i="107"/>
  <c r="W38" i="107"/>
  <c r="AI38" i="107"/>
  <c r="AU38" i="107"/>
  <c r="L38" i="107"/>
  <c r="X38" i="107"/>
  <c r="AJ38" i="107"/>
  <c r="AV38" i="107"/>
  <c r="M38" i="107"/>
  <c r="Y38" i="107"/>
  <c r="AK38" i="107"/>
  <c r="N38" i="107"/>
  <c r="Z38" i="107"/>
  <c r="AL38" i="107"/>
  <c r="O38" i="107"/>
  <c r="AA38" i="107"/>
  <c r="AM38" i="107"/>
  <c r="J38" i="107"/>
  <c r="P38" i="107"/>
  <c r="AB38" i="107"/>
  <c r="AN38" i="107"/>
  <c r="V38" i="107"/>
  <c r="Q38" i="107"/>
  <c r="AC38" i="107"/>
  <c r="AO38" i="107"/>
  <c r="AH38" i="107"/>
  <c r="AT38" i="107"/>
  <c r="R38" i="107"/>
  <c r="AD38" i="107"/>
  <c r="AP38" i="107"/>
  <c r="S38" i="107"/>
  <c r="AE38" i="107"/>
  <c r="AQ38" i="107"/>
  <c r="T38" i="107"/>
  <c r="AF38" i="107"/>
  <c r="AR38" i="107"/>
  <c r="U38" i="107"/>
  <c r="AG38" i="107"/>
  <c r="AS38" i="107"/>
  <c r="J21" i="107"/>
  <c r="K21" i="107"/>
  <c r="L21" i="107"/>
  <c r="L24" i="107"/>
  <c r="K24" i="107"/>
  <c r="J24" i="107"/>
  <c r="D24" i="107"/>
  <c r="D39" i="107"/>
  <c r="D34" i="107"/>
  <c r="S26" i="107"/>
  <c r="T26" i="107"/>
  <c r="U26" i="107"/>
  <c r="J26" i="107"/>
  <c r="V26" i="107"/>
  <c r="K26" i="107"/>
  <c r="W26" i="107"/>
  <c r="L26" i="107"/>
  <c r="M26" i="107"/>
  <c r="R26" i="107"/>
  <c r="N26" i="107"/>
  <c r="O26" i="107"/>
  <c r="P26" i="107"/>
  <c r="Q26" i="107"/>
  <c r="M29" i="107"/>
  <c r="N29" i="107"/>
  <c r="L29" i="107"/>
  <c r="O29" i="107"/>
  <c r="P29" i="107"/>
  <c r="Q29" i="107"/>
  <c r="R29" i="107"/>
  <c r="S29" i="107"/>
  <c r="T29" i="107"/>
  <c r="U29" i="107"/>
  <c r="J29" i="107"/>
  <c r="V29" i="107"/>
  <c r="K29" i="107"/>
  <c r="W29" i="107"/>
  <c r="D20" i="107"/>
  <c r="D30" i="107"/>
  <c r="D35" i="107"/>
  <c r="T31" i="107"/>
  <c r="AF31" i="107"/>
  <c r="U31" i="107"/>
  <c r="AG31" i="107"/>
  <c r="J31" i="107"/>
  <c r="V31" i="107"/>
  <c r="AH31" i="107"/>
  <c r="K31" i="107"/>
  <c r="W31" i="107"/>
  <c r="AI31" i="107"/>
  <c r="S31" i="107"/>
  <c r="L31" i="107"/>
  <c r="X31" i="107"/>
  <c r="AJ31" i="107"/>
  <c r="AE31" i="107"/>
  <c r="M31" i="107"/>
  <c r="Y31" i="107"/>
  <c r="N31" i="107"/>
  <c r="Z31" i="107"/>
  <c r="O31" i="107"/>
  <c r="AA31" i="107"/>
  <c r="P31" i="107"/>
  <c r="AB31" i="107"/>
  <c r="Q31" i="107"/>
  <c r="AC31" i="107"/>
  <c r="R31" i="107"/>
  <c r="AD31" i="107"/>
  <c r="K34" i="107"/>
  <c r="W34" i="107"/>
  <c r="AI34" i="107"/>
  <c r="L34" i="107"/>
  <c r="X34" i="107"/>
  <c r="AJ34" i="107"/>
  <c r="M34" i="107"/>
  <c r="Y34" i="107"/>
  <c r="N34" i="107"/>
  <c r="Z34" i="107"/>
  <c r="O34" i="107"/>
  <c r="AA34" i="107"/>
  <c r="P34" i="107"/>
  <c r="AB34" i="107"/>
  <c r="AH34" i="107"/>
  <c r="Q34" i="107"/>
  <c r="AC34" i="107"/>
  <c r="V34" i="107"/>
  <c r="R34" i="107"/>
  <c r="AD34" i="107"/>
  <c r="J34" i="107"/>
  <c r="S34" i="107"/>
  <c r="AE34" i="107"/>
  <c r="T34" i="107"/>
  <c r="AF34" i="107"/>
  <c r="U34" i="107"/>
  <c r="AG34" i="107"/>
  <c r="D33" i="107"/>
  <c r="I33" i="107" s="1"/>
  <c r="D38" i="107"/>
  <c r="Q27" i="107"/>
  <c r="R27" i="107"/>
  <c r="S27" i="107"/>
  <c r="T27" i="107"/>
  <c r="U27" i="107"/>
  <c r="J27" i="107"/>
  <c r="V27" i="107"/>
  <c r="K27" i="107"/>
  <c r="W27" i="107"/>
  <c r="L27" i="107"/>
  <c r="P27" i="107"/>
  <c r="M27" i="107"/>
  <c r="N27" i="107"/>
  <c r="O27" i="107"/>
  <c r="Q36" i="107"/>
  <c r="AC36" i="107"/>
  <c r="AO36" i="107"/>
  <c r="R36" i="107"/>
  <c r="AD36" i="107"/>
  <c r="AP36" i="107"/>
  <c r="S36" i="107"/>
  <c r="AE36" i="107"/>
  <c r="AQ36" i="107"/>
  <c r="T36" i="107"/>
  <c r="AF36" i="107"/>
  <c r="AR36" i="107"/>
  <c r="U36" i="107"/>
  <c r="AG36" i="107"/>
  <c r="AS36" i="107"/>
  <c r="AB36" i="107"/>
  <c r="J36" i="107"/>
  <c r="V36" i="107"/>
  <c r="AH36" i="107"/>
  <c r="AT36" i="107"/>
  <c r="P36" i="107"/>
  <c r="K36" i="107"/>
  <c r="W36" i="107"/>
  <c r="AI36" i="107"/>
  <c r="AU36" i="107"/>
  <c r="L36" i="107"/>
  <c r="X36" i="107"/>
  <c r="AJ36" i="107"/>
  <c r="AV36" i="107"/>
  <c r="AN36" i="107"/>
  <c r="M36" i="107"/>
  <c r="Y36" i="107"/>
  <c r="AK36" i="107"/>
  <c r="N36" i="107"/>
  <c r="Z36" i="107"/>
  <c r="AL36" i="107"/>
  <c r="O36" i="107"/>
  <c r="AA36" i="107"/>
  <c r="AM36" i="107"/>
  <c r="Q32" i="107"/>
  <c r="AC32" i="107"/>
  <c r="R32" i="107"/>
  <c r="AD32" i="107"/>
  <c r="S32" i="107"/>
  <c r="AE32" i="107"/>
  <c r="T32" i="107"/>
  <c r="AF32" i="107"/>
  <c r="U32" i="107"/>
  <c r="AG32" i="107"/>
  <c r="J32" i="107"/>
  <c r="V32" i="107"/>
  <c r="AH32" i="107"/>
  <c r="K32" i="107"/>
  <c r="W32" i="107"/>
  <c r="AI32" i="107"/>
  <c r="P32" i="107"/>
  <c r="L32" i="107"/>
  <c r="X32" i="107"/>
  <c r="AJ32" i="107"/>
  <c r="AB32" i="107"/>
  <c r="M32" i="107"/>
  <c r="Y32" i="107"/>
  <c r="N32" i="107"/>
  <c r="Z32" i="107"/>
  <c r="O32" i="107"/>
  <c r="AA32" i="107"/>
  <c r="J22" i="107"/>
  <c r="K22" i="107"/>
  <c r="L22" i="107"/>
  <c r="D31" i="107"/>
  <c r="I31" i="107" s="1"/>
  <c r="D36" i="107"/>
  <c r="N37" i="107"/>
  <c r="Z37" i="107"/>
  <c r="AL37" i="107"/>
  <c r="O37" i="107"/>
  <c r="AA37" i="107"/>
  <c r="AM37" i="107"/>
  <c r="P37" i="107"/>
  <c r="AB37" i="107"/>
  <c r="AN37" i="107"/>
  <c r="Q37" i="107"/>
  <c r="AC37" i="107"/>
  <c r="AO37" i="107"/>
  <c r="R37" i="107"/>
  <c r="AD37" i="107"/>
  <c r="AP37" i="107"/>
  <c r="S37" i="107"/>
  <c r="AE37" i="107"/>
  <c r="AQ37" i="107"/>
  <c r="M37" i="107"/>
  <c r="T37" i="107"/>
  <c r="AF37" i="107"/>
  <c r="AR37" i="107"/>
  <c r="Y37" i="107"/>
  <c r="U37" i="107"/>
  <c r="AG37" i="107"/>
  <c r="AS37" i="107"/>
  <c r="AK37" i="107"/>
  <c r="J37" i="107"/>
  <c r="V37" i="107"/>
  <c r="AH37" i="107"/>
  <c r="AT37" i="107"/>
  <c r="K37" i="107"/>
  <c r="W37" i="107"/>
  <c r="AI37" i="107"/>
  <c r="AU37" i="107"/>
  <c r="L37" i="107"/>
  <c r="X37" i="107"/>
  <c r="AJ37" i="107"/>
  <c r="AV37" i="107"/>
  <c r="K20" i="107"/>
  <c r="L20" i="107"/>
  <c r="J20" i="107"/>
  <c r="J23" i="107"/>
  <c r="K23" i="107"/>
  <c r="L23" i="107"/>
  <c r="T39" i="107"/>
  <c r="AF39" i="107"/>
  <c r="AR39" i="107"/>
  <c r="U39" i="107"/>
  <c r="AG39" i="107"/>
  <c r="AS39" i="107"/>
  <c r="J39" i="107"/>
  <c r="V39" i="107"/>
  <c r="AH39" i="107"/>
  <c r="AT39" i="107"/>
  <c r="K39" i="107"/>
  <c r="W39" i="107"/>
  <c r="AI39" i="107"/>
  <c r="AU39" i="107"/>
  <c r="L39" i="107"/>
  <c r="X39" i="107"/>
  <c r="AJ39" i="107"/>
  <c r="AV39" i="107"/>
  <c r="S39" i="107"/>
  <c r="M39" i="107"/>
  <c r="Y39" i="107"/>
  <c r="AK39" i="107"/>
  <c r="AE39" i="107"/>
  <c r="N39" i="107"/>
  <c r="Z39" i="107"/>
  <c r="AL39" i="107"/>
  <c r="AQ39" i="107"/>
  <c r="O39" i="107"/>
  <c r="AA39" i="107"/>
  <c r="AM39" i="107"/>
  <c r="P39" i="107"/>
  <c r="AB39" i="107"/>
  <c r="AN39" i="107"/>
  <c r="Q39" i="107"/>
  <c r="AC39" i="107"/>
  <c r="AO39" i="107"/>
  <c r="R39" i="107"/>
  <c r="AD39" i="107"/>
  <c r="AP39" i="107"/>
  <c r="D37" i="107"/>
  <c r="D32" i="107"/>
  <c r="U25" i="107"/>
  <c r="J25" i="107"/>
  <c r="V25" i="107"/>
  <c r="K25" i="107"/>
  <c r="W25" i="107"/>
  <c r="L25" i="107"/>
  <c r="M25" i="107"/>
  <c r="N25" i="107"/>
  <c r="T25" i="107"/>
  <c r="O25" i="107"/>
  <c r="P25" i="107"/>
  <c r="Q25" i="107"/>
  <c r="R25" i="107"/>
  <c r="S25" i="107"/>
  <c r="O28" i="107"/>
  <c r="N28" i="107"/>
  <c r="P28" i="107"/>
  <c r="Q28" i="107"/>
  <c r="R28" i="107"/>
  <c r="S28" i="107"/>
  <c r="T28" i="107"/>
  <c r="U28" i="107"/>
  <c r="J28" i="107"/>
  <c r="V28" i="107"/>
  <c r="K28" i="107"/>
  <c r="W28" i="107"/>
  <c r="L28" i="107"/>
  <c r="M28" i="107"/>
  <c r="K30" i="107"/>
  <c r="W30" i="107"/>
  <c r="AI30" i="107"/>
  <c r="L30" i="107"/>
  <c r="X30" i="107"/>
  <c r="AJ30" i="107"/>
  <c r="M30" i="107"/>
  <c r="Y30" i="107"/>
  <c r="J30" i="107"/>
  <c r="N30" i="107"/>
  <c r="Z30" i="107"/>
  <c r="O30" i="107"/>
  <c r="AA30" i="107"/>
  <c r="P30" i="107"/>
  <c r="AB30" i="107"/>
  <c r="Q30" i="107"/>
  <c r="AC30" i="107"/>
  <c r="R30" i="107"/>
  <c r="AD30" i="107"/>
  <c r="S30" i="107"/>
  <c r="AE30" i="107"/>
  <c r="AH30" i="107"/>
  <c r="T30" i="107"/>
  <c r="AF30" i="107"/>
  <c r="V30" i="107"/>
  <c r="U30" i="107"/>
  <c r="AG30" i="107"/>
  <c r="N33" i="107"/>
  <c r="Z33" i="107"/>
  <c r="O33" i="107"/>
  <c r="AA33" i="107"/>
  <c r="P33" i="107"/>
  <c r="AB33" i="107"/>
  <c r="Q33" i="107"/>
  <c r="AC33" i="107"/>
  <c r="R33" i="107"/>
  <c r="AD33" i="107"/>
  <c r="Y33" i="107"/>
  <c r="S33" i="107"/>
  <c r="AE33" i="107"/>
  <c r="M33" i="107"/>
  <c r="T33" i="107"/>
  <c r="AF33" i="107"/>
  <c r="U33" i="107"/>
  <c r="AG33" i="107"/>
  <c r="J33" i="107"/>
  <c r="V33" i="107"/>
  <c r="AH33" i="107"/>
  <c r="K33" i="107"/>
  <c r="W33" i="107"/>
  <c r="AI33" i="107"/>
  <c r="L33" i="107"/>
  <c r="X33" i="107"/>
  <c r="AJ33" i="107"/>
  <c r="CG44" i="106" a="1"/>
  <c r="CG44" i="106" s="1"/>
  <c r="CE44" i="106" a="1"/>
  <c r="CE44" i="106" s="1"/>
  <c r="CC44" i="106" a="1"/>
  <c r="CC44" i="106" s="1"/>
  <c r="CB44" i="106" a="1"/>
  <c r="CB44" i="106" s="1"/>
  <c r="CF44" i="106" a="1"/>
  <c r="CF44" i="106" s="1"/>
  <c r="CD44" i="106" a="1"/>
  <c r="CD44" i="106" s="1"/>
  <c r="CD55" i="106" a="1"/>
  <c r="CD55" i="106" s="1"/>
  <c r="CE55" i="106" a="1"/>
  <c r="CE55" i="106" s="1"/>
  <c r="CF55" i="106" a="1"/>
  <c r="CF55" i="106" s="1"/>
  <c r="CC55" i="106" a="1"/>
  <c r="CC55" i="106" s="1"/>
  <c r="CG55" i="106" a="1"/>
  <c r="CG55" i="106" s="1"/>
  <c r="CG45" i="106" a="1"/>
  <c r="CG45" i="106" s="1"/>
  <c r="CB45" i="106" a="1"/>
  <c r="CB45" i="106" s="1"/>
  <c r="CC45" i="106" a="1"/>
  <c r="CC45" i="106" s="1"/>
  <c r="CE45" i="106" a="1"/>
  <c r="CE45" i="106" s="1"/>
  <c r="CD45" i="106" a="1"/>
  <c r="CD45" i="106" s="1"/>
  <c r="CF45" i="106" a="1"/>
  <c r="CF45" i="106" s="1"/>
  <c r="CC63" i="106" a="1"/>
  <c r="CC63" i="106" s="1"/>
  <c r="CB63" i="106" a="1"/>
  <c r="CB63" i="106" s="1"/>
  <c r="CD63" i="106" a="1"/>
  <c r="CD63" i="106" s="1"/>
  <c r="CG63" i="106" a="1"/>
  <c r="CG63" i="106" s="1"/>
  <c r="CE63" i="106" a="1"/>
  <c r="CE63" i="106" s="1"/>
  <c r="CF63" i="106" a="1"/>
  <c r="CF63" i="106" s="1"/>
  <c r="CF39" i="106" a="1"/>
  <c r="CF39" i="106" s="1"/>
  <c r="CG39" i="106" a="1"/>
  <c r="CG39" i="106" s="1"/>
  <c r="CF62" i="106" a="1"/>
  <c r="CF62" i="106" s="1"/>
  <c r="CG62" i="106" a="1"/>
  <c r="CG62" i="106" s="1"/>
  <c r="CF49" i="106" a="1"/>
  <c r="CF49" i="106" s="1"/>
  <c r="CC49" i="106" a="1"/>
  <c r="CC49" i="106" s="1"/>
  <c r="CE49" i="106" a="1"/>
  <c r="CE49" i="106" s="1"/>
  <c r="CD49" i="106" a="1"/>
  <c r="CD49" i="106" s="1"/>
  <c r="CB49" i="106" a="1"/>
  <c r="CB49" i="106" s="1"/>
  <c r="CG49" i="106" a="1"/>
  <c r="CG49" i="106" s="1"/>
  <c r="D29" i="107"/>
  <c r="D27" i="107"/>
  <c r="D22" i="107"/>
  <c r="D28" i="107"/>
  <c r="I28" i="107" s="1"/>
  <c r="D23" i="107"/>
  <c r="I23" i="107" s="1"/>
  <c r="D25" i="107"/>
  <c r="D26" i="107"/>
  <c r="I26" i="107" s="1"/>
  <c r="D21" i="107"/>
  <c r="E49" i="107"/>
  <c r="E48" i="107"/>
  <c r="E47" i="107"/>
  <c r="E46" i="107"/>
  <c r="E45" i="107"/>
  <c r="E44" i="107"/>
  <c r="E43" i="107"/>
  <c r="BK3" i="108" l="1" a="1"/>
  <c r="BK3" i="108" s="1"/>
  <c r="BO10" i="108" a="1"/>
  <c r="BO10" i="108" s="1"/>
  <c r="BP7" i="108" a="1"/>
  <c r="BP7" i="108" s="1"/>
  <c r="BM5" i="108" a="1"/>
  <c r="BM5" i="108" s="1"/>
  <c r="BR12" i="108" a="1"/>
  <c r="BR12" i="108" s="1"/>
  <c r="AZ3" i="108" a="1"/>
  <c r="AZ3" i="108" s="1"/>
  <c r="BN6" i="108" a="1"/>
  <c r="BN6" i="108" s="1"/>
  <c r="BA12" i="108" a="1"/>
  <c r="BA12" i="108" s="1"/>
  <c r="BE4" i="108" a="1"/>
  <c r="BE4" i="108" s="1"/>
  <c r="BR8" i="108" a="1"/>
  <c r="BR8" i="108" s="1"/>
  <c r="AT8" i="108" a="1"/>
  <c r="AT8" i="108" s="1"/>
  <c r="BR6" i="108" a="1"/>
  <c r="BR6" i="108" s="1"/>
  <c r="AZ6" i="108" a="1"/>
  <c r="AZ6" i="108" s="1"/>
  <c r="AY5" i="108" a="1"/>
  <c r="AY5" i="108" s="1"/>
  <c r="BT9" i="108" a="1"/>
  <c r="BT9" i="108" s="1"/>
  <c r="AR5" i="108" a="1"/>
  <c r="AR5" i="108" s="1"/>
  <c r="BJ7" i="108" a="1"/>
  <c r="BJ7" i="108" s="1"/>
  <c r="AV4" i="108" a="1"/>
  <c r="AV4" i="108" s="1"/>
  <c r="BH3" i="108" a="1"/>
  <c r="BH3" i="108" s="1"/>
  <c r="BL10" i="108" a="1"/>
  <c r="BL10" i="108" s="1"/>
  <c r="BJ12" i="108" a="1"/>
  <c r="BJ12" i="108" s="1"/>
  <c r="BM9" i="108" a="1"/>
  <c r="BM9" i="108" s="1"/>
  <c r="AS9" i="108" a="1"/>
  <c r="AS9" i="108" s="1"/>
  <c r="BL6" i="108" a="1"/>
  <c r="BL6" i="108" s="1"/>
  <c r="BA9" i="108" a="1"/>
  <c r="BA9" i="108" s="1"/>
  <c r="AU11" i="108" a="1"/>
  <c r="AU11" i="108" s="1"/>
  <c r="BQ11" i="108" a="1"/>
  <c r="BQ11" i="108" s="1"/>
  <c r="BI5" i="108" a="1"/>
  <c r="BI5" i="108" s="1"/>
  <c r="AX12" i="108" a="1"/>
  <c r="AX12" i="108" s="1"/>
  <c r="BN5" i="108" a="1"/>
  <c r="BN5" i="108" s="1"/>
  <c r="BL12" i="108" a="1"/>
  <c r="BL12" i="108" s="1"/>
  <c r="BE12" i="108" a="1"/>
  <c r="BE12" i="108" s="1"/>
  <c r="BS12" i="108" a="1"/>
  <c r="BS12" i="108" s="1"/>
  <c r="AS4" i="108" a="1"/>
  <c r="AS4" i="108" s="1"/>
  <c r="BU3" i="108" a="1"/>
  <c r="BU3" i="108" s="1"/>
  <c r="BE11" i="108" a="1"/>
  <c r="BE11" i="108" s="1"/>
  <c r="BG9" i="108" a="1"/>
  <c r="BG9" i="108" s="1"/>
  <c r="BC6" i="108" a="1"/>
  <c r="BC6" i="108" s="1"/>
  <c r="BA11" i="108" a="1"/>
  <c r="BA11" i="108" s="1"/>
  <c r="AR3" i="108" a="1"/>
  <c r="AR3" i="108" s="1"/>
  <c r="BE7" i="108" a="1"/>
  <c r="BE7" i="108" s="1"/>
  <c r="AY3" i="108" a="1"/>
  <c r="AY3" i="108" s="1"/>
  <c r="BQ8" i="108" a="1"/>
  <c r="BQ8" i="108" s="1"/>
  <c r="BH9" i="108" a="1"/>
  <c r="BH9" i="108" s="1"/>
  <c r="AU10" i="108" a="1"/>
  <c r="AU10" i="108" s="1"/>
  <c r="BH7" i="108" a="1"/>
  <c r="BH7" i="108" s="1"/>
  <c r="AY7" i="108" a="1"/>
  <c r="AY7" i="108" s="1"/>
  <c r="BG3" i="108" a="1"/>
  <c r="BG3" i="108" s="1"/>
  <c r="BK10" i="108" a="1"/>
  <c r="BK10" i="108" s="1"/>
  <c r="AR7" i="108" a="1"/>
  <c r="AR7" i="108" s="1"/>
  <c r="BT7" i="108" a="1"/>
  <c r="BT7" i="108" s="1"/>
  <c r="AV6" i="108" a="1"/>
  <c r="AV6" i="108" s="1"/>
  <c r="BS3" i="108" a="1"/>
  <c r="BS3" i="108" s="1"/>
  <c r="BC11" i="108" a="1"/>
  <c r="BC11" i="108" s="1"/>
  <c r="AV12" i="108" a="1"/>
  <c r="AV12" i="108" s="1"/>
  <c r="BC10" i="108" a="1"/>
  <c r="BC10" i="108" s="1"/>
  <c r="BB7" i="108" a="1"/>
  <c r="BB7" i="108" s="1"/>
  <c r="AZ10" i="108" a="1"/>
  <c r="AZ10" i="108" s="1"/>
  <c r="BD9" i="108" a="1"/>
  <c r="BD9" i="108" s="1"/>
  <c r="AU4" i="108" a="1"/>
  <c r="AU4" i="108" s="1"/>
  <c r="BG7" i="108" a="1"/>
  <c r="BG7" i="108" s="1"/>
  <c r="AX5" i="108" a="1"/>
  <c r="AX5" i="108" s="1"/>
  <c r="BH8" i="108" a="1"/>
  <c r="BH8" i="108" s="1"/>
  <c r="BF7" i="108" a="1"/>
  <c r="BF7" i="108" s="1"/>
  <c r="BB5" i="108" a="1"/>
  <c r="BB5" i="108" s="1"/>
  <c r="BF12" i="108" a="1"/>
  <c r="BF12" i="108" s="1"/>
  <c r="BH11" i="108" a="1"/>
  <c r="BH11" i="108" s="1"/>
  <c r="BD7" i="108" a="1"/>
  <c r="BD7" i="108" s="1"/>
  <c r="AZ12" i="108" a="1"/>
  <c r="AZ12" i="108" s="1"/>
  <c r="BD3" i="108" a="1"/>
  <c r="BD3" i="108" s="1"/>
  <c r="BO7" i="108" a="1"/>
  <c r="BO7" i="108" s="1"/>
  <c r="AX4" i="108" a="1"/>
  <c r="AX4" i="108" s="1"/>
  <c r="BU12" i="108" a="1"/>
  <c r="BU12" i="108" s="1"/>
  <c r="BS9" i="108" a="1"/>
  <c r="BS9" i="108" s="1"/>
  <c r="AW12" i="108" a="1"/>
  <c r="AW12" i="108" s="1"/>
  <c r="BR7" i="108" a="1"/>
  <c r="BR7" i="108" s="1"/>
  <c r="AX8" i="108" a="1"/>
  <c r="AX8" i="108" s="1"/>
  <c r="BQ3" i="108" a="1"/>
  <c r="BQ3" i="108" s="1"/>
  <c r="BU10" i="108" a="1"/>
  <c r="BU10" i="108" s="1"/>
  <c r="BE6" i="108" a="1"/>
  <c r="BE6" i="108" s="1"/>
  <c r="BJ8" i="108" a="1"/>
  <c r="BJ8" i="108" s="1"/>
  <c r="AW8" i="108" a="1"/>
  <c r="AW8" i="108" s="1"/>
  <c r="BI4" i="108" a="1"/>
  <c r="BI4" i="108" s="1"/>
  <c r="BM11" i="108" a="1"/>
  <c r="BM11" i="108" s="1"/>
  <c r="BI3" i="108" a="1"/>
  <c r="BI3" i="108" s="1"/>
  <c r="BM10" i="108" a="1"/>
  <c r="BM10" i="108" s="1"/>
  <c r="AR8" i="108" a="1"/>
  <c r="AR8" i="108" s="1"/>
  <c r="BL7" i="108" a="1"/>
  <c r="BL7" i="108" s="1"/>
  <c r="AY11" i="108" a="1"/>
  <c r="AY11" i="108" s="1"/>
  <c r="AT9" i="108" a="1"/>
  <c r="AT9" i="108" s="1"/>
  <c r="BP8" i="108" a="1"/>
  <c r="BP8" i="108" s="1"/>
  <c r="BU11" i="108" a="1"/>
  <c r="BU11" i="108" s="1"/>
  <c r="BK4" i="108" a="1"/>
  <c r="BK4" i="108" s="1"/>
  <c r="BH12" i="108" a="1"/>
  <c r="BH12" i="108" s="1"/>
  <c r="BR10" i="108" a="1"/>
  <c r="BR10" i="108" s="1"/>
  <c r="BC5" i="108" a="1"/>
  <c r="BC5" i="108" s="1"/>
  <c r="BH10" i="108" a="1"/>
  <c r="BH10" i="108" s="1"/>
  <c r="BK5" i="108" a="1"/>
  <c r="BK5" i="108" s="1"/>
  <c r="BL5" i="108" a="1"/>
  <c r="BL5" i="108" s="1"/>
  <c r="BQ12" i="108" a="1"/>
  <c r="BQ12" i="108" s="1"/>
  <c r="AW7" i="108" a="1"/>
  <c r="AW7" i="108" s="1"/>
  <c r="BN7" i="108" a="1"/>
  <c r="BN7" i="108" s="1"/>
  <c r="AX3" i="108" a="1"/>
  <c r="AX3" i="108" s="1"/>
  <c r="BG8" i="108" a="1"/>
  <c r="BG8" i="108" s="1"/>
  <c r="BE8" i="108" a="1"/>
  <c r="BE8" i="108" s="1"/>
  <c r="AV3" i="108" a="1"/>
  <c r="AV3" i="108" s="1"/>
  <c r="BE3" i="108" a="1"/>
  <c r="BE3" i="108" s="1"/>
  <c r="BI10" i="108" a="1"/>
  <c r="BI10" i="108" s="1"/>
  <c r="BQ9" i="108" a="1"/>
  <c r="BQ9" i="108" s="1"/>
  <c r="BI8" i="108" a="1"/>
  <c r="BI8" i="108" s="1"/>
  <c r="AT4" i="108" a="1"/>
  <c r="AT4" i="108" s="1"/>
  <c r="BG4" i="108" a="1"/>
  <c r="BG4" i="108" s="1"/>
  <c r="BK11" i="108" a="1"/>
  <c r="BK11" i="108" s="1"/>
  <c r="BG10" i="108" a="1"/>
  <c r="BG10" i="108" s="1"/>
  <c r="BU8" i="108" a="1"/>
  <c r="BU8" i="108" s="1"/>
  <c r="AS11" i="108" a="1"/>
  <c r="AS11" i="108" s="1"/>
  <c r="BS4" i="108" a="1"/>
  <c r="BS4" i="108" s="1"/>
  <c r="BC12" i="108" a="1"/>
  <c r="BC12" i="108" s="1"/>
  <c r="BJ4" i="108" a="1"/>
  <c r="BJ4" i="108" s="1"/>
  <c r="BN11" i="108" a="1"/>
  <c r="BN11" i="108" s="1"/>
  <c r="BD5" i="108" a="1"/>
  <c r="BD5" i="108" s="1"/>
  <c r="BC8" i="108" a="1"/>
  <c r="BC8" i="108" s="1"/>
  <c r="AS3" i="108" a="1"/>
  <c r="AS3" i="108" s="1"/>
  <c r="BU5" i="108" a="1"/>
  <c r="BU5" i="108" s="1"/>
  <c r="BB4" i="108" a="1"/>
  <c r="BB4" i="108" s="1"/>
  <c r="BQ4" i="108" a="1"/>
  <c r="BQ4" i="108" s="1"/>
  <c r="AT11" i="108" a="1"/>
  <c r="AT11" i="108" s="1"/>
  <c r="BC3" i="108" a="1"/>
  <c r="BC3" i="108" s="1"/>
  <c r="BG5" i="108" a="1"/>
  <c r="BG5" i="108" s="1"/>
  <c r="AZ8" i="108" a="1"/>
  <c r="AZ8" i="108" s="1"/>
  <c r="AS5" i="108" a="1"/>
  <c r="AS5" i="108" s="1"/>
  <c r="BE10" i="108" a="1"/>
  <c r="BE10" i="108" s="1"/>
  <c r="AT6" i="108" a="1"/>
  <c r="AT6" i="108" s="1"/>
  <c r="BJ9" i="108" a="1"/>
  <c r="BJ9" i="108" s="1"/>
  <c r="AS7" i="108" a="1"/>
  <c r="AS7" i="108" s="1"/>
  <c r="BB6" i="108" a="1"/>
  <c r="BB6" i="108" s="1"/>
  <c r="BA10" i="108" a="1"/>
  <c r="BA10" i="108" s="1"/>
  <c r="BN3" i="108" a="1"/>
  <c r="BN3" i="108" s="1"/>
  <c r="BD8" i="108" a="1"/>
  <c r="BD8" i="108" s="1"/>
  <c r="AU3" i="108" a="1"/>
  <c r="AU3" i="108" s="1"/>
  <c r="BI11" i="108" a="1"/>
  <c r="BI11" i="108" s="1"/>
  <c r="BF9" i="108" a="1"/>
  <c r="BF9" i="108" s="1"/>
  <c r="AV5" i="108" a="1"/>
  <c r="AV5" i="108" s="1"/>
  <c r="BO3" i="108" a="1"/>
  <c r="BO3" i="108" s="1"/>
  <c r="BS10" i="108" a="1"/>
  <c r="BS10" i="108" s="1"/>
  <c r="BF6" i="108" a="1"/>
  <c r="BF6" i="108" s="1"/>
  <c r="BS8" i="108" a="1"/>
  <c r="BS8" i="108" s="1"/>
  <c r="AU6" i="108" a="1"/>
  <c r="AU6" i="108" s="1"/>
  <c r="BH5" i="108" a="1"/>
  <c r="BH5" i="108" s="1"/>
  <c r="BM12" i="108" a="1"/>
  <c r="BM12" i="108" s="1"/>
  <c r="AW3" i="108" a="1"/>
  <c r="AW3" i="108" s="1"/>
  <c r="BK9" i="108" a="1"/>
  <c r="BK9" i="108" s="1"/>
  <c r="AR6" i="108" a="1"/>
  <c r="AR6" i="108" s="1"/>
  <c r="BT5" i="108" a="1"/>
  <c r="BT5" i="108" s="1"/>
  <c r="BN12" i="108" a="1"/>
  <c r="BN12" i="108" s="1"/>
  <c r="BT4" i="108" a="1"/>
  <c r="BT4" i="108" s="1"/>
  <c r="BD12" i="108" a="1"/>
  <c r="BD12" i="108" s="1"/>
  <c r="AY4" i="108" a="1"/>
  <c r="AY4" i="108" s="1"/>
  <c r="BM8" i="108" a="1"/>
  <c r="BM8" i="108" s="1"/>
  <c r="AT5" i="108" a="1"/>
  <c r="AT5" i="108" s="1"/>
  <c r="BA8" i="108" a="1"/>
  <c r="BA8" i="108" s="1"/>
  <c r="AR9" i="108" a="1"/>
  <c r="AR9" i="108" s="1"/>
  <c r="AR11" i="108" a="1"/>
  <c r="AR11" i="108" s="1"/>
  <c r="AY6" i="108" a="1"/>
  <c r="AY6" i="108" s="1"/>
  <c r="BK8" i="108" a="1"/>
  <c r="BK8" i="108" s="1"/>
  <c r="BO11" i="108" a="1"/>
  <c r="BO11" i="108" s="1"/>
  <c r="BN9" i="108" a="1"/>
  <c r="BN9" i="108" s="1"/>
  <c r="AX7" i="108" a="1"/>
  <c r="AX7" i="108" s="1"/>
  <c r="BS5" i="108" a="1"/>
  <c r="BS5" i="108" s="1"/>
  <c r="BL8" i="108" a="1"/>
  <c r="BL8" i="108" s="1"/>
  <c r="BG12" i="108" a="1"/>
  <c r="BG12" i="108" s="1"/>
  <c r="BQ5" i="108" a="1"/>
  <c r="BQ5" i="108" s="1"/>
  <c r="AW10" i="108" a="1"/>
  <c r="AW10" i="108" s="1"/>
  <c r="BB9" i="108" a="1"/>
  <c r="BB9" i="108" s="1"/>
  <c r="BM6" i="108" a="1"/>
  <c r="BM6" i="108" s="1"/>
  <c r="AZ11" i="108" a="1"/>
  <c r="AZ11" i="108" s="1"/>
  <c r="BQ7" i="108" a="1"/>
  <c r="BQ7" i="108" s="1"/>
  <c r="BO8" i="108" a="1"/>
  <c r="BO8" i="108" s="1"/>
  <c r="AU5" i="108" a="1"/>
  <c r="AU5" i="108" s="1"/>
  <c r="AX6" i="108" a="1"/>
  <c r="AX6" i="108" s="1"/>
  <c r="BP9" i="108" a="1"/>
  <c r="BP9" i="108" s="1"/>
  <c r="AW9" i="108" a="1"/>
  <c r="AW9" i="108" s="1"/>
  <c r="BP4" i="108" a="1"/>
  <c r="BP4" i="108" s="1"/>
  <c r="BT11" i="108" a="1"/>
  <c r="BT11" i="108" s="1"/>
  <c r="AS6" i="108" a="1"/>
  <c r="AS6" i="108" s="1"/>
  <c r="BI9" i="108" a="1"/>
  <c r="BI9" i="108" s="1"/>
  <c r="AU8" i="108" a="1"/>
  <c r="AU8" i="108" s="1"/>
  <c r="BR5" i="108" a="1"/>
  <c r="BR5" i="108" s="1"/>
  <c r="BA5" i="108" a="1"/>
  <c r="BA5" i="108" s="1"/>
  <c r="AZ4" i="108" a="1"/>
  <c r="AZ4" i="108" s="1"/>
  <c r="BU9" i="108" a="1"/>
  <c r="BU9" i="108" s="1"/>
  <c r="AW6" i="108" a="1"/>
  <c r="AW6" i="108" s="1"/>
  <c r="BJ6" i="108" a="1"/>
  <c r="BJ6" i="108" s="1"/>
  <c r="BA7" i="108" a="1"/>
  <c r="BA7" i="108" s="1"/>
  <c r="BJ5" i="108" a="1"/>
  <c r="BJ5" i="108" s="1"/>
  <c r="BO12" i="108" a="1"/>
  <c r="BO12" i="108" s="1"/>
  <c r="BP6" i="108" a="1"/>
  <c r="BP6" i="108" s="1"/>
  <c r="BC9" i="108" a="1"/>
  <c r="BC9" i="108" s="1"/>
  <c r="AT7" i="108" a="1"/>
  <c r="AT7" i="108" s="1"/>
  <c r="BD10" i="108" a="1"/>
  <c r="BD10" i="108" s="1"/>
  <c r="BQ6" i="108" a="1"/>
  <c r="BQ6" i="108" s="1"/>
  <c r="BO4" i="108" a="1"/>
  <c r="BO4" i="108" s="1"/>
  <c r="BP11" i="108" a="1"/>
  <c r="BP11" i="108" s="1"/>
  <c r="AV8" i="108" a="1"/>
  <c r="AV8" i="108" s="1"/>
  <c r="AR10" i="108" a="1"/>
  <c r="AR10" i="108" s="1"/>
  <c r="BA4" i="108" a="1"/>
  <c r="BA4" i="108" s="1"/>
  <c r="BP12" i="108" a="1"/>
  <c r="BP12" i="108" s="1"/>
  <c r="BC7" i="108" a="1"/>
  <c r="BC7" i="108" s="1"/>
  <c r="AY12" i="108" a="1"/>
  <c r="AY12" i="108" s="1"/>
  <c r="BS11" i="108" a="1"/>
  <c r="BS11" i="108" s="1"/>
  <c r="BE9" i="108" a="1"/>
  <c r="BE9" i="108" s="1"/>
  <c r="AV7" i="108" a="1"/>
  <c r="AV7" i="108" s="1"/>
  <c r="BB3" i="108" a="1"/>
  <c r="BB3" i="108" s="1"/>
  <c r="BF10" i="108" a="1"/>
  <c r="BF10" i="108" s="1"/>
  <c r="AT12" i="108" a="1"/>
  <c r="AT12" i="108" s="1"/>
  <c r="BF5" i="108" a="1"/>
  <c r="BF5" i="108" s="1"/>
  <c r="BK12" i="108" a="1"/>
  <c r="BK12" i="108" s="1"/>
  <c r="BF3" i="108" a="1"/>
  <c r="BF3" i="108" s="1"/>
  <c r="BJ10" i="108" a="1"/>
  <c r="BJ10" i="108" s="1"/>
  <c r="AV10" i="108" a="1"/>
  <c r="AV10" i="108" s="1"/>
  <c r="BH6" i="108" a="1"/>
  <c r="BH6" i="108" s="1"/>
  <c r="AZ7" i="108" a="1"/>
  <c r="AZ7" i="108" s="1"/>
  <c r="BR3" i="108" a="1"/>
  <c r="BR3" i="108" s="1"/>
  <c r="BB11" i="108" a="1"/>
  <c r="BB11" i="108" s="1"/>
  <c r="BO5" i="108" a="1"/>
  <c r="BO5" i="108" s="1"/>
  <c r="BT6" i="108" a="1"/>
  <c r="BT6" i="108" s="1"/>
  <c r="AY9" i="108" a="1"/>
  <c r="AY9" i="108" s="1"/>
  <c r="AT10" i="108" a="1"/>
  <c r="AT10" i="108" s="1"/>
  <c r="BM4" i="108" a="1"/>
  <c r="BM4" i="108" s="1"/>
  <c r="BA6" i="108" a="1"/>
  <c r="BA6" i="108" s="1"/>
  <c r="AW11" i="108" a="1"/>
  <c r="AW11" i="108" s="1"/>
  <c r="BT8" i="108" a="1"/>
  <c r="BT8" i="108" s="1"/>
  <c r="BI12" i="108" a="1"/>
  <c r="BI12" i="108" s="1"/>
  <c r="AS10" i="108" a="1"/>
  <c r="AS10" i="108" s="1"/>
  <c r="AX10" i="108" a="1"/>
  <c r="AX10" i="108" s="1"/>
  <c r="BR9" i="108" a="1"/>
  <c r="BR9" i="108" s="1"/>
  <c r="BM7" i="108" a="1"/>
  <c r="BM7" i="108" s="1"/>
  <c r="AT3" i="108" a="1"/>
  <c r="AT3" i="108" s="1"/>
  <c r="AS8" i="108" a="1"/>
  <c r="AS8" i="108" s="1"/>
  <c r="BO9" i="108" a="1"/>
  <c r="BO9" i="108" s="1"/>
  <c r="AV9" i="108" a="1"/>
  <c r="AV9" i="108" s="1"/>
  <c r="BM3" i="108" a="1"/>
  <c r="BM3" i="108" s="1"/>
  <c r="BQ10" i="108" a="1"/>
  <c r="BQ10" i="108" s="1"/>
  <c r="AR12" i="108" a="1"/>
  <c r="AR12" i="108" s="1"/>
  <c r="BP5" i="108" a="1"/>
  <c r="BP5" i="108" s="1"/>
  <c r="BA3" i="108" a="1"/>
  <c r="BA3" i="108" s="1"/>
  <c r="BP3" i="108" a="1"/>
  <c r="BP3" i="108" s="1"/>
  <c r="BT10" i="108" a="1"/>
  <c r="BT10" i="108" s="1"/>
  <c r="AR4" i="108" a="1"/>
  <c r="AR4" i="108" s="1"/>
  <c r="BS6" i="108" a="1"/>
  <c r="BS6" i="108" s="1"/>
  <c r="AY8" i="108" a="1"/>
  <c r="AY8" i="108" s="1"/>
  <c r="BH4" i="108" a="1"/>
  <c r="BH4" i="108" s="1"/>
  <c r="BL11" i="108" a="1"/>
  <c r="BL11" i="108" s="1"/>
  <c r="BR11" i="108" a="1"/>
  <c r="BR11" i="108" s="1"/>
  <c r="BK7" i="108" a="1"/>
  <c r="BK7" i="108" s="1"/>
  <c r="AX11" i="108" a="1"/>
  <c r="AX11" i="108" s="1"/>
  <c r="BK6" i="108" a="1"/>
  <c r="BK6" i="108" s="1"/>
  <c r="AZ9" i="108" a="1"/>
  <c r="AZ9" i="108" s="1"/>
  <c r="BJ3" i="108" a="1"/>
  <c r="BJ3" i="108" s="1"/>
  <c r="BN10" i="108" a="1"/>
  <c r="BN10" i="108" s="1"/>
  <c r="AV11" i="108" a="1"/>
  <c r="AV11" i="108" s="1"/>
  <c r="BU7" i="108" a="1"/>
  <c r="BU7" i="108" s="1"/>
  <c r="AY10" i="108" a="1"/>
  <c r="AY10" i="108" s="1"/>
  <c r="BT3" i="108" a="1"/>
  <c r="BT3" i="108" s="1"/>
  <c r="AU9" i="108" a="1"/>
  <c r="AU9" i="108" s="1"/>
  <c r="BS7" i="108" a="1"/>
  <c r="BS7" i="108" s="1"/>
  <c r="BN4" i="108" a="1"/>
  <c r="BN4" i="108" s="1"/>
  <c r="BT12" i="108" a="1"/>
  <c r="BT12" i="108" s="1"/>
  <c r="BL9" i="108" a="1"/>
  <c r="BL9" i="108" s="1"/>
  <c r="BF8" i="108" a="1"/>
  <c r="BF8" i="108" s="1"/>
  <c r="BI6" i="108" a="1"/>
  <c r="BI6" i="108" s="1"/>
  <c r="BN8" i="108" a="1"/>
  <c r="BN8" i="108" s="1"/>
  <c r="AU7" i="108" a="1"/>
  <c r="AU7" i="108" s="1"/>
  <c r="BL3" i="108" a="1"/>
  <c r="BL3" i="108" s="1"/>
  <c r="BP10" i="108" a="1"/>
  <c r="BP10" i="108" s="1"/>
  <c r="AS12" i="108" a="1"/>
  <c r="AS12" i="108" s="1"/>
  <c r="BC4" i="108" a="1"/>
  <c r="BC4" i="108" s="1"/>
  <c r="BG11" i="108" a="1"/>
  <c r="BG11" i="108" s="1"/>
  <c r="BD4" i="108" a="1"/>
  <c r="BD4" i="108" s="1"/>
  <c r="BG6" i="108" a="1"/>
  <c r="BG6" i="108" s="1"/>
  <c r="AZ5" i="108" a="1"/>
  <c r="AZ5" i="108" s="1"/>
  <c r="BF4" i="108" a="1"/>
  <c r="BF4" i="108" s="1"/>
  <c r="BJ11" i="108" a="1"/>
  <c r="BJ11" i="108" s="1"/>
  <c r="BO6" i="108" a="1"/>
  <c r="BO6" i="108" s="1"/>
  <c r="BI7" i="108" a="1"/>
  <c r="BI7" i="108" s="1"/>
  <c r="AX9" i="108" a="1"/>
  <c r="AX9" i="108" s="1"/>
  <c r="BR4" i="108" a="1"/>
  <c r="BR4" i="108" s="1"/>
  <c r="BB12" i="108" a="1"/>
  <c r="BB12" i="108" s="1"/>
  <c r="AU12" i="108" a="1"/>
  <c r="AU12" i="108" s="1"/>
  <c r="AW4" i="108" a="1"/>
  <c r="AW4" i="108" s="1"/>
  <c r="BU6" i="108" a="1"/>
  <c r="BU6" i="108" s="1"/>
  <c r="BD11" i="108" a="1"/>
  <c r="BD11" i="108" s="1"/>
  <c r="BF11" i="108" a="1"/>
  <c r="BF11" i="108" s="1"/>
  <c r="AW5" i="108" a="1"/>
  <c r="AW5" i="108" s="1"/>
  <c r="BB8" i="108" a="1"/>
  <c r="BB8" i="108" s="1"/>
  <c r="BL4" i="108" a="1"/>
  <c r="BL4" i="108" s="1"/>
  <c r="BE5" i="108" a="1"/>
  <c r="BE5" i="108" s="1"/>
  <c r="BU4" i="108" a="1"/>
  <c r="BU4" i="108" s="1"/>
  <c r="BD6" i="108" a="1"/>
  <c r="BD6" i="108" s="1"/>
  <c r="BB10" i="108" a="1"/>
  <c r="BB10" i="108" s="1"/>
  <c r="I38" i="107"/>
  <c r="CS38" i="107" s="1" a="1"/>
  <c r="CS38" i="107" s="1"/>
  <c r="D51" i="64"/>
  <c r="I36" i="107"/>
  <c r="CX36" i="107" s="1" a="1"/>
  <c r="CX36" i="107" s="1"/>
  <c r="C51" i="64"/>
  <c r="C47" i="64"/>
  <c r="I21" i="107"/>
  <c r="AH21" i="107" s="1"/>
  <c r="D47" i="64"/>
  <c r="D48" i="64"/>
  <c r="D50" i="64"/>
  <c r="D49" i="64"/>
  <c r="C48" i="64"/>
  <c r="CW36" i="107" a="1"/>
  <c r="CW36" i="107" s="1"/>
  <c r="C50" i="64"/>
  <c r="C49" i="64"/>
  <c r="F84" i="105"/>
  <c r="F82" i="105"/>
  <c r="F80" i="105"/>
  <c r="F85" i="105"/>
  <c r="F83" i="105"/>
  <c r="F81" i="105"/>
  <c r="CI80" i="106" a="1"/>
  <c r="CI80" i="106" s="1"/>
  <c r="CT82" i="106" a="1"/>
  <c r="CT82" i="106" s="1"/>
  <c r="DB83" i="106" a="1"/>
  <c r="DB83" i="106" s="1"/>
  <c r="CY81" i="106" a="1"/>
  <c r="CY81" i="106" s="1"/>
  <c r="DI83" i="106" a="1"/>
  <c r="DI83" i="106" s="1"/>
  <c r="CU82" i="106" a="1"/>
  <c r="CU82" i="106" s="1"/>
  <c r="DD83" i="106" a="1"/>
  <c r="DD83" i="106" s="1"/>
  <c r="CP81" i="106" a="1"/>
  <c r="CP81" i="106" s="1"/>
  <c r="CO83" i="106" a="1"/>
  <c r="CO83" i="106" s="1"/>
  <c r="CV81" i="106" a="1"/>
  <c r="CV81" i="106" s="1"/>
  <c r="CK81" i="106" a="1"/>
  <c r="CK81" i="106" s="1"/>
  <c r="DF83" i="106" a="1"/>
  <c r="DF83" i="106" s="1"/>
  <c r="CR81" i="106" a="1"/>
  <c r="CR81" i="106" s="1"/>
  <c r="DK82" i="106" a="1"/>
  <c r="DK82" i="106" s="1"/>
  <c r="DG80" i="106" a="1"/>
  <c r="DG80" i="106" s="1"/>
  <c r="CW83" i="106" a="1"/>
  <c r="CW83" i="106" s="1"/>
  <c r="CT81" i="106" a="1"/>
  <c r="CT81" i="106" s="1"/>
  <c r="DB82" i="106" a="1"/>
  <c r="DB82" i="106" s="1"/>
  <c r="DD82" i="106" a="1"/>
  <c r="DD82" i="106" s="1"/>
  <c r="CP80" i="106" a="1"/>
  <c r="CP80" i="106" s="1"/>
  <c r="DI81" i="106" a="1"/>
  <c r="DI81" i="106" s="1"/>
  <c r="CL80" i="106" a="1"/>
  <c r="CL80" i="106" s="1"/>
  <c r="DF82" i="106" a="1"/>
  <c r="DF82" i="106" s="1"/>
  <c r="CR80" i="106" a="1"/>
  <c r="CR80" i="106" s="1"/>
  <c r="DK81" i="106" a="1"/>
  <c r="DK81" i="106" s="1"/>
  <c r="CZ83" i="106" a="1"/>
  <c r="CZ83" i="106" s="1"/>
  <c r="CM82" i="106" a="1"/>
  <c r="CM82" i="106" s="1"/>
  <c r="CT80" i="106" a="1"/>
  <c r="CT80" i="106" s="1"/>
  <c r="DB81" i="106" a="1"/>
  <c r="DB81" i="106" s="1"/>
  <c r="CQ83" i="106" a="1"/>
  <c r="CQ83" i="106" s="1"/>
  <c r="CN81" i="106" a="1"/>
  <c r="CN81" i="106" s="1"/>
  <c r="DH83" i="106" a="1"/>
  <c r="DH83" i="106" s="1"/>
  <c r="DD81" i="106" a="1"/>
  <c r="DD81" i="106" s="1"/>
  <c r="CS83" i="106" a="1"/>
  <c r="CS83" i="106" s="1"/>
  <c r="DI80" i="106" a="1"/>
  <c r="DI80" i="106" s="1"/>
  <c r="DH82" i="106" a="1"/>
  <c r="DH82" i="106" s="1"/>
  <c r="CU81" i="106" a="1"/>
  <c r="CU81" i="106" s="1"/>
  <c r="CJ83" i="106" a="1"/>
  <c r="CJ83" i="106" s="1"/>
  <c r="DJ83" i="106" a="1"/>
  <c r="DJ83" i="106" s="1"/>
  <c r="DJ82" i="106" a="1"/>
  <c r="DJ82" i="106" s="1"/>
  <c r="DK80" i="106" a="1"/>
  <c r="DK80" i="106" s="1"/>
  <c r="CO82" i="106" a="1"/>
  <c r="CO82" i="106" s="1"/>
  <c r="CV80" i="106" a="1"/>
  <c r="CV80" i="106" s="1"/>
  <c r="CL83" i="106" a="1"/>
  <c r="CL83" i="106" s="1"/>
  <c r="DB80" i="106" a="1"/>
  <c r="DB80" i="106" s="1"/>
  <c r="CQ82" i="106" a="1"/>
  <c r="CQ82" i="106" s="1"/>
  <c r="DK83" i="106" a="1"/>
  <c r="DK83" i="106" s="1"/>
  <c r="CW82" i="106" a="1"/>
  <c r="CW82" i="106" s="1"/>
  <c r="DD80" i="106" a="1"/>
  <c r="DD80" i="106" s="1"/>
  <c r="CS82" i="106" a="1"/>
  <c r="CS82" i="106" s="1"/>
  <c r="DA83" i="106" a="1"/>
  <c r="DA83" i="106" s="1"/>
  <c r="CX81" i="106" a="1"/>
  <c r="CX81" i="106" s="1"/>
  <c r="CK80" i="106" a="1"/>
  <c r="CK80" i="106" s="1"/>
  <c r="CJ82" i="106" a="1"/>
  <c r="CJ82" i="106" s="1"/>
  <c r="DC83" i="106" a="1"/>
  <c r="DC83" i="106" s="1"/>
  <c r="CO81" i="106" a="1"/>
  <c r="CO81" i="106" s="1"/>
  <c r="CY83" i="106" a="1"/>
  <c r="CY83" i="106" s="1"/>
  <c r="DF81" i="106" a="1"/>
  <c r="DF81" i="106" s="1"/>
  <c r="DE83" i="106" a="1"/>
  <c r="DE83" i="106" s="1"/>
  <c r="CQ81" i="106" a="1"/>
  <c r="CQ81" i="106" s="1"/>
  <c r="CO80" i="106" a="1"/>
  <c r="CO80" i="106" s="1"/>
  <c r="CZ81" i="106" a="1"/>
  <c r="CZ81" i="106" s="1"/>
  <c r="DA81" i="106" a="1"/>
  <c r="DA81" i="106" s="1"/>
  <c r="CZ82" i="106" a="1"/>
  <c r="CZ82" i="106" s="1"/>
  <c r="CM81" i="106" a="1"/>
  <c r="CM81" i="106" s="1"/>
  <c r="CV83" i="106" a="1"/>
  <c r="CV83" i="106" s="1"/>
  <c r="CS81" i="106" a="1"/>
  <c r="CS81" i="106" s="1"/>
  <c r="DA82" i="106" a="1"/>
  <c r="DA82" i="106" s="1"/>
  <c r="CN80" i="106" a="1"/>
  <c r="CN80" i="106" s="1"/>
  <c r="DG82" i="106" a="1"/>
  <c r="DG82" i="106" s="1"/>
  <c r="CJ81" i="106" a="1"/>
  <c r="CJ81" i="106" s="1"/>
  <c r="DC82" i="106" a="1"/>
  <c r="DC82" i="106" s="1"/>
  <c r="CQ80" i="106" a="1"/>
  <c r="CQ80" i="106" s="1"/>
  <c r="CS80" i="106" a="1"/>
  <c r="CS80" i="106" s="1"/>
  <c r="DH81" i="106" a="1"/>
  <c r="DH81" i="106" s="1"/>
  <c r="CU80" i="106" a="1"/>
  <c r="CU80" i="106" s="1"/>
  <c r="DE82" i="106" a="1"/>
  <c r="DE82" i="106" s="1"/>
  <c r="CL82" i="106" a="1"/>
  <c r="CL82" i="106" s="1"/>
  <c r="CW81" i="106" a="1"/>
  <c r="CW81" i="106" s="1"/>
  <c r="DG83" i="106" a="1"/>
  <c r="DG83" i="106" s="1"/>
  <c r="DC81" i="106" a="1"/>
  <c r="DC81" i="106" s="1"/>
  <c r="DL82" i="106" a="1"/>
  <c r="DL82" i="106" s="1"/>
  <c r="CX80" i="106" a="1"/>
  <c r="CX80" i="106" s="1"/>
  <c r="CN83" i="106" a="1"/>
  <c r="CN83" i="106" s="1"/>
  <c r="DE81" i="106" a="1"/>
  <c r="DE81" i="106" s="1"/>
  <c r="CI83" i="106" a="1"/>
  <c r="CI83" i="106" s="1"/>
  <c r="CZ80" i="106" a="1"/>
  <c r="CZ80" i="106" s="1"/>
  <c r="CY82" i="106" a="1"/>
  <c r="CY82" i="106" s="1"/>
  <c r="DF80" i="106" a="1"/>
  <c r="DF80" i="106" s="1"/>
  <c r="CK83" i="106" a="1"/>
  <c r="CK83" i="106" s="1"/>
  <c r="DA80" i="106" a="1"/>
  <c r="DA80" i="106" s="1"/>
  <c r="DJ81" i="106" a="1"/>
  <c r="DJ81" i="106" s="1"/>
  <c r="CM80" i="106" a="1"/>
  <c r="CM80" i="106" s="1"/>
  <c r="CV82" i="106" a="1"/>
  <c r="CV82" i="106" s="1"/>
  <c r="DC80" i="106" a="1"/>
  <c r="DC80" i="106" s="1"/>
  <c r="DL81" i="106" a="1"/>
  <c r="DL81" i="106" s="1"/>
  <c r="CP83" i="106" a="1"/>
  <c r="CP83" i="106" s="1"/>
  <c r="DG81" i="106" a="1"/>
  <c r="DG81" i="106" s="1"/>
  <c r="CY80" i="106" a="1"/>
  <c r="CY80" i="106" s="1"/>
  <c r="CJ80" i="106" a="1"/>
  <c r="CJ80" i="106" s="1"/>
  <c r="CI82" i="106" a="1"/>
  <c r="CI82" i="106" s="1"/>
  <c r="CR83" i="106" a="1"/>
  <c r="CR83" i="106" s="1"/>
  <c r="DH80" i="106" a="1"/>
  <c r="DH80" i="106" s="1"/>
  <c r="CX83" i="106" a="1"/>
  <c r="CX83" i="106" s="1"/>
  <c r="CK82" i="106" a="1"/>
  <c r="CK82" i="106" s="1"/>
  <c r="CT83" i="106" a="1"/>
  <c r="CT83" i="106" s="1"/>
  <c r="DJ80" i="106" a="1"/>
  <c r="DJ80" i="106" s="1"/>
  <c r="DI82" i="106" a="1"/>
  <c r="DI82" i="106" s="1"/>
  <c r="CL81" i="106" a="1"/>
  <c r="CL81" i="106" s="1"/>
  <c r="CX82" i="106" a="1"/>
  <c r="CX82" i="106" s="1"/>
  <c r="CU83" i="106" a="1"/>
  <c r="CU83" i="106" s="1"/>
  <c r="DL80" i="106" a="1"/>
  <c r="DL80" i="106" s="1"/>
  <c r="CP82" i="106" a="1"/>
  <c r="CP82" i="106" s="1"/>
  <c r="CW80" i="106" a="1"/>
  <c r="CW80" i="106" s="1"/>
  <c r="CM83" i="106" a="1"/>
  <c r="CM83" i="106" s="1"/>
  <c r="CI81" i="106" a="1"/>
  <c r="CI81" i="106" s="1"/>
  <c r="CR82" i="106" a="1"/>
  <c r="CR82" i="106" s="1"/>
  <c r="DL83" i="106" a="1"/>
  <c r="DL83" i="106" s="1"/>
  <c r="CN82" i="106" a="1"/>
  <c r="CN82" i="106" s="1"/>
  <c r="DE80" i="106" a="1"/>
  <c r="DE80" i="106" s="1"/>
  <c r="CI5" i="106" a="1"/>
  <c r="CI5" i="106" s="1"/>
  <c r="DD9" i="106" a="1"/>
  <c r="DD9" i="106" s="1"/>
  <c r="CV14" i="106" a="1"/>
  <c r="CV14" i="106" s="1"/>
  <c r="CM19" i="106" a="1"/>
  <c r="CM19" i="106" s="1"/>
  <c r="CU23" i="106" a="1"/>
  <c r="CU23" i="106" s="1"/>
  <c r="CZ29" i="106" a="1"/>
  <c r="CZ29" i="106" s="1"/>
  <c r="CJ5" i="106" a="1"/>
  <c r="CJ5" i="106" s="1"/>
  <c r="DE9" i="106" a="1"/>
  <c r="DE9" i="106" s="1"/>
  <c r="CW14" i="106" a="1"/>
  <c r="CW14" i="106" s="1"/>
  <c r="CN19" i="106" a="1"/>
  <c r="CN19" i="106" s="1"/>
  <c r="CY24" i="106" a="1"/>
  <c r="CY24" i="106" s="1"/>
  <c r="CZ8" i="106" a="1"/>
  <c r="CZ8" i="106" s="1"/>
  <c r="CT13" i="106" a="1"/>
  <c r="CT13" i="106" s="1"/>
  <c r="CM18" i="106" a="1"/>
  <c r="CM18" i="106" s="1"/>
  <c r="DA22" i="106" a="1"/>
  <c r="DA22" i="106" s="1"/>
  <c r="CO6" i="106" a="1"/>
  <c r="CO6" i="106" s="1"/>
  <c r="CI11" i="106" a="1"/>
  <c r="CI11" i="106" s="1"/>
  <c r="DL15" i="106" a="1"/>
  <c r="DL15" i="106" s="1"/>
  <c r="CU21" i="106" a="1"/>
  <c r="CU21" i="106" s="1"/>
  <c r="DL25" i="106" a="1"/>
  <c r="DL25" i="106" s="1"/>
  <c r="CJ9" i="106" a="1"/>
  <c r="CJ9" i="106" s="1"/>
  <c r="DH13" i="106" a="1"/>
  <c r="DH13" i="106" s="1"/>
  <c r="CO18" i="106" a="1"/>
  <c r="CO18" i="106" s="1"/>
  <c r="CP23" i="106" a="1"/>
  <c r="CP23" i="106" s="1"/>
  <c r="CW7" i="106" a="1"/>
  <c r="CW7" i="106" s="1"/>
  <c r="CQ12" i="106" a="1"/>
  <c r="CQ12" i="106" s="1"/>
  <c r="DF16" i="106" a="1"/>
  <c r="DF16" i="106" s="1"/>
  <c r="CW21" i="106" a="1"/>
  <c r="CW21" i="106" s="1"/>
  <c r="CN5" i="106" a="1"/>
  <c r="CN5" i="106" s="1"/>
  <c r="DJ9" i="106" a="1"/>
  <c r="DJ9" i="106" s="1"/>
  <c r="DL14" i="106" a="1"/>
  <c r="DL14" i="106" s="1"/>
  <c r="CJ20" i="106" a="1"/>
  <c r="CJ20" i="106" s="1"/>
  <c r="CO5" i="106" a="1"/>
  <c r="CO5" i="106" s="1"/>
  <c r="CS10" i="106" a="1"/>
  <c r="CS10" i="106" s="1"/>
  <c r="CT15" i="106" a="1"/>
  <c r="CT15" i="106" s="1"/>
  <c r="CK20" i="106" a="1"/>
  <c r="CK20" i="106" s="1"/>
  <c r="CQ25" i="106" a="1"/>
  <c r="CQ25" i="106" s="1"/>
  <c r="CJ30" i="106" a="1"/>
  <c r="CJ30" i="106" s="1"/>
  <c r="DL5" i="106" a="1"/>
  <c r="DL5" i="106" s="1"/>
  <c r="DF10" i="106" a="1"/>
  <c r="DF10" i="106" s="1"/>
  <c r="DF15" i="106" a="1"/>
  <c r="DF15" i="106" s="1"/>
  <c r="CW20" i="106" a="1"/>
  <c r="CW20" i="106" s="1"/>
  <c r="DL24" i="106" a="1"/>
  <c r="DL24" i="106" s="1"/>
  <c r="DK28" i="106" a="1"/>
  <c r="DK28" i="106" s="1"/>
  <c r="CU6" i="106" a="1"/>
  <c r="CU6" i="106" s="1"/>
  <c r="CO11" i="106" a="1"/>
  <c r="CO11" i="106" s="1"/>
  <c r="DG15" i="106" a="1"/>
  <c r="DG15" i="106" s="1"/>
  <c r="CM20" i="106" a="1"/>
  <c r="CM20" i="106" s="1"/>
  <c r="CN24" i="106" a="1"/>
  <c r="CN24" i="106" s="1"/>
  <c r="CP9" i="106" a="1"/>
  <c r="CP9" i="106" s="1"/>
  <c r="CI14" i="106" a="1"/>
  <c r="CI14" i="106" s="1"/>
  <c r="CW19" i="106" a="1"/>
  <c r="CW19" i="106" s="1"/>
  <c r="CO24" i="106" a="1"/>
  <c r="CO24" i="106" s="1"/>
  <c r="DC28" i="106" a="1"/>
  <c r="DC28" i="106" s="1"/>
  <c r="CI33" i="106" a="1"/>
  <c r="CI33" i="106" s="1"/>
  <c r="DC9" i="106" a="1"/>
  <c r="DC9" i="106" s="1"/>
  <c r="CU14" i="106" a="1"/>
  <c r="CU14" i="106" s="1"/>
  <c r="CL19" i="106" a="1"/>
  <c r="CL19" i="106" s="1"/>
  <c r="CX24" i="106" a="1"/>
  <c r="CX24" i="106" s="1"/>
  <c r="CX28" i="106" a="1"/>
  <c r="CX28" i="106" s="1"/>
  <c r="DI34" i="106" a="1"/>
  <c r="DI34" i="106" s="1"/>
  <c r="CU40" i="106" a="1"/>
  <c r="CU40" i="106" s="1"/>
  <c r="CR26" i="106" a="1"/>
  <c r="CR26" i="106" s="1"/>
  <c r="CM33" i="106" a="1"/>
  <c r="CM33" i="106" s="1"/>
  <c r="DF37" i="106" a="1"/>
  <c r="DF37" i="106" s="1"/>
  <c r="CL43" i="106" a="1"/>
  <c r="CL43" i="106" s="1"/>
  <c r="CQ48" i="106" a="1"/>
  <c r="CQ48" i="106" s="1"/>
  <c r="DJ29" i="106" a="1"/>
  <c r="DJ29" i="106" s="1"/>
  <c r="CX35" i="106" a="1"/>
  <c r="CX35" i="106" s="1"/>
  <c r="CT41" i="106" a="1"/>
  <c r="CT41" i="106" s="1"/>
  <c r="CV29" i="106" a="1"/>
  <c r="CV29" i="106" s="1"/>
  <c r="CL36" i="106" a="1"/>
  <c r="CL36" i="106" s="1"/>
  <c r="CN40" i="106" a="1"/>
  <c r="CN40" i="106" s="1"/>
  <c r="DD45" i="106" a="1"/>
  <c r="DD45" i="106" s="1"/>
  <c r="CY32" i="106" a="1"/>
  <c r="CY32" i="106" s="1"/>
  <c r="CQ37" i="106" a="1"/>
  <c r="CQ37" i="106" s="1"/>
  <c r="DL41" i="106" a="1"/>
  <c r="DL41" i="106" s="1"/>
  <c r="CK48" i="106" a="1"/>
  <c r="CK48" i="106" s="1"/>
  <c r="CY26" i="106" a="1"/>
  <c r="CY26" i="106" s="1"/>
  <c r="CU34" i="106" a="1"/>
  <c r="CU34" i="106" s="1"/>
  <c r="CR39" i="106" a="1"/>
  <c r="CR39" i="106" s="1"/>
  <c r="CM44" i="106" a="1"/>
  <c r="CM44" i="106" s="1"/>
  <c r="DA29" i="106" a="1"/>
  <c r="DA29" i="106" s="1"/>
  <c r="CW36" i="106" a="1"/>
  <c r="CW36" i="106" s="1"/>
  <c r="CY40" i="106" a="1"/>
  <c r="CY40" i="106" s="1"/>
  <c r="DG44" i="106" a="1"/>
  <c r="DG44" i="106" s="1"/>
  <c r="CT5" i="106" a="1"/>
  <c r="CT5" i="106" s="1"/>
  <c r="CL10" i="106" a="1"/>
  <c r="CL10" i="106" s="1"/>
  <c r="DG14" i="106" a="1"/>
  <c r="DG14" i="106" s="1"/>
  <c r="CX19" i="106" a="1"/>
  <c r="CX19" i="106" s="1"/>
  <c r="DC23" i="106" a="1"/>
  <c r="DC23" i="106" s="1"/>
  <c r="DI29" i="106" a="1"/>
  <c r="DI29" i="106" s="1"/>
  <c r="CU5" i="106" a="1"/>
  <c r="CU5" i="106" s="1"/>
  <c r="CM10" i="106" a="1"/>
  <c r="CM10" i="106" s="1"/>
  <c r="DH14" i="106" a="1"/>
  <c r="DH14" i="106" s="1"/>
  <c r="CY19" i="106" a="1"/>
  <c r="CY19" i="106" s="1"/>
  <c r="DG24" i="106" a="1"/>
  <c r="DG24" i="106" s="1"/>
  <c r="DL8" i="106" a="1"/>
  <c r="DL8" i="106" s="1"/>
  <c r="DF13" i="106" a="1"/>
  <c r="DF13" i="106" s="1"/>
  <c r="CX18" i="106" a="1"/>
  <c r="CX18" i="106" s="1"/>
  <c r="CN23" i="106" a="1"/>
  <c r="CN23" i="106" s="1"/>
  <c r="DA6" i="106" a="1"/>
  <c r="DA6" i="106" s="1"/>
  <c r="CU11" i="106" a="1"/>
  <c r="CU11" i="106" s="1"/>
  <c r="CS16" i="106" a="1"/>
  <c r="CS16" i="106" s="1"/>
  <c r="DF21" i="106" a="1"/>
  <c r="DF21" i="106" s="1"/>
  <c r="CQ26" i="106" a="1"/>
  <c r="CQ26" i="106" s="1"/>
  <c r="CV9" i="106" a="1"/>
  <c r="CV9" i="106" s="1"/>
  <c r="CO14" i="106" a="1"/>
  <c r="CO14" i="106" s="1"/>
  <c r="CZ18" i="106" a="1"/>
  <c r="CZ18" i="106" s="1"/>
  <c r="CX23" i="106" a="1"/>
  <c r="CX23" i="106" s="1"/>
  <c r="DI7" i="106" a="1"/>
  <c r="DI7" i="106" s="1"/>
  <c r="DC12" i="106" a="1"/>
  <c r="DC12" i="106" s="1"/>
  <c r="CM17" i="106" a="1"/>
  <c r="CM17" i="106" s="1"/>
  <c r="DH21" i="106" a="1"/>
  <c r="DH21" i="106" s="1"/>
  <c r="CZ5" i="106" a="1"/>
  <c r="CZ5" i="106" s="1"/>
  <c r="CR10" i="106" a="1"/>
  <c r="CR10" i="106" s="1"/>
  <c r="CS15" i="106" a="1"/>
  <c r="CS15" i="106" s="1"/>
  <c r="CU20" i="106" a="1"/>
  <c r="CU20" i="106" s="1"/>
  <c r="DK5" i="106" a="1"/>
  <c r="DK5" i="106" s="1"/>
  <c r="DE10" i="106" a="1"/>
  <c r="DE10" i="106" s="1"/>
  <c r="DE15" i="106" a="1"/>
  <c r="DE15" i="106" s="1"/>
  <c r="CV20" i="106" a="1"/>
  <c r="CV20" i="106" s="1"/>
  <c r="CY25" i="106" a="1"/>
  <c r="CY25" i="106" s="1"/>
  <c r="CS30" i="106" a="1"/>
  <c r="CS30" i="106" s="1"/>
  <c r="CT6" i="106" a="1"/>
  <c r="CT6" i="106" s="1"/>
  <c r="CN11" i="106" a="1"/>
  <c r="CN11" i="106" s="1"/>
  <c r="CM16" i="106" a="1"/>
  <c r="CM16" i="106" s="1"/>
  <c r="DH20" i="106" a="1"/>
  <c r="DH20" i="106" s="1"/>
  <c r="CR25" i="106" a="1"/>
  <c r="CR25" i="106" s="1"/>
  <c r="CP29" i="106" a="1"/>
  <c r="CP29" i="106" s="1"/>
  <c r="DG6" i="106" a="1"/>
  <c r="DG6" i="106" s="1"/>
  <c r="DA11" i="106" a="1"/>
  <c r="DA11" i="106" s="1"/>
  <c r="CN16" i="106" a="1"/>
  <c r="CN16" i="106" s="1"/>
  <c r="CX20" i="106" a="1"/>
  <c r="CX20" i="106" s="1"/>
  <c r="CI25" i="106" a="1"/>
  <c r="CI25" i="106" s="1"/>
  <c r="DB9" i="106" a="1"/>
  <c r="DB9" i="106" s="1"/>
  <c r="CT14" i="106" a="1"/>
  <c r="CT14" i="106" s="1"/>
  <c r="DG19" i="106" a="1"/>
  <c r="DG19" i="106" s="1"/>
  <c r="CW24" i="106" a="1"/>
  <c r="CW24" i="106" s="1"/>
  <c r="DL28" i="106" a="1"/>
  <c r="DL28" i="106" s="1"/>
  <c r="CS5" i="106" a="1"/>
  <c r="CS5" i="106" s="1"/>
  <c r="CK10" i="106" a="1"/>
  <c r="CK10" i="106" s="1"/>
  <c r="DF14" i="106" a="1"/>
  <c r="DF14" i="106" s="1"/>
  <c r="DH19" i="106" a="1"/>
  <c r="DH19" i="106" s="1"/>
  <c r="CK25" i="106" a="1"/>
  <c r="CK25" i="106" s="1"/>
  <c r="CT29" i="106" a="1"/>
  <c r="CT29" i="106" s="1"/>
  <c r="CN35" i="106" a="1"/>
  <c r="CN35" i="106" s="1"/>
  <c r="DC40" i="106" a="1"/>
  <c r="DC40" i="106" s="1"/>
  <c r="CQ27" i="106" a="1"/>
  <c r="CQ27" i="106" s="1"/>
  <c r="CV33" i="106" a="1"/>
  <c r="CV33" i="106" s="1"/>
  <c r="CS38" i="106" a="1"/>
  <c r="CS38" i="106" s="1"/>
  <c r="DE43" i="106" a="1"/>
  <c r="DE43" i="106" s="1"/>
  <c r="DE5" i="106" a="1"/>
  <c r="DE5" i="106" s="1"/>
  <c r="CX10" i="106" a="1"/>
  <c r="CX10" i="106" s="1"/>
  <c r="CM15" i="106" a="1"/>
  <c r="CM15" i="106" s="1"/>
  <c r="DI19" i="106" a="1"/>
  <c r="DI19" i="106" s="1"/>
  <c r="CP24" i="106" a="1"/>
  <c r="CP24" i="106" s="1"/>
  <c r="CN30" i="106" a="1"/>
  <c r="CN30" i="106" s="1"/>
  <c r="DF5" i="106" a="1"/>
  <c r="DF5" i="106" s="1"/>
  <c r="CY10" i="106" a="1"/>
  <c r="CY10" i="106" s="1"/>
  <c r="CN15" i="106" a="1"/>
  <c r="CN15" i="106" s="1"/>
  <c r="CQ20" i="106" a="1"/>
  <c r="CQ20" i="106" s="1"/>
  <c r="CU25" i="106" a="1"/>
  <c r="CU25" i="106" s="1"/>
  <c r="CT9" i="106" a="1"/>
  <c r="CT9" i="106" s="1"/>
  <c r="CM14" i="106" a="1"/>
  <c r="CM14" i="106" s="1"/>
  <c r="DI18" i="106" a="1"/>
  <c r="DI18" i="106" s="1"/>
  <c r="CV23" i="106" a="1"/>
  <c r="CV23" i="106" s="1"/>
  <c r="CI7" i="106" a="1"/>
  <c r="CI7" i="106" s="1"/>
  <c r="DG11" i="106" a="1"/>
  <c r="DG11" i="106" s="1"/>
  <c r="DD16" i="106" a="1"/>
  <c r="DD16" i="106" s="1"/>
  <c r="CL22" i="106" a="1"/>
  <c r="CL22" i="106" s="1"/>
  <c r="CL5" i="106" a="1"/>
  <c r="CL5" i="106" s="1"/>
  <c r="DH9" i="106" a="1"/>
  <c r="DH9" i="106" s="1"/>
  <c r="CZ14" i="106" a="1"/>
  <c r="CZ14" i="106" s="1"/>
  <c r="DJ18" i="106" a="1"/>
  <c r="DJ18" i="106" s="1"/>
  <c r="CK24" i="106" a="1"/>
  <c r="CK24" i="106" s="1"/>
  <c r="CQ8" i="106" a="1"/>
  <c r="CQ8" i="106" s="1"/>
  <c r="CK13" i="106" a="1"/>
  <c r="CK13" i="106" s="1"/>
  <c r="DI17" i="106" a="1"/>
  <c r="DI17" i="106" s="1"/>
  <c r="CM22" i="106" a="1"/>
  <c r="CM22" i="106" s="1"/>
  <c r="DJ5" i="106" a="1"/>
  <c r="DJ5" i="106" s="1"/>
  <c r="DD10" i="106" a="1"/>
  <c r="DD10" i="106" s="1"/>
  <c r="DD15" i="106" a="1"/>
  <c r="DD15" i="106" s="1"/>
  <c r="DF20" i="106" a="1"/>
  <c r="DF20" i="106" s="1"/>
  <c r="CS6" i="106" a="1"/>
  <c r="CS6" i="106" s="1"/>
  <c r="CM11" i="106" a="1"/>
  <c r="CM11" i="106" s="1"/>
  <c r="CL16" i="106" a="1"/>
  <c r="CL16" i="106" s="1"/>
  <c r="DG20" i="106" a="1"/>
  <c r="DG20" i="106" s="1"/>
  <c r="DG25" i="106" a="1"/>
  <c r="DG25" i="106" s="1"/>
  <c r="DJ30" i="106" a="1"/>
  <c r="DJ30" i="106" s="1"/>
  <c r="DF6" i="106" a="1"/>
  <c r="DF6" i="106" s="1"/>
  <c r="CZ11" i="106" a="1"/>
  <c r="CZ11" i="106" s="1"/>
  <c r="CX16" i="106" a="1"/>
  <c r="CX16" i="106" s="1"/>
  <c r="CO21" i="106" a="1"/>
  <c r="CO21" i="106" s="1"/>
  <c r="CL26" i="106" a="1"/>
  <c r="CL26" i="106" s="1"/>
  <c r="CX29" i="106" a="1"/>
  <c r="CX29" i="106" s="1"/>
  <c r="CO7" i="106" a="1"/>
  <c r="CO7" i="106" s="1"/>
  <c r="CI12" i="106" a="1"/>
  <c r="CI12" i="106" s="1"/>
  <c r="CY16" i="106" a="1"/>
  <c r="CY16" i="106" s="1"/>
  <c r="DI20" i="106" a="1"/>
  <c r="DI20" i="106" s="1"/>
  <c r="CR5" i="106" a="1"/>
  <c r="CR5" i="106" s="1"/>
  <c r="CJ10" i="106" a="1"/>
  <c r="CJ10" i="106" s="1"/>
  <c r="DE14" i="106" a="1"/>
  <c r="DE14" i="106" s="1"/>
  <c r="CN20" i="106" a="1"/>
  <c r="CN20" i="106" s="1"/>
  <c r="DE24" i="106" a="1"/>
  <c r="DE24" i="106" s="1"/>
  <c r="CQ29" i="106" a="1"/>
  <c r="CQ29" i="106" s="1"/>
  <c r="DD5" i="106" a="1"/>
  <c r="DD5" i="106" s="1"/>
  <c r="CW10" i="106" a="1"/>
  <c r="CW10" i="106" s="1"/>
  <c r="CL15" i="106" a="1"/>
  <c r="CL15" i="106" s="1"/>
  <c r="CO20" i="106" a="1"/>
  <c r="CO20" i="106" s="1"/>
  <c r="DB25" i="106" a="1"/>
  <c r="DB25" i="106" s="1"/>
  <c r="DF29" i="106" a="1"/>
  <c r="DF29" i="106" s="1"/>
  <c r="CV35" i="106" a="1"/>
  <c r="CV35" i="106" s="1"/>
  <c r="CI41" i="106" a="1"/>
  <c r="CI41" i="106" s="1"/>
  <c r="DD27" i="106" a="1"/>
  <c r="DD27" i="106" s="1"/>
  <c r="CZ34" i="106" a="1"/>
  <c r="CZ34" i="106" s="1"/>
  <c r="DB38" i="106" a="1"/>
  <c r="DB38" i="106" s="1"/>
  <c r="DC44" i="106" a="1"/>
  <c r="DC44" i="106" s="1"/>
  <c r="DH48" i="106" a="1"/>
  <c r="DH48" i="106" s="1"/>
  <c r="CL6" i="106" a="1"/>
  <c r="CL6" i="106" s="1"/>
  <c r="DJ10" i="106" a="1"/>
  <c r="DJ10" i="106" s="1"/>
  <c r="CX15" i="106" a="1"/>
  <c r="CX15" i="106" s="1"/>
  <c r="CP20" i="106" a="1"/>
  <c r="CP20" i="106" s="1"/>
  <c r="DF24" i="106" a="1"/>
  <c r="DF24" i="106" s="1"/>
  <c r="CW30" i="106" a="1"/>
  <c r="CW30" i="106" s="1"/>
  <c r="CM6" i="106" a="1"/>
  <c r="CM6" i="106" s="1"/>
  <c r="DK10" i="106" a="1"/>
  <c r="DK10" i="106" s="1"/>
  <c r="CY15" i="106" a="1"/>
  <c r="CY15" i="106" s="1"/>
  <c r="DB20" i="106" a="1"/>
  <c r="DB20" i="106" s="1"/>
  <c r="DC25" i="106" a="1"/>
  <c r="DC25" i="106" s="1"/>
  <c r="DF9" i="106" a="1"/>
  <c r="DF9" i="106" s="1"/>
  <c r="CX14" i="106" a="1"/>
  <c r="CX14" i="106" s="1"/>
  <c r="CO19" i="106" a="1"/>
  <c r="CO19" i="106" s="1"/>
  <c r="CI24" i="106" a="1"/>
  <c r="CI24" i="106" s="1"/>
  <c r="CU7" i="106" a="1"/>
  <c r="CU7" i="106" s="1"/>
  <c r="CO12" i="106" a="1"/>
  <c r="CO12" i="106" s="1"/>
  <c r="CV17" i="106" a="1"/>
  <c r="CV17" i="106" s="1"/>
  <c r="DB22" i="106" a="1"/>
  <c r="DB22" i="106" s="1"/>
  <c r="CX5" i="106" a="1"/>
  <c r="CX5" i="106" s="1"/>
  <c r="CP10" i="106" a="1"/>
  <c r="CP10" i="106" s="1"/>
  <c r="DJ14" i="106" a="1"/>
  <c r="DJ14" i="106" s="1"/>
  <c r="CQ19" i="106" a="1"/>
  <c r="CQ19" i="106" s="1"/>
  <c r="CS24" i="106" a="1"/>
  <c r="CS24" i="106" s="1"/>
  <c r="DC8" i="106" a="1"/>
  <c r="DC8" i="106" s="1"/>
  <c r="CW13" i="106" a="1"/>
  <c r="CW13" i="106" s="1"/>
  <c r="CP18" i="106" a="1"/>
  <c r="CP18" i="106" s="1"/>
  <c r="CU22" i="106" a="1"/>
  <c r="CU22" i="106" s="1"/>
  <c r="CR6" i="106" a="1"/>
  <c r="CR6" i="106" s="1"/>
  <c r="CL11" i="106" a="1"/>
  <c r="CL11" i="106" s="1"/>
  <c r="CK16" i="106" a="1"/>
  <c r="CK16" i="106" s="1"/>
  <c r="CM21" i="106" a="1"/>
  <c r="CM21" i="106" s="1"/>
  <c r="DE6" i="106" a="1"/>
  <c r="DE6" i="106" s="1"/>
  <c r="CY11" i="106" a="1"/>
  <c r="CY11" i="106" s="1"/>
  <c r="CW16" i="106" a="1"/>
  <c r="CW16" i="106" s="1"/>
  <c r="CN21" i="106" a="1"/>
  <c r="CN21" i="106" s="1"/>
  <c r="CK26" i="106" a="1"/>
  <c r="CK26" i="106" s="1"/>
  <c r="CN31" i="106" a="1"/>
  <c r="CN31" i="106" s="1"/>
  <c r="CN7" i="106" a="1"/>
  <c r="CN7" i="106" s="1"/>
  <c r="DL11" i="106" a="1"/>
  <c r="DL11" i="106" s="1"/>
  <c r="DI16" i="106" a="1"/>
  <c r="DI16" i="106" s="1"/>
  <c r="CY21" i="106" a="1"/>
  <c r="CY21" i="106" s="1"/>
  <c r="CT26" i="106" a="1"/>
  <c r="CT26" i="106" s="1"/>
  <c r="CK30" i="106" a="1"/>
  <c r="CK30" i="106" s="1"/>
  <c r="DA7" i="106" a="1"/>
  <c r="DA7" i="106" s="1"/>
  <c r="CU12" i="106" a="1"/>
  <c r="CU12" i="106" s="1"/>
  <c r="DJ16" i="106" a="1"/>
  <c r="DJ16" i="106" s="1"/>
  <c r="CP21" i="106" a="1"/>
  <c r="CP21" i="106" s="1"/>
  <c r="DC5" i="106" a="1"/>
  <c r="DC5" i="106" s="1"/>
  <c r="CV10" i="106" a="1"/>
  <c r="CV10" i="106" s="1"/>
  <c r="CW15" i="106" a="1"/>
  <c r="CW15" i="106" s="1"/>
  <c r="CY20" i="106" a="1"/>
  <c r="CY20" i="106" s="1"/>
  <c r="CJ25" i="106" a="1"/>
  <c r="CJ25" i="106" s="1"/>
  <c r="CY29" i="106" a="1"/>
  <c r="CY29" i="106" s="1"/>
  <c r="CK6" i="106" a="1"/>
  <c r="CK6" i="106" s="1"/>
  <c r="DI10" i="106" a="1"/>
  <c r="DI10" i="106" s="1"/>
  <c r="DI15" i="106" a="1"/>
  <c r="DI15" i="106" s="1"/>
  <c r="CZ20" i="106" a="1"/>
  <c r="CZ20" i="106" s="1"/>
  <c r="DJ25" i="106" a="1"/>
  <c r="DJ25" i="106" s="1"/>
  <c r="CP30" i="106" a="1"/>
  <c r="CP30" i="106" s="1"/>
  <c r="CI36" i="106" a="1"/>
  <c r="CI36" i="106" s="1"/>
  <c r="CR41" i="106" a="1"/>
  <c r="CR41" i="106" s="1"/>
  <c r="CM28" i="106" a="1"/>
  <c r="CM28" i="106" s="1"/>
  <c r="DJ34" i="106" a="1"/>
  <c r="DJ34" i="106" s="1"/>
  <c r="DK38" i="106" a="1"/>
  <c r="DK38" i="106" s="1"/>
  <c r="CI45" i="106" a="1"/>
  <c r="CI45" i="106" s="1"/>
  <c r="CN49" i="106" a="1"/>
  <c r="CN49" i="106" s="1"/>
  <c r="CI32" i="106" a="1"/>
  <c r="CI32" i="106" s="1"/>
  <c r="DB36" i="106" a="1"/>
  <c r="DB36" i="106" s="1"/>
  <c r="CZ42" i="106" a="1"/>
  <c r="CZ42" i="106" s="1"/>
  <c r="CJ32" i="106" a="1"/>
  <c r="CJ32" i="106" s="1"/>
  <c r="DK36" i="106" a="1"/>
  <c r="DK36" i="106" s="1"/>
  <c r="DC41" i="106" a="1"/>
  <c r="DC41" i="106" s="1"/>
  <c r="DG27" i="106" a="1"/>
  <c r="DG27" i="106" s="1"/>
  <c r="CT34" i="106" a="1"/>
  <c r="CT34" i="106" s="1"/>
  <c r="CU38" i="106" a="1"/>
  <c r="CU38" i="106" s="1"/>
  <c r="CW43" i="106" a="1"/>
  <c r="CW43" i="106" s="1"/>
  <c r="CP49" i="106" a="1"/>
  <c r="CP49" i="106" s="1"/>
  <c r="DH27" i="106" a="1"/>
  <c r="DH27" i="106" s="1"/>
  <c r="CR35" i="106" a="1"/>
  <c r="CR35" i="106" s="1"/>
  <c r="DG40" i="106" a="1"/>
  <c r="DG40" i="106" s="1"/>
  <c r="CU45" i="106" a="1"/>
  <c r="CU45" i="106" s="1"/>
  <c r="DE31" i="106" a="1"/>
  <c r="DE31" i="106" s="1"/>
  <c r="CS37" i="106" a="1"/>
  <c r="CS37" i="106" s="1"/>
  <c r="CW41" i="106" a="1"/>
  <c r="CW41" i="106" s="1"/>
  <c r="CX6" i="106" a="1"/>
  <c r="CX6" i="106" s="1"/>
  <c r="CR11" i="106" a="1"/>
  <c r="CR11" i="106" s="1"/>
  <c r="CQ16" i="106" a="1"/>
  <c r="CQ16" i="106" s="1"/>
  <c r="DA20" i="106" a="1"/>
  <c r="DA20" i="106" s="1"/>
  <c r="CL25" i="106" a="1"/>
  <c r="CL25" i="106" s="1"/>
  <c r="DE30" i="106" a="1"/>
  <c r="DE30" i="106" s="1"/>
  <c r="CY6" i="106" a="1"/>
  <c r="CY6" i="106" s="1"/>
  <c r="CS11" i="106" a="1"/>
  <c r="CS11" i="106" s="1"/>
  <c r="DJ15" i="106" a="1"/>
  <c r="DJ15" i="106" s="1"/>
  <c r="CI21" i="106" a="1"/>
  <c r="CI21" i="106" s="1"/>
  <c r="CV5" i="106" a="1"/>
  <c r="CV5" i="106" s="1"/>
  <c r="CN10" i="106" a="1"/>
  <c r="CN10" i="106" s="1"/>
  <c r="DI14" i="106" a="1"/>
  <c r="DI14" i="106" s="1"/>
  <c r="CZ19" i="106" a="1"/>
  <c r="CZ19" i="106" s="1"/>
  <c r="CR24" i="106" a="1"/>
  <c r="CR24" i="106" s="1"/>
  <c r="DG7" i="106" a="1"/>
  <c r="DG7" i="106" s="1"/>
  <c r="DA12" i="106" a="1"/>
  <c r="DA12" i="106" s="1"/>
  <c r="DG17" i="106" a="1"/>
  <c r="DG17" i="106" s="1"/>
  <c r="DK22" i="106" a="1"/>
  <c r="DK22" i="106" s="1"/>
  <c r="DI5" i="106" a="1"/>
  <c r="DI5" i="106" s="1"/>
  <c r="DB10" i="106" a="1"/>
  <c r="DB10" i="106" s="1"/>
  <c r="CQ15" i="106" a="1"/>
  <c r="CQ15" i="106" s="1"/>
  <c r="DB19" i="106" a="1"/>
  <c r="DB19" i="106" s="1"/>
  <c r="DA24" i="106" a="1"/>
  <c r="DA24" i="106" s="1"/>
  <c r="CK9" i="106" a="1"/>
  <c r="CK9" i="106" s="1"/>
  <c r="DI13" i="106" a="1"/>
  <c r="DI13" i="106" s="1"/>
  <c r="DA18" i="106" a="1"/>
  <c r="DA18" i="106" s="1"/>
  <c r="DD22" i="106" a="1"/>
  <c r="DD22" i="106" s="1"/>
  <c r="DD6" i="106" a="1"/>
  <c r="DD6" i="106" s="1"/>
  <c r="CX11" i="106" a="1"/>
  <c r="CX11" i="106" s="1"/>
  <c r="CV16" i="106" a="1"/>
  <c r="CV16" i="106" s="1"/>
  <c r="DI21" i="106" a="1"/>
  <c r="DI21" i="106" s="1"/>
  <c r="CM7" i="106" a="1"/>
  <c r="CM7" i="106" s="1"/>
  <c r="DK11" i="106" a="1"/>
  <c r="DK11" i="106" s="1"/>
  <c r="DH16" i="106" a="1"/>
  <c r="DH16" i="106" s="1"/>
  <c r="CX21" i="106" a="1"/>
  <c r="CX21" i="106" s="1"/>
  <c r="DB26" i="106" a="1"/>
  <c r="DB26" i="106" s="1"/>
  <c r="CX31" i="106" a="1"/>
  <c r="CX31" i="106" s="1"/>
  <c r="CZ7" i="106" a="1"/>
  <c r="CZ7" i="106" s="1"/>
  <c r="CT12" i="106" a="1"/>
  <c r="CT12" i="106" s="1"/>
  <c r="CP17" i="106" a="1"/>
  <c r="CP17" i="106" s="1"/>
  <c r="DJ21" i="106" a="1"/>
  <c r="DJ21" i="106" s="1"/>
  <c r="DC26" i="106" a="1"/>
  <c r="DC26" i="106" s="1"/>
  <c r="CT30" i="106" a="1"/>
  <c r="CT30" i="106" s="1"/>
  <c r="CI8" i="106" a="1"/>
  <c r="CI8" i="106" s="1"/>
  <c r="DG12" i="106" a="1"/>
  <c r="DG12" i="106" s="1"/>
  <c r="CQ17" i="106" a="1"/>
  <c r="CQ17" i="106" s="1"/>
  <c r="CZ21" i="106" a="1"/>
  <c r="CZ21" i="106" s="1"/>
  <c r="CJ6" i="106" a="1"/>
  <c r="CJ6" i="106" s="1"/>
  <c r="DH10" i="106" a="1"/>
  <c r="DH10" i="106" s="1"/>
  <c r="DH15" i="106" a="1"/>
  <c r="DH15" i="106" s="1"/>
  <c r="DJ20" i="106" a="1"/>
  <c r="DJ20" i="106" s="1"/>
  <c r="CS25" i="106" a="1"/>
  <c r="CS25" i="106" s="1"/>
  <c r="DG29" i="106" a="1"/>
  <c r="DG29" i="106" s="1"/>
  <c r="CW6" i="106" a="1"/>
  <c r="CW6" i="106" s="1"/>
  <c r="CQ11" i="106" a="1"/>
  <c r="CQ11" i="106" s="1"/>
  <c r="CP16" i="106" a="1"/>
  <c r="CP16" i="106" s="1"/>
  <c r="DK20" i="106" a="1"/>
  <c r="DK20" i="106" s="1"/>
  <c r="CW26" i="106" a="1"/>
  <c r="CW26" i="106" s="1"/>
  <c r="DC30" i="106" a="1"/>
  <c r="DC30" i="106" s="1"/>
  <c r="DA36" i="106" a="1"/>
  <c r="DA36" i="106" s="1"/>
  <c r="DA41" i="106" a="1"/>
  <c r="DA41" i="106" s="1"/>
  <c r="CI29" i="106" a="1"/>
  <c r="CI29" i="106" s="1"/>
  <c r="CO35" i="106" a="1"/>
  <c r="CO35" i="106" s="1"/>
  <c r="CO39" i="106" a="1"/>
  <c r="CO39" i="106" s="1"/>
  <c r="DB45" i="106" a="1"/>
  <c r="DB45" i="106" s="1"/>
  <c r="CW49" i="106" a="1"/>
  <c r="CW49" i="106" s="1"/>
  <c r="CV32" i="106" a="1"/>
  <c r="CV32" i="106" s="1"/>
  <c r="CO37" i="106" a="1"/>
  <c r="CO37" i="106" s="1"/>
  <c r="CV43" i="106" a="1"/>
  <c r="CV43" i="106" s="1"/>
  <c r="CX32" i="106" a="1"/>
  <c r="CX32" i="106" s="1"/>
  <c r="CP37" i="106" a="1"/>
  <c r="CP37" i="106" s="1"/>
  <c r="CQ42" i="106" a="1"/>
  <c r="CQ42" i="106" s="1"/>
  <c r="DB28" i="106" a="1"/>
  <c r="DB28" i="106" s="1"/>
  <c r="DC34" i="106" a="1"/>
  <c r="DC34" i="106" s="1"/>
  <c r="CI39" i="106" a="1"/>
  <c r="CI39" i="106" s="1"/>
  <c r="CV44" i="106" a="1"/>
  <c r="CV44" i="106" s="1"/>
  <c r="DC50" i="106" a="1"/>
  <c r="DC50" i="106" s="1"/>
  <c r="CP28" i="106" a="1"/>
  <c r="CP28" i="106" s="1"/>
  <c r="DH35" i="106" a="1"/>
  <c r="DH35" i="106" s="1"/>
  <c r="CL41" i="106" a="1"/>
  <c r="CL41" i="106" s="1"/>
  <c r="DE45" i="106" a="1"/>
  <c r="DE45" i="106" s="1"/>
  <c r="CN32" i="106" a="1"/>
  <c r="CN32" i="106" s="1"/>
  <c r="DB37" i="106" a="1"/>
  <c r="DB37" i="106" s="1"/>
  <c r="DE41" i="106" a="1"/>
  <c r="DE41" i="106" s="1"/>
  <c r="CK46" i="106" a="1"/>
  <c r="CK46" i="106" s="1"/>
  <c r="CV27" i="106" a="1"/>
  <c r="CV27" i="106" s="1"/>
  <c r="DJ33" i="106" a="1"/>
  <c r="DJ33" i="106" s="1"/>
  <c r="DJ6" i="106" a="1"/>
  <c r="DJ6" i="106" s="1"/>
  <c r="DD11" i="106" a="1"/>
  <c r="DD11" i="106" s="1"/>
  <c r="DB16" i="106" a="1"/>
  <c r="DB16" i="106" s="1"/>
  <c r="DL20" i="106" a="1"/>
  <c r="DL20" i="106" s="1"/>
  <c r="CT25" i="106" a="1"/>
  <c r="CT25" i="106" s="1"/>
  <c r="CI31" i="106" a="1"/>
  <c r="CI31" i="106" s="1"/>
  <c r="DK6" i="106" a="1"/>
  <c r="DK6" i="106" s="1"/>
  <c r="DE11" i="106" a="1"/>
  <c r="DE11" i="106" s="1"/>
  <c r="DC16" i="106" a="1"/>
  <c r="DC16" i="106" s="1"/>
  <c r="CS21" i="106" a="1"/>
  <c r="CS21" i="106" s="1"/>
  <c r="DG5" i="106" a="1"/>
  <c r="DG5" i="106" s="1"/>
  <c r="CZ10" i="106" a="1"/>
  <c r="CZ10" i="106" s="1"/>
  <c r="CO15" i="106" a="1"/>
  <c r="CO15" i="106" s="1"/>
  <c r="DJ19" i="106" a="1"/>
  <c r="DJ19" i="106" s="1"/>
  <c r="DH24" i="106" a="1"/>
  <c r="DH24" i="106" s="1"/>
  <c r="CO8" i="106" a="1"/>
  <c r="CO8" i="106" s="1"/>
  <c r="CI13" i="106" a="1"/>
  <c r="CI13" i="106" s="1"/>
  <c r="CN18" i="106" a="1"/>
  <c r="CN18" i="106" s="1"/>
  <c r="CO23" i="106" a="1"/>
  <c r="CO23" i="106" s="1"/>
  <c r="CP6" i="106" a="1"/>
  <c r="CP6" i="106" s="1"/>
  <c r="CJ11" i="106" a="1"/>
  <c r="CJ11" i="106" s="1"/>
  <c r="DB15" i="106" a="1"/>
  <c r="DB15" i="106" s="1"/>
  <c r="DL19" i="106" a="1"/>
  <c r="DL19" i="106" s="1"/>
  <c r="DJ24" i="106" a="1"/>
  <c r="DJ24" i="106" s="1"/>
  <c r="CW9" i="106" a="1"/>
  <c r="CW9" i="106" s="1"/>
  <c r="CP14" i="106" a="1"/>
  <c r="CP14" i="106" s="1"/>
  <c r="DK18" i="106" a="1"/>
  <c r="DK18" i="106" s="1"/>
  <c r="DL22" i="106" a="1"/>
  <c r="DL22" i="106" s="1"/>
  <c r="CL7" i="106" a="1"/>
  <c r="CL7" i="106" s="1"/>
  <c r="DJ11" i="106" a="1"/>
  <c r="DJ11" i="106" s="1"/>
  <c r="DG16" i="106" a="1"/>
  <c r="DG16" i="106" s="1"/>
  <c r="CV22" i="106" a="1"/>
  <c r="CV22" i="106" s="1"/>
  <c r="CY7" i="106" a="1"/>
  <c r="CY7" i="106" s="1"/>
  <c r="CS12" i="106" a="1"/>
  <c r="CS12" i="106" s="1"/>
  <c r="CO17" i="106" a="1"/>
  <c r="CO17" i="106" s="1"/>
  <c r="CN22" i="106" a="1"/>
  <c r="CN22" i="106" s="1"/>
  <c r="CN27" i="106" a="1"/>
  <c r="CN27" i="106" s="1"/>
  <c r="DF31" i="106" a="1"/>
  <c r="DF31" i="106" s="1"/>
  <c r="DL7" i="106" a="1"/>
  <c r="DL7" i="106" s="1"/>
  <c r="DF12" i="106" a="1"/>
  <c r="DF12" i="106" s="1"/>
  <c r="CZ17" i="106" a="1"/>
  <c r="CZ17" i="106" s="1"/>
  <c r="CO22" i="106" a="1"/>
  <c r="CO22" i="106" s="1"/>
  <c r="DK26" i="106" a="1"/>
  <c r="DK26" i="106" s="1"/>
  <c r="DB30" i="106" a="1"/>
  <c r="DB30" i="106" s="1"/>
  <c r="CU8" i="106" a="1"/>
  <c r="CU8" i="106" s="1"/>
  <c r="CO13" i="106" a="1"/>
  <c r="CO13" i="106" s="1"/>
  <c r="DA17" i="106" a="1"/>
  <c r="DA17" i="106" s="1"/>
  <c r="DK21" i="106" a="1"/>
  <c r="DK21" i="106" s="1"/>
  <c r="CV6" i="106" a="1"/>
  <c r="CV6" i="106" s="1"/>
  <c r="CP11" i="106" a="1"/>
  <c r="CP11" i="106" s="1"/>
  <c r="CO16" i="106" a="1"/>
  <c r="CO16" i="106" s="1"/>
  <c r="CQ21" i="106" a="1"/>
  <c r="CQ21" i="106" s="1"/>
  <c r="DA25" i="106" a="1"/>
  <c r="DA25" i="106" s="1"/>
  <c r="CM30" i="106" a="1"/>
  <c r="CM30" i="106" s="1"/>
  <c r="DI6" i="106" a="1"/>
  <c r="DI6" i="106" s="1"/>
  <c r="DC11" i="106" a="1"/>
  <c r="DC11" i="106" s="1"/>
  <c r="DA16" i="106" a="1"/>
  <c r="DA16" i="106" s="1"/>
  <c r="DB21" i="106" a="1"/>
  <c r="DB21" i="106" s="1"/>
  <c r="DE26" i="106" a="1"/>
  <c r="DE26" i="106" s="1"/>
  <c r="CL31" i="106" a="1"/>
  <c r="CL31" i="106" s="1"/>
  <c r="DI36" i="106" a="1"/>
  <c r="DI36" i="106" s="1"/>
  <c r="DJ41" i="106" a="1"/>
  <c r="DJ41" i="106" s="1"/>
  <c r="CU29" i="106" a="1"/>
  <c r="CU29" i="106" s="1"/>
  <c r="CW35" i="106" a="1"/>
  <c r="CW35" i="106" s="1"/>
  <c r="CX39" i="106" a="1"/>
  <c r="CX39" i="106" s="1"/>
  <c r="DK45" i="106" a="1"/>
  <c r="DK45" i="106" s="1"/>
  <c r="DG49" i="106" a="1"/>
  <c r="DG49" i="106" s="1"/>
  <c r="CR7" i="106" a="1"/>
  <c r="CR7" i="106" s="1"/>
  <c r="CL12" i="106" a="1"/>
  <c r="CL12" i="106" s="1"/>
  <c r="CI17" i="106" a="1"/>
  <c r="CI17" i="106" s="1"/>
  <c r="CR21" i="106" a="1"/>
  <c r="CR21" i="106" s="1"/>
  <c r="CN26" i="106" a="1"/>
  <c r="CN26" i="106" s="1"/>
  <c r="CS31" i="106" a="1"/>
  <c r="CS31" i="106" s="1"/>
  <c r="CS7" i="106" a="1"/>
  <c r="CS7" i="106" s="1"/>
  <c r="CM12" i="106" a="1"/>
  <c r="CM12" i="106" s="1"/>
  <c r="CJ17" i="106" a="1"/>
  <c r="CJ17" i="106" s="1"/>
  <c r="DD21" i="106" a="1"/>
  <c r="DD21" i="106" s="1"/>
  <c r="CN6" i="106" a="1"/>
  <c r="CN6" i="106" s="1"/>
  <c r="DL10" i="106" a="1"/>
  <c r="DL10" i="106" s="1"/>
  <c r="CZ15" i="106" a="1"/>
  <c r="CZ15" i="106" s="1"/>
  <c r="DC20" i="106" a="1"/>
  <c r="DC20" i="106" s="1"/>
  <c r="CM25" i="106" a="1"/>
  <c r="CM25" i="106" s="1"/>
  <c r="DA8" i="106" a="1"/>
  <c r="DA8" i="106" s="1"/>
  <c r="CU13" i="106" a="1"/>
  <c r="CU13" i="106" s="1"/>
  <c r="CY18" i="106" a="1"/>
  <c r="CY18" i="106" s="1"/>
  <c r="CW23" i="106" a="1"/>
  <c r="CW23" i="106" s="1"/>
  <c r="DB6" i="106" a="1"/>
  <c r="DB6" i="106" s="1"/>
  <c r="CV11" i="106" a="1"/>
  <c r="CV11" i="106" s="1"/>
  <c r="CI16" i="106" a="1"/>
  <c r="CI16" i="106" s="1"/>
  <c r="CS20" i="106" a="1"/>
  <c r="CS20" i="106" s="1"/>
  <c r="CN25" i="106" a="1"/>
  <c r="CN25" i="106" s="1"/>
  <c r="DI9" i="106" a="1"/>
  <c r="DI9" i="106" s="1"/>
  <c r="DA14" i="106" a="1"/>
  <c r="DA14" i="106" s="1"/>
  <c r="CR19" i="106" a="1"/>
  <c r="CR19" i="106" s="1"/>
  <c r="DF23" i="106" a="1"/>
  <c r="DF23" i="106" s="1"/>
  <c r="CX7" i="106" a="1"/>
  <c r="CX7" i="106" s="1"/>
  <c r="CR12" i="106" a="1"/>
  <c r="CR12" i="106" s="1"/>
  <c r="CN17" i="106" a="1"/>
  <c r="CN17" i="106" s="1"/>
  <c r="CI23" i="106" a="1"/>
  <c r="CI23" i="106" s="1"/>
  <c r="DK7" i="106" a="1"/>
  <c r="DK7" i="106" s="1"/>
  <c r="DE12" i="106" a="1"/>
  <c r="DE12" i="106" s="1"/>
  <c r="CY17" i="106" a="1"/>
  <c r="CY17" i="106" s="1"/>
  <c r="DE22" i="106" a="1"/>
  <c r="DE22" i="106" s="1"/>
  <c r="CW27" i="106" a="1"/>
  <c r="CW27" i="106" s="1"/>
  <c r="CS32" i="106" a="1"/>
  <c r="CS32" i="106" s="1"/>
  <c r="CT8" i="106" a="1"/>
  <c r="CT8" i="106" s="1"/>
  <c r="CN13" i="106" a="1"/>
  <c r="CN13" i="106" s="1"/>
  <c r="DK17" i="106" a="1"/>
  <c r="DK17" i="106" s="1"/>
  <c r="CW22" i="106" a="1"/>
  <c r="CW22" i="106" s="1"/>
  <c r="CO27" i="106" a="1"/>
  <c r="CO27" i="106" s="1"/>
  <c r="CO31" i="106" a="1"/>
  <c r="CO31" i="106" s="1"/>
  <c r="DG8" i="106" a="1"/>
  <c r="DG8" i="106" s="1"/>
  <c r="DA13" i="106" a="1"/>
  <c r="DA13" i="106" s="1"/>
  <c r="DL17" i="106" a="1"/>
  <c r="DL17" i="106" s="1"/>
  <c r="CX22" i="106" a="1"/>
  <c r="CX22" i="106" s="1"/>
  <c r="DH6" i="106" a="1"/>
  <c r="DH6" i="106" s="1"/>
  <c r="DB11" i="106" a="1"/>
  <c r="DB11" i="106" s="1"/>
  <c r="CZ16" i="106" a="1"/>
  <c r="CZ16" i="106" s="1"/>
  <c r="DA21" i="106" a="1"/>
  <c r="DA21" i="106" s="1"/>
  <c r="DI25" i="106" a="1"/>
  <c r="DI25" i="106" s="1"/>
  <c r="CV30" i="106" a="1"/>
  <c r="CV30" i="106" s="1"/>
  <c r="CQ7" i="106" a="1"/>
  <c r="CQ7" i="106" s="1"/>
  <c r="CK12" i="106" a="1"/>
  <c r="CK12" i="106" s="1"/>
  <c r="DL16" i="106" a="1"/>
  <c r="DL16" i="106" s="1"/>
  <c r="CI22" i="106" a="1"/>
  <c r="CI22" i="106" s="1"/>
  <c r="CP25" i="106" a="1"/>
  <c r="CP25" i="106" s="1"/>
  <c r="CY31" i="106" a="1"/>
  <c r="CY31" i="106" s="1"/>
  <c r="CW37" i="106" a="1"/>
  <c r="CW37" i="106" s="1"/>
  <c r="CO42" i="106" a="1"/>
  <c r="CO42" i="106" s="1"/>
  <c r="DH29" i="106" a="1"/>
  <c r="DH29" i="106" s="1"/>
  <c r="DE35" i="106" a="1"/>
  <c r="DE35" i="106" s="1"/>
  <c r="DG39" i="106" a="1"/>
  <c r="DG39" i="106" s="1"/>
  <c r="DD7" i="106" a="1"/>
  <c r="DD7" i="106" s="1"/>
  <c r="CX12" i="106" a="1"/>
  <c r="CX12" i="106" s="1"/>
  <c r="CS17" i="106" a="1"/>
  <c r="CS17" i="106" s="1"/>
  <c r="DC21" i="106" a="1"/>
  <c r="DC21" i="106" s="1"/>
  <c r="CX26" i="106" a="1"/>
  <c r="CX26" i="106" s="1"/>
  <c r="DB31" i="106" a="1"/>
  <c r="DB31" i="106" s="1"/>
  <c r="DE7" i="106" a="1"/>
  <c r="DE7" i="106" s="1"/>
  <c r="CY12" i="106" a="1"/>
  <c r="CY12" i="106" s="1"/>
  <c r="CT17" i="106" a="1"/>
  <c r="CT17" i="106" s="1"/>
  <c r="CZ22" i="106" a="1"/>
  <c r="CZ22" i="106" s="1"/>
  <c r="CZ6" i="106" a="1"/>
  <c r="CZ6" i="106" s="1"/>
  <c r="CT11" i="106" a="1"/>
  <c r="CT11" i="106" s="1"/>
  <c r="DK15" i="106" a="1"/>
  <c r="DK15" i="106" s="1"/>
  <c r="CJ21" i="106" a="1"/>
  <c r="CJ21" i="106" s="1"/>
  <c r="DD25" i="106" a="1"/>
  <c r="DD25" i="106" s="1"/>
  <c r="CI9" i="106" a="1"/>
  <c r="CI9" i="106" s="1"/>
  <c r="DG13" i="106" a="1"/>
  <c r="DG13" i="106" s="1"/>
  <c r="CP19" i="106" a="1"/>
  <c r="CP19" i="106" s="1"/>
  <c r="DE23" i="106" a="1"/>
  <c r="DE23" i="106" s="1"/>
  <c r="CJ7" i="106" a="1"/>
  <c r="CJ7" i="106" s="1"/>
  <c r="DH11" i="106" a="1"/>
  <c r="DH11" i="106" s="1"/>
  <c r="CT16" i="106" a="1"/>
  <c r="CT16" i="106" s="1"/>
  <c r="DD20" i="106" a="1"/>
  <c r="DD20" i="106" s="1"/>
  <c r="CM5" i="106" a="1"/>
  <c r="CM5" i="106" s="1"/>
  <c r="CQ10" i="106" a="1"/>
  <c r="CQ10" i="106" s="1"/>
  <c r="DK14" i="106" a="1"/>
  <c r="DK14" i="106" s="1"/>
  <c r="DC19" i="106" a="1"/>
  <c r="DC19" i="106" s="1"/>
  <c r="CL24" i="106" a="1"/>
  <c r="CL24" i="106" s="1"/>
  <c r="DJ7" i="106" a="1"/>
  <c r="DJ7" i="106" s="1"/>
  <c r="DD12" i="106" a="1"/>
  <c r="DD12" i="106" s="1"/>
  <c r="CX17" i="106" a="1"/>
  <c r="CX17" i="106" s="1"/>
  <c r="CQ23" i="106" a="1"/>
  <c r="CQ23" i="106" s="1"/>
  <c r="CS8" i="106" a="1"/>
  <c r="CS8" i="106" s="1"/>
  <c r="CM13" i="106" a="1"/>
  <c r="CM13" i="106" s="1"/>
  <c r="DJ17" i="106" a="1"/>
  <c r="DJ17" i="106" s="1"/>
  <c r="CR23" i="106" a="1"/>
  <c r="CR23" i="106" s="1"/>
  <c r="CZ28" i="106" a="1"/>
  <c r="CZ28" i="106" s="1"/>
  <c r="DB32" i="106" a="1"/>
  <c r="DB32" i="106" s="1"/>
  <c r="DF8" i="106" a="1"/>
  <c r="DF8" i="106" s="1"/>
  <c r="CZ13" i="106" a="1"/>
  <c r="CZ13" i="106" s="1"/>
  <c r="CR18" i="106" a="1"/>
  <c r="CR18" i="106" s="1"/>
  <c r="CJ23" i="106" a="1"/>
  <c r="CJ23" i="106" s="1"/>
  <c r="CX27" i="106" a="1"/>
  <c r="CX27" i="106" s="1"/>
  <c r="DG31" i="106" a="1"/>
  <c r="DG31" i="106" s="1"/>
  <c r="CO9" i="106" a="1"/>
  <c r="CO9" i="106" s="1"/>
  <c r="DL13" i="106" a="1"/>
  <c r="DL13" i="106" s="1"/>
  <c r="CS18" i="106" a="1"/>
  <c r="CS18" i="106" s="1"/>
  <c r="DF22" i="106" a="1"/>
  <c r="DF22" i="106" s="1"/>
  <c r="CP7" i="106" a="1"/>
  <c r="CP7" i="106" s="1"/>
  <c r="CJ12" i="106" a="1"/>
  <c r="CJ12" i="106" s="1"/>
  <c r="DK16" i="106" a="1"/>
  <c r="DK16" i="106" s="1"/>
  <c r="DL21" i="106" a="1"/>
  <c r="DL21" i="106" s="1"/>
  <c r="CM26" i="106" a="1"/>
  <c r="CM26" i="106" s="1"/>
  <c r="DD30" i="106" a="1"/>
  <c r="DD30" i="106" s="1"/>
  <c r="DC7" i="106" a="1"/>
  <c r="DC7" i="106" s="1"/>
  <c r="CW12" i="106" a="1"/>
  <c r="CW12" i="106" s="1"/>
  <c r="CR17" i="106" a="1"/>
  <c r="CR17" i="106" s="1"/>
  <c r="CQ22" i="106" a="1"/>
  <c r="CQ22" i="106" s="1"/>
  <c r="CO26" i="106" a="1"/>
  <c r="CO26" i="106" s="1"/>
  <c r="DG32" i="106" a="1"/>
  <c r="DG32" i="106" s="1"/>
  <c r="CJ38" i="106" a="1"/>
  <c r="CJ38" i="106" s="1"/>
  <c r="CY42" i="106" a="1"/>
  <c r="CY42" i="106" s="1"/>
  <c r="CQ30" i="106" a="1"/>
  <c r="CQ30" i="106" s="1"/>
  <c r="CJ36" i="106" a="1"/>
  <c r="CJ36" i="106" s="1"/>
  <c r="CV40" i="106" a="1"/>
  <c r="CV40" i="106" s="1"/>
  <c r="DA46" i="106" a="1"/>
  <c r="DA46" i="106" s="1"/>
  <c r="CS26" i="106" a="1"/>
  <c r="CS26" i="106" s="1"/>
  <c r="CK34" i="106" a="1"/>
  <c r="CK34" i="106" s="1"/>
  <c r="DC38" i="106" a="1"/>
  <c r="DC38" i="106" s="1"/>
  <c r="DJ26" i="106" a="1"/>
  <c r="DJ26" i="106" s="1"/>
  <c r="CX33" i="106" a="1"/>
  <c r="CX33" i="106" s="1"/>
  <c r="CT38" i="106" a="1"/>
  <c r="CT38" i="106" s="1"/>
  <c r="CM43" i="106" a="1"/>
  <c r="CM43" i="106" s="1"/>
  <c r="CU30" i="106" a="1"/>
  <c r="CU30" i="106" s="1"/>
  <c r="CY35" i="106" a="1"/>
  <c r="CY35" i="106" s="1"/>
  <c r="CO40" i="106" a="1"/>
  <c r="CO40" i="106" s="1"/>
  <c r="CT45" i="106" a="1"/>
  <c r="CT45" i="106" s="1"/>
  <c r="DJ51" i="106" a="1"/>
  <c r="DJ51" i="106" s="1"/>
  <c r="CL8" i="106" a="1"/>
  <c r="CL8" i="106" s="1"/>
  <c r="DJ12" i="106" a="1"/>
  <c r="DJ12" i="106" s="1"/>
  <c r="DD17" i="106" a="1"/>
  <c r="DD17" i="106" s="1"/>
  <c r="CJ22" i="106" a="1"/>
  <c r="CJ22" i="106" s="1"/>
  <c r="CR27" i="106" a="1"/>
  <c r="CR27" i="106" s="1"/>
  <c r="DJ31" i="106" a="1"/>
  <c r="DJ31" i="106" s="1"/>
  <c r="CM8" i="106" a="1"/>
  <c r="CM8" i="106" s="1"/>
  <c r="DK12" i="106" a="1"/>
  <c r="DK12" i="106" s="1"/>
  <c r="DE17" i="106" a="1"/>
  <c r="DE17" i="106" s="1"/>
  <c r="DJ22" i="106" a="1"/>
  <c r="DJ22" i="106" s="1"/>
  <c r="DL6" i="106" a="1"/>
  <c r="DL6" i="106" s="1"/>
  <c r="DF11" i="106" a="1"/>
  <c r="DF11" i="106" s="1"/>
  <c r="CR16" i="106" a="1"/>
  <c r="CR16" i="106" s="1"/>
  <c r="CT21" i="106" a="1"/>
  <c r="CT21" i="106" s="1"/>
  <c r="CP26" i="106" a="1"/>
  <c r="CP26" i="106" s="1"/>
  <c r="CU9" i="106" a="1"/>
  <c r="CU9" i="106" s="1"/>
  <c r="CN14" i="106" a="1"/>
  <c r="CN14" i="106" s="1"/>
  <c r="DA19" i="106" a="1"/>
  <c r="DA19" i="106" s="1"/>
  <c r="CJ24" i="106" a="1"/>
  <c r="CJ24" i="106" s="1"/>
  <c r="CV7" i="106" a="1"/>
  <c r="CV7" i="106" s="1"/>
  <c r="CP12" i="106" a="1"/>
  <c r="CP12" i="106" s="1"/>
  <c r="DE16" i="106" a="1"/>
  <c r="DE16" i="106" s="1"/>
  <c r="CV21" i="106" a="1"/>
  <c r="CV21" i="106" s="1"/>
  <c r="CY5" i="106" a="1"/>
  <c r="CY5" i="106" s="1"/>
  <c r="DC10" i="106" a="1"/>
  <c r="DC10" i="106" s="1"/>
  <c r="CR15" i="106" a="1"/>
  <c r="CR15" i="106" s="1"/>
  <c r="CI20" i="106" a="1"/>
  <c r="CI20" i="106" s="1"/>
  <c r="CO25" i="106" a="1"/>
  <c r="CO25" i="106" s="1"/>
  <c r="CR8" i="106" a="1"/>
  <c r="CR8" i="106" s="1"/>
  <c r="CL13" i="106" a="1"/>
  <c r="CL13" i="106" s="1"/>
  <c r="CQ18" i="106" a="1"/>
  <c r="CQ18" i="106" s="1"/>
  <c r="CY23" i="106" a="1"/>
  <c r="CY23" i="106" s="1"/>
  <c r="DE8" i="106" a="1"/>
  <c r="DE8" i="106" s="1"/>
  <c r="CY13" i="106" a="1"/>
  <c r="CY13" i="106" s="1"/>
  <c r="DC18" i="106" a="1"/>
  <c r="DC18" i="106" s="1"/>
  <c r="DH23" i="106" a="1"/>
  <c r="DH23" i="106" s="1"/>
  <c r="DJ28" i="106" a="1"/>
  <c r="DJ28" i="106" s="1"/>
  <c r="DK32" i="106" a="1"/>
  <c r="DK32" i="106" s="1"/>
  <c r="CN9" i="106" a="1"/>
  <c r="CN9" i="106" s="1"/>
  <c r="DK13" i="106" a="1"/>
  <c r="DK13" i="106" s="1"/>
  <c r="CJ19" i="106" a="1"/>
  <c r="CJ19" i="106" s="1"/>
  <c r="CZ23" i="106" a="1"/>
  <c r="CZ23" i="106" s="1"/>
  <c r="DF27" i="106" a="1"/>
  <c r="DF27" i="106" s="1"/>
  <c r="CK32" i="106" a="1"/>
  <c r="CK32" i="106" s="1"/>
  <c r="DA9" i="106" a="1"/>
  <c r="DA9" i="106" s="1"/>
  <c r="CS14" i="106" a="1"/>
  <c r="CS14" i="106" s="1"/>
  <c r="DD18" i="106" a="1"/>
  <c r="DD18" i="106" s="1"/>
  <c r="CK23" i="106" a="1"/>
  <c r="CK23" i="106" s="1"/>
  <c r="DB7" i="106" a="1"/>
  <c r="DB7" i="106" s="1"/>
  <c r="CV12" i="106" a="1"/>
  <c r="CV12" i="106" s="1"/>
  <c r="DB17" i="106" a="1"/>
  <c r="DB17" i="106" s="1"/>
  <c r="CP22" i="106" a="1"/>
  <c r="CP22" i="106" s="1"/>
  <c r="CV26" i="106" a="1"/>
  <c r="CV26" i="106" s="1"/>
  <c r="CQ31" i="106" a="1"/>
  <c r="CQ31" i="106" s="1"/>
  <c r="CK8" i="106" a="1"/>
  <c r="CK8" i="106" s="1"/>
  <c r="DI12" i="106" a="1"/>
  <c r="DI12" i="106" s="1"/>
  <c r="DC17" i="106" a="1"/>
  <c r="DC17" i="106" s="1"/>
  <c r="CY22" i="106" a="1"/>
  <c r="CY22" i="106" s="1"/>
  <c r="DH26" i="106" a="1"/>
  <c r="DH26" i="106" s="1"/>
  <c r="CU33" i="106" a="1"/>
  <c r="CU33" i="106" s="1"/>
  <c r="CN39" i="106" a="1"/>
  <c r="CN39" i="106" s="1"/>
  <c r="CK43" i="106" a="1"/>
  <c r="CK43" i="106" s="1"/>
  <c r="DA31" i="106" a="1"/>
  <c r="DA31" i="106" s="1"/>
  <c r="CS36" i="106" a="1"/>
  <c r="CS36" i="106" s="1"/>
  <c r="DD40" i="106" a="1"/>
  <c r="DD40" i="106" s="1"/>
  <c r="DJ46" i="106" a="1"/>
  <c r="DJ46" i="106" s="1"/>
  <c r="DI26" i="106" a="1"/>
  <c r="DI26" i="106" s="1"/>
  <c r="CX8" i="106" a="1"/>
  <c r="CX8" i="106" s="1"/>
  <c r="CR13" i="106" a="1"/>
  <c r="CR13" i="106" s="1"/>
  <c r="CK18" i="106" a="1"/>
  <c r="CK18" i="106" s="1"/>
  <c r="CR22" i="106" a="1"/>
  <c r="CR22" i="106" s="1"/>
  <c r="CZ27" i="106" a="1"/>
  <c r="CZ27" i="106" s="1"/>
  <c r="CW32" i="106" a="1"/>
  <c r="CW32" i="106" s="1"/>
  <c r="CY8" i="106" a="1"/>
  <c r="CY8" i="106" s="1"/>
  <c r="CS13" i="106" a="1"/>
  <c r="CS13" i="106" s="1"/>
  <c r="CL18" i="106" a="1"/>
  <c r="CL18" i="106" s="1"/>
  <c r="DD23" i="106" a="1"/>
  <c r="DD23" i="106" s="1"/>
  <c r="CT7" i="106" a="1"/>
  <c r="CT7" i="106" s="1"/>
  <c r="CN12" i="106" a="1"/>
  <c r="CN12" i="106" s="1"/>
  <c r="CK17" i="106" a="1"/>
  <c r="CK17" i="106" s="1"/>
  <c r="DE21" i="106" a="1"/>
  <c r="DE21" i="106" s="1"/>
  <c r="CK5" i="106" a="1"/>
  <c r="CK5" i="106" s="1"/>
  <c r="DG9" i="106" a="1"/>
  <c r="DG9" i="106" s="1"/>
  <c r="CY14" i="106" a="1"/>
  <c r="CY14" i="106" s="1"/>
  <c r="DK19" i="106" a="1"/>
  <c r="DK19" i="106" s="1"/>
  <c r="CZ24" i="106" a="1"/>
  <c r="CZ24" i="106" s="1"/>
  <c r="DH7" i="106" a="1"/>
  <c r="DH7" i="106" s="1"/>
  <c r="DB12" i="106" a="1"/>
  <c r="DB12" i="106" s="1"/>
  <c r="CL17" i="106" a="1"/>
  <c r="CL17" i="106" s="1"/>
  <c r="DG21" i="106" a="1"/>
  <c r="DG21" i="106" s="1"/>
  <c r="CQ6" i="106" a="1"/>
  <c r="CQ6" i="106" s="1"/>
  <c r="CK11" i="106" a="1"/>
  <c r="CK11" i="106" s="1"/>
  <c r="DC15" i="106" a="1"/>
  <c r="DC15" i="106" s="1"/>
  <c r="CT20" i="106" a="1"/>
  <c r="CT20" i="106" s="1"/>
  <c r="CX25" i="106" a="1"/>
  <c r="CX25" i="106" s="1"/>
  <c r="DD8" i="106" a="1"/>
  <c r="DD8" i="106" s="1"/>
  <c r="CX13" i="106" a="1"/>
  <c r="CX13" i="106" s="1"/>
  <c r="DB18" i="106" a="1"/>
  <c r="DB18" i="106" s="1"/>
  <c r="DG23" i="106" a="1"/>
  <c r="DG23" i="106" s="1"/>
  <c r="CM9" i="106" a="1"/>
  <c r="CM9" i="106" s="1"/>
  <c r="DJ13" i="106" a="1"/>
  <c r="DJ13" i="106" s="1"/>
  <c r="CI19" i="106" a="1"/>
  <c r="CI19" i="106" s="1"/>
  <c r="CM24" i="106" a="1"/>
  <c r="CM24" i="106" s="1"/>
  <c r="CO29" i="106" a="1"/>
  <c r="CO29" i="106" s="1"/>
  <c r="CO33" i="106" a="1"/>
  <c r="CO33" i="106" s="1"/>
  <c r="CZ9" i="106" a="1"/>
  <c r="CZ9" i="106" s="1"/>
  <c r="CR14" i="106" a="1"/>
  <c r="CR14" i="106" s="1"/>
  <c r="CU19" i="106" a="1"/>
  <c r="CU19" i="106" s="1"/>
  <c r="DI23" i="106" a="1"/>
  <c r="DI23" i="106" s="1"/>
  <c r="CK28" i="106" a="1"/>
  <c r="CK28" i="106" s="1"/>
  <c r="CQ5" i="106" a="1"/>
  <c r="CQ5" i="106" s="1"/>
  <c r="CI10" i="106" a="1"/>
  <c r="CI10" i="106" s="1"/>
  <c r="DD14" i="106" a="1"/>
  <c r="DD14" i="106" s="1"/>
  <c r="CK19" i="106" a="1"/>
  <c r="CK19" i="106" s="1"/>
  <c r="CS23" i="106" a="1"/>
  <c r="CS23" i="106" s="1"/>
  <c r="CJ8" i="106" a="1"/>
  <c r="CJ8" i="106" s="1"/>
  <c r="DH12" i="106" a="1"/>
  <c r="DH12" i="106" s="1"/>
  <c r="CI18" i="106" a="1"/>
  <c r="CI18" i="106" s="1"/>
  <c r="DG22" i="106" a="1"/>
  <c r="DG22" i="106" s="1"/>
  <c r="DL26" i="106" a="1"/>
  <c r="DL26" i="106" s="1"/>
  <c r="CZ31" i="106" a="1"/>
  <c r="CZ31" i="106" s="1"/>
  <c r="CW8" i="106" a="1"/>
  <c r="CW8" i="106" s="1"/>
  <c r="CQ13" i="106" a="1"/>
  <c r="CQ13" i="106" s="1"/>
  <c r="CJ18" i="106" a="1"/>
  <c r="CJ18" i="106" s="1"/>
  <c r="DH22" i="106" a="1"/>
  <c r="DH22" i="106" s="1"/>
  <c r="CP27" i="106" a="1"/>
  <c r="CP27" i="106" s="1"/>
  <c r="DE33" i="106" a="1"/>
  <c r="DE33" i="106" s="1"/>
  <c r="CW39" i="106" a="1"/>
  <c r="CW39" i="106" s="1"/>
  <c r="CU43" i="106" a="1"/>
  <c r="CU43" i="106" s="1"/>
  <c r="DL31" i="106" a="1"/>
  <c r="DL31" i="106" s="1"/>
  <c r="DJ36" i="106" a="1"/>
  <c r="DJ36" i="106" s="1"/>
  <c r="DJ8" i="106" a="1"/>
  <c r="DJ8" i="106" s="1"/>
  <c r="DD13" i="106" a="1"/>
  <c r="DD13" i="106" s="1"/>
  <c r="CV18" i="106" a="1"/>
  <c r="CV18" i="106" s="1"/>
  <c r="DI22" i="106" a="1"/>
  <c r="DI22" i="106" s="1"/>
  <c r="DI27" i="106" a="1"/>
  <c r="DI27" i="106" s="1"/>
  <c r="DF32" i="106" a="1"/>
  <c r="DF32" i="106" s="1"/>
  <c r="DK8" i="106" a="1"/>
  <c r="DK8" i="106" s="1"/>
  <c r="DE13" i="106" a="1"/>
  <c r="DE13" i="106" s="1"/>
  <c r="CW18" i="106" a="1"/>
  <c r="CW18" i="106" s="1"/>
  <c r="DL23" i="106" a="1"/>
  <c r="DL23" i="106" s="1"/>
  <c r="DF7" i="106" a="1"/>
  <c r="DF7" i="106" s="1"/>
  <c r="CZ12" i="106" a="1"/>
  <c r="CZ12" i="106" s="1"/>
  <c r="CU17" i="106" a="1"/>
  <c r="CU17" i="106" s="1"/>
  <c r="CK22" i="106" a="1"/>
  <c r="CK22" i="106" s="1"/>
  <c r="CW5" i="106" a="1"/>
  <c r="CW5" i="106" s="1"/>
  <c r="CO10" i="106" a="1"/>
  <c r="CO10" i="106" s="1"/>
  <c r="CP15" i="106" a="1"/>
  <c r="CP15" i="106" s="1"/>
  <c r="CR20" i="106" a="1"/>
  <c r="CR20" i="106" s="1"/>
  <c r="DI24" i="106" a="1"/>
  <c r="DI24" i="106" s="1"/>
  <c r="CP8" i="106" a="1"/>
  <c r="CP8" i="106" s="1"/>
  <c r="CJ13" i="106" a="1"/>
  <c r="CJ13" i="106" s="1"/>
  <c r="CW17" i="106" a="1"/>
  <c r="CW17" i="106" s="1"/>
  <c r="CT22" i="106" a="1"/>
  <c r="CT22" i="106" s="1"/>
  <c r="DC6" i="106" a="1"/>
  <c r="DC6" i="106" s="1"/>
  <c r="CW11" i="106" a="1"/>
  <c r="CW11" i="106" s="1"/>
  <c r="CJ16" i="106" a="1"/>
  <c r="CJ16" i="106" s="1"/>
  <c r="DE20" i="106" a="1"/>
  <c r="DE20" i="106" s="1"/>
  <c r="CJ26" i="106" a="1"/>
  <c r="CJ26" i="106" s="1"/>
  <c r="CL9" i="106" a="1"/>
  <c r="CL9" i="106" s="1"/>
  <c r="CQ14" i="106" a="1"/>
  <c r="CQ14" i="106" s="1"/>
  <c r="DL18" i="106" a="1"/>
  <c r="DL18" i="106" s="1"/>
  <c r="CT24" i="106" a="1"/>
  <c r="CT24" i="106" s="1"/>
  <c r="CY9" i="106" a="1"/>
  <c r="CY9" i="106" s="1"/>
  <c r="DC14" i="106" a="1"/>
  <c r="DC14" i="106" s="1"/>
  <c r="CT19" i="106" a="1"/>
  <c r="CT19" i="106" s="1"/>
  <c r="CU24" i="106" a="1"/>
  <c r="CU24" i="106" s="1"/>
  <c r="CW29" i="106" a="1"/>
  <c r="CW29" i="106" s="1"/>
  <c r="CP5" i="106" a="1"/>
  <c r="CP5" i="106" s="1"/>
  <c r="DL9" i="106" a="1"/>
  <c r="DL9" i="106" s="1"/>
  <c r="CJ15" i="106" a="1"/>
  <c r="CJ15" i="106" s="1"/>
  <c r="DE19" i="106" a="1"/>
  <c r="DE19" i="106" s="1"/>
  <c r="CV24" i="106" a="1"/>
  <c r="CV24" i="106" s="1"/>
  <c r="CS28" i="106" a="1"/>
  <c r="CS28" i="106" s="1"/>
  <c r="DB5" i="106" a="1"/>
  <c r="DB5" i="106" s="1"/>
  <c r="CU10" i="106" a="1"/>
  <c r="CU10" i="106" s="1"/>
  <c r="CK15" i="106" a="1"/>
  <c r="CK15" i="106" s="1"/>
  <c r="CV19" i="106" a="1"/>
  <c r="CV19" i="106" s="1"/>
  <c r="DA23" i="106" a="1"/>
  <c r="DA23" i="106" s="1"/>
  <c r="CV8" i="106" a="1"/>
  <c r="CV8" i="106" s="1"/>
  <c r="CP13" i="106" a="1"/>
  <c r="CP13" i="106" s="1"/>
  <c r="CT18" i="106" a="1"/>
  <c r="CT18" i="106" s="1"/>
  <c r="CL23" i="106" a="1"/>
  <c r="CL23" i="106" s="1"/>
  <c r="CY27" i="106" a="1"/>
  <c r="CY27" i="106" s="1"/>
  <c r="DH31" i="106" a="1"/>
  <c r="DH31" i="106" s="1"/>
  <c r="DI8" i="106" a="1"/>
  <c r="DI8" i="106" s="1"/>
  <c r="DC13" i="106" a="1"/>
  <c r="DC13" i="106" s="1"/>
  <c r="CU18" i="106" a="1"/>
  <c r="CU18" i="106" s="1"/>
  <c r="CT23" i="106" a="1"/>
  <c r="CT23" i="106" s="1"/>
  <c r="DC27" i="106" a="1"/>
  <c r="DC27" i="106" s="1"/>
  <c r="CJ34" i="106" a="1"/>
  <c r="CJ34" i="106" s="1"/>
  <c r="DF39" i="106" a="1"/>
  <c r="DF39" i="106" s="1"/>
  <c r="DD43" i="106" a="1"/>
  <c r="DD43" i="106" s="1"/>
  <c r="CT32" i="106" a="1"/>
  <c r="CT32" i="106" s="1"/>
  <c r="CN37" i="106" a="1"/>
  <c r="CN37" i="106" s="1"/>
  <c r="DB41" i="106" a="1"/>
  <c r="DB41" i="106" s="1"/>
  <c r="DE47" i="106" a="1"/>
  <c r="DE47" i="106" s="1"/>
  <c r="CR9" i="106" a="1"/>
  <c r="CR9" i="106" s="1"/>
  <c r="CK14" i="106" a="1"/>
  <c r="CK14" i="106" s="1"/>
  <c r="DG18" i="106" a="1"/>
  <c r="DG18" i="106" s="1"/>
  <c r="CM23" i="106" a="1"/>
  <c r="CM23" i="106" s="1"/>
  <c r="CV28" i="106" a="1"/>
  <c r="CV28" i="106" s="1"/>
  <c r="CI4" i="106" a="1"/>
  <c r="CI4" i="106" s="1"/>
  <c r="CS9" i="106" a="1"/>
  <c r="CS9" i="106" s="1"/>
  <c r="CL14" i="106" a="1"/>
  <c r="CL14" i="106" s="1"/>
  <c r="DH18" i="106" a="1"/>
  <c r="DH18" i="106" s="1"/>
  <c r="CQ24" i="106" a="1"/>
  <c r="CQ24" i="106" s="1"/>
  <c r="CN8" i="106" a="1"/>
  <c r="CN8" i="106" s="1"/>
  <c r="DL12" i="106" a="1"/>
  <c r="DL12" i="106" s="1"/>
  <c r="DF17" i="106" a="1"/>
  <c r="DF17" i="106" s="1"/>
  <c r="CS22" i="106" a="1"/>
  <c r="CS22" i="106" s="1"/>
  <c r="DH5" i="106" a="1"/>
  <c r="DH5" i="106" s="1"/>
  <c r="DA10" i="106" a="1"/>
  <c r="DA10" i="106" s="1"/>
  <c r="DA15" i="106" a="1"/>
  <c r="DA15" i="106" s="1"/>
  <c r="CK21" i="106" a="1"/>
  <c r="CK21" i="106" s="1"/>
  <c r="CV25" i="106" a="1"/>
  <c r="CV25" i="106" s="1"/>
  <c r="DB8" i="106" a="1"/>
  <c r="DB8" i="106" s="1"/>
  <c r="CV13" i="106" a="1"/>
  <c r="CV13" i="106" s="1"/>
  <c r="DH17" i="106" a="1"/>
  <c r="DH17" i="106" s="1"/>
  <c r="DC22" i="106" a="1"/>
  <c r="DC22" i="106" s="1"/>
  <c r="CK7" i="106" a="1"/>
  <c r="CK7" i="106" s="1"/>
  <c r="DI11" i="106" a="1"/>
  <c r="DI11" i="106" s="1"/>
  <c r="CU16" i="106" a="1"/>
  <c r="CU16" i="106" s="1"/>
  <c r="CL21" i="106" a="1"/>
  <c r="CL21" i="106" s="1"/>
  <c r="DA26" i="106" a="1"/>
  <c r="DA26" i="106" s="1"/>
  <c r="CX9" i="106" a="1"/>
  <c r="CX9" i="106" s="1"/>
  <c r="DB14" i="106" a="1"/>
  <c r="DB14" i="106" s="1"/>
  <c r="CS19" i="106" a="1"/>
  <c r="CS19" i="106" s="1"/>
  <c r="DB24" i="106" a="1"/>
  <c r="DB24" i="106" s="1"/>
  <c r="DK9" i="106" a="1"/>
  <c r="DK9" i="106" s="1"/>
  <c r="CI15" i="106" a="1"/>
  <c r="CI15" i="106" s="1"/>
  <c r="DD19" i="106" a="1"/>
  <c r="DD19" i="106" s="1"/>
  <c r="DC24" i="106" a="1"/>
  <c r="DC24" i="106" s="1"/>
  <c r="DE29" i="106" a="1"/>
  <c r="DE29" i="106" s="1"/>
  <c r="DA5" i="106" a="1"/>
  <c r="DA5" i="106" s="1"/>
  <c r="CT10" i="106" a="1"/>
  <c r="CT10" i="106" s="1"/>
  <c r="CU15" i="106" a="1"/>
  <c r="CU15" i="106" s="1"/>
  <c r="CL20" i="106" a="1"/>
  <c r="CL20" i="106" s="1"/>
  <c r="DD24" i="106" a="1"/>
  <c r="DD24" i="106" s="1"/>
  <c r="DA28" i="106" a="1"/>
  <c r="DA28" i="106" s="1"/>
  <c r="CI6" i="106" a="1"/>
  <c r="CI6" i="106" s="1"/>
  <c r="DG10" i="106" a="1"/>
  <c r="DG10" i="106" s="1"/>
  <c r="CV15" i="106" a="1"/>
  <c r="CV15" i="106" s="1"/>
  <c r="DF19" i="106" a="1"/>
  <c r="DF19" i="106" s="1"/>
  <c r="DJ23" i="106" a="1"/>
  <c r="DJ23" i="106" s="1"/>
  <c r="DH8" i="106" a="1"/>
  <c r="DH8" i="106" s="1"/>
  <c r="DB13" i="106" a="1"/>
  <c r="DB13" i="106" s="1"/>
  <c r="DE18" i="106" a="1"/>
  <c r="DE18" i="106" s="1"/>
  <c r="DB23" i="106" a="1"/>
  <c r="DB23" i="106" s="1"/>
  <c r="CT28" i="106" a="1"/>
  <c r="CT28" i="106" s="1"/>
  <c r="CU32" i="106" a="1"/>
  <c r="CU32" i="106" s="1"/>
  <c r="CQ9" i="106" a="1"/>
  <c r="CQ9" i="106" s="1"/>
  <c r="CJ14" i="106" a="1"/>
  <c r="CJ14" i="106" s="1"/>
  <c r="DF18" i="106" a="1"/>
  <c r="DF18" i="106" s="1"/>
  <c r="DK23" i="106" a="1"/>
  <c r="DK23" i="106" s="1"/>
  <c r="CL28" i="106" a="1"/>
  <c r="CL28" i="106" s="1"/>
  <c r="CR34" i="106" a="1"/>
  <c r="CR34" i="106" s="1"/>
  <c r="CL40" i="106" a="1"/>
  <c r="CL40" i="106" s="1"/>
  <c r="CJ44" i="106" a="1"/>
  <c r="CJ44" i="106" s="1"/>
  <c r="DH32" i="106" a="1"/>
  <c r="DH32" i="106" s="1"/>
  <c r="CX37" i="106" a="1"/>
  <c r="CX37" i="106" s="1"/>
  <c r="DH42" i="106" a="1"/>
  <c r="DH42" i="106" s="1"/>
  <c r="CI48" i="106" a="1"/>
  <c r="CI48" i="106" s="1"/>
  <c r="CS41" i="106" a="1"/>
  <c r="CS41" i="106" s="1"/>
  <c r="CS34" i="106" a="1"/>
  <c r="CS34" i="106" s="1"/>
  <c r="DK41" i="106" a="1"/>
  <c r="DK41" i="106" s="1"/>
  <c r="DG33" i="106" a="1"/>
  <c r="DG33" i="106" s="1"/>
  <c r="CW40" i="106" a="1"/>
  <c r="CW40" i="106" s="1"/>
  <c r="DG30" i="106" a="1"/>
  <c r="DG30" i="106" s="1"/>
  <c r="CZ37" i="106" a="1"/>
  <c r="CZ37" i="106" s="1"/>
  <c r="CI46" i="106" a="1"/>
  <c r="CI46" i="106" s="1"/>
  <c r="CI27" i="106" a="1"/>
  <c r="CI27" i="106" s="1"/>
  <c r="CR37" i="106" a="1"/>
  <c r="CR37" i="106" s="1"/>
  <c r="CN43" i="106" a="1"/>
  <c r="CN43" i="106" s="1"/>
  <c r="DL29" i="106" a="1"/>
  <c r="DL29" i="106" s="1"/>
  <c r="CW38" i="106" a="1"/>
  <c r="CW38" i="106" s="1"/>
  <c r="CY43" i="106" a="1"/>
  <c r="CY43" i="106" s="1"/>
  <c r="CT48" i="106" a="1"/>
  <c r="CT48" i="106" s="1"/>
  <c r="DA32" i="106" a="1"/>
  <c r="DA32" i="106" s="1"/>
  <c r="CJ37" i="106" a="1"/>
  <c r="CJ37" i="106" s="1"/>
  <c r="CU42" i="106" a="1"/>
  <c r="CU42" i="106" s="1"/>
  <c r="DH47" i="106" a="1"/>
  <c r="DH47" i="106" s="1"/>
  <c r="DK30" i="106" a="1"/>
  <c r="DK30" i="106" s="1"/>
  <c r="DK37" i="106" a="1"/>
  <c r="DK37" i="106" s="1"/>
  <c r="CV42" i="106" a="1"/>
  <c r="CV42" i="106" s="1"/>
  <c r="CI26" i="106" a="1"/>
  <c r="CI26" i="106" s="1"/>
  <c r="CS33" i="106" a="1"/>
  <c r="CS33" i="106" s="1"/>
  <c r="CU37" i="106" a="1"/>
  <c r="CU37" i="106" s="1"/>
  <c r="DE42" i="106" a="1"/>
  <c r="DE42" i="106" s="1"/>
  <c r="DD29" i="106" a="1"/>
  <c r="DD29" i="106" s="1"/>
  <c r="CU35" i="106" a="1"/>
  <c r="CU35" i="106" s="1"/>
  <c r="DK40" i="106" a="1"/>
  <c r="DK40" i="106" s="1"/>
  <c r="DK24" i="106" a="1"/>
  <c r="DK24" i="106" s="1"/>
  <c r="CT33" i="106" a="1"/>
  <c r="CT33" i="106" s="1"/>
  <c r="CV37" i="106" a="1"/>
  <c r="CV37" i="106" s="1"/>
  <c r="CQ41" i="106" a="1"/>
  <c r="CQ41" i="106" s="1"/>
  <c r="DA48" i="106" a="1"/>
  <c r="DA48" i="106" s="1"/>
  <c r="CJ54" i="106" a="1"/>
  <c r="CJ54" i="106" s="1"/>
  <c r="CK58" i="106" a="1"/>
  <c r="CK58" i="106" s="1"/>
  <c r="DA62" i="106" a="1"/>
  <c r="DA62" i="106" s="1"/>
  <c r="CL67" i="106" a="1"/>
  <c r="CL67" i="106" s="1"/>
  <c r="DK46" i="106" a="1"/>
  <c r="DK46" i="106" s="1"/>
  <c r="CN53" i="106" a="1"/>
  <c r="CN53" i="106" s="1"/>
  <c r="CL58" i="106" a="1"/>
  <c r="CL58" i="106" s="1"/>
  <c r="DF61" i="106" a="1"/>
  <c r="DF61" i="106" s="1"/>
  <c r="CN65" i="106" a="1"/>
  <c r="CN65" i="106" s="1"/>
  <c r="DJ45" i="106" a="1"/>
  <c r="DJ45" i="106" s="1"/>
  <c r="CQ51" i="106" a="1"/>
  <c r="CQ51" i="106" s="1"/>
  <c r="CL56" i="106" a="1"/>
  <c r="CL56" i="106" s="1"/>
  <c r="DK60" i="106" a="1"/>
  <c r="DK60" i="106" s="1"/>
  <c r="DE65" i="106" a="1"/>
  <c r="DE65" i="106" s="1"/>
  <c r="CK44" i="106" a="1"/>
  <c r="CK44" i="106" s="1"/>
  <c r="CR51" i="106" a="1"/>
  <c r="CR51" i="106" s="1"/>
  <c r="CZ55" i="106" a="1"/>
  <c r="CZ55" i="106" s="1"/>
  <c r="CM60" i="106" a="1"/>
  <c r="CM60" i="106" s="1"/>
  <c r="CK47" i="106" a="1"/>
  <c r="CK47" i="106" s="1"/>
  <c r="CM54" i="106" a="1"/>
  <c r="CM54" i="106" s="1"/>
  <c r="DI59" i="106" a="1"/>
  <c r="DI59" i="106" s="1"/>
  <c r="CP65" i="106" a="1"/>
  <c r="CP65" i="106" s="1"/>
  <c r="DL68" i="106" a="1"/>
  <c r="DL68" i="106" s="1"/>
  <c r="CS44" i="106" a="1"/>
  <c r="CS44" i="106" s="1"/>
  <c r="DC51" i="106" a="1"/>
  <c r="DC51" i="106" s="1"/>
  <c r="CO56" i="106" a="1"/>
  <c r="CO56" i="106" s="1"/>
  <c r="CQ63" i="106" a="1"/>
  <c r="CQ63" i="106" s="1"/>
  <c r="DC46" i="106" a="1"/>
  <c r="DC46" i="106" s="1"/>
  <c r="CK52" i="106" a="1"/>
  <c r="CK52" i="106" s="1"/>
  <c r="CK57" i="106" a="1"/>
  <c r="CK57" i="106" s="1"/>
  <c r="CY45" i="106" a="1"/>
  <c r="CY45" i="106" s="1"/>
  <c r="DC52" i="106" a="1"/>
  <c r="DC52" i="106" s="1"/>
  <c r="CL57" i="106" a="1"/>
  <c r="CL57" i="106" s="1"/>
  <c r="DG60" i="106" a="1"/>
  <c r="DG60" i="106" s="1"/>
  <c r="CM50" i="106" a="1"/>
  <c r="CM50" i="106" s="1"/>
  <c r="CK55" i="106" a="1"/>
  <c r="CK55" i="106" s="1"/>
  <c r="CU59" i="106" a="1"/>
  <c r="CU59" i="106" s="1"/>
  <c r="CO64" i="106" a="1"/>
  <c r="CO64" i="106" s="1"/>
  <c r="DL48" i="106" a="1"/>
  <c r="DL48" i="106" s="1"/>
  <c r="CL55" i="106" a="1"/>
  <c r="CL55" i="106" s="1"/>
  <c r="CZ60" i="106" a="1"/>
  <c r="CZ60" i="106" s="1"/>
  <c r="DB65" i="106" a="1"/>
  <c r="DB65" i="106" s="1"/>
  <c r="DH49" i="106" a="1"/>
  <c r="DH49" i="106" s="1"/>
  <c r="CM55" i="106" a="1"/>
  <c r="CM55" i="106" s="1"/>
  <c r="CI60" i="106" a="1"/>
  <c r="CI60" i="106" s="1"/>
  <c r="CL65" i="106" a="1"/>
  <c r="CL65" i="106" s="1"/>
  <c r="DH51" i="106" a="1"/>
  <c r="DH51" i="106" s="1"/>
  <c r="DB56" i="106" a="1"/>
  <c r="DB56" i="106" s="1"/>
  <c r="CZ62" i="106" a="1"/>
  <c r="CZ62" i="106" s="1"/>
  <c r="CP68" i="106" a="1"/>
  <c r="CP68" i="106" s="1"/>
  <c r="DB74" i="106" a="1"/>
  <c r="DB74" i="106" s="1"/>
  <c r="CL79" i="106" a="1"/>
  <c r="CL79" i="106" s="1"/>
  <c r="CQ46" i="106" a="1"/>
  <c r="CQ46" i="106" s="1"/>
  <c r="DA34" i="106" a="1"/>
  <c r="DA34" i="106" s="1"/>
  <c r="CP42" i="106" a="1"/>
  <c r="CP42" i="106" s="1"/>
  <c r="CL34" i="106" a="1"/>
  <c r="CL34" i="106" s="1"/>
  <c r="CU41" i="106" a="1"/>
  <c r="CU41" i="106" s="1"/>
  <c r="CP31" i="106" a="1"/>
  <c r="CP31" i="106" s="1"/>
  <c r="DH37" i="106" a="1"/>
  <c r="DH37" i="106" s="1"/>
  <c r="DD46" i="106" a="1"/>
  <c r="DD46" i="106" s="1"/>
  <c r="CT27" i="106" a="1"/>
  <c r="CT27" i="106" s="1"/>
  <c r="DA37" i="106" a="1"/>
  <c r="DA37" i="106" s="1"/>
  <c r="CX43" i="106" a="1"/>
  <c r="CX43" i="106" s="1"/>
  <c r="CX30" i="106" a="1"/>
  <c r="CX30" i="106" s="1"/>
  <c r="DF38" i="106" a="1"/>
  <c r="DF38" i="106" s="1"/>
  <c r="DI43" i="106" a="1"/>
  <c r="DI43" i="106" s="1"/>
  <c r="CI49" i="106" a="1"/>
  <c r="CI49" i="106" s="1"/>
  <c r="DL32" i="106" a="1"/>
  <c r="DL32" i="106" s="1"/>
  <c r="CN38" i="106" a="1"/>
  <c r="CN38" i="106" s="1"/>
  <c r="DD42" i="106" a="1"/>
  <c r="DD42" i="106" s="1"/>
  <c r="CU48" i="106" a="1"/>
  <c r="CU48" i="106" s="1"/>
  <c r="CU31" i="106" a="1"/>
  <c r="CU31" i="106" s="1"/>
  <c r="CO38" i="106" a="1"/>
  <c r="CO38" i="106" s="1"/>
  <c r="DL42" i="106" a="1"/>
  <c r="DL42" i="106" s="1"/>
  <c r="DD26" i="106" a="1"/>
  <c r="DD26" i="106" s="1"/>
  <c r="DB33" i="106" a="1"/>
  <c r="DB33" i="106" s="1"/>
  <c r="DD37" i="106" a="1"/>
  <c r="DD37" i="106" s="1"/>
  <c r="CI43" i="106" a="1"/>
  <c r="CI43" i="106" s="1"/>
  <c r="CO30" i="106" a="1"/>
  <c r="CO30" i="106" s="1"/>
  <c r="DC35" i="106" a="1"/>
  <c r="DC35" i="106" s="1"/>
  <c r="DH41" i="106" a="1"/>
  <c r="DH41" i="106" s="1"/>
  <c r="DG26" i="106" a="1"/>
  <c r="DG26" i="106" s="1"/>
  <c r="DD33" i="106" a="1"/>
  <c r="DD33" i="106" s="1"/>
  <c r="DE37" i="106" a="1"/>
  <c r="DE37" i="106" s="1"/>
  <c r="CZ41" i="106" a="1"/>
  <c r="CZ41" i="106" s="1"/>
  <c r="CL49" i="106" a="1"/>
  <c r="CL49" i="106" s="1"/>
  <c r="CS54" i="106" a="1"/>
  <c r="CS54" i="106" s="1"/>
  <c r="CT58" i="106" a="1"/>
  <c r="CT58" i="106" s="1"/>
  <c r="DI62" i="106" a="1"/>
  <c r="DI62" i="106" s="1"/>
  <c r="DI67" i="106" a="1"/>
  <c r="DI67" i="106" s="1"/>
  <c r="CT47" i="106" a="1"/>
  <c r="CT47" i="106" s="1"/>
  <c r="CY53" i="106" a="1"/>
  <c r="CY53" i="106" s="1"/>
  <c r="CU58" i="106" a="1"/>
  <c r="CU58" i="106" s="1"/>
  <c r="CK62" i="106" a="1"/>
  <c r="CK62" i="106" s="1"/>
  <c r="CW65" i="106" a="1"/>
  <c r="CW65" i="106" s="1"/>
  <c r="DL46" i="106" a="1"/>
  <c r="DL46" i="106" s="1"/>
  <c r="CZ51" i="106" a="1"/>
  <c r="CZ51" i="106" s="1"/>
  <c r="DD56" i="106" a="1"/>
  <c r="DD56" i="106" s="1"/>
  <c r="CX61" i="106" a="1"/>
  <c r="CX61" i="106" s="1"/>
  <c r="CR66" i="106" a="1"/>
  <c r="CR66" i="106" s="1"/>
  <c r="CO45" i="106" a="1"/>
  <c r="CO45" i="106" s="1"/>
  <c r="DA51" i="106" a="1"/>
  <c r="DA51" i="106" s="1"/>
  <c r="DJ55" i="106" a="1"/>
  <c r="DJ55" i="106" s="1"/>
  <c r="DL60" i="106" a="1"/>
  <c r="DL60" i="106" s="1"/>
  <c r="CW47" i="106" a="1"/>
  <c r="CW47" i="106" s="1"/>
  <c r="DL54" i="106" a="1"/>
  <c r="DL54" i="106" s="1"/>
  <c r="CV60" i="106" a="1"/>
  <c r="CV60" i="106" s="1"/>
  <c r="CY65" i="106" a="1"/>
  <c r="CY65" i="106" s="1"/>
  <c r="CW69" i="106" a="1"/>
  <c r="CW69" i="106" s="1"/>
  <c r="CR45" i="106" a="1"/>
  <c r="CR45" i="106" s="1"/>
  <c r="CJ52" i="106" a="1"/>
  <c r="CJ52" i="106" s="1"/>
  <c r="CX56" i="106" a="1"/>
  <c r="CX56" i="106" s="1"/>
  <c r="CZ63" i="106" a="1"/>
  <c r="CZ63" i="106" s="1"/>
  <c r="DA47" i="106" a="1"/>
  <c r="DA47" i="106" s="1"/>
  <c r="CS52" i="106" a="1"/>
  <c r="CS52" i="106" s="1"/>
  <c r="CT57" i="106" a="1"/>
  <c r="CT57" i="106" s="1"/>
  <c r="CO46" i="106" a="1"/>
  <c r="CO46" i="106" s="1"/>
  <c r="DL52" i="106" a="1"/>
  <c r="DL52" i="106" s="1"/>
  <c r="CU57" i="106" a="1"/>
  <c r="CU57" i="106" s="1"/>
  <c r="CK61" i="106" a="1"/>
  <c r="CK61" i="106" s="1"/>
  <c r="CM47" i="106" a="1"/>
  <c r="CM47" i="106" s="1"/>
  <c r="DK34" i="106" a="1"/>
  <c r="DK34" i="106" s="1"/>
  <c r="DF43" i="106" a="1"/>
  <c r="DF43" i="106" s="1"/>
  <c r="DB34" i="106" a="1"/>
  <c r="DB34" i="106" s="1"/>
  <c r="DA42" i="106" a="1"/>
  <c r="DA42" i="106" s="1"/>
  <c r="DD31" i="106" a="1"/>
  <c r="DD31" i="106" s="1"/>
  <c r="CQ39" i="106" a="1"/>
  <c r="CQ39" i="106" s="1"/>
  <c r="CO47" i="106" a="1"/>
  <c r="CO47" i="106" s="1"/>
  <c r="DD28" i="106" a="1"/>
  <c r="DD28" i="106" s="1"/>
  <c r="DI37" i="106" a="1"/>
  <c r="DI37" i="106" s="1"/>
  <c r="DH43" i="106" a="1"/>
  <c r="DH43" i="106" s="1"/>
  <c r="CZ32" i="106" a="1"/>
  <c r="CZ32" i="106" s="1"/>
  <c r="CJ39" i="106" a="1"/>
  <c r="CJ39" i="106" s="1"/>
  <c r="CX44" i="106" a="1"/>
  <c r="CX44" i="106" s="1"/>
  <c r="DH25" i="106" a="1"/>
  <c r="DH25" i="106" s="1"/>
  <c r="CR33" i="106" a="1"/>
  <c r="CR33" i="106" s="1"/>
  <c r="CX38" i="106" a="1"/>
  <c r="CX38" i="106" s="1"/>
  <c r="CP43" i="106" a="1"/>
  <c r="CP43" i="106" s="1"/>
  <c r="DC48" i="106" a="1"/>
  <c r="DC48" i="106" s="1"/>
  <c r="CP32" i="106" a="1"/>
  <c r="CP32" i="106" s="1"/>
  <c r="CY38" i="106" a="1"/>
  <c r="CY38" i="106" s="1"/>
  <c r="CQ43" i="106" a="1"/>
  <c r="CQ43" i="106" s="1"/>
  <c r="DL27" i="106" a="1"/>
  <c r="DL27" i="106" s="1"/>
  <c r="DK33" i="106" a="1"/>
  <c r="DK33" i="106" s="1"/>
  <c r="CP38" i="106" a="1"/>
  <c r="CP38" i="106" s="1"/>
  <c r="CR43" i="106" a="1"/>
  <c r="CR43" i="106" s="1"/>
  <c r="CZ30" i="106" a="1"/>
  <c r="CZ30" i="106" s="1"/>
  <c r="CQ36" i="106" a="1"/>
  <c r="CQ36" i="106" s="1"/>
  <c r="CM42" i="106" a="1"/>
  <c r="CM42" i="106" s="1"/>
  <c r="DB27" i="106" a="1"/>
  <c r="DB27" i="106" s="1"/>
  <c r="CI34" i="106" a="1"/>
  <c r="CI34" i="106" s="1"/>
  <c r="CI38" i="106" a="1"/>
  <c r="CI38" i="106" s="1"/>
  <c r="DI41" i="106" a="1"/>
  <c r="DI41" i="106" s="1"/>
  <c r="CX49" i="106" a="1"/>
  <c r="CX49" i="106" s="1"/>
  <c r="DJ54" i="106" a="1"/>
  <c r="DJ54" i="106" s="1"/>
  <c r="CP59" i="106" a="1"/>
  <c r="CP59" i="106" s="1"/>
  <c r="CN63" i="106" a="1"/>
  <c r="CN63" i="106" s="1"/>
  <c r="CM68" i="106" a="1"/>
  <c r="CM68" i="106" s="1"/>
  <c r="DG47" i="106" a="1"/>
  <c r="DG47" i="106" s="1"/>
  <c r="DG53" i="106" a="1"/>
  <c r="DG53" i="106" s="1"/>
  <c r="DC58" i="106" a="1"/>
  <c r="DC58" i="106" s="1"/>
  <c r="CS62" i="106" a="1"/>
  <c r="CS62" i="106" s="1"/>
  <c r="DD65" i="106" a="1"/>
  <c r="DD65" i="106" s="1"/>
  <c r="CU47" i="106" a="1"/>
  <c r="CU47" i="106" s="1"/>
  <c r="DK51" i="106" a="1"/>
  <c r="DK51" i="106" s="1"/>
  <c r="CI57" i="106" a="1"/>
  <c r="CI57" i="106" s="1"/>
  <c r="DG61" i="106" a="1"/>
  <c r="DG61" i="106" s="1"/>
  <c r="DA66" i="106" a="1"/>
  <c r="DA66" i="106" s="1"/>
  <c r="CY46" i="106" a="1"/>
  <c r="CY46" i="106" s="1"/>
  <c r="DL51" i="106" a="1"/>
  <c r="DL51" i="106" s="1"/>
  <c r="CM56" i="106" a="1"/>
  <c r="CM56" i="106" s="1"/>
  <c r="CQ61" i="106" a="1"/>
  <c r="CQ61" i="106" s="1"/>
  <c r="DF48" i="106" a="1"/>
  <c r="DF48" i="106" s="1"/>
  <c r="CR55" i="106" a="1"/>
  <c r="CR55" i="106" s="1"/>
  <c r="DE60" i="106" a="1"/>
  <c r="DE60" i="106" s="1"/>
  <c r="DG65" i="106" a="1"/>
  <c r="DG65" i="106" s="1"/>
  <c r="CJ70" i="106" a="1"/>
  <c r="CJ70" i="106" s="1"/>
  <c r="CJ46" i="106" a="1"/>
  <c r="CJ46" i="106" s="1"/>
  <c r="DA52" i="106" a="1"/>
  <c r="DA52" i="106" s="1"/>
  <c r="DG56" i="106" a="1"/>
  <c r="DG56" i="106" s="1"/>
  <c r="DH63" i="106" a="1"/>
  <c r="DH63" i="106" s="1"/>
  <c r="DL47" i="106" a="1"/>
  <c r="DL47" i="106" s="1"/>
  <c r="DB52" i="106" a="1"/>
  <c r="DB52" i="106" s="1"/>
  <c r="DB57" i="106" a="1"/>
  <c r="DB57" i="106" s="1"/>
  <c r="DB47" i="106" a="1"/>
  <c r="DB47" i="106" s="1"/>
  <c r="CZ48" i="106" a="1"/>
  <c r="CZ48" i="106" s="1"/>
  <c r="CP35" i="106" a="1"/>
  <c r="CP35" i="106" s="1"/>
  <c r="CU26" i="106" a="1"/>
  <c r="CU26" i="106" s="1"/>
  <c r="DF35" i="106" a="1"/>
  <c r="DF35" i="106" s="1"/>
  <c r="DI42" i="106" a="1"/>
  <c r="DI42" i="106" s="1"/>
  <c r="CL32" i="106" a="1"/>
  <c r="CL32" i="106" s="1"/>
  <c r="DI39" i="106" a="1"/>
  <c r="DI39" i="106" s="1"/>
  <c r="CX47" i="106" a="1"/>
  <c r="CX47" i="106" s="1"/>
  <c r="DH30" i="106" a="1"/>
  <c r="DH30" i="106" s="1"/>
  <c r="CM38" i="106" a="1"/>
  <c r="CM38" i="106" s="1"/>
  <c r="CW44" i="106" a="1"/>
  <c r="CW44" i="106" s="1"/>
  <c r="CQ33" i="106" a="1"/>
  <c r="CQ33" i="106" s="1"/>
  <c r="DA39" i="106" a="1"/>
  <c r="DA39" i="106" s="1"/>
  <c r="CM45" i="106" a="1"/>
  <c r="CM45" i="106" s="1"/>
  <c r="CZ26" i="106" a="1"/>
  <c r="CZ26" i="106" s="1"/>
  <c r="CZ33" i="106" a="1"/>
  <c r="CZ33" i="106" s="1"/>
  <c r="DG38" i="106" a="1"/>
  <c r="DG38" i="106" s="1"/>
  <c r="CZ43" i="106" a="1"/>
  <c r="CZ43" i="106" s="1"/>
  <c r="CJ49" i="106" a="1"/>
  <c r="CJ49" i="106" s="1"/>
  <c r="DA33" i="106" a="1"/>
  <c r="DA33" i="106" s="1"/>
  <c r="DH38" i="106" a="1"/>
  <c r="DH38" i="106" s="1"/>
  <c r="DA43" i="106" a="1"/>
  <c r="DA43" i="106" s="1"/>
  <c r="CU28" i="106" a="1"/>
  <c r="CU28" i="106" s="1"/>
  <c r="CX34" i="106" a="1"/>
  <c r="CX34" i="106" s="1"/>
  <c r="CT39" i="106" a="1"/>
  <c r="CT39" i="106" s="1"/>
  <c r="DB43" i="106" a="1"/>
  <c r="DB43" i="106" s="1"/>
  <c r="CJ31" i="106" a="1"/>
  <c r="CJ31" i="106" s="1"/>
  <c r="DH36" i="106" a="1"/>
  <c r="DH36" i="106" s="1"/>
  <c r="CW42" i="106" a="1"/>
  <c r="CW42" i="106" s="1"/>
  <c r="CJ28" i="106" a="1"/>
  <c r="CJ28" i="106" s="1"/>
  <c r="DR6" i="106" s="1"/>
  <c r="CQ34" i="106" a="1"/>
  <c r="CQ34" i="106" s="1"/>
  <c r="CR38" i="106" a="1"/>
  <c r="CR38" i="106" s="1"/>
  <c r="CN42" i="106" a="1"/>
  <c r="CN42" i="106" s="1"/>
  <c r="DJ49" i="106" a="1"/>
  <c r="DJ49" i="106" s="1"/>
  <c r="CO55" i="106" a="1"/>
  <c r="CO55" i="106" s="1"/>
  <c r="CW59" i="106" a="1"/>
  <c r="CW59" i="106" s="1"/>
  <c r="CJ64" i="106" a="1"/>
  <c r="CJ64" i="106" s="1"/>
  <c r="DB68" i="106" a="1"/>
  <c r="DB68" i="106" s="1"/>
  <c r="DB48" i="106" a="1"/>
  <c r="DB48" i="106" s="1"/>
  <c r="CK54" i="106" a="1"/>
  <c r="CK54" i="106" s="1"/>
  <c r="DK58" i="106" a="1"/>
  <c r="DK58" i="106" s="1"/>
  <c r="DB62" i="106" a="1"/>
  <c r="DB62" i="106" s="1"/>
  <c r="CJ66" i="106" a="1"/>
  <c r="CJ66" i="106" s="1"/>
  <c r="DI47" i="106" a="1"/>
  <c r="DI47" i="106" s="1"/>
  <c r="DI52" i="106" a="1"/>
  <c r="DI52" i="106" s="1"/>
  <c r="CR57" i="106" a="1"/>
  <c r="CR57" i="106" s="1"/>
  <c r="CL62" i="106" a="1"/>
  <c r="CL62" i="106" s="1"/>
  <c r="DJ66" i="106" a="1"/>
  <c r="DJ66" i="106" s="1"/>
  <c r="CV47" i="106" a="1"/>
  <c r="CV47" i="106" s="1"/>
  <c r="CQ52" i="106" a="1"/>
  <c r="CQ52" i="106" s="1"/>
  <c r="CW56" i="106" a="1"/>
  <c r="CW56" i="106" s="1"/>
  <c r="CY61" i="106" a="1"/>
  <c r="CY61" i="106" s="1"/>
  <c r="DC49" i="106" a="1"/>
  <c r="DC49" i="106" s="1"/>
  <c r="DA55" i="106" a="1"/>
  <c r="DA55" i="106" s="1"/>
  <c r="CI61" i="106" a="1"/>
  <c r="CI61" i="106" s="1"/>
  <c r="CT66" i="106" a="1"/>
  <c r="CT66" i="106" s="1"/>
  <c r="DB70" i="106" a="1"/>
  <c r="DB70" i="106" s="1"/>
  <c r="DB46" i="106" a="1"/>
  <c r="DB46" i="106" s="1"/>
  <c r="DK52" i="106" a="1"/>
  <c r="DK52" i="106" s="1"/>
  <c r="CW58" i="106" a="1"/>
  <c r="CW58" i="106" s="1"/>
  <c r="CM64" i="106" a="1"/>
  <c r="CM64" i="106" s="1"/>
  <c r="CV48" i="106" a="1"/>
  <c r="CV48" i="106" s="1"/>
  <c r="CS53" i="106" a="1"/>
  <c r="CS53" i="106" s="1"/>
  <c r="DK57" i="106" a="1"/>
  <c r="DK57" i="106" s="1"/>
  <c r="DI48" i="106" a="1"/>
  <c r="DI48" i="106" s="1"/>
  <c r="DB53" i="106" a="1"/>
  <c r="DB53" i="106" s="1"/>
  <c r="DL57" i="106" a="1"/>
  <c r="DL57" i="106" s="1"/>
  <c r="DC61" i="106" a="1"/>
  <c r="DC61" i="106" s="1"/>
  <c r="DE51" i="106" a="1"/>
  <c r="DE51" i="106" s="1"/>
  <c r="CI56" i="106" a="1"/>
  <c r="CI56" i="106" s="1"/>
  <c r="CY60" i="106" a="1"/>
  <c r="CY60" i="106" s="1"/>
  <c r="CS65" i="106" a="1"/>
  <c r="CS65" i="106" s="1"/>
  <c r="CW50" i="106" a="1"/>
  <c r="CW50" i="106" s="1"/>
  <c r="CS56" i="106" a="1"/>
  <c r="CS56" i="106" s="1"/>
  <c r="CU61" i="106" a="1"/>
  <c r="CU61" i="106" s="1"/>
  <c r="CX66" i="106" a="1"/>
  <c r="CX66" i="106" s="1"/>
  <c r="CX51" i="106" a="1"/>
  <c r="CX51" i="106" s="1"/>
  <c r="CJ56" i="106" a="1"/>
  <c r="CJ56" i="106" s="1"/>
  <c r="DL61" i="106" a="1"/>
  <c r="DL61" i="106" s="1"/>
  <c r="DI44" i="106" a="1"/>
  <c r="DI44" i="106" s="1"/>
  <c r="CW53" i="106" a="1"/>
  <c r="CW53" i="106" s="1"/>
  <c r="DF57" i="106" a="1"/>
  <c r="DF57" i="106" s="1"/>
  <c r="CI64" i="106" a="1"/>
  <c r="CI64" i="106" s="1"/>
  <c r="CU70" i="106" a="1"/>
  <c r="CU70" i="106" s="1"/>
  <c r="CY75" i="106" a="1"/>
  <c r="CY75" i="106" s="1"/>
  <c r="CO4" i="106" a="1"/>
  <c r="CO4" i="106" s="1"/>
  <c r="CW25" i="106" a="1"/>
  <c r="CW25" i="106" s="1"/>
  <c r="CK36" i="106" a="1"/>
  <c r="CK36" i="106" s="1"/>
  <c r="CS27" i="106" a="1"/>
  <c r="CS27" i="106" s="1"/>
  <c r="CU36" i="106" a="1"/>
  <c r="CU36" i="106" s="1"/>
  <c r="DG43" i="106" a="1"/>
  <c r="DG43" i="106" s="1"/>
  <c r="DJ32" i="106" a="1"/>
  <c r="DJ32" i="106" s="1"/>
  <c r="CX40" i="106" a="1"/>
  <c r="CX40" i="106" s="1"/>
  <c r="CS48" i="106" a="1"/>
  <c r="CS48" i="106" s="1"/>
  <c r="CR31" i="106" a="1"/>
  <c r="CR31" i="106" s="1"/>
  <c r="CV38" i="106" a="1"/>
  <c r="CV38" i="106" s="1"/>
  <c r="DF44" i="106" a="1"/>
  <c r="DF44" i="106" s="1"/>
  <c r="DI33" i="106" a="1"/>
  <c r="DI33" i="106" s="1"/>
  <c r="DK39" i="106" a="1"/>
  <c r="DK39" i="106" s="1"/>
  <c r="CV45" i="106" a="1"/>
  <c r="CV45" i="106" s="1"/>
  <c r="CK27" i="106" a="1"/>
  <c r="CK27" i="106" s="1"/>
  <c r="CN34" i="106" a="1"/>
  <c r="CN34" i="106" s="1"/>
  <c r="CK39" i="106" a="1"/>
  <c r="CK39" i="106" s="1"/>
  <c r="DJ43" i="106" a="1"/>
  <c r="DJ43" i="106" s="1"/>
  <c r="DB49" i="106" a="1"/>
  <c r="DB49" i="106" s="1"/>
  <c r="CO34" i="106" a="1"/>
  <c r="CO34" i="106" s="1"/>
  <c r="CL39" i="106" a="1"/>
  <c r="CL39" i="106" s="1"/>
  <c r="CO44" i="106" a="1"/>
  <c r="CO44" i="106" s="1"/>
  <c r="DG28" i="106" a="1"/>
  <c r="DG28" i="106" s="1"/>
  <c r="DF34" i="106" a="1"/>
  <c r="DF34" i="106" s="1"/>
  <c r="DC39" i="106" a="1"/>
  <c r="DC39" i="106" s="1"/>
  <c r="DK43" i="106" a="1"/>
  <c r="DK43" i="106" s="1"/>
  <c r="CV31" i="106" a="1"/>
  <c r="CV31" i="106" s="1"/>
  <c r="DL37" i="106" a="1"/>
  <c r="DL37" i="106" s="1"/>
  <c r="DF42" i="106" a="1"/>
  <c r="DF42" i="106" s="1"/>
  <c r="CW28" i="106" a="1"/>
  <c r="CW28" i="106" s="1"/>
  <c r="CY34" i="106" a="1"/>
  <c r="CY34" i="106" s="1"/>
  <c r="DA38" i="106" a="1"/>
  <c r="DA38" i="106" s="1"/>
  <c r="CX42" i="106" a="1"/>
  <c r="CX42" i="106" s="1"/>
  <c r="CP50" i="106" a="1"/>
  <c r="CP50" i="106" s="1"/>
  <c r="CX55" i="106" a="1"/>
  <c r="CX55" i="106" s="1"/>
  <c r="DF59" i="106" a="1"/>
  <c r="DF59" i="106" s="1"/>
  <c r="CQ64" i="106" a="1"/>
  <c r="CQ64" i="106" s="1"/>
  <c r="DI68" i="106" a="1"/>
  <c r="DI68" i="106" s="1"/>
  <c r="CY49" i="106" a="1"/>
  <c r="CY49" i="106" s="1"/>
  <c r="CT54" i="106" a="1"/>
  <c r="CT54" i="106" s="1"/>
  <c r="CQ59" i="106" a="1"/>
  <c r="CQ59" i="106" s="1"/>
  <c r="DJ62" i="106" a="1"/>
  <c r="DJ62" i="106" s="1"/>
  <c r="CZ66" i="106" a="1"/>
  <c r="CZ66" i="106" s="1"/>
  <c r="CP48" i="106" a="1"/>
  <c r="CP48" i="106" s="1"/>
  <c r="CO53" i="106" a="1"/>
  <c r="CO53" i="106" s="1"/>
  <c r="DI57" i="106" a="1"/>
  <c r="DI57" i="106" s="1"/>
  <c r="DC62" i="106" a="1"/>
  <c r="DC62" i="106" s="1"/>
  <c r="DK67" i="106" a="1"/>
  <c r="DK67" i="106" s="1"/>
  <c r="DJ47" i="106" a="1"/>
  <c r="DJ47" i="106" s="1"/>
  <c r="CZ52" i="106" a="1"/>
  <c r="CZ52" i="106" s="1"/>
  <c r="DE56" i="106" a="1"/>
  <c r="DE56" i="106" s="1"/>
  <c r="CT62" i="106" a="1"/>
  <c r="CT62" i="106" s="1"/>
  <c r="CJ50" i="106" a="1"/>
  <c r="CJ50" i="106" s="1"/>
  <c r="CN56" i="106" a="1"/>
  <c r="CN56" i="106" s="1"/>
  <c r="CZ61" i="106" a="1"/>
  <c r="CZ61" i="106" s="1"/>
  <c r="DB66" i="106" a="1"/>
  <c r="DB66" i="106" s="1"/>
  <c r="DL70" i="106" a="1"/>
  <c r="DL70" i="106" s="1"/>
  <c r="CL47" i="106" a="1"/>
  <c r="CL47" i="106" s="1"/>
  <c r="CR53" i="106" a="1"/>
  <c r="CR53" i="106" s="1"/>
  <c r="DF58" i="106" a="1"/>
  <c r="DF58" i="106" s="1"/>
  <c r="CU64" i="106" a="1"/>
  <c r="CU64" i="106" s="1"/>
  <c r="DG48" i="106" a="1"/>
  <c r="DG48" i="106" s="1"/>
  <c r="DJ53" i="106" a="1"/>
  <c r="DJ53" i="106" s="1"/>
  <c r="CP58" i="106" a="1"/>
  <c r="CP58" i="106" s="1"/>
  <c r="CS49" i="106" a="1"/>
  <c r="CS49" i="106" s="1"/>
  <c r="CY54" i="106" a="1"/>
  <c r="CY54" i="106" s="1"/>
  <c r="CQ58" i="106" a="1"/>
  <c r="CQ58" i="106" s="1"/>
  <c r="DJ61" i="106" a="1"/>
  <c r="DJ61" i="106" s="1"/>
  <c r="CM52" i="106" a="1"/>
  <c r="CM52" i="106" s="1"/>
  <c r="CR56" i="106" a="1"/>
  <c r="CR56" i="106" s="1"/>
  <c r="CL61" i="106" a="1"/>
  <c r="CL61" i="106" s="1"/>
  <c r="DJ65" i="106" a="1"/>
  <c r="DJ65" i="106" s="1"/>
  <c r="DG50" i="106" a="1"/>
  <c r="DG50" i="106" s="1"/>
  <c r="DA56" i="106" a="1"/>
  <c r="DA56" i="106" s="1"/>
  <c r="DD61" i="106" a="1"/>
  <c r="DD61" i="106" s="1"/>
  <c r="DD44" i="106" a="1"/>
  <c r="DD44" i="106" s="1"/>
  <c r="DG51" i="106" a="1"/>
  <c r="DG51" i="106" s="1"/>
  <c r="CN57" i="106" a="1"/>
  <c r="CN57" i="106" s="1"/>
  <c r="CQ62" i="106" a="1"/>
  <c r="CQ62" i="106" s="1"/>
  <c r="DC45" i="106" a="1"/>
  <c r="DC45" i="106" s="1"/>
  <c r="DF53" i="106" a="1"/>
  <c r="DF53" i="106" s="1"/>
  <c r="DB58" i="106" a="1"/>
  <c r="DB58" i="106" s="1"/>
  <c r="DC65" i="106" a="1"/>
  <c r="DC65" i="106" s="1"/>
  <c r="DF70" i="106" a="1"/>
  <c r="DF70" i="106" s="1"/>
  <c r="CM76" i="106" a="1"/>
  <c r="CM76" i="106" s="1"/>
  <c r="CY4" i="106" a="1"/>
  <c r="CY4" i="106" s="1"/>
  <c r="CN28" i="106" a="1"/>
  <c r="CN28" i="106" s="1"/>
  <c r="CT36" i="106" a="1"/>
  <c r="CT36" i="106" s="1"/>
  <c r="DE27" i="106" a="1"/>
  <c r="DE27" i="106" s="1"/>
  <c r="DC36" i="106" a="1"/>
  <c r="DC36" i="106" s="1"/>
  <c r="CL44" i="106" a="1"/>
  <c r="CL44" i="106" s="1"/>
  <c r="CP33" i="106" a="1"/>
  <c r="CP33" i="106" s="1"/>
  <c r="DF40" i="106" a="1"/>
  <c r="DF40" i="106" s="1"/>
  <c r="DK48" i="106" a="1"/>
  <c r="DK48" i="106" s="1"/>
  <c r="CM32" i="106" a="1"/>
  <c r="CM32" i="106" s="1"/>
  <c r="DE38" i="106" a="1"/>
  <c r="DE38" i="106" s="1"/>
  <c r="DF25" i="106" a="1"/>
  <c r="DF25" i="106" s="1"/>
  <c r="CV34" i="106" a="1"/>
  <c r="CV34" i="106" s="1"/>
  <c r="CP40" i="106" a="1"/>
  <c r="CP40" i="106" s="1"/>
  <c r="DF45" i="106" a="1"/>
  <c r="DF45" i="106" s="1"/>
  <c r="CR28" i="106" a="1"/>
  <c r="CR28" i="106" s="1"/>
  <c r="DE34" i="106" a="1"/>
  <c r="DE34" i="106" s="1"/>
  <c r="CS39" i="106" a="1"/>
  <c r="CS39" i="106" s="1"/>
  <c r="CN44" i="106" a="1"/>
  <c r="CN44" i="106" s="1"/>
  <c r="CO50" i="106" a="1"/>
  <c r="CO50" i="106" s="1"/>
  <c r="CW34" i="106" a="1"/>
  <c r="CW34" i="106" s="1"/>
  <c r="CI40" i="106" a="1"/>
  <c r="CI40" i="106" s="1"/>
  <c r="CY44" i="106" a="1"/>
  <c r="CY44" i="106" s="1"/>
  <c r="CR29" i="106" a="1"/>
  <c r="CR29" i="106" s="1"/>
  <c r="CL35" i="106" a="1"/>
  <c r="CL35" i="106" s="1"/>
  <c r="CJ40" i="106" a="1"/>
  <c r="CJ40" i="106" s="1"/>
  <c r="CP44" i="106" a="1"/>
  <c r="CP44" i="106" s="1"/>
  <c r="CR32" i="106" a="1"/>
  <c r="CR32" i="106" s="1"/>
  <c r="CQ38" i="106" a="1"/>
  <c r="CQ38" i="106" s="1"/>
  <c r="CJ43" i="106" a="1"/>
  <c r="CJ43" i="106" s="1"/>
  <c r="DI28" i="106" a="1"/>
  <c r="DI28" i="106" s="1"/>
  <c r="DH34" i="106" a="1"/>
  <c r="DH34" i="106" s="1"/>
  <c r="DJ38" i="106" a="1"/>
  <c r="DJ38" i="106" s="1"/>
  <c r="DG42" i="106" a="1"/>
  <c r="DG42" i="106" s="1"/>
  <c r="CY50" i="106" a="1"/>
  <c r="CY50" i="106" s="1"/>
  <c r="DG55" i="106" a="1"/>
  <c r="DG55" i="106" s="1"/>
  <c r="CJ60" i="106" a="1"/>
  <c r="CJ60" i="106" s="1"/>
  <c r="CZ64" i="106" a="1"/>
  <c r="CZ64" i="106" s="1"/>
  <c r="DB69" i="106" a="1"/>
  <c r="DB69" i="106" s="1"/>
  <c r="DK49" i="106" a="1"/>
  <c r="DK49" i="106" s="1"/>
  <c r="DB54" i="106" a="1"/>
  <c r="DB54" i="106" s="1"/>
  <c r="CX59" i="106" a="1"/>
  <c r="CX59" i="106" s="1"/>
  <c r="CO63" i="106" a="1"/>
  <c r="CO63" i="106" s="1"/>
  <c r="DI66" i="106" a="1"/>
  <c r="DI66" i="106" s="1"/>
  <c r="DD48" i="106" a="1"/>
  <c r="DD48" i="106" s="1"/>
  <c r="CL54" i="106" a="1"/>
  <c r="CL54" i="106" s="1"/>
  <c r="CM58" i="106" a="1"/>
  <c r="CM58" i="106" s="1"/>
  <c r="DK62" i="106" a="1"/>
  <c r="DK62" i="106" s="1"/>
  <c r="CN68" i="106" a="1"/>
  <c r="CN68" i="106" s="1"/>
  <c r="CR48" i="106" a="1"/>
  <c r="CR48" i="106" s="1"/>
  <c r="DJ52" i="106" a="1"/>
  <c r="DJ52" i="106" s="1"/>
  <c r="CZ57" i="106" a="1"/>
  <c r="CZ57" i="106" s="1"/>
  <c r="DL62" i="106" a="1"/>
  <c r="DL62" i="106" s="1"/>
  <c r="CS50" i="106" a="1"/>
  <c r="CS50" i="106" s="1"/>
  <c r="DF56" i="106" a="1"/>
  <c r="DF56" i="106" s="1"/>
  <c r="DH61" i="106" a="1"/>
  <c r="DH61" i="106" s="1"/>
  <c r="DK66" i="106" a="1"/>
  <c r="DK66" i="106" s="1"/>
  <c r="CY71" i="106" a="1"/>
  <c r="CY71" i="106" s="1"/>
  <c r="CY47" i="106" a="1"/>
  <c r="CY47" i="106" s="1"/>
  <c r="DA53" i="106" a="1"/>
  <c r="DA53" i="106" s="1"/>
  <c r="CJ59" i="106" a="1"/>
  <c r="CJ59" i="106" s="1"/>
  <c r="DL64" i="106" a="1"/>
  <c r="DL64" i="106" s="1"/>
  <c r="CR49" i="106" a="1"/>
  <c r="CR49" i="106" s="1"/>
  <c r="CO54" i="106" a="1"/>
  <c r="CO54" i="106" s="1"/>
  <c r="DG58" i="106" a="1"/>
  <c r="DG58" i="106" s="1"/>
  <c r="CL50" i="106" a="1"/>
  <c r="CL50" i="106" s="1"/>
  <c r="DG54" i="106" a="1"/>
  <c r="DG54" i="106" s="1"/>
  <c r="CX58" i="106" a="1"/>
  <c r="CX58" i="106" s="1"/>
  <c r="DG46" i="106" a="1"/>
  <c r="DG46" i="106" s="1"/>
  <c r="CU52" i="106" a="1"/>
  <c r="CU52" i="106" s="1"/>
  <c r="CZ56" i="106" a="1"/>
  <c r="CZ56" i="106" s="1"/>
  <c r="CT61" i="106" a="1"/>
  <c r="CT61" i="106" s="1"/>
  <c r="DB44" i="106" a="1"/>
  <c r="DB44" i="106" s="1"/>
  <c r="DJ56" i="106" a="1"/>
  <c r="DJ56" i="106" s="1"/>
  <c r="DK61" i="106" a="1"/>
  <c r="DK61" i="106" s="1"/>
  <c r="DA45" i="106" a="1"/>
  <c r="DA45" i="106" s="1"/>
  <c r="CN52" i="106" a="1"/>
  <c r="CN52" i="106" s="1"/>
  <c r="CW57" i="106" a="1"/>
  <c r="CW57" i="106" s="1"/>
  <c r="DH62" i="106" a="1"/>
  <c r="DH62" i="106" s="1"/>
  <c r="CS46" i="106" a="1"/>
  <c r="CS46" i="106" s="1"/>
  <c r="CI54" i="106" a="1"/>
  <c r="CI54" i="106" s="1"/>
  <c r="DJ58" i="106" a="1"/>
  <c r="DJ58" i="106" s="1"/>
  <c r="DL65" i="106" a="1"/>
  <c r="DL65" i="106" s="1"/>
  <c r="CM71" i="106" a="1"/>
  <c r="CM71" i="106" s="1"/>
  <c r="CV76" i="106" a="1"/>
  <c r="CV76" i="106" s="1"/>
  <c r="CY28" i="106" a="1"/>
  <c r="CY28" i="106" s="1"/>
  <c r="DG37" i="106" a="1"/>
  <c r="DG37" i="106" s="1"/>
  <c r="CO28" i="106" a="1"/>
  <c r="CO28" i="106" s="1"/>
  <c r="CY37" i="106" a="1"/>
  <c r="CY37" i="106" s="1"/>
  <c r="CU44" i="106" a="1"/>
  <c r="CU44" i="106" s="1"/>
  <c r="DL34" i="106" a="1"/>
  <c r="DL34" i="106" s="1"/>
  <c r="CK41" i="106" a="1"/>
  <c r="CK41" i="106" s="1"/>
  <c r="CJ51" i="106" a="1"/>
  <c r="CJ51" i="106" s="1"/>
  <c r="CY33" i="106" a="1"/>
  <c r="CY33" i="106" s="1"/>
  <c r="CZ39" i="106" a="1"/>
  <c r="CZ39" i="106" s="1"/>
  <c r="CJ27" i="106" a="1"/>
  <c r="CJ27" i="106" s="1"/>
  <c r="CZ35" i="106" a="1"/>
  <c r="CZ35" i="106" s="1"/>
  <c r="DH40" i="106" a="1"/>
  <c r="DH40" i="106" s="1"/>
  <c r="CU46" i="106" a="1"/>
  <c r="CU46" i="106" s="1"/>
  <c r="CN29" i="106" a="1"/>
  <c r="CN29" i="106" s="1"/>
  <c r="CJ35" i="106" a="1"/>
  <c r="CJ35" i="106" s="1"/>
  <c r="DB39" i="106" a="1"/>
  <c r="DB39" i="106" s="1"/>
  <c r="DH44" i="106" a="1"/>
  <c r="DH44" i="106" s="1"/>
  <c r="DK25" i="106" a="1"/>
  <c r="DK25" i="106" s="1"/>
  <c r="CK35" i="106" a="1"/>
  <c r="CK35" i="106" s="1"/>
  <c r="CR40" i="106" a="1"/>
  <c r="CR40" i="106" s="1"/>
  <c r="CN45" i="106" a="1"/>
  <c r="CN45" i="106" s="1"/>
  <c r="DC29" i="106" a="1"/>
  <c r="DC29" i="106" s="1"/>
  <c r="CT35" i="106" a="1"/>
  <c r="CT35" i="106" s="1"/>
  <c r="DA40" i="106" a="1"/>
  <c r="DA40" i="106" s="1"/>
  <c r="DF26" i="106" a="1"/>
  <c r="DF26" i="106" s="1"/>
  <c r="DD32" i="106" a="1"/>
  <c r="DD32" i="106" s="1"/>
  <c r="CZ38" i="106" a="1"/>
  <c r="CZ38" i="106" s="1"/>
  <c r="CS43" i="106" a="1"/>
  <c r="CS43" i="106" s="1"/>
  <c r="DA30" i="106" a="1"/>
  <c r="DA30" i="106" s="1"/>
  <c r="CM35" i="106" a="1"/>
  <c r="CM35" i="106" s="1"/>
  <c r="CV39" i="106" a="1"/>
  <c r="CV39" i="106" s="1"/>
  <c r="CT43" i="106" a="1"/>
  <c r="CT43" i="106" s="1"/>
  <c r="DJ50" i="106" a="1"/>
  <c r="DJ50" i="106" s="1"/>
  <c r="CK56" i="106" a="1"/>
  <c r="CK56" i="106" s="1"/>
  <c r="CS60" i="106" a="1"/>
  <c r="CS60" i="106" s="1"/>
  <c r="DH64" i="106" a="1"/>
  <c r="DH64" i="106" s="1"/>
  <c r="CP70" i="106" a="1"/>
  <c r="CP70" i="106" s="1"/>
  <c r="CQ50" i="106" a="1"/>
  <c r="CQ50" i="106" s="1"/>
  <c r="DH55" i="106" a="1"/>
  <c r="DH55" i="106" s="1"/>
  <c r="DG59" i="106" a="1"/>
  <c r="DG59" i="106" s="1"/>
  <c r="CW63" i="106" a="1"/>
  <c r="CW63" i="106" s="1"/>
  <c r="CM67" i="106" a="1"/>
  <c r="CM67" i="106" s="1"/>
  <c r="CM49" i="106" a="1"/>
  <c r="CM49" i="106" s="1"/>
  <c r="CU54" i="106" a="1"/>
  <c r="CU54" i="106" s="1"/>
  <c r="DD58" i="106" a="1"/>
  <c r="DD58" i="106" s="1"/>
  <c r="CX63" i="106" a="1"/>
  <c r="CX63" i="106" s="1"/>
  <c r="DC68" i="106" a="1"/>
  <c r="DC68" i="106" s="1"/>
  <c r="DE48" i="106" a="1"/>
  <c r="DE48" i="106" s="1"/>
  <c r="CP53" i="106" a="1"/>
  <c r="CP53" i="106" s="1"/>
  <c r="CN58" i="106" a="1"/>
  <c r="CN58" i="106" s="1"/>
  <c r="CP63" i="106" a="1"/>
  <c r="CP63" i="106" s="1"/>
  <c r="CI51" i="106" a="1"/>
  <c r="CI51" i="106" s="1"/>
  <c r="CJ29" i="106" a="1"/>
  <c r="CJ29" i="106" s="1"/>
  <c r="CK38" i="106" a="1"/>
  <c r="CK38" i="106" s="1"/>
  <c r="CK29" i="106" a="1"/>
  <c r="CK29" i="106" s="1"/>
  <c r="CL38" i="106" a="1"/>
  <c r="CL38" i="106" s="1"/>
  <c r="CK45" i="106" a="1"/>
  <c r="CK45" i="106" s="1"/>
  <c r="CQ35" i="106" a="1"/>
  <c r="CQ35" i="106" s="1"/>
  <c r="DD41" i="106" a="1"/>
  <c r="DD41" i="106" s="1"/>
  <c r="CS51" i="106" a="1"/>
  <c r="CS51" i="106" s="1"/>
  <c r="DH33" i="106" a="1"/>
  <c r="DH33" i="106" s="1"/>
  <c r="DJ39" i="106" a="1"/>
  <c r="DJ39" i="106" s="1"/>
  <c r="CU27" i="106" a="1"/>
  <c r="CU27" i="106" s="1"/>
  <c r="DI35" i="106" a="1"/>
  <c r="DI35" i="106" s="1"/>
  <c r="CM41" i="106" a="1"/>
  <c r="CM41" i="106" s="1"/>
  <c r="DE46" i="106" a="1"/>
  <c r="DE46" i="106" s="1"/>
  <c r="DB29" i="106" a="1"/>
  <c r="DB29" i="106" s="1"/>
  <c r="CS35" i="106" a="1"/>
  <c r="CS35" i="106" s="1"/>
  <c r="DL39" i="106" a="1"/>
  <c r="DL39" i="106" s="1"/>
  <c r="CW45" i="106" a="1"/>
  <c r="CW45" i="106" s="1"/>
  <c r="CL27" i="106" a="1"/>
  <c r="CL27" i="106" s="1"/>
  <c r="DB35" i="106" a="1"/>
  <c r="DB35" i="106" s="1"/>
  <c r="CZ40" i="106" a="1"/>
  <c r="CZ40" i="106" s="1"/>
  <c r="CX45" i="106" a="1"/>
  <c r="CX45" i="106" s="1"/>
  <c r="DL30" i="106" a="1"/>
  <c r="DL30" i="106" s="1"/>
  <c r="DK35" i="106" a="1"/>
  <c r="DK35" i="106" s="1"/>
  <c r="DJ40" i="106" a="1"/>
  <c r="DJ40" i="106" s="1"/>
  <c r="CM27" i="106" a="1"/>
  <c r="CM27" i="106" s="1"/>
  <c r="CK33" i="106" a="1"/>
  <c r="CK33" i="106" s="1"/>
  <c r="DI38" i="106" a="1"/>
  <c r="DI38" i="106" s="1"/>
  <c r="DL43" i="106" a="1"/>
  <c r="DL43" i="106" s="1"/>
  <c r="CK31" i="106" a="1"/>
  <c r="CK31" i="106" s="1"/>
  <c r="DD35" i="106" a="1"/>
  <c r="DD35" i="106" s="1"/>
  <c r="DE39" i="106" a="1"/>
  <c r="DE39" i="106" s="1"/>
  <c r="DK44" i="106" a="1"/>
  <c r="DK44" i="106" s="1"/>
  <c r="CY51" i="106" a="1"/>
  <c r="CY51" i="106" s="1"/>
  <c r="CU56" i="106" a="1"/>
  <c r="CU56" i="106" s="1"/>
  <c r="DB60" i="106" a="1"/>
  <c r="DB60" i="106" s="1"/>
  <c r="CM65" i="106" a="1"/>
  <c r="CM65" i="106" s="1"/>
  <c r="CZ70" i="106" a="1"/>
  <c r="CZ70" i="106" s="1"/>
  <c r="CP51" i="106" a="1"/>
  <c r="CP51" i="106" s="1"/>
  <c r="CV56" i="106" a="1"/>
  <c r="CV56" i="106" s="1"/>
  <c r="CK60" i="106" a="1"/>
  <c r="CK60" i="106" s="1"/>
  <c r="DE63" i="106" a="1"/>
  <c r="DE63" i="106" s="1"/>
  <c r="CU67" i="106" a="1"/>
  <c r="CU67" i="106" s="1"/>
  <c r="CZ49" i="106" a="1"/>
  <c r="CZ49" i="106" s="1"/>
  <c r="DC54" i="106" a="1"/>
  <c r="DC54" i="106" s="1"/>
  <c r="DL58" i="106" a="1"/>
  <c r="DL58" i="106" s="1"/>
  <c r="DF63" i="106" a="1"/>
  <c r="DF63" i="106" s="1"/>
  <c r="DK68" i="106" a="1"/>
  <c r="DK68" i="106" s="1"/>
  <c r="CO49" i="106" a="1"/>
  <c r="CO49" i="106" s="1"/>
  <c r="CR30" i="106" a="1"/>
  <c r="CR30" i="106" s="1"/>
  <c r="CP39" i="106" a="1"/>
  <c r="CP39" i="106" s="1"/>
  <c r="DF30" i="106" a="1"/>
  <c r="DF30" i="106" s="1"/>
  <c r="DD38" i="106" a="1"/>
  <c r="DD38" i="106" s="1"/>
  <c r="DL45" i="106" a="1"/>
  <c r="DL45" i="106" s="1"/>
  <c r="DG35" i="106" a="1"/>
  <c r="DG35" i="106" s="1"/>
  <c r="CR42" i="106" a="1"/>
  <c r="CR42" i="106" s="1"/>
  <c r="CW52" i="106" a="1"/>
  <c r="CW52" i="106" s="1"/>
  <c r="CM34" i="106" a="1"/>
  <c r="CM34" i="106" s="1"/>
  <c r="CV41" i="106" a="1"/>
  <c r="CV41" i="106" s="1"/>
  <c r="DJ27" i="106" a="1"/>
  <c r="DJ27" i="106" s="1"/>
  <c r="CN36" i="106" a="1"/>
  <c r="CN36" i="106" s="1"/>
  <c r="CT42" i="106" a="1"/>
  <c r="CT42" i="106" s="1"/>
  <c r="CI47" i="106" a="1"/>
  <c r="CI47" i="106" s="1"/>
  <c r="CI30" i="106" a="1"/>
  <c r="CI30" i="106" s="1"/>
  <c r="DA35" i="106" a="1"/>
  <c r="DA35" i="106" s="1"/>
  <c r="CQ40" i="106" a="1"/>
  <c r="CQ40" i="106" s="1"/>
  <c r="DG45" i="106" a="1"/>
  <c r="DG45" i="106" s="1"/>
  <c r="DK27" i="106" a="1"/>
  <c r="DK27" i="106" s="1"/>
  <c r="DF36" i="106" a="1"/>
  <c r="DF36" i="106" s="1"/>
  <c r="DI40" i="106" a="1"/>
  <c r="DI40" i="106" s="1"/>
  <c r="CM46" i="106" a="1"/>
  <c r="CM46" i="106" s="1"/>
  <c r="DI31" i="106" a="1"/>
  <c r="DI31" i="106" s="1"/>
  <c r="CP36" i="106" a="1"/>
  <c r="CP36" i="106" s="1"/>
  <c r="CP41" i="106" a="1"/>
  <c r="CP41" i="106" s="1"/>
  <c r="DA27" i="106" a="1"/>
  <c r="DA27" i="106" s="1"/>
  <c r="DC33" i="106" a="1"/>
  <c r="DC33" i="106" s="1"/>
  <c r="CM39" i="106" a="1"/>
  <c r="CM39" i="106" s="1"/>
  <c r="CQ44" i="106" a="1"/>
  <c r="CQ44" i="106" s="1"/>
  <c r="CW31" i="106" a="1"/>
  <c r="CW31" i="106" s="1"/>
  <c r="DL35" i="106" a="1"/>
  <c r="DL35" i="106" s="1"/>
  <c r="CK40" i="106" a="1"/>
  <c r="CK40" i="106" s="1"/>
  <c r="DH45" i="106" a="1"/>
  <c r="DH45" i="106" s="1"/>
  <c r="CO52" i="106" a="1"/>
  <c r="CO52" i="106" s="1"/>
  <c r="DC56" i="106" a="1"/>
  <c r="DC56" i="106" s="1"/>
  <c r="CO61" i="106" a="1"/>
  <c r="CO61" i="106" s="1"/>
  <c r="CV65" i="106" a="1"/>
  <c r="CV65" i="106" s="1"/>
  <c r="DC43" i="106" a="1"/>
  <c r="DC43" i="106" s="1"/>
  <c r="DI51" i="106" a="1"/>
  <c r="DI51" i="106" s="1"/>
  <c r="DL56" i="106" a="1"/>
  <c r="DL56" i="106" s="1"/>
  <c r="CT60" i="106" a="1"/>
  <c r="CT60" i="106" s="1"/>
  <c r="CK64" i="106" a="1"/>
  <c r="CK64" i="106" s="1"/>
  <c r="DB67" i="106" a="1"/>
  <c r="DB67" i="106" s="1"/>
  <c r="DL49" i="106" a="1"/>
  <c r="DL49" i="106" s="1"/>
  <c r="DK54" i="106" a="1"/>
  <c r="DK54" i="106" s="1"/>
  <c r="DH59" i="106" a="1"/>
  <c r="DH59" i="106" s="1"/>
  <c r="DB64" i="106" a="1"/>
  <c r="DB64" i="106" s="1"/>
  <c r="DD69" i="106" a="1"/>
  <c r="DD69" i="106" s="1"/>
  <c r="DA49" i="106" a="1"/>
  <c r="DA49" i="106" s="1"/>
  <c r="DH53" i="106" a="1"/>
  <c r="DH53" i="106" s="1"/>
  <c r="DE58" i="106" a="1"/>
  <c r="DE58" i="106" s="1"/>
  <c r="DG63" i="106" a="1"/>
  <c r="DG63" i="106" s="1"/>
  <c r="DB51" i="106" a="1"/>
  <c r="DB51" i="106" s="1"/>
  <c r="DA57" i="106" a="1"/>
  <c r="DA57" i="106" s="1"/>
  <c r="DD62" i="106" a="1"/>
  <c r="DD62" i="106" s="1"/>
  <c r="DL67" i="106" a="1"/>
  <c r="DL67" i="106" s="1"/>
  <c r="CV72" i="106" a="1"/>
  <c r="CV72" i="106" s="1"/>
  <c r="DD49" i="106" a="1"/>
  <c r="DD49" i="106" s="1"/>
  <c r="CW54" i="106" a="1"/>
  <c r="CW54" i="106" s="1"/>
  <c r="CN60" i="106" a="1"/>
  <c r="CN60" i="106" s="1"/>
  <c r="CU66" i="106" a="1"/>
  <c r="CU66" i="106" s="1"/>
  <c r="CU50" i="106" a="1"/>
  <c r="CU50" i="106" s="1"/>
  <c r="CI55" i="106" a="1"/>
  <c r="CI55" i="106" s="1"/>
  <c r="DJ59" i="106" a="1"/>
  <c r="DJ59" i="106" s="1"/>
  <c r="CL51" i="106" a="1"/>
  <c r="CL51" i="106" s="1"/>
  <c r="DL55" i="106" a="1"/>
  <c r="DL55" i="106" s="1"/>
  <c r="DC59" i="106" a="1"/>
  <c r="DC59" i="106" s="1"/>
  <c r="CM31" i="106" a="1"/>
  <c r="CM31" i="106" s="1"/>
  <c r="CM40" i="106" a="1"/>
  <c r="CM40" i="106" s="1"/>
  <c r="DC31" i="106" a="1"/>
  <c r="DC31" i="106" s="1"/>
  <c r="DL38" i="106" a="1"/>
  <c r="DL38" i="106" s="1"/>
  <c r="CZ25" i="106" a="1"/>
  <c r="CZ25" i="106" s="1"/>
  <c r="CM36" i="106" a="1"/>
  <c r="CM36" i="106" s="1"/>
  <c r="DJ42" i="106" a="1"/>
  <c r="DJ42" i="106" s="1"/>
  <c r="DF52" i="106" a="1"/>
  <c r="DF52" i="106" s="1"/>
  <c r="DD34" i="106" a="1"/>
  <c r="DD34" i="106" s="1"/>
  <c r="CI42" i="106" a="1"/>
  <c r="CI42" i="106" s="1"/>
  <c r="CQ28" i="106" a="1"/>
  <c r="CQ28" i="106" s="1"/>
  <c r="DE36" i="106" a="1"/>
  <c r="DE36" i="106" s="1"/>
  <c r="DC42" i="106" a="1"/>
  <c r="DC42" i="106" s="1"/>
  <c r="CQ47" i="106" a="1"/>
  <c r="CQ47" i="106" s="1"/>
  <c r="DI30" i="106" a="1"/>
  <c r="DI30" i="106" s="1"/>
  <c r="DJ35" i="106" a="1"/>
  <c r="DJ35" i="106" s="1"/>
  <c r="CN41" i="106" a="1"/>
  <c r="CN41" i="106" s="1"/>
  <c r="CL46" i="106" a="1"/>
  <c r="CL46" i="106" s="1"/>
  <c r="DF28" i="106" a="1"/>
  <c r="DF28" i="106" s="1"/>
  <c r="CK37" i="106" a="1"/>
  <c r="CK37" i="106" s="1"/>
  <c r="CO41" i="106" a="1"/>
  <c r="CO41" i="106" s="1"/>
  <c r="CW46" i="106" a="1"/>
  <c r="CW46" i="106" s="1"/>
  <c r="CQ32" i="106" a="1"/>
  <c r="CQ32" i="106" s="1"/>
  <c r="CY36" i="106" a="1"/>
  <c r="CY36" i="106" s="1"/>
  <c r="CY41" i="106" a="1"/>
  <c r="CY41" i="106" s="1"/>
  <c r="CI28" i="106" a="1"/>
  <c r="CI28" i="106" s="1"/>
  <c r="DQ6" i="106" s="1"/>
  <c r="DL33" i="106" a="1"/>
  <c r="DL33" i="106" s="1"/>
  <c r="CU39" i="106" a="1"/>
  <c r="CU39" i="106" s="1"/>
  <c r="DA44" i="106" a="1"/>
  <c r="DA44" i="106" s="1"/>
  <c r="DK31" i="106" a="1"/>
  <c r="DK31" i="106" s="1"/>
  <c r="CR36" i="106" a="1"/>
  <c r="CR36" i="106" s="1"/>
  <c r="CT40" i="106" a="1"/>
  <c r="CT40" i="106" s="1"/>
  <c r="CT46" i="106" a="1"/>
  <c r="CT46" i="106" s="1"/>
  <c r="CX52" i="106" a="1"/>
  <c r="CX52" i="106" s="1"/>
  <c r="CP57" i="106" a="1"/>
  <c r="CP57" i="106" s="1"/>
  <c r="CW61" i="106" a="1"/>
  <c r="CW61" i="106" s="1"/>
  <c r="CI66" i="106" a="1"/>
  <c r="CI66" i="106" s="1"/>
  <c r="DL44" i="106" a="1"/>
  <c r="DL44" i="106" s="1"/>
  <c r="CP52" i="106" a="1"/>
  <c r="CP52" i="106" s="1"/>
  <c r="CQ57" i="106" a="1"/>
  <c r="CQ57" i="106" s="1"/>
  <c r="DC60" i="106" a="1"/>
  <c r="DC60" i="106" s="1"/>
  <c r="CR64" i="106" a="1"/>
  <c r="CR64" i="106" s="1"/>
  <c r="DJ67" i="106" a="1"/>
  <c r="DJ67" i="106" s="1"/>
  <c r="CR50" i="106" a="1"/>
  <c r="CR50" i="106" s="1"/>
  <c r="CP55" i="106" a="1"/>
  <c r="CP55" i="106" s="1"/>
  <c r="CL60" i="106" a="1"/>
  <c r="CL60" i="106" s="1"/>
  <c r="DJ64" i="106" a="1"/>
  <c r="DJ64" i="106" s="1"/>
  <c r="CR70" i="106" a="1"/>
  <c r="CR70" i="106" s="1"/>
  <c r="CI50" i="106" a="1"/>
  <c r="CI50" i="106" s="1"/>
  <c r="CV54" i="106" a="1"/>
  <c r="CV54" i="106" s="1"/>
  <c r="CI59" i="106" a="1"/>
  <c r="CI59" i="106" s="1"/>
  <c r="CR44" i="106" a="1"/>
  <c r="CR44" i="106" s="1"/>
  <c r="CI52" i="106" a="1"/>
  <c r="CI52" i="106" s="1"/>
  <c r="DJ57" i="106" a="1"/>
  <c r="DJ57" i="106" s="1"/>
  <c r="CI63" i="106" a="1"/>
  <c r="CI63" i="106" s="1"/>
  <c r="CO68" i="106" a="1"/>
  <c r="CO68" i="106" s="1"/>
  <c r="DD72" i="106" a="1"/>
  <c r="DD72" i="106" s="1"/>
  <c r="CT50" i="106" a="1"/>
  <c r="CT50" i="106" s="1"/>
  <c r="DE54" i="106" a="1"/>
  <c r="DE54" i="106" s="1"/>
  <c r="CJ61" i="106" a="1"/>
  <c r="CJ61" i="106" s="1"/>
  <c r="CT44" i="106" a="1"/>
  <c r="CT44" i="106" s="1"/>
  <c r="DD50" i="106" a="1"/>
  <c r="DD50" i="106" s="1"/>
  <c r="DB55" i="106" a="1"/>
  <c r="DB55" i="106" s="1"/>
  <c r="CO60" i="106" a="1"/>
  <c r="CO60" i="106" s="1"/>
  <c r="CV51" i="106" a="1"/>
  <c r="CV51" i="106" s="1"/>
  <c r="CQ56" i="106" a="1"/>
  <c r="CQ56" i="106" s="1"/>
  <c r="DK59" i="106" a="1"/>
  <c r="DK59" i="106" s="1"/>
  <c r="CW33" i="106" a="1"/>
  <c r="CW33" i="106" s="1"/>
  <c r="DE40" i="106" a="1"/>
  <c r="DE40" i="106" s="1"/>
  <c r="DI32" i="106" a="1"/>
  <c r="DI32" i="106" s="1"/>
  <c r="CY39" i="106" a="1"/>
  <c r="CY39" i="106" s="1"/>
  <c r="CL29" i="106" a="1"/>
  <c r="CL29" i="106" s="1"/>
  <c r="CV36" i="106" a="1"/>
  <c r="CV36" i="106" s="1"/>
  <c r="DE44" i="106" a="1"/>
  <c r="DE44" i="106" s="1"/>
  <c r="CJ53" i="106" a="1"/>
  <c r="CJ53" i="106" s="1"/>
  <c r="CI35" i="106" a="1"/>
  <c r="CI35" i="106" s="1"/>
  <c r="CS42" i="106" a="1"/>
  <c r="CS42" i="106" s="1"/>
  <c r="DE28" i="106" a="1"/>
  <c r="DE28" i="106" s="1"/>
  <c r="CI37" i="106" a="1"/>
  <c r="CI37" i="106" s="1"/>
  <c r="DK42" i="106" a="1"/>
  <c r="DK42" i="106" s="1"/>
  <c r="CZ47" i="106" a="1"/>
  <c r="CZ47" i="106" s="1"/>
  <c r="CT31" i="106" a="1"/>
  <c r="CT31" i="106" s="1"/>
  <c r="CO36" i="106" a="1"/>
  <c r="CO36" i="106" s="1"/>
  <c r="CX41" i="106" a="1"/>
  <c r="CX41" i="106" s="1"/>
  <c r="CV46" i="106" a="1"/>
  <c r="CV46" i="106" s="1"/>
  <c r="CL30" i="106" a="1"/>
  <c r="CL30" i="106" s="1"/>
  <c r="CT37" i="106" a="1"/>
  <c r="CT37" i="106" s="1"/>
  <c r="DF41" i="106" a="1"/>
  <c r="DF41" i="106" s="1"/>
  <c r="DF46" i="106" a="1"/>
  <c r="DF46" i="106" s="1"/>
  <c r="DC32" i="106" a="1"/>
  <c r="DC32" i="106" s="1"/>
  <c r="DG36" i="106" a="1"/>
  <c r="DG36" i="106" s="1"/>
  <c r="DG41" i="106" a="1"/>
  <c r="DG41" i="106" s="1"/>
  <c r="DH28" i="106" a="1"/>
  <c r="DH28" i="106" s="1"/>
  <c r="CP34" i="106" a="1"/>
  <c r="CP34" i="106" s="1"/>
  <c r="DD39" i="106" a="1"/>
  <c r="DD39" i="106" s="1"/>
  <c r="DJ44" i="106" a="1"/>
  <c r="DJ44" i="106" s="1"/>
  <c r="DE32" i="106" a="1"/>
  <c r="DE32" i="106" s="1"/>
  <c r="CZ36" i="106" a="1"/>
  <c r="CZ36" i="106" s="1"/>
  <c r="DB40" i="106" a="1"/>
  <c r="DB40" i="106" s="1"/>
  <c r="DF47" i="106" a="1"/>
  <c r="DF47" i="106" s="1"/>
  <c r="CM53" i="106" a="1"/>
  <c r="CM53" i="106" s="1"/>
  <c r="CX57" i="106" a="1"/>
  <c r="CX57" i="106" s="1"/>
  <c r="CJ62" i="106" a="1"/>
  <c r="CJ62" i="106" s="1"/>
  <c r="CQ66" i="106" a="1"/>
  <c r="CQ66" i="106" s="1"/>
  <c r="DI45" i="106" a="1"/>
  <c r="DI45" i="106" s="1"/>
  <c r="CY52" i="106" a="1"/>
  <c r="CY52" i="106" s="1"/>
  <c r="CY57" i="106" a="1"/>
  <c r="CY57" i="106" s="1"/>
  <c r="DJ60" i="106" a="1"/>
  <c r="DJ60" i="106" s="1"/>
  <c r="DA64" i="106" a="1"/>
  <c r="DA64" i="106" s="1"/>
  <c r="CI44" i="106" a="1"/>
  <c r="CI44" i="106" s="1"/>
  <c r="CZ50" i="106" a="1"/>
  <c r="CZ50" i="106" s="1"/>
  <c r="CY55" i="106" a="1"/>
  <c r="CY55" i="106" s="1"/>
  <c r="CU60" i="106" a="1"/>
  <c r="CU60" i="106" s="1"/>
  <c r="CO65" i="106" a="1"/>
  <c r="CO65" i="106" s="1"/>
  <c r="DA70" i="106" a="1"/>
  <c r="DA70" i="106" s="1"/>
  <c r="DA50" i="106" a="1"/>
  <c r="DA50" i="106" s="1"/>
  <c r="DD54" i="106" a="1"/>
  <c r="DD54" i="106" s="1"/>
  <c r="CR59" i="106" a="1"/>
  <c r="CR59" i="106" s="1"/>
  <c r="CQ45" i="106" a="1"/>
  <c r="CQ45" i="106" s="1"/>
  <c r="CR52" i="106" a="1"/>
  <c r="CR52" i="106" s="1"/>
  <c r="CO58" i="106" a="1"/>
  <c r="CO58" i="106" s="1"/>
  <c r="CT64" i="106" a="1"/>
  <c r="CT64" i="106" s="1"/>
  <c r="CW68" i="106" a="1"/>
  <c r="CW68" i="106" s="1"/>
  <c r="CJ73" i="106" a="1"/>
  <c r="CJ73" i="106" s="1"/>
  <c r="DB50" i="106" a="1"/>
  <c r="DB50" i="106" s="1"/>
  <c r="CS55" i="106" a="1"/>
  <c r="CS55" i="106" s="1"/>
  <c r="CR61" i="106" a="1"/>
  <c r="CR61" i="106" s="1"/>
  <c r="CS45" i="106" a="1"/>
  <c r="CS45" i="106" s="1"/>
  <c r="CK51" i="106" a="1"/>
  <c r="CK51" i="106" s="1"/>
  <c r="CP56" i="106" a="1"/>
  <c r="CP56" i="106" s="1"/>
  <c r="CW60" i="106" a="1"/>
  <c r="CW60" i="106" s="1"/>
  <c r="CL52" i="106" a="1"/>
  <c r="CL52" i="106" s="1"/>
  <c r="CY56" i="106" a="1"/>
  <c r="CY56" i="106" s="1"/>
  <c r="CP60" i="106" a="1"/>
  <c r="CP60" i="106" s="1"/>
  <c r="DF33" i="106" a="1"/>
  <c r="DF33" i="106" s="1"/>
  <c r="CJ41" i="106" a="1"/>
  <c r="CJ41" i="106" s="1"/>
  <c r="CN33" i="106" a="1"/>
  <c r="CN33" i="106" s="1"/>
  <c r="DH39" i="106" a="1"/>
  <c r="DH39" i="106" s="1"/>
  <c r="DK29" i="106" a="1"/>
  <c r="DK29" i="106" s="1"/>
  <c r="DD36" i="106" a="1"/>
  <c r="DD36" i="106" s="1"/>
  <c r="CL45" i="106" a="1"/>
  <c r="CL45" i="106" s="1"/>
  <c r="DE25" i="106" a="1"/>
  <c r="DE25" i="106" s="1"/>
  <c r="DL36" i="106" a="1"/>
  <c r="DL36" i="106" s="1"/>
  <c r="DB42" i="106" a="1"/>
  <c r="DB42" i="106" s="1"/>
  <c r="CM29" i="106" a="1"/>
  <c r="CM29" i="106" s="1"/>
  <c r="DJ37" i="106" a="1"/>
  <c r="DJ37" i="106" s="1"/>
  <c r="CO43" i="106" a="1"/>
  <c r="CO43" i="106" s="1"/>
  <c r="CM48" i="106" a="1"/>
  <c r="CM48" i="106" s="1"/>
  <c r="CO32" i="106" a="1"/>
  <c r="CO32" i="106" s="1"/>
  <c r="CX36" i="106" a="1"/>
  <c r="CX36" i="106" s="1"/>
  <c r="CJ42" i="106" a="1"/>
  <c r="CJ42" i="106" s="1"/>
  <c r="CR47" i="106" a="1"/>
  <c r="CR47" i="106" s="1"/>
  <c r="CY30" i="106" a="1"/>
  <c r="CY30" i="106" s="1"/>
  <c r="DC37" i="106" a="1"/>
  <c r="DC37" i="106" s="1"/>
  <c r="CK42" i="106" a="1"/>
  <c r="CK42" i="106" s="1"/>
  <c r="CJ47" i="106" a="1"/>
  <c r="CJ47" i="106" s="1"/>
  <c r="CJ33" i="106" a="1"/>
  <c r="CJ33" i="106" s="1"/>
  <c r="CL37" i="106" a="1"/>
  <c r="CL37" i="106" s="1"/>
  <c r="CL42" i="106" a="1"/>
  <c r="CL42" i="106" s="1"/>
  <c r="CS29" i="106" a="1"/>
  <c r="CS29" i="106" s="1"/>
  <c r="DG34" i="106" a="1"/>
  <c r="DG34" i="106" s="1"/>
  <c r="CS40" i="106" a="1"/>
  <c r="CS40" i="106" s="1"/>
  <c r="CP45" i="106" a="1"/>
  <c r="CP45" i="106" s="1"/>
  <c r="CL33" i="106" a="1"/>
  <c r="CL33" i="106" s="1"/>
  <c r="CM37" i="106" a="1"/>
  <c r="CM37" i="106" s="1"/>
  <c r="DL40" i="106" a="1"/>
  <c r="DL40" i="106" s="1"/>
  <c r="CO48" i="106" a="1"/>
  <c r="CO48" i="106" s="1"/>
  <c r="CX53" i="106" a="1"/>
  <c r="CX53" i="106" s="1"/>
  <c r="DG57" i="106" a="1"/>
  <c r="DG57" i="106" s="1"/>
  <c r="CR62" i="106" a="1"/>
  <c r="CR62" i="106" s="1"/>
  <c r="DH66" i="106" a="1"/>
  <c r="DH66" i="106" s="1"/>
  <c r="CX46" i="106" a="1"/>
  <c r="CX46" i="106" s="1"/>
  <c r="DH52" i="106" a="1"/>
  <c r="DH52" i="106" s="1"/>
  <c r="DH57" i="106" a="1"/>
  <c r="DH57" i="106" s="1"/>
  <c r="CP61" i="106" a="1"/>
  <c r="CP61" i="106" s="1"/>
  <c r="DI64" i="106" a="1"/>
  <c r="DI64" i="106" s="1"/>
  <c r="CJ45" i="106" a="1"/>
  <c r="CJ45" i="106" s="1"/>
  <c r="DK50" i="106" a="1"/>
  <c r="DK50" i="106" s="1"/>
  <c r="DI55" i="106" a="1"/>
  <c r="DI55" i="106" s="1"/>
  <c r="DD60" i="106" a="1"/>
  <c r="DD60" i="106" s="1"/>
  <c r="CX65" i="106" a="1"/>
  <c r="CX65" i="106" s="1"/>
  <c r="DJ70" i="106" a="1"/>
  <c r="DJ70" i="106" s="1"/>
  <c r="DL50" i="106" a="1"/>
  <c r="DL50" i="106" s="1"/>
  <c r="CQ55" i="106" a="1"/>
  <c r="CQ55" i="106" s="1"/>
  <c r="CY59" i="106" a="1"/>
  <c r="CY59" i="106" s="1"/>
  <c r="CZ46" i="106" a="1"/>
  <c r="CZ46" i="106" s="1"/>
  <c r="CQ53" i="106" a="1"/>
  <c r="CQ53" i="106" s="1"/>
  <c r="CZ59" i="106" a="1"/>
  <c r="CZ59" i="106" s="1"/>
  <c r="DC64" i="106" a="1"/>
  <c r="DC64" i="106" s="1"/>
  <c r="DE68" i="106" a="1"/>
  <c r="DE68" i="106" s="1"/>
  <c r="CT73" i="106" a="1"/>
  <c r="CT73" i="106" s="1"/>
  <c r="CU51" i="106" a="1"/>
  <c r="CU51" i="106" s="1"/>
  <c r="DK55" i="106" a="1"/>
  <c r="DK55" i="106" s="1"/>
  <c r="DA61" i="106" a="1"/>
  <c r="DA61" i="106" s="1"/>
  <c r="CN46" i="106" a="1"/>
  <c r="CN46" i="106" s="1"/>
  <c r="DD51" i="106" a="1"/>
  <c r="DD51" i="106" s="1"/>
  <c r="DH56" i="106" a="1"/>
  <c r="DH56" i="106" s="1"/>
  <c r="CZ44" i="106" a="1"/>
  <c r="CZ44" i="106" s="1"/>
  <c r="CT52" i="106" a="1"/>
  <c r="CT52" i="106" s="1"/>
  <c r="DI56" i="106" a="1"/>
  <c r="DI56" i="106" s="1"/>
  <c r="CX60" i="106" a="1"/>
  <c r="CX60" i="106" s="1"/>
  <c r="CZ53" i="106" a="1"/>
  <c r="CZ53" i="106" s="1"/>
  <c r="DK47" i="106" a="1"/>
  <c r="DK47" i="106" s="1"/>
  <c r="CK59" i="106" a="1"/>
  <c r="CK59" i="106" s="1"/>
  <c r="CJ48" i="106" a="1"/>
  <c r="CJ48" i="106" s="1"/>
  <c r="CP54" i="106" a="1"/>
  <c r="CP54" i="106" s="1"/>
  <c r="CX62" i="106" a="1"/>
  <c r="CX62" i="106" s="1"/>
  <c r="CX48" i="106" a="1"/>
  <c r="CX48" i="106" s="1"/>
  <c r="DE57" i="106" a="1"/>
  <c r="DE57" i="106" s="1"/>
  <c r="CT65" i="106" a="1"/>
  <c r="CT65" i="106" s="1"/>
  <c r="DE52" i="106" a="1"/>
  <c r="DE52" i="106" s="1"/>
  <c r="DE59" i="106" a="1"/>
  <c r="DE59" i="106" s="1"/>
  <c r="CS47" i="106" a="1"/>
  <c r="CS47" i="106" s="1"/>
  <c r="CT56" i="106" a="1"/>
  <c r="CT56" i="106" s="1"/>
  <c r="CY66" i="106" a="1"/>
  <c r="CY66" i="106" s="1"/>
  <c r="CS74" i="106" a="1"/>
  <c r="CS74" i="106" s="1"/>
  <c r="DA78" i="106" a="1"/>
  <c r="DA78" i="106" s="1"/>
  <c r="CR63" i="106" a="1"/>
  <c r="CR63" i="106" s="1"/>
  <c r="CW71" i="106" a="1"/>
  <c r="CW71" i="106" s="1"/>
  <c r="CY77" i="106" a="1"/>
  <c r="CY77" i="106" s="1"/>
  <c r="DE64" i="106" a="1"/>
  <c r="DE64" i="106" s="1"/>
  <c r="DH72" i="106" a="1"/>
  <c r="DH72" i="106" s="1"/>
  <c r="CZ77" i="106" a="1"/>
  <c r="CZ77" i="106" s="1"/>
  <c r="CK66" i="106" a="1"/>
  <c r="CK66" i="106" s="1"/>
  <c r="DI71" i="106" a="1"/>
  <c r="DI71" i="106" s="1"/>
  <c r="CX76" i="106" a="1"/>
  <c r="CX76" i="106" s="1"/>
  <c r="DB4" i="106" a="1"/>
  <c r="DB4" i="106" s="1"/>
  <c r="DD68" i="106" a="1"/>
  <c r="DD68" i="106" s="1"/>
  <c r="CY73" i="106" a="1"/>
  <c r="CY73" i="106" s="1"/>
  <c r="CP79" i="106" a="1"/>
  <c r="CP79" i="106" s="1"/>
  <c r="CJ69" i="106" a="1"/>
  <c r="CJ69" i="106" s="1"/>
  <c r="CJ75" i="106" a="1"/>
  <c r="CJ75" i="106" s="1"/>
  <c r="DH79" i="106" a="1"/>
  <c r="DH79" i="106" s="1"/>
  <c r="CW78" i="106" a="1"/>
  <c r="CW78" i="106" s="1"/>
  <c r="CN70" i="106" a="1"/>
  <c r="CN70" i="106" s="1"/>
  <c r="DG74" i="106" a="1"/>
  <c r="DG74" i="106" s="1"/>
  <c r="CQ79" i="106" a="1"/>
  <c r="CQ79" i="106" s="1"/>
  <c r="CN64" i="106" a="1"/>
  <c r="CN64" i="106" s="1"/>
  <c r="DD71" i="106" a="1"/>
  <c r="DD71" i="106" s="1"/>
  <c r="DE75" i="106" a="1"/>
  <c r="DE75" i="106" s="1"/>
  <c r="CW66" i="106" a="1"/>
  <c r="CW66" i="106" s="1"/>
  <c r="DD73" i="106" a="1"/>
  <c r="DD73" i="106" s="1"/>
  <c r="DF78" i="106" a="1"/>
  <c r="DF78" i="106" s="1"/>
  <c r="CW67" i="106" a="1"/>
  <c r="CW67" i="106" s="1"/>
  <c r="CK73" i="106" a="1"/>
  <c r="CK73" i="106" s="1"/>
  <c r="CI78" i="106" a="1"/>
  <c r="CI78" i="106" s="1"/>
  <c r="CK67" i="106" a="1"/>
  <c r="CK67" i="106" s="1"/>
  <c r="CV58" i="106" a="1"/>
  <c r="CV58" i="106" s="1"/>
  <c r="CQ49" i="106" a="1"/>
  <c r="CQ49" i="106" s="1"/>
  <c r="DB59" i="106" a="1"/>
  <c r="DB59" i="106" s="1"/>
  <c r="CW48" i="106" a="1"/>
  <c r="CW48" i="106" s="1"/>
  <c r="CU55" i="106" a="1"/>
  <c r="CU55" i="106" s="1"/>
  <c r="DG62" i="106" a="1"/>
  <c r="DG62" i="106" s="1"/>
  <c r="CU49" i="106" a="1"/>
  <c r="CU49" i="106" s="1"/>
  <c r="CZ58" i="106" a="1"/>
  <c r="CZ58" i="106" s="1"/>
  <c r="DK65" i="106" a="1"/>
  <c r="DK65" i="106" s="1"/>
  <c r="CK53" i="106" a="1"/>
  <c r="CK53" i="106" s="1"/>
  <c r="CR60" i="106" a="1"/>
  <c r="CR60" i="106" s="1"/>
  <c r="CK49" i="106" a="1"/>
  <c r="CK49" i="106" s="1"/>
  <c r="DK56" i="106" a="1"/>
  <c r="DK56" i="106" s="1"/>
  <c r="DG66" i="106" a="1"/>
  <c r="DG66" i="106" s="1"/>
  <c r="DK74" i="106" a="1"/>
  <c r="DK74" i="106" s="1"/>
  <c r="DH78" i="106" a="1"/>
  <c r="DH78" i="106" s="1"/>
  <c r="DD64" i="106" a="1"/>
  <c r="DD64" i="106" s="1"/>
  <c r="CW72" i="106" a="1"/>
  <c r="CW72" i="106" s="1"/>
  <c r="CS78" i="106" a="1"/>
  <c r="CS78" i="106" s="1"/>
  <c r="DI65" i="106" a="1"/>
  <c r="DI65" i="106" s="1"/>
  <c r="CO73" i="106" a="1"/>
  <c r="CO73" i="106" s="1"/>
  <c r="CK78" i="106" a="1"/>
  <c r="CK78" i="106" s="1"/>
  <c r="CP67" i="106" a="1"/>
  <c r="CP67" i="106" s="1"/>
  <c r="CY72" i="106" a="1"/>
  <c r="CY72" i="106" s="1"/>
  <c r="DF76" i="106" a="1"/>
  <c r="DF76" i="106" s="1"/>
  <c r="CR4" i="106" a="1"/>
  <c r="CR4" i="106" s="1"/>
  <c r="DE69" i="106" a="1"/>
  <c r="DE69" i="106" s="1"/>
  <c r="CN74" i="106" a="1"/>
  <c r="CN74" i="106" s="1"/>
  <c r="DC4" i="106" a="1"/>
  <c r="DC4" i="106" s="1"/>
  <c r="CT69" i="106" a="1"/>
  <c r="CT69" i="106" s="1"/>
  <c r="CT75" i="106" a="1"/>
  <c r="CT75" i="106" s="1"/>
  <c r="DK4" i="106" a="1"/>
  <c r="DK4" i="106" s="1"/>
  <c r="CU4" i="106" a="1"/>
  <c r="CU4" i="106" s="1"/>
  <c r="CI71" i="106" a="1"/>
  <c r="CI71" i="106" s="1"/>
  <c r="DC75" i="106" a="1"/>
  <c r="DC75" i="106" s="1"/>
  <c r="DL4" i="106" a="1"/>
  <c r="DL4" i="106" s="1"/>
  <c r="CR65" i="106" a="1"/>
  <c r="CR65" i="106" s="1"/>
  <c r="CJ72" i="106" a="1"/>
  <c r="CJ72" i="106" s="1"/>
  <c r="CJ76" i="106" a="1"/>
  <c r="CJ76" i="106" s="1"/>
  <c r="CJ67" i="106" a="1"/>
  <c r="CJ67" i="106" s="1"/>
  <c r="CI74" i="106" a="1"/>
  <c r="CI74" i="106" s="1"/>
  <c r="CS79" i="106" a="1"/>
  <c r="CS79" i="106" s="1"/>
  <c r="DG67" i="106" a="1"/>
  <c r="DG67" i="106" s="1"/>
  <c r="CU73" i="106" a="1"/>
  <c r="CU73" i="106" s="1"/>
  <c r="CY78" i="106" a="1"/>
  <c r="CY78" i="106" s="1"/>
  <c r="CX67" i="106" a="1"/>
  <c r="CX67" i="106" s="1"/>
  <c r="DF73" i="106" a="1"/>
  <c r="DF73" i="106" s="1"/>
  <c r="CQ78" i="106" a="1"/>
  <c r="CQ78" i="106" s="1"/>
  <c r="CV75" i="106" a="1"/>
  <c r="CV75" i="106" s="1"/>
  <c r="CQ74" i="106" a="1"/>
  <c r="CQ74" i="106" s="1"/>
  <c r="CP69" i="106" a="1"/>
  <c r="CP69" i="106" s="1"/>
  <c r="DJ69" i="106" a="1"/>
  <c r="DJ69" i="106" s="1"/>
  <c r="CZ69" i="106" a="1"/>
  <c r="CZ69" i="106" s="1"/>
  <c r="CS73" i="106" a="1"/>
  <c r="CS73" i="106" s="1"/>
  <c r="DK79" i="106" a="1"/>
  <c r="DK79" i="106" s="1"/>
  <c r="CO75" i="106" a="1"/>
  <c r="CO75" i="106" s="1"/>
  <c r="CY63" i="106" a="1"/>
  <c r="CY63" i="106" s="1"/>
  <c r="DI53" i="106" a="1"/>
  <c r="DI53" i="106" s="1"/>
  <c r="CV50" i="106" a="1"/>
  <c r="CV50" i="106" s="1"/>
  <c r="DJ48" i="106" a="1"/>
  <c r="DJ48" i="106" s="1"/>
  <c r="DC55" i="106" a="1"/>
  <c r="DC55" i="106" s="1"/>
  <c r="CL63" i="106" a="1"/>
  <c r="CL63" i="106" s="1"/>
  <c r="CN50" i="106" a="1"/>
  <c r="CN50" i="106" s="1"/>
  <c r="DI58" i="106" a="1"/>
  <c r="DI58" i="106" s="1"/>
  <c r="CO66" i="106" a="1"/>
  <c r="CO66" i="106" s="1"/>
  <c r="DE53" i="106" a="1"/>
  <c r="DE53" i="106" s="1"/>
  <c r="DA60" i="106" a="1"/>
  <c r="DA60" i="106" s="1"/>
  <c r="DI49" i="106" a="1"/>
  <c r="DI49" i="106" s="1"/>
  <c r="CO57" i="106" a="1"/>
  <c r="CO57" i="106" s="1"/>
  <c r="DF65" i="106" a="1"/>
  <c r="DF65" i="106" s="1"/>
  <c r="CP75" i="106" a="1"/>
  <c r="CP75" i="106" s="1"/>
  <c r="CV79" i="106" a="1"/>
  <c r="CV79" i="106" s="1"/>
  <c r="DC66" i="106" a="1"/>
  <c r="DC66" i="106" s="1"/>
  <c r="DG72" i="106" a="1"/>
  <c r="DG72" i="106" s="1"/>
  <c r="CM79" i="106" a="1"/>
  <c r="CM79" i="106" s="1"/>
  <c r="DD66" i="106" a="1"/>
  <c r="DD66" i="106" s="1"/>
  <c r="CW73" i="106" a="1"/>
  <c r="CW73" i="106" s="1"/>
  <c r="CT78" i="106" a="1"/>
  <c r="CT78" i="106" s="1"/>
  <c r="CI68" i="106" a="1"/>
  <c r="CI68" i="106" s="1"/>
  <c r="DI72" i="106" a="1"/>
  <c r="DI72" i="106" s="1"/>
  <c r="CJ77" i="106" a="1"/>
  <c r="CJ77" i="106" s="1"/>
  <c r="CR73" i="106" a="1"/>
  <c r="CR73" i="106" s="1"/>
  <c r="CM70" i="106" a="1"/>
  <c r="CM70" i="106" s="1"/>
  <c r="DE74" i="106" a="1"/>
  <c r="DE74" i="106" s="1"/>
  <c r="DB73" i="106" a="1"/>
  <c r="DB73" i="106" s="1"/>
  <c r="DF69" i="106" a="1"/>
  <c r="DF69" i="106" s="1"/>
  <c r="DK75" i="106" a="1"/>
  <c r="DK75" i="106" s="1"/>
  <c r="CS4" i="106" a="1"/>
  <c r="CS4" i="106" s="1"/>
  <c r="CV62" i="106" a="1"/>
  <c r="CV62" i="106" s="1"/>
  <c r="CS71" i="106" a="1"/>
  <c r="CS71" i="106" s="1"/>
  <c r="DL75" i="106" a="1"/>
  <c r="DL75" i="106" s="1"/>
  <c r="DE4" i="106" a="1"/>
  <c r="DE4" i="106" s="1"/>
  <c r="CV66" i="106" a="1"/>
  <c r="CV66" i="106" s="1"/>
  <c r="CS72" i="106" a="1"/>
  <c r="CS72" i="106" s="1"/>
  <c r="CS76" i="106" a="1"/>
  <c r="CS76" i="106" s="1"/>
  <c r="CV67" i="106" a="1"/>
  <c r="CV67" i="106" s="1"/>
  <c r="CM75" i="106" a="1"/>
  <c r="CM75" i="106" s="1"/>
  <c r="DB79" i="106" a="1"/>
  <c r="DB79" i="106" s="1"/>
  <c r="DH68" i="106" a="1"/>
  <c r="DH68" i="106" s="1"/>
  <c r="DE73" i="106" a="1"/>
  <c r="DE73" i="106" s="1"/>
  <c r="CJ79" i="106" a="1"/>
  <c r="CJ79" i="106" s="1"/>
  <c r="CZ68" i="106" a="1"/>
  <c r="CZ68" i="106" s="1"/>
  <c r="CJ74" i="106" a="1"/>
  <c r="CJ74" i="106" s="1"/>
  <c r="CZ78" i="106" a="1"/>
  <c r="CZ78" i="106" s="1"/>
  <c r="DI76" i="106" a="1"/>
  <c r="DI76" i="106" s="1"/>
  <c r="CL4" i="106" a="1"/>
  <c r="CL4" i="106" s="1"/>
  <c r="CT79" i="106" a="1"/>
  <c r="CT79" i="106" s="1"/>
  <c r="DG78" i="106" a="1"/>
  <c r="DG78" i="106" s="1"/>
  <c r="DA74" i="106" a="1"/>
  <c r="DA74" i="106" s="1"/>
  <c r="DL79" i="106" a="1"/>
  <c r="DL79" i="106" s="1"/>
  <c r="CT76" i="106" a="1"/>
  <c r="CT76" i="106" s="1"/>
  <c r="DI74" i="106" a="1"/>
  <c r="DI74" i="106" s="1"/>
  <c r="DF77" i="106" a="1"/>
  <c r="DF77" i="106" s="1"/>
  <c r="CT51" i="106" a="1"/>
  <c r="CT51" i="106" s="1"/>
  <c r="CN54" i="106" a="1"/>
  <c r="CN54" i="106" s="1"/>
  <c r="DE50" i="106" a="1"/>
  <c r="DE50" i="106" s="1"/>
  <c r="CT49" i="106" a="1"/>
  <c r="CT49" i="106" s="1"/>
  <c r="CV57" i="106" a="1"/>
  <c r="CV57" i="106" s="1"/>
  <c r="CS63" i="106" a="1"/>
  <c r="CS63" i="106" s="1"/>
  <c r="CW51" i="106" a="1"/>
  <c r="CW51" i="106" s="1"/>
  <c r="CM59" i="106" a="1"/>
  <c r="CM59" i="106" s="1"/>
  <c r="CR46" i="106" a="1"/>
  <c r="CR46" i="106" s="1"/>
  <c r="DL53" i="106" a="1"/>
  <c r="DL53" i="106" s="1"/>
  <c r="CM63" i="106" a="1"/>
  <c r="CM63" i="106" s="1"/>
  <c r="DI50" i="106" a="1"/>
  <c r="DI50" i="106" s="1"/>
  <c r="CO59" i="106" a="1"/>
  <c r="CO59" i="106" s="1"/>
  <c r="CY67" i="106" a="1"/>
  <c r="CY67" i="106" s="1"/>
  <c r="DD76" i="106" a="1"/>
  <c r="DD76" i="106" s="1"/>
  <c r="DG4" i="106" a="1"/>
  <c r="DG4" i="106" s="1"/>
  <c r="CN67" i="106" a="1"/>
  <c r="CN67" i="106" s="1"/>
  <c r="CN73" i="106" a="1"/>
  <c r="CN73" i="106" s="1"/>
  <c r="DE79" i="106" a="1"/>
  <c r="DE79" i="106" s="1"/>
  <c r="CZ67" i="106" a="1"/>
  <c r="CZ67" i="106" s="1"/>
  <c r="CL74" i="106" a="1"/>
  <c r="CL74" i="106" s="1"/>
  <c r="DF79" i="106" a="1"/>
  <c r="DF79" i="106" s="1"/>
  <c r="CS68" i="106" a="1"/>
  <c r="CS68" i="106" s="1"/>
  <c r="CX73" i="106" a="1"/>
  <c r="CX73" i="106" s="1"/>
  <c r="DH77" i="106" a="1"/>
  <c r="DH77" i="106" s="1"/>
  <c r="DD75" i="106" a="1"/>
  <c r="DD75" i="106" s="1"/>
  <c r="CX70" i="106" a="1"/>
  <c r="CX70" i="106" s="1"/>
  <c r="CS75" i="106" a="1"/>
  <c r="CS75" i="106" s="1"/>
  <c r="CM77" i="106" a="1"/>
  <c r="CM77" i="106" s="1"/>
  <c r="CY70" i="106" a="1"/>
  <c r="CY70" i="106" s="1"/>
  <c r="CP76" i="106" a="1"/>
  <c r="CP76" i="106" s="1"/>
  <c r="DD4" i="106" a="1"/>
  <c r="DD4" i="106" s="1"/>
  <c r="CL64" i="106" a="1"/>
  <c r="CL64" i="106" s="1"/>
  <c r="DL71" i="106" a="1"/>
  <c r="DL71" i="106" s="1"/>
  <c r="CQ76" i="106" a="1"/>
  <c r="CQ76" i="106" s="1"/>
  <c r="CQ65" i="106" a="1"/>
  <c r="CQ65" i="106" s="1"/>
  <c r="CI67" i="106" a="1"/>
  <c r="CI67" i="106" s="1"/>
  <c r="DB72" i="106" a="1"/>
  <c r="DB72" i="106" s="1"/>
  <c r="CY68" i="106" a="1"/>
  <c r="CY68" i="106" s="1"/>
  <c r="CO69" i="106" a="1"/>
  <c r="CO69" i="106" s="1"/>
  <c r="CR74" i="106" a="1"/>
  <c r="CR74" i="106" s="1"/>
  <c r="DC79" i="106" a="1"/>
  <c r="DC79" i="106" s="1"/>
  <c r="DF67" i="106" a="1"/>
  <c r="DF67" i="106" s="1"/>
  <c r="CS70" i="106" a="1"/>
  <c r="CS70" i="106" s="1"/>
  <c r="CJ57" i="106" a="1"/>
  <c r="CJ57" i="106" s="1"/>
  <c r="CS59" i="106" a="1"/>
  <c r="CS59" i="106" s="1"/>
  <c r="CT53" i="106" a="1"/>
  <c r="CT53" i="106" s="1"/>
  <c r="DF49" i="106" a="1"/>
  <c r="DF49" i="106" s="1"/>
  <c r="DD57" i="106" a="1"/>
  <c r="DD57" i="106" s="1"/>
  <c r="DJ63" i="106" a="1"/>
  <c r="DJ63" i="106" s="1"/>
  <c r="DF51" i="106" a="1"/>
  <c r="DF51" i="106" s="1"/>
  <c r="DL59" i="106" a="1"/>
  <c r="DL59" i="106" s="1"/>
  <c r="DH46" i="106" a="1"/>
  <c r="DH46" i="106" s="1"/>
  <c r="CQ54" i="106" a="1"/>
  <c r="CQ54" i="106" s="1"/>
  <c r="CU63" i="106" a="1"/>
  <c r="CU63" i="106" s="1"/>
  <c r="CO51" i="106" a="1"/>
  <c r="CO51" i="106" s="1"/>
  <c r="DI60" i="106" a="1"/>
  <c r="DI60" i="106" s="1"/>
  <c r="DH67" i="106" a="1"/>
  <c r="DH67" i="106" s="1"/>
  <c r="DL76" i="106" a="1"/>
  <c r="DL76" i="106" s="1"/>
  <c r="CZ4" i="106" a="1"/>
  <c r="CZ4" i="106" s="1"/>
  <c r="CQ68" i="106" a="1"/>
  <c r="CQ68" i="106" s="1"/>
  <c r="DG73" i="106" a="1"/>
  <c r="DG73" i="106" s="1"/>
  <c r="CN79" i="106" a="1"/>
  <c r="CN79" i="106" s="1"/>
  <c r="CR68" i="106" a="1"/>
  <c r="CR68" i="106" s="1"/>
  <c r="CU74" i="106" a="1"/>
  <c r="CU74" i="106" s="1"/>
  <c r="DA4" i="106" a="1"/>
  <c r="DA4" i="106" s="1"/>
  <c r="CI69" i="106" a="1"/>
  <c r="CI69" i="106" s="1"/>
  <c r="DH73" i="106" a="1"/>
  <c r="DH73" i="106" s="1"/>
  <c r="CL78" i="106" a="1"/>
  <c r="CL78" i="106" s="1"/>
  <c r="CU77" i="106" a="1"/>
  <c r="CU77" i="106" s="1"/>
  <c r="DK70" i="106" a="1"/>
  <c r="DK70" i="106" s="1"/>
  <c r="DB75" i="106" a="1"/>
  <c r="DB75" i="106" s="1"/>
  <c r="DJ79" i="106" a="1"/>
  <c r="DJ79" i="106" s="1"/>
  <c r="CR71" i="106" a="1"/>
  <c r="CR71" i="106" s="1"/>
  <c r="CZ76" i="106" a="1"/>
  <c r="CZ76" i="106" s="1"/>
  <c r="CT4" i="106" a="1"/>
  <c r="CT4" i="106" s="1"/>
  <c r="CN66" i="106" a="1"/>
  <c r="CN66" i="106" s="1"/>
  <c r="CQ72" i="106" a="1"/>
  <c r="CQ72" i="106" s="1"/>
  <c r="DH76" i="106" a="1"/>
  <c r="DH76" i="106" s="1"/>
  <c r="DL66" i="106" a="1"/>
  <c r="DL66" i="106" s="1"/>
  <c r="CT67" i="106" a="1"/>
  <c r="CT67" i="106" s="1"/>
  <c r="CI73" i="106" a="1"/>
  <c r="CI73" i="106" s="1"/>
  <c r="CN77" i="106" a="1"/>
  <c r="CN77" i="106" s="1"/>
  <c r="CN69" i="106" a="1"/>
  <c r="CN69" i="106" s="1"/>
  <c r="DF75" i="106" a="1"/>
  <c r="DF75" i="106" s="1"/>
  <c r="CV4" i="106" a="1"/>
  <c r="CV4" i="106" s="1"/>
  <c r="DJ74" i="106" a="1"/>
  <c r="DJ74" i="106" s="1"/>
  <c r="DC77" i="106" a="1"/>
  <c r="DC77" i="106" s="1"/>
  <c r="DK69" i="106" a="1"/>
  <c r="DK69" i="106" s="1"/>
  <c r="CS57" i="106" a="1"/>
  <c r="CS57" i="106" s="1"/>
  <c r="DA59" i="106" a="1"/>
  <c r="DA59" i="106" s="1"/>
  <c r="CJ55" i="106" a="1"/>
  <c r="CJ55" i="106" s="1"/>
  <c r="DF50" i="106" a="1"/>
  <c r="DF50" i="106" s="1"/>
  <c r="CI58" i="106" a="1"/>
  <c r="CI58" i="106" s="1"/>
  <c r="CX64" i="106" a="1"/>
  <c r="CX64" i="106" s="1"/>
  <c r="CV53" i="106" a="1"/>
  <c r="CV53" i="106" s="1"/>
  <c r="DH60" i="106" a="1"/>
  <c r="DH60" i="106" s="1"/>
  <c r="DD47" i="106" a="1"/>
  <c r="DD47" i="106" s="1"/>
  <c r="CW55" i="106" a="1"/>
  <c r="CW55" i="106" s="1"/>
  <c r="DL63" i="106" a="1"/>
  <c r="DL63" i="106" s="1"/>
  <c r="DG52" i="106" a="1"/>
  <c r="DG52" i="106" s="1"/>
  <c r="CN61" i="106" a="1"/>
  <c r="CN61" i="106" s="1"/>
  <c r="DJ68" i="106" a="1"/>
  <c r="DJ68" i="106" s="1"/>
  <c r="CP77" i="106" a="1"/>
  <c r="CP77" i="106" s="1"/>
  <c r="CW79" i="106" a="1"/>
  <c r="CW79" i="106" s="1"/>
  <c r="DA68" i="106" a="1"/>
  <c r="DA68" i="106" s="1"/>
  <c r="CK74" i="106" a="1"/>
  <c r="CK74" i="106" s="1"/>
  <c r="DH4" i="106" a="1"/>
  <c r="DH4" i="106" s="1"/>
  <c r="CR69" i="106" a="1"/>
  <c r="CR69" i="106" s="1"/>
  <c r="DC74" i="106" a="1"/>
  <c r="DC74" i="106" s="1"/>
  <c r="CO70" i="106" a="1"/>
  <c r="CO70" i="106" s="1"/>
  <c r="CS69" i="106" a="1"/>
  <c r="CS69" i="106" s="1"/>
  <c r="CM74" i="106" a="1"/>
  <c r="CM74" i="106" s="1"/>
  <c r="DB78" i="106" a="1"/>
  <c r="DB78" i="106" s="1"/>
  <c r="DE78" i="106" a="1"/>
  <c r="DE78" i="106" s="1"/>
  <c r="CQ71" i="106" a="1"/>
  <c r="CQ71" i="106" s="1"/>
  <c r="DJ75" i="106" a="1"/>
  <c r="DJ75" i="106" s="1"/>
  <c r="CO62" i="106" a="1"/>
  <c r="CO62" i="106" s="1"/>
  <c r="DB71" i="106" a="1"/>
  <c r="DB71" i="106" s="1"/>
  <c r="CK77" i="106" a="1"/>
  <c r="CK77" i="106" s="1"/>
  <c r="CW62" i="106" a="1"/>
  <c r="CW62" i="106" s="1"/>
  <c r="CS67" i="106" a="1"/>
  <c r="CS67" i="106" s="1"/>
  <c r="DA72" i="106" a="1"/>
  <c r="DA72" i="106" s="1"/>
  <c r="CL77" i="106" a="1"/>
  <c r="CL77" i="106" s="1"/>
  <c r="CV68" i="106" a="1"/>
  <c r="CV68" i="106" s="1"/>
  <c r="CY69" i="106" a="1"/>
  <c r="CY69" i="106" s="1"/>
  <c r="CM4" i="106" a="1"/>
  <c r="CM4" i="106" s="1"/>
  <c r="CW77" i="106" a="1"/>
  <c r="CW77" i="106" s="1"/>
  <c r="CM62" i="106" a="1"/>
  <c r="CM62" i="106" s="1"/>
  <c r="DH65" i="106" a="1"/>
  <c r="DH65" i="106" s="1"/>
  <c r="CT55" i="106" a="1"/>
  <c r="CT55" i="106" s="1"/>
  <c r="CM51" i="106" a="1"/>
  <c r="CM51" i="106" s="1"/>
  <c r="CR58" i="106" a="1"/>
  <c r="CR58" i="106" s="1"/>
  <c r="CK65" i="106" a="1"/>
  <c r="CK65" i="106" s="1"/>
  <c r="DD53" i="106" a="1"/>
  <c r="DD53" i="106" s="1"/>
  <c r="CM61" i="106" a="1"/>
  <c r="CM61" i="106" s="1"/>
  <c r="CN48" i="106" a="1"/>
  <c r="CN48" i="106" s="1"/>
  <c r="DE55" i="106" a="1"/>
  <c r="DE55" i="106" s="1"/>
  <c r="CP64" i="106" a="1"/>
  <c r="CP64" i="106" s="1"/>
  <c r="CL53" i="106" a="1"/>
  <c r="CL53" i="106" s="1"/>
  <c r="CV61" i="106" a="1"/>
  <c r="CV61" i="106" s="1"/>
  <c r="DL69" i="106" a="1"/>
  <c r="DL69" i="106" s="1"/>
  <c r="CX77" i="106" a="1"/>
  <c r="CX77" i="106" s="1"/>
  <c r="CP4" i="106" a="1"/>
  <c r="CP4" i="106" s="1"/>
  <c r="CQ69" i="106" a="1"/>
  <c r="CQ69" i="106" s="1"/>
  <c r="CT74" i="106" a="1"/>
  <c r="CT74" i="106" s="1"/>
  <c r="CY79" i="106" a="1"/>
  <c r="CY79" i="106" s="1"/>
  <c r="CK70" i="106" a="1"/>
  <c r="CK70" i="106" s="1"/>
  <c r="CQ75" i="106" a="1"/>
  <c r="CQ75" i="106" s="1"/>
  <c r="CK75" i="106" a="1"/>
  <c r="CK75" i="106" s="1"/>
  <c r="DC69" i="106" a="1"/>
  <c r="DC69" i="106" s="1"/>
  <c r="CV74" i="106" a="1"/>
  <c r="CV74" i="106" s="1"/>
  <c r="DI78" i="106" a="1"/>
  <c r="DI78" i="106" s="1"/>
  <c r="CN62" i="106" a="1"/>
  <c r="CN62" i="106" s="1"/>
  <c r="DA71" i="106" a="1"/>
  <c r="DA71" i="106" s="1"/>
  <c r="CY76" i="106" a="1"/>
  <c r="CY76" i="106" s="1"/>
  <c r="CJ65" i="106" a="1"/>
  <c r="CJ65" i="106" s="1"/>
  <c r="DK71" i="106" a="1"/>
  <c r="DK71" i="106" s="1"/>
  <c r="CT77" i="106" a="1"/>
  <c r="CT77" i="106" s="1"/>
  <c r="CS66" i="106" a="1"/>
  <c r="CS66" i="106" s="1"/>
  <c r="DE67" i="106" a="1"/>
  <c r="DE67" i="106" s="1"/>
  <c r="DL72" i="106" a="1"/>
  <c r="DL72" i="106" s="1"/>
  <c r="DB77" i="106" a="1"/>
  <c r="DB77" i="106" s="1"/>
  <c r="CV69" i="106" a="1"/>
  <c r="CV69" i="106" s="1"/>
  <c r="CL68" i="106" a="1"/>
  <c r="CL68" i="106" s="1"/>
  <c r="DC73" i="106" a="1"/>
  <c r="DC73" i="106" s="1"/>
  <c r="DK77" i="106" a="1"/>
  <c r="DK77" i="106" s="1"/>
  <c r="DI69" i="106" a="1"/>
  <c r="DI69" i="106" s="1"/>
  <c r="DB76" i="106" a="1"/>
  <c r="DB76" i="106" s="1"/>
  <c r="CW4" i="106" a="1"/>
  <c r="CW4" i="106" s="1"/>
  <c r="DD70" i="106" a="1"/>
  <c r="DD70" i="106" s="1"/>
  <c r="CN75" i="106" a="1"/>
  <c r="CN75" i="106" s="1"/>
  <c r="CK79" i="106" a="1"/>
  <c r="CK79" i="106" s="1"/>
  <c r="CT70" i="106" a="1"/>
  <c r="CT70" i="106" s="1"/>
  <c r="CX75" i="106" a="1"/>
  <c r="CX75" i="106" s="1"/>
  <c r="CL72" i="106" a="1"/>
  <c r="CL72" i="106" s="1"/>
  <c r="CU62" i="106" a="1"/>
  <c r="CU62" i="106" s="1"/>
  <c r="CL66" i="106" a="1"/>
  <c r="CL66" i="106" s="1"/>
  <c r="DC57" i="106" a="1"/>
  <c r="DC57" i="106" s="1"/>
  <c r="DD52" i="106" a="1"/>
  <c r="DD52" i="106" s="1"/>
  <c r="CY58" i="106" a="1"/>
  <c r="CY58" i="106" s="1"/>
  <c r="CZ45" i="106" a="1"/>
  <c r="CZ45" i="106" s="1"/>
  <c r="CZ54" i="106" a="1"/>
  <c r="CZ54" i="106" s="1"/>
  <c r="CY62" i="106" a="1"/>
  <c r="CY62" i="106" s="1"/>
  <c r="CY48" i="106" a="1"/>
  <c r="CY48" i="106" s="1"/>
  <c r="CJ58" i="106" a="1"/>
  <c r="CJ58" i="106" s="1"/>
  <c r="CY64" i="106" a="1"/>
  <c r="CY64" i="106" s="1"/>
  <c r="CR54" i="106" a="1"/>
  <c r="CR54" i="106" s="1"/>
  <c r="DE61" i="106" a="1"/>
  <c r="DE61" i="106" s="1"/>
  <c r="DG71" i="106" a="1"/>
  <c r="DG71" i="106" s="1"/>
  <c r="CJ78" i="106" a="1"/>
  <c r="CJ78" i="106" s="1"/>
  <c r="DJ4" i="106" a="1"/>
  <c r="DJ4" i="106" s="1"/>
  <c r="DA69" i="106" a="1"/>
  <c r="DA69" i="106" s="1"/>
  <c r="DL74" i="106" a="1"/>
  <c r="DL74" i="106" s="1"/>
  <c r="CI72" i="106" a="1"/>
  <c r="CI72" i="106" s="1"/>
  <c r="DH70" i="106" a="1"/>
  <c r="DH70" i="106" s="1"/>
  <c r="DA75" i="106" a="1"/>
  <c r="DA75" i="106" s="1"/>
  <c r="CR79" i="106" a="1"/>
  <c r="CR79" i="106" s="1"/>
  <c r="CL70" i="106" a="1"/>
  <c r="CL70" i="106" s="1"/>
  <c r="DD74" i="106" a="1"/>
  <c r="DD74" i="106" s="1"/>
  <c r="CO79" i="106" a="1"/>
  <c r="CO79" i="106" s="1"/>
  <c r="DI63" i="106" a="1"/>
  <c r="DI63" i="106" s="1"/>
  <c r="DJ71" i="106" a="1"/>
  <c r="DJ71" i="106" s="1"/>
  <c r="DG76" i="106" a="1"/>
  <c r="DG76" i="106" s="1"/>
  <c r="CM66" i="106" a="1"/>
  <c r="CM66" i="106" s="1"/>
  <c r="DK72" i="106" a="1"/>
  <c r="DK72" i="106" s="1"/>
  <c r="DI77" i="106" a="1"/>
  <c r="DI77" i="106" s="1"/>
  <c r="CK68" i="106" a="1"/>
  <c r="CK68" i="106" s="1"/>
  <c r="CU68" i="106" a="1"/>
  <c r="CU68" i="106" s="1"/>
  <c r="CQ73" i="106" a="1"/>
  <c r="CQ73" i="106" s="1"/>
  <c r="DJ77" i="106" a="1"/>
  <c r="DJ77" i="106" s="1"/>
  <c r="CT71" i="106" a="1"/>
  <c r="CT71" i="106" s="1"/>
  <c r="CX68" i="106" a="1"/>
  <c r="CX68" i="106" s="1"/>
  <c r="DL73" i="106" a="1"/>
  <c r="DL73" i="106" s="1"/>
  <c r="CO78" i="106" a="1"/>
  <c r="CO78" i="106" s="1"/>
  <c r="CQ70" i="106" a="1"/>
  <c r="CQ70" i="106" s="1"/>
  <c r="DJ76" i="106" a="1"/>
  <c r="DJ76" i="106" s="1"/>
  <c r="DD79" i="106" a="1"/>
  <c r="DD79" i="106" s="1"/>
  <c r="CK71" i="106" a="1"/>
  <c r="CK71" i="106" s="1"/>
  <c r="CW75" i="106" a="1"/>
  <c r="CW75" i="106" s="1"/>
  <c r="CX4" i="106" a="1"/>
  <c r="CX4" i="106" s="1"/>
  <c r="DE70" i="106" a="1"/>
  <c r="DE70" i="106" s="1"/>
  <c r="DG75" i="106" a="1"/>
  <c r="DG75" i="106" s="1"/>
  <c r="CK76" i="106" a="1"/>
  <c r="CK76" i="106" s="1"/>
  <c r="CL71" i="106" a="1"/>
  <c r="CL71" i="106" s="1"/>
  <c r="CK63" i="106" a="1"/>
  <c r="CK63" i="106" s="1"/>
  <c r="DK76" i="106" a="1"/>
  <c r="DK76" i="106" s="1"/>
  <c r="CO67" i="106" a="1"/>
  <c r="CO67" i="106" s="1"/>
  <c r="DE49" i="106" a="1"/>
  <c r="DE49" i="106" s="1"/>
  <c r="DH58" i="106" a="1"/>
  <c r="DH58" i="106" s="1"/>
  <c r="CI53" i="106" a="1"/>
  <c r="CI53" i="106" s="1"/>
  <c r="CL59" i="106" a="1"/>
  <c r="CL59" i="106" s="1"/>
  <c r="CP46" i="106" a="1"/>
  <c r="CP46" i="106" s="1"/>
  <c r="DH54" i="106" a="1"/>
  <c r="DH54" i="106" s="1"/>
  <c r="CT63" i="106" a="1"/>
  <c r="CT63" i="106" s="1"/>
  <c r="CV49" i="106" a="1"/>
  <c r="CV49" i="106" s="1"/>
  <c r="CS58" i="106" a="1"/>
  <c r="CS58" i="106" s="1"/>
  <c r="DG64" i="106" a="1"/>
  <c r="DG64" i="106" s="1"/>
  <c r="DA54" i="106" a="1"/>
  <c r="DA54" i="106" s="1"/>
  <c r="CI62" i="106" a="1"/>
  <c r="CI62" i="106" s="1"/>
  <c r="CM72" i="106" a="1"/>
  <c r="CM72" i="106" s="1"/>
  <c r="CR78" i="106" a="1"/>
  <c r="CR78" i="106" s="1"/>
  <c r="DC71" i="106" a="1"/>
  <c r="DC71" i="106" s="1"/>
  <c r="CI70" i="106" a="1"/>
  <c r="CI70" i="106" s="1"/>
  <c r="CZ75" i="106" a="1"/>
  <c r="CZ75" i="106" s="1"/>
  <c r="CI76" i="106" a="1"/>
  <c r="CI76" i="106" s="1"/>
  <c r="CO71" i="106" a="1"/>
  <c r="CO71" i="106" s="1"/>
  <c r="CW76" i="106" a="1"/>
  <c r="CW76" i="106" s="1"/>
  <c r="CK4" i="106" a="1"/>
  <c r="CK4" i="106" s="1"/>
  <c r="CW70" i="106" a="1"/>
  <c r="CW70" i="106" s="1"/>
  <c r="CI75" i="106" a="1"/>
  <c r="CI75" i="106" s="1"/>
  <c r="CX79" i="106" a="1"/>
  <c r="CX79" i="106" s="1"/>
  <c r="CI65" i="106" a="1"/>
  <c r="CI65" i="106" s="1"/>
  <c r="CP72" i="106" a="1"/>
  <c r="CP72" i="106" s="1"/>
  <c r="CS77" i="106" a="1"/>
  <c r="CS77" i="106" s="1"/>
  <c r="CR67" i="106" a="1"/>
  <c r="CR67" i="106" s="1"/>
  <c r="CZ73" i="106" a="1"/>
  <c r="CZ73" i="106" s="1"/>
  <c r="CM78" i="106" a="1"/>
  <c r="CM78" i="106" s="1"/>
  <c r="CL69" i="106" a="1"/>
  <c r="CL69" i="106" s="1"/>
  <c r="DF68" i="106" a="1"/>
  <c r="DF68" i="106" s="1"/>
  <c r="DA73" i="106" a="1"/>
  <c r="DA73" i="106" s="1"/>
  <c r="CN78" i="106" a="1"/>
  <c r="CN78" i="106" s="1"/>
  <c r="DK73" i="106" a="1"/>
  <c r="DK73" i="106" s="1"/>
  <c r="DG68" i="106" a="1"/>
  <c r="DG68" i="106" s="1"/>
  <c r="CP74" i="106" a="1"/>
  <c r="CP74" i="106" s="1"/>
  <c r="CX78" i="106" a="1"/>
  <c r="CX78" i="106" s="1"/>
  <c r="DC70" i="106" a="1"/>
  <c r="DC70" i="106" s="1"/>
  <c r="CV77" i="106" a="1"/>
  <c r="CV77" i="106" s="1"/>
  <c r="CN4" i="106" a="1"/>
  <c r="CN4" i="106" s="1"/>
  <c r="DF71" i="106" a="1"/>
  <c r="DF71" i="106" s="1"/>
  <c r="DF60" i="106" a="1"/>
  <c r="DF60" i="106" s="1"/>
  <c r="CL76" i="106" a="1"/>
  <c r="CL76" i="106" s="1"/>
  <c r="DC76" i="106" a="1"/>
  <c r="DC76" i="106" s="1"/>
  <c r="DD67" i="106" a="1"/>
  <c r="DD67" i="106" s="1"/>
  <c r="CK50" i="106" a="1"/>
  <c r="CK50" i="106" s="1"/>
  <c r="CT59" i="106" a="1"/>
  <c r="CT59" i="106" s="1"/>
  <c r="CU53" i="106" a="1"/>
  <c r="CU53" i="106" s="1"/>
  <c r="DD59" i="106" a="1"/>
  <c r="DD59" i="106" s="1"/>
  <c r="CP47" i="106" a="1"/>
  <c r="CP47" i="106" s="1"/>
  <c r="CV55" i="106" a="1"/>
  <c r="CV55" i="106" s="1"/>
  <c r="DC63" i="106" a="1"/>
  <c r="DC63" i="106" s="1"/>
  <c r="CX50" i="106" a="1"/>
  <c r="CX50" i="106" s="1"/>
  <c r="DA58" i="106" a="1"/>
  <c r="DA58" i="106" s="1"/>
  <c r="CU65" i="106" a="1"/>
  <c r="CU65" i="106" s="1"/>
  <c r="DI54" i="106" a="1"/>
  <c r="DI54" i="106" s="1"/>
  <c r="CV63" i="106" a="1"/>
  <c r="CV63" i="106" s="1"/>
  <c r="DF72" i="106" a="1"/>
  <c r="DF72" i="106" s="1"/>
  <c r="CU79" i="106" a="1"/>
  <c r="CU79" i="106" s="1"/>
  <c r="CY74" i="106" a="1"/>
  <c r="CY74" i="106" s="1"/>
  <c r="CV70" i="106" a="1"/>
  <c r="CV70" i="106" s="1"/>
  <c r="DH75" i="106" a="1"/>
  <c r="DH75" i="106" s="1"/>
  <c r="DA79" i="106" a="1"/>
  <c r="DA79" i="106" s="1"/>
  <c r="CX71" i="106" a="1"/>
  <c r="CX71" i="106" s="1"/>
  <c r="DE76" i="106" a="1"/>
  <c r="DE76" i="106" s="1"/>
  <c r="DI61" i="106" a="1"/>
  <c r="DI61" i="106" s="1"/>
  <c r="DI70" i="106" a="1"/>
  <c r="DI70" i="106" s="1"/>
  <c r="CR75" i="106" a="1"/>
  <c r="CR75" i="106" s="1"/>
  <c r="DG79" i="106" a="1"/>
  <c r="DG79" i="106" s="1"/>
  <c r="DE66" i="106" a="1"/>
  <c r="DE66" i="106" s="1"/>
  <c r="CZ72" i="106" a="1"/>
  <c r="CZ72" i="106" s="1"/>
  <c r="DA77" i="106" a="1"/>
  <c r="DA77" i="106" s="1"/>
  <c r="DC67" i="106" a="1"/>
  <c r="DC67" i="106" s="1"/>
  <c r="DI73" i="106" a="1"/>
  <c r="DI73" i="106" s="1"/>
  <c r="DC78" i="106" a="1"/>
  <c r="DC78" i="106" s="1"/>
  <c r="DH69" i="106" a="1"/>
  <c r="DH69" i="106" s="1"/>
  <c r="CK69" i="106" a="1"/>
  <c r="CK69" i="106" s="1"/>
  <c r="DJ73" i="106" a="1"/>
  <c r="DJ73" i="106" s="1"/>
  <c r="CV78" i="106" a="1"/>
  <c r="CV78" i="106" s="1"/>
  <c r="CR76" i="106" a="1"/>
  <c r="CR76" i="106" s="1"/>
  <c r="CM69" i="106" a="1"/>
  <c r="CM69" i="106" s="1"/>
  <c r="CZ74" i="106" a="1"/>
  <c r="CZ74" i="106" s="1"/>
  <c r="CI79" i="106" a="1"/>
  <c r="CI79" i="106" s="1"/>
  <c r="CU71" i="106" a="1"/>
  <c r="CU71" i="106" s="1"/>
  <c r="DD77" i="106" a="1"/>
  <c r="DD77" i="106" s="1"/>
  <c r="CJ63" i="106" a="1"/>
  <c r="CJ63" i="106" s="1"/>
  <c r="CK72" i="106" a="1"/>
  <c r="CK72" i="106" s="1"/>
  <c r="CU76" i="106" a="1"/>
  <c r="CU76" i="106" s="1"/>
  <c r="CV71" i="106" a="1"/>
  <c r="CV71" i="106" s="1"/>
  <c r="DH71" i="106" a="1"/>
  <c r="DH71" i="106" s="1"/>
  <c r="CX54" i="106" a="1"/>
  <c r="CX54" i="106" s="1"/>
  <c r="CS61" i="106" a="1"/>
  <c r="CS61" i="106" s="1"/>
  <c r="DC53" i="106" a="1"/>
  <c r="DC53" i="106" s="1"/>
  <c r="CQ60" i="106" a="1"/>
  <c r="CQ60" i="106" s="1"/>
  <c r="DC47" i="106" a="1"/>
  <c r="DC47" i="106" s="1"/>
  <c r="DD55" i="106" a="1"/>
  <c r="DD55" i="106" s="1"/>
  <c r="DK63" i="106" a="1"/>
  <c r="DK63" i="106" s="1"/>
  <c r="DH50" i="106" a="1"/>
  <c r="DH50" i="106" s="1"/>
  <c r="CN59" i="106" a="1"/>
  <c r="CN59" i="106" s="1"/>
  <c r="DF66" i="106" a="1"/>
  <c r="DF66" i="106" s="1"/>
  <c r="CN55" i="106" a="1"/>
  <c r="CN55" i="106" s="1"/>
  <c r="DD63" i="106" a="1"/>
  <c r="DD63" i="106" s="1"/>
  <c r="CM73" i="106" a="1"/>
  <c r="CM73" i="106" s="1"/>
  <c r="DF4" i="106" a="1"/>
  <c r="DF4" i="106" s="1"/>
  <c r="DA76" i="106" a="1"/>
  <c r="DA76" i="106" s="1"/>
  <c r="DG70" i="106" a="1"/>
  <c r="DG70" i="106" s="1"/>
  <c r="CN76" i="106" a="1"/>
  <c r="CN76" i="106" s="1"/>
  <c r="DB61" i="106" a="1"/>
  <c r="DB61" i="106" s="1"/>
  <c r="CO72" i="106" a="1"/>
  <c r="CO72" i="106" s="1"/>
  <c r="CI77" i="106" a="1"/>
  <c r="CI77" i="106" s="1"/>
  <c r="DB63" i="106" a="1"/>
  <c r="DB63" i="106" s="1"/>
  <c r="CP71" i="106" a="1"/>
  <c r="CP71" i="106" s="1"/>
  <c r="DI75" i="106" a="1"/>
  <c r="DI75" i="106" s="1"/>
  <c r="DI4" i="106" a="1"/>
  <c r="DI4" i="106" s="1"/>
  <c r="CQ67" i="106" a="1"/>
  <c r="CQ67" i="106" s="1"/>
  <c r="DJ72" i="106" a="1"/>
  <c r="DJ72" i="106" s="1"/>
  <c r="CU78" i="106" a="1"/>
  <c r="CU78" i="106" s="1"/>
  <c r="CJ68" i="106" a="1"/>
  <c r="CJ68" i="106" s="1"/>
  <c r="CW74" i="106" a="1"/>
  <c r="CW74" i="106" s="1"/>
  <c r="DK78" i="106" a="1"/>
  <c r="DK78" i="106" s="1"/>
  <c r="CR72" i="106" a="1"/>
  <c r="CR72" i="106" s="1"/>
  <c r="CU69" i="106" a="1"/>
  <c r="CU69" i="106" s="1"/>
  <c r="CO74" i="106" a="1"/>
  <c r="CO74" i="106" s="1"/>
  <c r="DD78" i="106" a="1"/>
  <c r="DD78" i="106" s="1"/>
  <c r="DI79" i="106" a="1"/>
  <c r="DI79" i="106" s="1"/>
  <c r="CX69" i="106" a="1"/>
  <c r="CX69" i="106" s="1"/>
  <c r="DH74" i="106" a="1"/>
  <c r="DH74" i="106" s="1"/>
  <c r="DF62" i="106" a="1"/>
  <c r="DF62" i="106" s="1"/>
  <c r="DE71" i="106" a="1"/>
  <c r="DE71" i="106" s="1"/>
  <c r="DL77" i="106" a="1"/>
  <c r="DL77" i="106" s="1"/>
  <c r="CV64" i="106" a="1"/>
  <c r="CV64" i="106" s="1"/>
  <c r="CU72" i="106" a="1"/>
  <c r="CU72" i="106" s="1"/>
  <c r="CO77" i="106" a="1"/>
  <c r="CO77" i="106" s="1"/>
  <c r="CW64" i="106" a="1"/>
  <c r="CW64" i="106" s="1"/>
  <c r="CL73" i="106" a="1"/>
  <c r="CL73" i="106" s="1"/>
  <c r="CN72" i="106" a="1"/>
  <c r="CN72" i="106" s="1"/>
  <c r="DF54" i="106" a="1"/>
  <c r="DF54" i="106" s="1"/>
  <c r="CN47" i="106" a="1"/>
  <c r="CN47" i="106" s="1"/>
  <c r="DK53" i="106" a="1"/>
  <c r="DK53" i="106" s="1"/>
  <c r="CP62" i="106" a="1"/>
  <c r="CP62" i="106" s="1"/>
  <c r="CL48" i="106" a="1"/>
  <c r="CL48" i="106" s="1"/>
  <c r="CM57" i="106" a="1"/>
  <c r="CM57" i="106" s="1"/>
  <c r="DF64" i="106" a="1"/>
  <c r="DF64" i="106" s="1"/>
  <c r="CV52" i="106" a="1"/>
  <c r="CV52" i="106" s="1"/>
  <c r="CV59" i="106" a="1"/>
  <c r="CV59" i="106" s="1"/>
  <c r="DI46" i="106" a="1"/>
  <c r="DI46" i="106" s="1"/>
  <c r="DF55" i="106" a="1"/>
  <c r="DF55" i="106" s="1"/>
  <c r="CP66" i="106" a="1"/>
  <c r="CP66" i="106" s="1"/>
  <c r="CV73" i="106" a="1"/>
  <c r="CV73" i="106" s="1"/>
  <c r="DG77" i="106" a="1"/>
  <c r="DG77" i="106" s="1"/>
  <c r="CJ4" i="106" a="1"/>
  <c r="CJ4" i="106" s="1"/>
  <c r="CN71" i="106" a="1"/>
  <c r="CN71" i="106" s="1"/>
  <c r="CQ77" i="106" a="1"/>
  <c r="CQ77" i="106" s="1"/>
  <c r="DA63" i="106" a="1"/>
  <c r="DA63" i="106" s="1"/>
  <c r="CX72" i="106" a="1"/>
  <c r="CX72" i="106" s="1"/>
  <c r="CR77" i="106" a="1"/>
  <c r="CR77" i="106" s="1"/>
  <c r="DK64" i="106" a="1"/>
  <c r="DK64" i="106" s="1"/>
  <c r="CZ71" i="106" a="1"/>
  <c r="CZ71" i="106" s="1"/>
  <c r="CO76" i="106" a="1"/>
  <c r="CO76" i="106" s="1"/>
  <c r="CQ4" i="106" a="1"/>
  <c r="CQ4" i="106" s="1"/>
  <c r="DA67" i="106" a="1"/>
  <c r="DA67" i="106" s="1"/>
  <c r="CP73" i="106" a="1"/>
  <c r="CP73" i="106" s="1"/>
  <c r="DJ78" i="106" a="1"/>
  <c r="DJ78" i="106" s="1"/>
  <c r="CT68" i="106" a="1"/>
  <c r="CT68" i="106" s="1"/>
  <c r="DF74" i="106" a="1"/>
  <c r="DF74" i="106" s="1"/>
  <c r="CZ79" i="106" a="1"/>
  <c r="CZ79" i="106" s="1"/>
  <c r="CU75" i="106" a="1"/>
  <c r="CU75" i="106" s="1"/>
  <c r="DG69" i="106" a="1"/>
  <c r="DG69" i="106" s="1"/>
  <c r="CX74" i="106" a="1"/>
  <c r="CX74" i="106" s="1"/>
  <c r="DL78" i="106" a="1"/>
  <c r="DL78" i="106" s="1"/>
  <c r="DE62" i="106" a="1"/>
  <c r="DE62" i="106" s="1"/>
  <c r="CJ71" i="106" a="1"/>
  <c r="CJ71" i="106" s="1"/>
  <c r="CL75" i="106" a="1"/>
  <c r="CL75" i="106" s="1"/>
  <c r="CS64" i="106" a="1"/>
  <c r="CS64" i="106" s="1"/>
  <c r="CT72" i="106" a="1"/>
  <c r="CT72" i="106" s="1"/>
  <c r="CP78" i="106" a="1"/>
  <c r="CP78" i="106" s="1"/>
  <c r="CZ65" i="106" a="1"/>
  <c r="CZ65" i="106" s="1"/>
  <c r="DC72" i="106" a="1"/>
  <c r="DC72" i="106" s="1"/>
  <c r="DE77" i="106" a="1"/>
  <c r="DE77" i="106" s="1"/>
  <c r="DA65" i="106" a="1"/>
  <c r="DA65" i="106" s="1"/>
  <c r="DE72" i="106" a="1"/>
  <c r="DE72" i="106" s="1"/>
  <c r="CQ23" i="107" a="1"/>
  <c r="CQ23" i="107" s="1"/>
  <c r="M23" i="107"/>
  <c r="Y23" i="107"/>
  <c r="AK23" i="107"/>
  <c r="AW23" i="107"/>
  <c r="BI23" i="107"/>
  <c r="BU23" i="107"/>
  <c r="CI23" i="107" a="1"/>
  <c r="CI23" i="107" s="1"/>
  <c r="CR23" i="107" a="1"/>
  <c r="CR23" i="107" s="1"/>
  <c r="DA23" i="107" a="1"/>
  <c r="DA23" i="107" s="1"/>
  <c r="CJ23" i="107" a="1"/>
  <c r="CJ23" i="107" s="1"/>
  <c r="CS23" i="107" a="1"/>
  <c r="CS23" i="107" s="1"/>
  <c r="DB23" i="107" a="1"/>
  <c r="DB23" i="107" s="1"/>
  <c r="CT23" i="107" a="1"/>
  <c r="CT23" i="107" s="1"/>
  <c r="CK23" i="107" a="1"/>
  <c r="CK23" i="107" s="1"/>
  <c r="Q23" i="107"/>
  <c r="AC23" i="107"/>
  <c r="AO23" i="107"/>
  <c r="BA23" i="107"/>
  <c r="BM23" i="107"/>
  <c r="BY23" i="107"/>
  <c r="CE23" i="107" a="1"/>
  <c r="CE23" i="107" s="1"/>
  <c r="CW23" i="107" a="1"/>
  <c r="CW23" i="107" s="1"/>
  <c r="CF23" i="107" a="1"/>
  <c r="CF23" i="107" s="1"/>
  <c r="CO23" i="107" a="1"/>
  <c r="CO23" i="107" s="1"/>
  <c r="CX23" i="107" a="1"/>
  <c r="CX23" i="107" s="1"/>
  <c r="CG23" i="107" a="1"/>
  <c r="CG23" i="107" s="1"/>
  <c r="CH23" i="107" a="1"/>
  <c r="CH23" i="107" s="1"/>
  <c r="T23" i="107"/>
  <c r="AH23" i="107"/>
  <c r="AV23" i="107"/>
  <c r="BK23" i="107"/>
  <c r="BZ23" i="107"/>
  <c r="CL23" i="107" a="1"/>
  <c r="CL23" i="107" s="1"/>
  <c r="CM23" i="107" a="1"/>
  <c r="CM23" i="107" s="1"/>
  <c r="CV23" i="107" a="1"/>
  <c r="CV23" i="107" s="1"/>
  <c r="X23" i="107"/>
  <c r="AN23" i="107"/>
  <c r="BD23" i="107"/>
  <c r="BS23" i="107"/>
  <c r="Z23" i="107"/>
  <c r="AP23" i="107"/>
  <c r="BE23" i="107"/>
  <c r="BT23" i="107"/>
  <c r="CN23" i="107" a="1"/>
  <c r="CN23" i="107" s="1"/>
  <c r="CP23" i="107" a="1"/>
  <c r="CP23" i="107" s="1"/>
  <c r="AB23" i="107"/>
  <c r="AR23" i="107"/>
  <c r="BG23" i="107"/>
  <c r="BW23" i="107"/>
  <c r="N23" i="107"/>
  <c r="AD23" i="107"/>
  <c r="AS23" i="107"/>
  <c r="BH23" i="107"/>
  <c r="BX23" i="107"/>
  <c r="CZ23" i="107" a="1"/>
  <c r="CZ23" i="107" s="1"/>
  <c r="S23" i="107"/>
  <c r="AI23" i="107"/>
  <c r="AY23" i="107"/>
  <c r="BO23" i="107"/>
  <c r="AJ23" i="107"/>
  <c r="BL23" i="107"/>
  <c r="AL23" i="107"/>
  <c r="BN23" i="107"/>
  <c r="BR23" i="107"/>
  <c r="O23" i="107"/>
  <c r="AM23" i="107"/>
  <c r="BP23" i="107"/>
  <c r="AT23" i="107"/>
  <c r="P23" i="107"/>
  <c r="AQ23" i="107"/>
  <c r="BQ23" i="107"/>
  <c r="R23" i="107"/>
  <c r="CU23" i="107" a="1"/>
  <c r="CU23" i="107" s="1"/>
  <c r="U23" i="107"/>
  <c r="AU23" i="107"/>
  <c r="BV23" i="107"/>
  <c r="AZ23" i="107"/>
  <c r="CY23" i="107" a="1"/>
  <c r="CY23" i="107" s="1"/>
  <c r="V23" i="107"/>
  <c r="AX23" i="107"/>
  <c r="CA23" i="107"/>
  <c r="W23" i="107"/>
  <c r="CB23" i="107"/>
  <c r="AA23" i="107"/>
  <c r="BB23" i="107"/>
  <c r="CC23" i="107"/>
  <c r="BC23" i="107"/>
  <c r="BF23" i="107"/>
  <c r="AG23" i="107"/>
  <c r="AF23" i="107"/>
  <c r="AE23" i="107"/>
  <c r="BJ23" i="107"/>
  <c r="CE28" i="107" a="1"/>
  <c r="CE28" i="107" s="1"/>
  <c r="CW28" i="107" a="1"/>
  <c r="CW28" i="107" s="1"/>
  <c r="CF28" i="107" a="1"/>
  <c r="CF28" i="107" s="1"/>
  <c r="CO28" i="107" a="1"/>
  <c r="CO28" i="107" s="1"/>
  <c r="CX28" i="107" a="1"/>
  <c r="CX28" i="107" s="1"/>
  <c r="CG28" i="107" a="1"/>
  <c r="CG28" i="107" s="1"/>
  <c r="CP28" i="107" a="1"/>
  <c r="CP28" i="107" s="1"/>
  <c r="CY28" i="107" a="1"/>
  <c r="CY28" i="107" s="1"/>
  <c r="CH28" i="107" a="1"/>
  <c r="CH28" i="107" s="1"/>
  <c r="CZ28" i="107" a="1"/>
  <c r="CZ28" i="107" s="1"/>
  <c r="CQ28" i="107" a="1"/>
  <c r="CQ28" i="107" s="1"/>
  <c r="CK28" i="107" a="1"/>
  <c r="CK28" i="107" s="1"/>
  <c r="CL28" i="107" a="1"/>
  <c r="CL28" i="107" s="1"/>
  <c r="CR28" i="107" a="1"/>
  <c r="CR28" i="107" s="1"/>
  <c r="CS28" i="107" a="1"/>
  <c r="CS28" i="107" s="1"/>
  <c r="AF28" i="107"/>
  <c r="AR28" i="107"/>
  <c r="BD28" i="107"/>
  <c r="BP28" i="107"/>
  <c r="CB28" i="107"/>
  <c r="CT28" i="107" a="1"/>
  <c r="CT28" i="107" s="1"/>
  <c r="CU28" i="107" a="1"/>
  <c r="CU28" i="107" s="1"/>
  <c r="CJ28" i="107" a="1"/>
  <c r="CJ28" i="107" s="1"/>
  <c r="AJ28" i="107"/>
  <c r="AW28" i="107"/>
  <c r="BJ28" i="107"/>
  <c r="BW28" i="107"/>
  <c r="X28" i="107"/>
  <c r="AK28" i="107"/>
  <c r="AX28" i="107"/>
  <c r="BK28" i="107"/>
  <c r="BX28" i="107"/>
  <c r="Z28" i="107"/>
  <c r="AM28" i="107"/>
  <c r="AZ28" i="107"/>
  <c r="BM28" i="107"/>
  <c r="BZ28" i="107"/>
  <c r="CI28" i="107" a="1"/>
  <c r="CI28" i="107" s="1"/>
  <c r="AA28" i="107"/>
  <c r="AN28" i="107"/>
  <c r="BA28" i="107"/>
  <c r="BN28" i="107"/>
  <c r="CA28" i="107"/>
  <c r="CV28" i="107" a="1"/>
  <c r="CV28" i="107" s="1"/>
  <c r="AE28" i="107"/>
  <c r="AS28" i="107"/>
  <c r="BF28" i="107"/>
  <c r="BS28" i="107"/>
  <c r="DA28" i="107" a="1"/>
  <c r="DA28" i="107" s="1"/>
  <c r="AL28" i="107"/>
  <c r="BH28" i="107"/>
  <c r="AO28" i="107"/>
  <c r="BI28" i="107"/>
  <c r="BQ28" i="107"/>
  <c r="AP28" i="107"/>
  <c r="BL28" i="107"/>
  <c r="AT28" i="107"/>
  <c r="AQ28" i="107"/>
  <c r="BO28" i="107"/>
  <c r="Y28" i="107"/>
  <c r="AU28" i="107"/>
  <c r="BR28" i="107"/>
  <c r="CM28" i="107" a="1"/>
  <c r="CM28" i="107" s="1"/>
  <c r="AC28" i="107"/>
  <c r="BU28" i="107"/>
  <c r="AB28" i="107"/>
  <c r="AV28" i="107"/>
  <c r="BT28" i="107"/>
  <c r="AY28" i="107"/>
  <c r="CN28" i="107" a="1"/>
  <c r="CN28" i="107" s="1"/>
  <c r="AD28" i="107"/>
  <c r="BB28" i="107"/>
  <c r="BV28" i="107"/>
  <c r="BC28" i="107"/>
  <c r="BE28" i="107"/>
  <c r="BG28" i="107"/>
  <c r="AG28" i="107"/>
  <c r="BY28" i="107"/>
  <c r="AH28" i="107"/>
  <c r="DB28" i="107" a="1"/>
  <c r="DB28" i="107" s="1"/>
  <c r="AI28" i="107"/>
  <c r="CC28" i="107"/>
  <c r="CK33" i="107" a="1"/>
  <c r="CK33" i="107" s="1"/>
  <c r="CN33" i="107" a="1"/>
  <c r="CN33" i="107" s="1"/>
  <c r="CE33" i="107" a="1"/>
  <c r="CE33" i="107" s="1"/>
  <c r="CW33" i="107" a="1"/>
  <c r="CW33" i="107" s="1"/>
  <c r="CQ33" i="107" a="1"/>
  <c r="CQ33" i="107" s="1"/>
  <c r="CJ33" i="107" a="1"/>
  <c r="CJ33" i="107" s="1"/>
  <c r="CX33" i="107" a="1"/>
  <c r="CX33" i="107" s="1"/>
  <c r="CY33" i="107" a="1"/>
  <c r="CY33" i="107" s="1"/>
  <c r="CL33" i="107" a="1"/>
  <c r="CL33" i="107" s="1"/>
  <c r="CZ33" i="107" a="1"/>
  <c r="CZ33" i="107" s="1"/>
  <c r="CM33" i="107" a="1"/>
  <c r="CM33" i="107" s="1"/>
  <c r="DA33" i="107" a="1"/>
  <c r="DA33" i="107" s="1"/>
  <c r="CF33" i="107" a="1"/>
  <c r="CF33" i="107" s="1"/>
  <c r="CS33" i="107" a="1"/>
  <c r="CS33" i="107" s="1"/>
  <c r="AO33" i="107"/>
  <c r="BA33" i="107"/>
  <c r="BM33" i="107"/>
  <c r="BY33" i="107"/>
  <c r="CG33" i="107" a="1"/>
  <c r="CG33" i="107" s="1"/>
  <c r="AP33" i="107"/>
  <c r="BB33" i="107"/>
  <c r="BN33" i="107"/>
  <c r="BZ33" i="107"/>
  <c r="CI33" i="107" a="1"/>
  <c r="CI33" i="107" s="1"/>
  <c r="CO33" i="107" a="1"/>
  <c r="CO33" i="107" s="1"/>
  <c r="AS33" i="107"/>
  <c r="BE33" i="107"/>
  <c r="BQ33" i="107"/>
  <c r="CC33" i="107"/>
  <c r="CT33" i="107" a="1"/>
  <c r="CT33" i="107" s="1"/>
  <c r="AK33" i="107"/>
  <c r="AW33" i="107"/>
  <c r="BI33" i="107"/>
  <c r="BU33" i="107"/>
  <c r="CU33" i="107" a="1"/>
  <c r="CU33" i="107" s="1"/>
  <c r="CV33" i="107" a="1"/>
  <c r="CV33" i="107" s="1"/>
  <c r="AM33" i="107"/>
  <c r="BF33" i="107"/>
  <c r="BW33" i="107"/>
  <c r="AN33" i="107"/>
  <c r="BG33" i="107"/>
  <c r="BX33" i="107"/>
  <c r="AT33" i="107"/>
  <c r="AQ33" i="107"/>
  <c r="BH33" i="107"/>
  <c r="CA33" i="107"/>
  <c r="AR33" i="107"/>
  <c r="BJ33" i="107"/>
  <c r="CB33" i="107"/>
  <c r="BK33" i="107"/>
  <c r="AU33" i="107"/>
  <c r="BL33" i="107"/>
  <c r="BP33" i="107"/>
  <c r="CH33" i="107" a="1"/>
  <c r="CH33" i="107" s="1"/>
  <c r="AV33" i="107"/>
  <c r="BO33" i="107"/>
  <c r="CP33" i="107" a="1"/>
  <c r="CP33" i="107" s="1"/>
  <c r="AX33" i="107"/>
  <c r="AY33" i="107"/>
  <c r="BR33" i="107"/>
  <c r="AZ33" i="107"/>
  <c r="BT33" i="107"/>
  <c r="AL33" i="107"/>
  <c r="BC33" i="107"/>
  <c r="BV33" i="107"/>
  <c r="BD33" i="107"/>
  <c r="BS33" i="107"/>
  <c r="CR33" i="107" a="1"/>
  <c r="CR33" i="107" s="1"/>
  <c r="DB33" i="107" a="1"/>
  <c r="DB33" i="107" s="1"/>
  <c r="BB36" i="107"/>
  <c r="CL36" i="107" a="1"/>
  <c r="CL36" i="107" s="1"/>
  <c r="BG36" i="107"/>
  <c r="CR38" i="107" a="1"/>
  <c r="CR38" i="107" s="1"/>
  <c r="BB38" i="107"/>
  <c r="BN38" i="107"/>
  <c r="BE38" i="107"/>
  <c r="CO38" i="107" a="1"/>
  <c r="CO38" i="107" s="1"/>
  <c r="BH38" i="107"/>
  <c r="CA38" i="107"/>
  <c r="AW38" i="107"/>
  <c r="BK38" i="107"/>
  <c r="AX38" i="107"/>
  <c r="AY38" i="107"/>
  <c r="BA38" i="107"/>
  <c r="AZ38" i="107"/>
  <c r="BP38" i="107"/>
  <c r="BC38" i="107"/>
  <c r="BD38" i="107"/>
  <c r="BF38" i="107"/>
  <c r="BG38" i="107"/>
  <c r="CF21" i="107" a="1"/>
  <c r="CF21" i="107" s="1"/>
  <c r="DB21" i="107" a="1"/>
  <c r="DB21" i="107" s="1"/>
  <c r="BZ21" i="107"/>
  <c r="AU21" i="107"/>
  <c r="P21" i="107"/>
  <c r="CK24" i="107" a="1"/>
  <c r="CK24" i="107" s="1"/>
  <c r="M24" i="107"/>
  <c r="Y24" i="107"/>
  <c r="AK24" i="107"/>
  <c r="AW24" i="107"/>
  <c r="BI24" i="107"/>
  <c r="BU24" i="107"/>
  <c r="CL24" i="107" a="1"/>
  <c r="CL24" i="107" s="1"/>
  <c r="CU24" i="107" a="1"/>
  <c r="CU24" i="107" s="1"/>
  <c r="CM24" i="107" a="1"/>
  <c r="CM24" i="107" s="1"/>
  <c r="CV24" i="107" a="1"/>
  <c r="CV24" i="107" s="1"/>
  <c r="CN24" i="107" a="1"/>
  <c r="CN24" i="107" s="1"/>
  <c r="CE24" i="107" a="1"/>
  <c r="CE24" i="107" s="1"/>
  <c r="CW24" i="107" a="1"/>
  <c r="CW24" i="107" s="1"/>
  <c r="Q24" i="107"/>
  <c r="AC24" i="107"/>
  <c r="AO24" i="107"/>
  <c r="BA24" i="107"/>
  <c r="BM24" i="107"/>
  <c r="BY24" i="107"/>
  <c r="CQ24" i="107" a="1"/>
  <c r="CQ24" i="107" s="1"/>
  <c r="CI24" i="107" a="1"/>
  <c r="CI24" i="107" s="1"/>
  <c r="CR24" i="107" a="1"/>
  <c r="CR24" i="107" s="1"/>
  <c r="DA24" i="107" a="1"/>
  <c r="DA24" i="107" s="1"/>
  <c r="CF24" i="107" a="1"/>
  <c r="CF24" i="107" s="1"/>
  <c r="CZ24" i="107" a="1"/>
  <c r="CZ24" i="107" s="1"/>
  <c r="CG24" i="107" a="1"/>
  <c r="CG24" i="107" s="1"/>
  <c r="DB24" i="107" a="1"/>
  <c r="DB24" i="107" s="1"/>
  <c r="T24" i="107"/>
  <c r="AH24" i="107"/>
  <c r="AV24" i="107"/>
  <c r="BK24" i="107"/>
  <c r="BZ24" i="107"/>
  <c r="CH24" i="107" a="1"/>
  <c r="CH24" i="107" s="1"/>
  <c r="CJ24" i="107" a="1"/>
  <c r="CJ24" i="107" s="1"/>
  <c r="CS24" i="107" a="1"/>
  <c r="CS24" i="107" s="1"/>
  <c r="O24" i="107"/>
  <c r="AE24" i="107"/>
  <c r="AT24" i="107"/>
  <c r="BJ24" i="107"/>
  <c r="CA24" i="107"/>
  <c r="CT24" i="107" a="1"/>
  <c r="CT24" i="107" s="1"/>
  <c r="P24" i="107"/>
  <c r="AF24" i="107"/>
  <c r="AU24" i="107"/>
  <c r="BL24" i="107"/>
  <c r="CB24" i="107"/>
  <c r="CX24" i="107" a="1"/>
  <c r="CX24" i="107" s="1"/>
  <c r="CY24" i="107" a="1"/>
  <c r="CY24" i="107" s="1"/>
  <c r="S24" i="107"/>
  <c r="AI24" i="107"/>
  <c r="AY24" i="107"/>
  <c r="BO24" i="107"/>
  <c r="U24" i="107"/>
  <c r="AJ24" i="107"/>
  <c r="AZ24" i="107"/>
  <c r="BP24" i="107"/>
  <c r="Z24" i="107"/>
  <c r="AP24" i="107"/>
  <c r="BE24" i="107"/>
  <c r="BT24" i="107"/>
  <c r="CO24" i="107" a="1"/>
  <c r="CO24" i="107" s="1"/>
  <c r="N24" i="107"/>
  <c r="AQ24" i="107"/>
  <c r="BR24" i="107"/>
  <c r="R24" i="107"/>
  <c r="AR24" i="107"/>
  <c r="BS24" i="107"/>
  <c r="BX24" i="107"/>
  <c r="V24" i="107"/>
  <c r="AS24" i="107"/>
  <c r="BV24" i="107"/>
  <c r="BB24" i="107"/>
  <c r="W24" i="107"/>
  <c r="AX24" i="107"/>
  <c r="BW24" i="107"/>
  <c r="X24" i="107"/>
  <c r="AA24" i="107"/>
  <c r="BC24" i="107"/>
  <c r="CC24" i="107"/>
  <c r="AD24" i="107"/>
  <c r="AB24" i="107"/>
  <c r="BD24" i="107"/>
  <c r="CP24" i="107" a="1"/>
  <c r="CP24" i="107" s="1"/>
  <c r="BF24" i="107"/>
  <c r="AG24" i="107"/>
  <c r="BG24" i="107"/>
  <c r="AL24" i="107"/>
  <c r="BN24" i="107"/>
  <c r="AM24" i="107"/>
  <c r="BQ24" i="107"/>
  <c r="AN24" i="107"/>
  <c r="BH24" i="107"/>
  <c r="CQ26" i="107" a="1"/>
  <c r="CQ26" i="107" s="1"/>
  <c r="Y26" i="107"/>
  <c r="AK26" i="107"/>
  <c r="CI26" i="107" a="1"/>
  <c r="CI26" i="107" s="1"/>
  <c r="CR26" i="107" a="1"/>
  <c r="CR26" i="107" s="1"/>
  <c r="DA26" i="107" a="1"/>
  <c r="DA26" i="107" s="1"/>
  <c r="CJ26" i="107" a="1"/>
  <c r="CJ26" i="107" s="1"/>
  <c r="CS26" i="107" a="1"/>
  <c r="CS26" i="107" s="1"/>
  <c r="DB26" i="107" a="1"/>
  <c r="DB26" i="107" s="1"/>
  <c r="CT26" i="107" a="1"/>
  <c r="CT26" i="107" s="1"/>
  <c r="CK26" i="107" a="1"/>
  <c r="CK26" i="107" s="1"/>
  <c r="AC26" i="107"/>
  <c r="AO26" i="107"/>
  <c r="CE26" i="107" a="1"/>
  <c r="CE26" i="107" s="1"/>
  <c r="CW26" i="107" a="1"/>
  <c r="CW26" i="107" s="1"/>
  <c r="CF26" i="107" a="1"/>
  <c r="CF26" i="107" s="1"/>
  <c r="CO26" i="107" a="1"/>
  <c r="CO26" i="107" s="1"/>
  <c r="CX26" i="107" a="1"/>
  <c r="CX26" i="107" s="1"/>
  <c r="CV26" i="107" a="1"/>
  <c r="CV26" i="107" s="1"/>
  <c r="AD26" i="107"/>
  <c r="AR26" i="107"/>
  <c r="BD26" i="107"/>
  <c r="BP26" i="107"/>
  <c r="CB26" i="107"/>
  <c r="CY26" i="107" a="1"/>
  <c r="CY26" i="107" s="1"/>
  <c r="CZ26" i="107" a="1"/>
  <c r="CZ26" i="107" s="1"/>
  <c r="CN26" i="107" a="1"/>
  <c r="CN26" i="107" s="1"/>
  <c r="CH26" i="107" a="1"/>
  <c r="CH26" i="107" s="1"/>
  <c r="AJ26" i="107"/>
  <c r="AY26" i="107"/>
  <c r="BL26" i="107"/>
  <c r="BY26" i="107"/>
  <c r="CL26" i="107" a="1"/>
  <c r="CL26" i="107" s="1"/>
  <c r="AL26" i="107"/>
  <c r="AZ26" i="107"/>
  <c r="BM26" i="107"/>
  <c r="BZ26" i="107"/>
  <c r="CP26" i="107" a="1"/>
  <c r="CP26" i="107" s="1"/>
  <c r="X26" i="107"/>
  <c r="AN26" i="107"/>
  <c r="BB26" i="107"/>
  <c r="BO26" i="107"/>
  <c r="CC26" i="107"/>
  <c r="Z26" i="107"/>
  <c r="AP26" i="107"/>
  <c r="BC26" i="107"/>
  <c r="BQ26" i="107"/>
  <c r="AF26" i="107"/>
  <c r="AU26" i="107"/>
  <c r="BH26" i="107"/>
  <c r="BU26" i="107"/>
  <c r="CM26" i="107" a="1"/>
  <c r="CM26" i="107" s="1"/>
  <c r="AW26" i="107"/>
  <c r="BT26" i="107"/>
  <c r="CU26" i="107" a="1"/>
  <c r="CU26" i="107" s="1"/>
  <c r="AA26" i="107"/>
  <c r="AX26" i="107"/>
  <c r="BV26" i="107"/>
  <c r="CA26" i="107"/>
  <c r="AB26" i="107"/>
  <c r="BA26" i="107"/>
  <c r="BW26" i="107"/>
  <c r="AG26" i="107"/>
  <c r="AE26" i="107"/>
  <c r="BE26" i="107"/>
  <c r="BX26" i="107"/>
  <c r="BF26" i="107"/>
  <c r="AH26" i="107"/>
  <c r="BG26" i="107"/>
  <c r="BJ26" i="107"/>
  <c r="AI26" i="107"/>
  <c r="BI26" i="107"/>
  <c r="AM26" i="107"/>
  <c r="AQ26" i="107"/>
  <c r="BK26" i="107"/>
  <c r="AS26" i="107"/>
  <c r="BS26" i="107"/>
  <c r="CG26" i="107" a="1"/>
  <c r="CG26" i="107" s="1"/>
  <c r="AT26" i="107"/>
  <c r="AV26" i="107"/>
  <c r="BN26" i="107"/>
  <c r="BR26" i="107"/>
  <c r="CE31" i="107" a="1"/>
  <c r="CE31" i="107" s="1"/>
  <c r="CW31" i="107" a="1"/>
  <c r="CW31" i="107" s="1"/>
  <c r="CH31" i="107" a="1"/>
  <c r="CH31" i="107" s="1"/>
  <c r="CZ31" i="107" a="1"/>
  <c r="CZ31" i="107" s="1"/>
  <c r="CQ31" i="107" a="1"/>
  <c r="CQ31" i="107" s="1"/>
  <c r="CK31" i="107" a="1"/>
  <c r="CK31" i="107" s="1"/>
  <c r="CR31" i="107" a="1"/>
  <c r="CR31" i="107" s="1"/>
  <c r="CS31" i="107" a="1"/>
  <c r="CS31" i="107" s="1"/>
  <c r="AR31" i="107"/>
  <c r="BD31" i="107"/>
  <c r="BP31" i="107"/>
  <c r="CB31" i="107"/>
  <c r="CF31" i="107" a="1"/>
  <c r="CF31" i="107" s="1"/>
  <c r="CT31" i="107" a="1"/>
  <c r="CT31" i="107" s="1"/>
  <c r="CG31" i="107" a="1"/>
  <c r="CG31" i="107" s="1"/>
  <c r="CU31" i="107" a="1"/>
  <c r="CU31" i="107" s="1"/>
  <c r="CM31" i="107" a="1"/>
  <c r="CM31" i="107" s="1"/>
  <c r="DA31" i="107" a="1"/>
  <c r="DA31" i="107" s="1"/>
  <c r="CI31" i="107" a="1"/>
  <c r="CI31" i="107" s="1"/>
  <c r="AK31" i="107"/>
  <c r="AX31" i="107"/>
  <c r="BK31" i="107"/>
  <c r="BX31" i="107"/>
  <c r="CJ31" i="107" a="1"/>
  <c r="CJ31" i="107" s="1"/>
  <c r="AL31" i="107"/>
  <c r="AY31" i="107"/>
  <c r="BL31" i="107"/>
  <c r="BY31" i="107"/>
  <c r="CL31" i="107" a="1"/>
  <c r="CL31" i="107" s="1"/>
  <c r="AN31" i="107"/>
  <c r="BA31" i="107"/>
  <c r="BN31" i="107"/>
  <c r="CA31" i="107"/>
  <c r="CN31" i="107" a="1"/>
  <c r="CN31" i="107" s="1"/>
  <c r="AO31" i="107"/>
  <c r="BB31" i="107"/>
  <c r="BO31" i="107"/>
  <c r="CC31" i="107"/>
  <c r="AT31" i="107"/>
  <c r="BG31" i="107"/>
  <c r="BT31" i="107"/>
  <c r="CX31" i="107" a="1"/>
  <c r="CX31" i="107" s="1"/>
  <c r="CY31" i="107" a="1"/>
  <c r="CY31" i="107" s="1"/>
  <c r="DB31" i="107" a="1"/>
  <c r="DB31" i="107" s="1"/>
  <c r="BF31" i="107"/>
  <c r="BH31" i="107"/>
  <c r="BM31" i="107"/>
  <c r="AM31" i="107"/>
  <c r="BI31" i="107"/>
  <c r="AQ31" i="107"/>
  <c r="AP31" i="107"/>
  <c r="BJ31" i="107"/>
  <c r="AS31" i="107"/>
  <c r="BQ31" i="107"/>
  <c r="AV31" i="107"/>
  <c r="BS31" i="107"/>
  <c r="AU31" i="107"/>
  <c r="BR31" i="107"/>
  <c r="AW31" i="107"/>
  <c r="BU31" i="107"/>
  <c r="BC31" i="107"/>
  <c r="CP31" i="107" a="1"/>
  <c r="CP31" i="107" s="1"/>
  <c r="AZ31" i="107"/>
  <c r="CO31" i="107" a="1"/>
  <c r="CO31" i="107" s="1"/>
  <c r="BE31" i="107"/>
  <c r="CV31" i="107" a="1"/>
  <c r="CV31" i="107" s="1"/>
  <c r="BV31" i="107"/>
  <c r="BW31" i="107"/>
  <c r="BZ31" i="107"/>
  <c r="CF20" i="107" a="1"/>
  <c r="CF20" i="107" s="1"/>
  <c r="CX20" i="107" a="1"/>
  <c r="CX20" i="107" s="1"/>
  <c r="CR20" i="107" a="1"/>
  <c r="CR20" i="107" s="1"/>
  <c r="CQ20" i="107" a="1"/>
  <c r="CQ20" i="107" s="1"/>
  <c r="DB20" i="107" a="1"/>
  <c r="DB20" i="107" s="1"/>
  <c r="CG20" i="107" a="1"/>
  <c r="CG20" i="107" s="1"/>
  <c r="CE20" i="107" a="1"/>
  <c r="CE20" i="107" s="1"/>
  <c r="CH20" i="107" a="1"/>
  <c r="CH20" i="107" s="1"/>
  <c r="CS20" i="107" a="1"/>
  <c r="CS20" i="107" s="1"/>
  <c r="CT20" i="107" a="1"/>
  <c r="CT20" i="107" s="1"/>
  <c r="S20" i="107"/>
  <c r="AE20" i="107"/>
  <c r="AQ20" i="107"/>
  <c r="BC20" i="107"/>
  <c r="BO20" i="107"/>
  <c r="CA20" i="107"/>
  <c r="CI20" i="107" a="1"/>
  <c r="CI20" i="107" s="1"/>
  <c r="CJ20" i="107" a="1"/>
  <c r="CJ20" i="107" s="1"/>
  <c r="CV20" i="107" a="1"/>
  <c r="CV20" i="107" s="1"/>
  <c r="V20" i="107"/>
  <c r="AH20" i="107"/>
  <c r="AT20" i="107"/>
  <c r="BF20" i="107"/>
  <c r="BR20" i="107"/>
  <c r="CM20" i="107" a="1"/>
  <c r="CM20" i="107" s="1"/>
  <c r="CZ20" i="107" a="1"/>
  <c r="CZ20" i="107" s="1"/>
  <c r="CO20" i="107" a="1"/>
  <c r="CO20" i="107" s="1"/>
  <c r="Y20" i="107"/>
  <c r="AM20" i="107"/>
  <c r="BA20" i="107"/>
  <c r="BP20" i="107"/>
  <c r="CY20" i="107" a="1"/>
  <c r="CY20" i="107" s="1"/>
  <c r="Z20" i="107"/>
  <c r="AN20" i="107"/>
  <c r="BB20" i="107"/>
  <c r="BQ20" i="107"/>
  <c r="O20" i="107"/>
  <c r="BU20" i="107"/>
  <c r="DA20" i="107" a="1"/>
  <c r="DA20" i="107" s="1"/>
  <c r="M20" i="107"/>
  <c r="AA20" i="107"/>
  <c r="AO20" i="107"/>
  <c r="BD20" i="107"/>
  <c r="BS20" i="107"/>
  <c r="AR20" i="107"/>
  <c r="N20" i="107"/>
  <c r="AB20" i="107"/>
  <c r="AP20" i="107"/>
  <c r="BE20" i="107"/>
  <c r="BT20" i="107"/>
  <c r="AC20" i="107"/>
  <c r="BG20" i="107"/>
  <c r="CK20" i="107" a="1"/>
  <c r="CK20" i="107" s="1"/>
  <c r="P20" i="107"/>
  <c r="AD20" i="107"/>
  <c r="AS20" i="107"/>
  <c r="BH20" i="107"/>
  <c r="BV20" i="107"/>
  <c r="CL20" i="107" a="1"/>
  <c r="CL20" i="107" s="1"/>
  <c r="Q20" i="107"/>
  <c r="AF20" i="107"/>
  <c r="AU20" i="107"/>
  <c r="BI20" i="107"/>
  <c r="BW20" i="107"/>
  <c r="R20" i="107"/>
  <c r="CN20" i="107" a="1"/>
  <c r="CN20" i="107" s="1"/>
  <c r="T20" i="107"/>
  <c r="AI20" i="107"/>
  <c r="AW20" i="107"/>
  <c r="BK20" i="107"/>
  <c r="BY20" i="107"/>
  <c r="AG20" i="107"/>
  <c r="BX20" i="107"/>
  <c r="AV20" i="107"/>
  <c r="AX20" i="107"/>
  <c r="AZ20" i="107"/>
  <c r="X20" i="107"/>
  <c r="AJ20" i="107"/>
  <c r="BZ20" i="107"/>
  <c r="AY20" i="107"/>
  <c r="CW20" i="107" a="1"/>
  <c r="CW20" i="107" s="1"/>
  <c r="AK20" i="107"/>
  <c r="CB20" i="107"/>
  <c r="AL20" i="107"/>
  <c r="CC20" i="107"/>
  <c r="BN20" i="107"/>
  <c r="BJ20" i="107"/>
  <c r="CP20" i="107" a="1"/>
  <c r="CP20" i="107" s="1"/>
  <c r="U20" i="107"/>
  <c r="BL20" i="107"/>
  <c r="CU20" i="107" a="1"/>
  <c r="CU20" i="107" s="1"/>
  <c r="W20" i="107"/>
  <c r="BM20" i="107"/>
  <c r="DT6" i="106"/>
  <c r="DS6" i="106"/>
  <c r="DU6" i="106"/>
  <c r="K9" i="105"/>
  <c r="G69" i="105"/>
  <c r="D18" i="107"/>
  <c r="AD36" i="96"/>
  <c r="AD37" i="96"/>
  <c r="AD38" i="96"/>
  <c r="AD39" i="96"/>
  <c r="AD40" i="96"/>
  <c r="P36" i="96"/>
  <c r="P37" i="96"/>
  <c r="P38" i="96"/>
  <c r="P39" i="96"/>
  <c r="P40" i="96"/>
  <c r="B36" i="96"/>
  <c r="B37" i="96"/>
  <c r="B38" i="96"/>
  <c r="B39" i="96"/>
  <c r="B40" i="96"/>
  <c r="CU21" i="107" l="1" a="1"/>
  <c r="CU21" i="107" s="1"/>
  <c r="BN36" i="107"/>
  <c r="CN36" i="107" a="1"/>
  <c r="CN36" i="107" s="1"/>
  <c r="BU38" i="107"/>
  <c r="BJ38" i="107"/>
  <c r="BQ38" i="107"/>
  <c r="CV38" i="107" a="1"/>
  <c r="CV38" i="107" s="1"/>
  <c r="CB38" i="107"/>
  <c r="CM38" i="107" a="1"/>
  <c r="CM38" i="107" s="1"/>
  <c r="CU38" i="107" a="1"/>
  <c r="CU38" i="107" s="1"/>
  <c r="CY38" i="107" a="1"/>
  <c r="CY38" i="107" s="1"/>
  <c r="BM38" i="107"/>
  <c r="CJ38" i="107" a="1"/>
  <c r="CJ38" i="107" s="1"/>
  <c r="BS38" i="107"/>
  <c r="BW38" i="107"/>
  <c r="CX38" i="107" a="1"/>
  <c r="CX38" i="107" s="1"/>
  <c r="CZ38" i="107" a="1"/>
  <c r="CZ38" i="107" s="1"/>
  <c r="BX38" i="107"/>
  <c r="CC38" i="107"/>
  <c r="CL38" i="107" a="1"/>
  <c r="CL38" i="107" s="1"/>
  <c r="BT38" i="107"/>
  <c r="BL38" i="107"/>
  <c r="CG38" i="107" a="1"/>
  <c r="CG38" i="107" s="1"/>
  <c r="CT38" i="107" a="1"/>
  <c r="CT38" i="107" s="1"/>
  <c r="BR38" i="107"/>
  <c r="CW38" i="107" a="1"/>
  <c r="CW38" i="107" s="1"/>
  <c r="BI38" i="107"/>
  <c r="CI38" i="107" a="1"/>
  <c r="CI38" i="107" s="1"/>
  <c r="CH38" i="107" a="1"/>
  <c r="CH38" i="107" s="1"/>
  <c r="CF38" i="107" a="1"/>
  <c r="CF38" i="107" s="1"/>
  <c r="CK38" i="107" a="1"/>
  <c r="CK38" i="107" s="1"/>
  <c r="DB38" i="107" a="1"/>
  <c r="DB38" i="107" s="1"/>
  <c r="BY38" i="107"/>
  <c r="BV38" i="107"/>
  <c r="BZ38" i="107"/>
  <c r="CQ38" i="107" a="1"/>
  <c r="CQ38" i="107" s="1"/>
  <c r="DA38" i="107" a="1"/>
  <c r="DA38" i="107" s="1"/>
  <c r="CE38" i="107" a="1"/>
  <c r="CE38" i="107" s="1"/>
  <c r="BO38" i="107"/>
  <c r="CN38" i="107" a="1"/>
  <c r="CN38" i="107" s="1"/>
  <c r="CP38" i="107" a="1"/>
  <c r="CP38" i="107" s="1"/>
  <c r="CE36" i="107" a="1"/>
  <c r="CE36" i="107" s="1"/>
  <c r="BP21" i="107"/>
  <c r="CY21" i="107" a="1"/>
  <c r="CY21" i="107" s="1"/>
  <c r="AT21" i="107"/>
  <c r="BM36" i="107"/>
  <c r="CH36" i="107" a="1"/>
  <c r="CH36" i="107" s="1"/>
  <c r="CQ36" i="107" a="1"/>
  <c r="CQ36" i="107" s="1"/>
  <c r="AN21" i="107"/>
  <c r="BI21" i="107"/>
  <c r="BU21" i="107"/>
  <c r="AI21" i="107"/>
  <c r="Y21" i="107"/>
  <c r="BL21" i="107"/>
  <c r="CI21" i="107" a="1"/>
  <c r="CI21" i="107" s="1"/>
  <c r="F51" i="64"/>
  <c r="AP17" i="108" a="1"/>
  <c r="AX36" i="107"/>
  <c r="BH36" i="107"/>
  <c r="BU36" i="107"/>
  <c r="CT36" i="107" a="1"/>
  <c r="CT36" i="107" s="1"/>
  <c r="CK36" i="107" a="1"/>
  <c r="CK36" i="107" s="1"/>
  <c r="CB36" i="107"/>
  <c r="BV36" i="107"/>
  <c r="BI36" i="107"/>
  <c r="CS36" i="107" a="1"/>
  <c r="CS36" i="107" s="1"/>
  <c r="CA36" i="107"/>
  <c r="BF36" i="107"/>
  <c r="AW36" i="107"/>
  <c r="CI36" i="107" a="1"/>
  <c r="CI36" i="107" s="1"/>
  <c r="BK36" i="107"/>
  <c r="CU36" i="107" a="1"/>
  <c r="CU36" i="107" s="1"/>
  <c r="CC36" i="107"/>
  <c r="DA36" i="107" a="1"/>
  <c r="DA36" i="107" s="1"/>
  <c r="BP36" i="107"/>
  <c r="BL36" i="107"/>
  <c r="BT36" i="107"/>
  <c r="BQ36" i="107"/>
  <c r="CP36" i="107" a="1"/>
  <c r="CP36" i="107" s="1"/>
  <c r="BO36" i="107"/>
  <c r="BY36" i="107"/>
  <c r="BD36" i="107"/>
  <c r="BE36" i="107"/>
  <c r="CZ36" i="107" a="1"/>
  <c r="CZ36" i="107" s="1"/>
  <c r="BA36" i="107"/>
  <c r="BJ36" i="107"/>
  <c r="CR36" i="107" a="1"/>
  <c r="CR36" i="107" s="1"/>
  <c r="CG36" i="107" a="1"/>
  <c r="CG36" i="107" s="1"/>
  <c r="CO36" i="107" a="1"/>
  <c r="CO36" i="107" s="1"/>
  <c r="BR36" i="107"/>
  <c r="DB36" i="107" a="1"/>
  <c r="DB36" i="107" s="1"/>
  <c r="BS36" i="107"/>
  <c r="CV36" i="107" a="1"/>
  <c r="CV36" i="107" s="1"/>
  <c r="CY36" i="107" a="1"/>
  <c r="CY36" i="107" s="1"/>
  <c r="AZ36" i="107"/>
  <c r="BX36" i="107"/>
  <c r="BC36" i="107"/>
  <c r="CF36" i="107" a="1"/>
  <c r="CF36" i="107" s="1"/>
  <c r="CM36" i="107" a="1"/>
  <c r="CM36" i="107" s="1"/>
  <c r="AY36" i="107"/>
  <c r="BW36" i="107"/>
  <c r="CJ36" i="107" a="1"/>
  <c r="CJ36" i="107" s="1"/>
  <c r="BZ36" i="107"/>
  <c r="BN21" i="107"/>
  <c r="CA21" i="107"/>
  <c r="T21" i="107"/>
  <c r="AW21" i="107"/>
  <c r="AJ21" i="107"/>
  <c r="BJ21" i="107"/>
  <c r="CH21" i="107" a="1"/>
  <c r="CH21" i="107" s="1"/>
  <c r="AK21" i="107"/>
  <c r="CJ21" i="107" a="1"/>
  <c r="CJ21" i="107" s="1"/>
  <c r="BS21" i="107"/>
  <c r="BC21" i="107"/>
  <c r="BG21" i="107"/>
  <c r="BY21" i="107"/>
  <c r="AD21" i="107"/>
  <c r="BW21" i="107"/>
  <c r="BT21" i="107"/>
  <c r="AZ21" i="107"/>
  <c r="BV21" i="107"/>
  <c r="AO21" i="107"/>
  <c r="AS21" i="107"/>
  <c r="X21" i="107"/>
  <c r="BF21" i="107"/>
  <c r="AC21" i="107"/>
  <c r="CZ21" i="107" a="1"/>
  <c r="CZ21" i="107" s="1"/>
  <c r="AQ21" i="107"/>
  <c r="Q21" i="107"/>
  <c r="W21" i="107"/>
  <c r="S21" i="107"/>
  <c r="BQ21" i="107"/>
  <c r="AA21" i="107"/>
  <c r="CW21" i="107" a="1"/>
  <c r="CW21" i="107" s="1"/>
  <c r="R21" i="107"/>
  <c r="BE21" i="107"/>
  <c r="BB21" i="107"/>
  <c r="AE21" i="107"/>
  <c r="CP21" i="107" a="1"/>
  <c r="CP21" i="107" s="1"/>
  <c r="CS21" i="107" a="1"/>
  <c r="CS21" i="107" s="1"/>
  <c r="CO21" i="107" a="1"/>
  <c r="CO21" i="107" s="1"/>
  <c r="M21" i="107"/>
  <c r="BX21" i="107"/>
  <c r="AG21" i="107"/>
  <c r="AL21" i="107"/>
  <c r="N21" i="107"/>
  <c r="CX21" i="107" a="1"/>
  <c r="CX21" i="107" s="1"/>
  <c r="CK21" i="107" a="1"/>
  <c r="CK21" i="107" s="1"/>
  <c r="CG21" i="107" a="1"/>
  <c r="CG21" i="107" s="1"/>
  <c r="CE21" i="107" a="1"/>
  <c r="CE21" i="107" s="1"/>
  <c r="BR21" i="107"/>
  <c r="BH21" i="107"/>
  <c r="V21" i="107"/>
  <c r="CT21" i="107" a="1"/>
  <c r="CT21" i="107" s="1"/>
  <c r="CL21" i="107" a="1"/>
  <c r="CL21" i="107" s="1"/>
  <c r="DA21" i="107" a="1"/>
  <c r="DA21" i="107" s="1"/>
  <c r="CV21" i="107" a="1"/>
  <c r="CV21" i="107" s="1"/>
  <c r="AP21" i="107"/>
  <c r="BD21" i="107"/>
  <c r="CB21" i="107"/>
  <c r="CQ21" i="107" a="1"/>
  <c r="CQ21" i="107" s="1"/>
  <c r="U21" i="107"/>
  <c r="CR21" i="107" a="1"/>
  <c r="CR21" i="107" s="1"/>
  <c r="CN21" i="107" a="1"/>
  <c r="CN21" i="107" s="1"/>
  <c r="AY21" i="107"/>
  <c r="BO21" i="107"/>
  <c r="Z21" i="107"/>
  <c r="AF21" i="107"/>
  <c r="AR21" i="107"/>
  <c r="BK21" i="107"/>
  <c r="BM21" i="107"/>
  <c r="CM21" i="107" a="1"/>
  <c r="CM21" i="107" s="1"/>
  <c r="AX21" i="107"/>
  <c r="AM21" i="107"/>
  <c r="CC21" i="107"/>
  <c r="O21" i="107"/>
  <c r="AB21" i="107"/>
  <c r="AV21" i="107"/>
  <c r="BA21" i="107"/>
  <c r="CK30" i="107" a="1"/>
  <c r="CK30" i="107" s="1"/>
  <c r="CN30" i="107" a="1"/>
  <c r="CN30" i="107" s="1"/>
  <c r="CE30" i="107" a="1"/>
  <c r="CE30" i="107" s="1"/>
  <c r="CW30" i="107" a="1"/>
  <c r="CW30" i="107" s="1"/>
  <c r="CQ30" i="107" a="1"/>
  <c r="CQ30" i="107" s="1"/>
  <c r="CO30" i="107" a="1"/>
  <c r="CO30" i="107" s="1"/>
  <c r="DB30" i="107" a="1"/>
  <c r="DB30" i="107" s="1"/>
  <c r="CP30" i="107" a="1"/>
  <c r="CP30" i="107" s="1"/>
  <c r="AR30" i="107"/>
  <c r="BD30" i="107"/>
  <c r="BP30" i="107"/>
  <c r="CB30" i="107"/>
  <c r="CR30" i="107" a="1"/>
  <c r="CR30" i="107" s="1"/>
  <c r="CJ30" i="107" a="1"/>
  <c r="CJ30" i="107" s="1"/>
  <c r="CX30" i="107" a="1"/>
  <c r="CX30" i="107" s="1"/>
  <c r="CH30" i="107" a="1"/>
  <c r="CH30" i="107" s="1"/>
  <c r="AT30" i="107"/>
  <c r="BG30" i="107"/>
  <c r="BT30" i="107"/>
  <c r="CI30" i="107" a="1"/>
  <c r="CI30" i="107" s="1"/>
  <c r="AU30" i="107"/>
  <c r="BH30" i="107"/>
  <c r="BU30" i="107"/>
  <c r="CL30" i="107" a="1"/>
  <c r="CL30" i="107" s="1"/>
  <c r="AW30" i="107"/>
  <c r="BJ30" i="107"/>
  <c r="BW30" i="107"/>
  <c r="CM30" i="107" a="1"/>
  <c r="CM30" i="107" s="1"/>
  <c r="AK30" i="107"/>
  <c r="AX30" i="107"/>
  <c r="BK30" i="107"/>
  <c r="BX30" i="107"/>
  <c r="CV30" i="107" a="1"/>
  <c r="CV30" i="107" s="1"/>
  <c r="AO30" i="107"/>
  <c r="BB30" i="107"/>
  <c r="BO30" i="107"/>
  <c r="CC30" i="107"/>
  <c r="CY30" i="107" a="1"/>
  <c r="CY30" i="107" s="1"/>
  <c r="CF30" i="107" a="1"/>
  <c r="CF30" i="107" s="1"/>
  <c r="CZ30" i="107" a="1"/>
  <c r="CZ30" i="107" s="1"/>
  <c r="AM30" i="107"/>
  <c r="BI30" i="107"/>
  <c r="AN30" i="107"/>
  <c r="BL30" i="107"/>
  <c r="AS30" i="107"/>
  <c r="CG30" i="107" a="1"/>
  <c r="CG30" i="107" s="1"/>
  <c r="AP30" i="107"/>
  <c r="BM30" i="107"/>
  <c r="BQ30" i="107"/>
  <c r="AQ30" i="107"/>
  <c r="BN30" i="107"/>
  <c r="CS30" i="107" a="1"/>
  <c r="CS30" i="107" s="1"/>
  <c r="CT30" i="107" a="1"/>
  <c r="CT30" i="107" s="1"/>
  <c r="AV30" i="107"/>
  <c r="BR30" i="107"/>
  <c r="DA30" i="107" a="1"/>
  <c r="DA30" i="107" s="1"/>
  <c r="AZ30" i="107"/>
  <c r="CU30" i="107" a="1"/>
  <c r="CU30" i="107" s="1"/>
  <c r="AY30" i="107"/>
  <c r="BS30" i="107"/>
  <c r="BV30" i="107"/>
  <c r="BA30" i="107"/>
  <c r="BY30" i="107"/>
  <c r="BZ30" i="107"/>
  <c r="BF30" i="107"/>
  <c r="CA30" i="107"/>
  <c r="AL30" i="107"/>
  <c r="BC30" i="107"/>
  <c r="BE30" i="107"/>
  <c r="CE25" i="107" a="1"/>
  <c r="CE25" i="107" s="1"/>
  <c r="CW25" i="107" a="1"/>
  <c r="CW25" i="107" s="1"/>
  <c r="Y25" i="107"/>
  <c r="AK25" i="107"/>
  <c r="AW25" i="107"/>
  <c r="BI25" i="107"/>
  <c r="BU25" i="107"/>
  <c r="CF25" i="107" a="1"/>
  <c r="CF25" i="107" s="1"/>
  <c r="CO25" i="107" a="1"/>
  <c r="CO25" i="107" s="1"/>
  <c r="CX25" i="107" a="1"/>
  <c r="CX25" i="107" s="1"/>
  <c r="CG25" i="107" a="1"/>
  <c r="CG25" i="107" s="1"/>
  <c r="CP25" i="107" a="1"/>
  <c r="CP25" i="107" s="1"/>
  <c r="CY25" i="107" a="1"/>
  <c r="CY25" i="107" s="1"/>
  <c r="CH25" i="107" a="1"/>
  <c r="CH25" i="107" s="1"/>
  <c r="CZ25" i="107" a="1"/>
  <c r="CZ25" i="107" s="1"/>
  <c r="CQ25" i="107" a="1"/>
  <c r="CQ25" i="107" s="1"/>
  <c r="AC25" i="107"/>
  <c r="AO25" i="107"/>
  <c r="BA25" i="107"/>
  <c r="BM25" i="107"/>
  <c r="BY25" i="107"/>
  <c r="CK25" i="107" a="1"/>
  <c r="CK25" i="107" s="1"/>
  <c r="CL25" i="107" a="1"/>
  <c r="CL25" i="107" s="1"/>
  <c r="CU25" i="107" a="1"/>
  <c r="CU25" i="107" s="1"/>
  <c r="DA25" i="107" a="1"/>
  <c r="DA25" i="107" s="1"/>
  <c r="AF25" i="107"/>
  <c r="AT25" i="107"/>
  <c r="BH25" i="107"/>
  <c r="BW25" i="107"/>
  <c r="DB25" i="107" a="1"/>
  <c r="DB25" i="107" s="1"/>
  <c r="CI25" i="107" a="1"/>
  <c r="CI25" i="107" s="1"/>
  <c r="CR25" i="107" a="1"/>
  <c r="CR25" i="107" s="1"/>
  <c r="AH25" i="107"/>
  <c r="AX25" i="107"/>
  <c r="BN25" i="107"/>
  <c r="CC25" i="107"/>
  <c r="AI25" i="107"/>
  <c r="AY25" i="107"/>
  <c r="BO25" i="107"/>
  <c r="AL25" i="107"/>
  <c r="BB25" i="107"/>
  <c r="BQ25" i="107"/>
  <c r="CJ25" i="107" a="1"/>
  <c r="CJ25" i="107" s="1"/>
  <c r="AM25" i="107"/>
  <c r="BC25" i="107"/>
  <c r="BR25" i="107"/>
  <c r="CS25" i="107" a="1"/>
  <c r="CS25" i="107" s="1"/>
  <c r="AB25" i="107"/>
  <c r="AR25" i="107"/>
  <c r="BG25" i="107"/>
  <c r="BX25" i="107"/>
  <c r="CT25" i="107" a="1"/>
  <c r="CT25" i="107" s="1"/>
  <c r="CV25" i="107" a="1"/>
  <c r="CV25" i="107" s="1"/>
  <c r="AE25" i="107"/>
  <c r="BF25" i="107"/>
  <c r="AG25" i="107"/>
  <c r="BJ25" i="107"/>
  <c r="AJ25" i="107"/>
  <c r="BK25" i="107"/>
  <c r="AP25" i="107"/>
  <c r="AN25" i="107"/>
  <c r="BL25" i="107"/>
  <c r="BP25" i="107"/>
  <c r="AQ25" i="107"/>
  <c r="BS25" i="107"/>
  <c r="BV25" i="107"/>
  <c r="AS25" i="107"/>
  <c r="BT25" i="107"/>
  <c r="AU25" i="107"/>
  <c r="X25" i="107"/>
  <c r="AV25" i="107"/>
  <c r="BZ25" i="107"/>
  <c r="CM25" i="107" a="1"/>
  <c r="CM25" i="107" s="1"/>
  <c r="BD25" i="107"/>
  <c r="CN25" i="107" a="1"/>
  <c r="CN25" i="107" s="1"/>
  <c r="BE25" i="107"/>
  <c r="CA25" i="107"/>
  <c r="CB25" i="107"/>
  <c r="AZ25" i="107"/>
  <c r="Z25" i="107"/>
  <c r="AA25" i="107"/>
  <c r="AD25" i="107"/>
  <c r="CK39" i="107" a="1"/>
  <c r="CK39" i="107" s="1"/>
  <c r="CE39" i="107" a="1"/>
  <c r="CE39" i="107" s="1"/>
  <c r="CW39" i="107" a="1"/>
  <c r="CW39" i="107" s="1"/>
  <c r="CG39" i="107" a="1"/>
  <c r="CG39" i="107" s="1"/>
  <c r="CQ39" i="107" a="1"/>
  <c r="CQ39" i="107" s="1"/>
  <c r="CH39" i="107" a="1"/>
  <c r="CH39" i="107" s="1"/>
  <c r="CR39" i="107" a="1"/>
  <c r="CR39" i="107" s="1"/>
  <c r="CS39" i="107" a="1"/>
  <c r="CS39" i="107" s="1"/>
  <c r="CI39" i="107" a="1"/>
  <c r="CI39" i="107" s="1"/>
  <c r="CT39" i="107" a="1"/>
  <c r="CT39" i="107" s="1"/>
  <c r="CL39" i="107" a="1"/>
  <c r="CL39" i="107" s="1"/>
  <c r="CM39" i="107" a="1"/>
  <c r="CM39" i="107" s="1"/>
  <c r="DA39" i="107" a="1"/>
  <c r="DA39" i="107" s="1"/>
  <c r="BB39" i="107"/>
  <c r="BN39" i="107"/>
  <c r="BZ39" i="107"/>
  <c r="CO39" i="107" a="1"/>
  <c r="CO39" i="107" s="1"/>
  <c r="CP39" i="107" a="1"/>
  <c r="CP39" i="107" s="1"/>
  <c r="BE39" i="107"/>
  <c r="BQ39" i="107"/>
  <c r="CC39" i="107"/>
  <c r="CF39" i="107" a="1"/>
  <c r="CF39" i="107" s="1"/>
  <c r="CJ39" i="107" a="1"/>
  <c r="CJ39" i="107" s="1"/>
  <c r="CY39" i="107" a="1"/>
  <c r="CY39" i="107" s="1"/>
  <c r="CU39" i="107" a="1"/>
  <c r="CU39" i="107" s="1"/>
  <c r="AZ39" i="107"/>
  <c r="BO39" i="107"/>
  <c r="CV39" i="107" a="1"/>
  <c r="CV39" i="107" s="1"/>
  <c r="BA39" i="107"/>
  <c r="BP39" i="107"/>
  <c r="CX39" i="107" a="1"/>
  <c r="CX39" i="107" s="1"/>
  <c r="BC39" i="107"/>
  <c r="BR39" i="107"/>
  <c r="BT39" i="107"/>
  <c r="CZ39" i="107" a="1"/>
  <c r="CZ39" i="107" s="1"/>
  <c r="BD39" i="107"/>
  <c r="BS39" i="107"/>
  <c r="BF39" i="107"/>
  <c r="DB39" i="107" a="1"/>
  <c r="DB39" i="107" s="1"/>
  <c r="BG39" i="107"/>
  <c r="BU39" i="107"/>
  <c r="BW39" i="107"/>
  <c r="BH39" i="107"/>
  <c r="BV39" i="107"/>
  <c r="BI39" i="107"/>
  <c r="BJ39" i="107"/>
  <c r="BX39" i="107"/>
  <c r="AY39" i="107"/>
  <c r="CB39" i="107"/>
  <c r="BK39" i="107"/>
  <c r="BY39" i="107"/>
  <c r="CA39" i="107"/>
  <c r="CN39" i="107" a="1"/>
  <c r="CN39" i="107" s="1"/>
  <c r="BL39" i="107"/>
  <c r="BM39" i="107"/>
  <c r="AX39" i="107"/>
  <c r="AW39" i="107"/>
  <c r="CE34" i="107" a="1"/>
  <c r="CE34" i="107" s="1"/>
  <c r="CW34" i="107" a="1"/>
  <c r="CW34" i="107" s="1"/>
  <c r="CH34" i="107" a="1"/>
  <c r="CH34" i="107" s="1"/>
  <c r="CZ34" i="107" a="1"/>
  <c r="CZ34" i="107" s="1"/>
  <c r="CQ34" i="107" a="1"/>
  <c r="CQ34" i="107" s="1"/>
  <c r="CK34" i="107" a="1"/>
  <c r="CK34" i="107" s="1"/>
  <c r="CM34" i="107" a="1"/>
  <c r="CM34" i="107" s="1"/>
  <c r="CY34" i="107" a="1"/>
  <c r="CY34" i="107" s="1"/>
  <c r="CN34" i="107" a="1"/>
  <c r="CN34" i="107" s="1"/>
  <c r="DA34" i="107" a="1"/>
  <c r="DA34" i="107" s="1"/>
  <c r="CO34" i="107" a="1"/>
  <c r="CO34" i="107" s="1"/>
  <c r="DB34" i="107" a="1"/>
  <c r="DB34" i="107" s="1"/>
  <c r="CP34" i="107" a="1"/>
  <c r="CP34" i="107" s="1"/>
  <c r="CI34" i="107" a="1"/>
  <c r="CI34" i="107" s="1"/>
  <c r="CU34" i="107" a="1"/>
  <c r="CU34" i="107" s="1"/>
  <c r="CX34" i="107" a="1"/>
  <c r="CX34" i="107" s="1"/>
  <c r="AO34" i="107"/>
  <c r="BA34" i="107"/>
  <c r="CF34" i="107" a="1"/>
  <c r="CF34" i="107" s="1"/>
  <c r="AP34" i="107"/>
  <c r="BB34" i="107"/>
  <c r="BN34" i="107"/>
  <c r="BZ34" i="107"/>
  <c r="CJ34" i="107" a="1"/>
  <c r="CJ34" i="107" s="1"/>
  <c r="AS34" i="107"/>
  <c r="BE34" i="107"/>
  <c r="BQ34" i="107"/>
  <c r="CC34" i="107"/>
  <c r="CT34" i="107" a="1"/>
  <c r="CT34" i="107" s="1"/>
  <c r="AK34" i="107"/>
  <c r="AW34" i="107"/>
  <c r="BI34" i="107"/>
  <c r="BU34" i="107"/>
  <c r="CV34" i="107" a="1"/>
  <c r="CV34" i="107" s="1"/>
  <c r="CL34" i="107" a="1"/>
  <c r="CL34" i="107" s="1"/>
  <c r="AT34" i="107"/>
  <c r="BK34" i="107"/>
  <c r="CA34" i="107"/>
  <c r="CR34" i="107" a="1"/>
  <c r="CR34" i="107" s="1"/>
  <c r="AU34" i="107"/>
  <c r="BL34" i="107"/>
  <c r="CB34" i="107"/>
  <c r="CS34" i="107" a="1"/>
  <c r="CS34" i="107" s="1"/>
  <c r="AV34" i="107"/>
  <c r="BM34" i="107"/>
  <c r="AY34" i="107"/>
  <c r="AX34" i="107"/>
  <c r="BO34" i="107"/>
  <c r="BP34" i="107"/>
  <c r="AZ34" i="107"/>
  <c r="BR34" i="107"/>
  <c r="BD34" i="107"/>
  <c r="BC34" i="107"/>
  <c r="BS34" i="107"/>
  <c r="AL34" i="107"/>
  <c r="BT34" i="107"/>
  <c r="AM34" i="107"/>
  <c r="BF34" i="107"/>
  <c r="BV34" i="107"/>
  <c r="BG34" i="107"/>
  <c r="BY34" i="107"/>
  <c r="AR34" i="107"/>
  <c r="BH34" i="107"/>
  <c r="BX34" i="107"/>
  <c r="BJ34" i="107"/>
  <c r="BW34" i="107"/>
  <c r="AN34" i="107"/>
  <c r="AQ34" i="107"/>
  <c r="CG34" i="107" a="1"/>
  <c r="CG34" i="107" s="1"/>
  <c r="CQ35" i="107" a="1"/>
  <c r="CQ35" i="107" s="1"/>
  <c r="CT35" i="107" a="1"/>
  <c r="CT35" i="107" s="1"/>
  <c r="CK35" i="107" a="1"/>
  <c r="CK35" i="107" s="1"/>
  <c r="CN35" i="107" a="1"/>
  <c r="CN35" i="107" s="1"/>
  <c r="CY35" i="107" a="1"/>
  <c r="CY35" i="107" s="1"/>
  <c r="CZ35" i="107" a="1"/>
  <c r="CZ35" i="107" s="1"/>
  <c r="CO35" i="107" a="1"/>
  <c r="CO35" i="107" s="1"/>
  <c r="DA35" i="107" a="1"/>
  <c r="DA35" i="107" s="1"/>
  <c r="CP35" i="107" a="1"/>
  <c r="CP35" i="107" s="1"/>
  <c r="DB35" i="107" a="1"/>
  <c r="DB35" i="107" s="1"/>
  <c r="CI35" i="107" a="1"/>
  <c r="CI35" i="107" s="1"/>
  <c r="CV35" i="107" a="1"/>
  <c r="CV35" i="107" s="1"/>
  <c r="CE35" i="107" a="1"/>
  <c r="CE35" i="107" s="1"/>
  <c r="CW35" i="107" a="1"/>
  <c r="CW35" i="107" s="1"/>
  <c r="BB35" i="107"/>
  <c r="BN35" i="107"/>
  <c r="BZ35" i="107"/>
  <c r="CG35" i="107" a="1"/>
  <c r="CG35" i="107" s="1"/>
  <c r="CH35" i="107" a="1"/>
  <c r="CH35" i="107" s="1"/>
  <c r="BE35" i="107"/>
  <c r="BQ35" i="107"/>
  <c r="CC35" i="107"/>
  <c r="AW35" i="107"/>
  <c r="BI35" i="107"/>
  <c r="BU35" i="107"/>
  <c r="CR35" i="107" a="1"/>
  <c r="CR35" i="107" s="1"/>
  <c r="CS35" i="107" a="1"/>
  <c r="CS35" i="107" s="1"/>
  <c r="BG35" i="107"/>
  <c r="BW35" i="107"/>
  <c r="BH35" i="107"/>
  <c r="BX35" i="107"/>
  <c r="CB35" i="107"/>
  <c r="BJ35" i="107"/>
  <c r="BY35" i="107"/>
  <c r="BL35" i="107"/>
  <c r="BK35" i="107"/>
  <c r="CA35" i="107"/>
  <c r="CF35" i="107" a="1"/>
  <c r="CF35" i="107" s="1"/>
  <c r="CJ35" i="107" a="1"/>
  <c r="CJ35" i="107" s="1"/>
  <c r="AX35" i="107"/>
  <c r="BM35" i="107"/>
  <c r="CM35" i="107" a="1"/>
  <c r="CM35" i="107" s="1"/>
  <c r="BP35" i="107"/>
  <c r="CL35" i="107" a="1"/>
  <c r="CL35" i="107" s="1"/>
  <c r="AY35" i="107"/>
  <c r="BO35" i="107"/>
  <c r="AZ35" i="107"/>
  <c r="CU35" i="107" a="1"/>
  <c r="CU35" i="107" s="1"/>
  <c r="BA35" i="107"/>
  <c r="BR35" i="107"/>
  <c r="CX35" i="107" a="1"/>
  <c r="CX35" i="107" s="1"/>
  <c r="BS35" i="107"/>
  <c r="BT35" i="107"/>
  <c r="BF35" i="107"/>
  <c r="BV35" i="107"/>
  <c r="BC35" i="107"/>
  <c r="BD35" i="107"/>
  <c r="CQ29" i="107" a="1"/>
  <c r="CQ29" i="107" s="1"/>
  <c r="CI29" i="107" a="1"/>
  <c r="CI29" i="107" s="1"/>
  <c r="CJ29" i="107" a="1"/>
  <c r="CJ29" i="107" s="1"/>
  <c r="CT29" i="107" a="1"/>
  <c r="CT29" i="107" s="1"/>
  <c r="CK29" i="107" a="1"/>
  <c r="CK29" i="107" s="1"/>
  <c r="CE29" i="107" a="1"/>
  <c r="CE29" i="107" s="1"/>
  <c r="CW29" i="107" a="1"/>
  <c r="CW29" i="107" s="1"/>
  <c r="CL29" i="107" a="1"/>
  <c r="CL29" i="107" s="1"/>
  <c r="CY29" i="107" a="1"/>
  <c r="CY29" i="107" s="1"/>
  <c r="CM29" i="107" a="1"/>
  <c r="CM29" i="107" s="1"/>
  <c r="CZ29" i="107" a="1"/>
  <c r="CZ29" i="107" s="1"/>
  <c r="AF29" i="107"/>
  <c r="AR29" i="107"/>
  <c r="BD29" i="107"/>
  <c r="BP29" i="107"/>
  <c r="CB29" i="107"/>
  <c r="CN29" i="107" a="1"/>
  <c r="CN29" i="107" s="1"/>
  <c r="DA29" i="107" a="1"/>
  <c r="DA29" i="107" s="1"/>
  <c r="CO29" i="107" a="1"/>
  <c r="CO29" i="107" s="1"/>
  <c r="DB29" i="107" a="1"/>
  <c r="DB29" i="107" s="1"/>
  <c r="CU29" i="107" a="1"/>
  <c r="CU29" i="107" s="1"/>
  <c r="CF29" i="107" a="1"/>
  <c r="CF29" i="107" s="1"/>
  <c r="AB29" i="107"/>
  <c r="AO29" i="107"/>
  <c r="BB29" i="107"/>
  <c r="BO29" i="107"/>
  <c r="CC29" i="107"/>
  <c r="CG29" i="107" a="1"/>
  <c r="CG29" i="107" s="1"/>
  <c r="AC29" i="107"/>
  <c r="AP29" i="107"/>
  <c r="BC29" i="107"/>
  <c r="BQ29" i="107"/>
  <c r="CP29" i="107" a="1"/>
  <c r="CP29" i="107" s="1"/>
  <c r="AE29" i="107"/>
  <c r="AS29" i="107"/>
  <c r="BF29" i="107"/>
  <c r="BS29" i="107"/>
  <c r="AG29" i="107"/>
  <c r="AT29" i="107"/>
  <c r="BG29" i="107"/>
  <c r="BT29" i="107"/>
  <c r="X29" i="107"/>
  <c r="AK29" i="107"/>
  <c r="AX29" i="107"/>
  <c r="BK29" i="107"/>
  <c r="BX29" i="107"/>
  <c r="CX29" i="107" a="1"/>
  <c r="CX29" i="107" s="1"/>
  <c r="CS29" i="107" a="1"/>
  <c r="CS29" i="107" s="1"/>
  <c r="AU29" i="107"/>
  <c r="BN29" i="107"/>
  <c r="CV29" i="107" a="1"/>
  <c r="CV29" i="107" s="1"/>
  <c r="Y29" i="107"/>
  <c r="AV29" i="107"/>
  <c r="BR29" i="107"/>
  <c r="AZ29" i="107"/>
  <c r="Z29" i="107"/>
  <c r="AW29" i="107"/>
  <c r="BU29" i="107"/>
  <c r="AD29" i="107"/>
  <c r="AA29" i="107"/>
  <c r="AY29" i="107"/>
  <c r="BV29" i="107"/>
  <c r="BW29" i="107"/>
  <c r="AH29" i="107"/>
  <c r="BA29" i="107"/>
  <c r="BY29" i="107"/>
  <c r="BH29" i="107"/>
  <c r="AI29" i="107"/>
  <c r="BE29" i="107"/>
  <c r="BZ29" i="107"/>
  <c r="AJ29" i="107"/>
  <c r="CA29" i="107"/>
  <c r="AL29" i="107"/>
  <c r="BI29" i="107"/>
  <c r="AN29" i="107"/>
  <c r="BM29" i="107"/>
  <c r="AQ29" i="107"/>
  <c r="CR29" i="107" a="1"/>
  <c r="CR29" i="107" s="1"/>
  <c r="BJ29" i="107"/>
  <c r="BL29" i="107"/>
  <c r="CH29" i="107" a="1"/>
  <c r="CH29" i="107" s="1"/>
  <c r="AM29" i="107"/>
  <c r="CE37" i="107" a="1"/>
  <c r="CE37" i="107" s="1"/>
  <c r="CW37" i="107" a="1"/>
  <c r="CW37" i="107" s="1"/>
  <c r="CQ37" i="107" a="1"/>
  <c r="CQ37" i="107" s="1"/>
  <c r="CK37" i="107" a="1"/>
  <c r="CK37" i="107" s="1"/>
  <c r="CV37" i="107" a="1"/>
  <c r="CV37" i="107" s="1"/>
  <c r="CL37" i="107" a="1"/>
  <c r="CL37" i="107" s="1"/>
  <c r="CM37" i="107" a="1"/>
  <c r="CM37" i="107" s="1"/>
  <c r="CX37" i="107" a="1"/>
  <c r="CX37" i="107" s="1"/>
  <c r="CN37" i="107" a="1"/>
  <c r="CN37" i="107" s="1"/>
  <c r="CY37" i="107" a="1"/>
  <c r="CY37" i="107" s="1"/>
  <c r="CJ37" i="107" a="1"/>
  <c r="CJ37" i="107" s="1"/>
  <c r="DB37" i="107" a="1"/>
  <c r="DB37" i="107" s="1"/>
  <c r="BB37" i="107"/>
  <c r="BN37" i="107"/>
  <c r="BZ37" i="107"/>
  <c r="CP37" i="107" a="1"/>
  <c r="CP37" i="107" s="1"/>
  <c r="BE37" i="107"/>
  <c r="BQ37" i="107"/>
  <c r="CC37" i="107"/>
  <c r="CF37" i="107" a="1"/>
  <c r="CF37" i="107" s="1"/>
  <c r="AW37" i="107"/>
  <c r="BI37" i="107"/>
  <c r="CG37" i="107" a="1"/>
  <c r="CG37" i="107" s="1"/>
  <c r="CU37" i="107" a="1"/>
  <c r="CU37" i="107" s="1"/>
  <c r="CH37" i="107" a="1"/>
  <c r="CH37" i="107" s="1"/>
  <c r="CZ37" i="107" a="1"/>
  <c r="CZ37" i="107" s="1"/>
  <c r="AY37" i="107"/>
  <c r="BO37" i="107"/>
  <c r="AZ37" i="107"/>
  <c r="BP37" i="107"/>
  <c r="BD37" i="107"/>
  <c r="BA37" i="107"/>
  <c r="BR37" i="107"/>
  <c r="BC37" i="107"/>
  <c r="BS37" i="107"/>
  <c r="BT37" i="107"/>
  <c r="BF37" i="107"/>
  <c r="BU37" i="107"/>
  <c r="BH37" i="107"/>
  <c r="CI37" i="107" a="1"/>
  <c r="CI37" i="107" s="1"/>
  <c r="BG37" i="107"/>
  <c r="BV37" i="107"/>
  <c r="CO37" i="107" a="1"/>
  <c r="CO37" i="107" s="1"/>
  <c r="BW37" i="107"/>
  <c r="CR37" i="107" a="1"/>
  <c r="CR37" i="107" s="1"/>
  <c r="BJ37" i="107"/>
  <c r="BX37" i="107"/>
  <c r="BK37" i="107"/>
  <c r="DA37" i="107" a="1"/>
  <c r="DA37" i="107" s="1"/>
  <c r="BM37" i="107"/>
  <c r="CT37" i="107" a="1"/>
  <c r="CT37" i="107" s="1"/>
  <c r="BL37" i="107"/>
  <c r="BY37" i="107"/>
  <c r="CS37" i="107" a="1"/>
  <c r="CS37" i="107" s="1"/>
  <c r="AX37" i="107"/>
  <c r="CA37" i="107"/>
  <c r="CB37" i="107"/>
  <c r="CE22" i="107" a="1"/>
  <c r="CE22" i="107" s="1"/>
  <c r="CW22" i="107" a="1"/>
  <c r="CW22" i="107" s="1"/>
  <c r="M22" i="107"/>
  <c r="Y22" i="107"/>
  <c r="AK22" i="107"/>
  <c r="AW22" i="107"/>
  <c r="BI22" i="107"/>
  <c r="BU22" i="107"/>
  <c r="CF22" i="107" a="1"/>
  <c r="CF22" i="107" s="1"/>
  <c r="CO22" i="107" a="1"/>
  <c r="CO22" i="107" s="1"/>
  <c r="CX22" i="107" a="1"/>
  <c r="CX22" i="107" s="1"/>
  <c r="CG22" i="107" a="1"/>
  <c r="CG22" i="107" s="1"/>
  <c r="CP22" i="107" a="1"/>
  <c r="CP22" i="107" s="1"/>
  <c r="CY22" i="107" a="1"/>
  <c r="CY22" i="107" s="1"/>
  <c r="CH22" i="107" a="1"/>
  <c r="CH22" i="107" s="1"/>
  <c r="CZ22" i="107" a="1"/>
  <c r="CZ22" i="107" s="1"/>
  <c r="CQ22" i="107" a="1"/>
  <c r="CQ22" i="107" s="1"/>
  <c r="Q22" i="107"/>
  <c r="AC22" i="107"/>
  <c r="AO22" i="107"/>
  <c r="BA22" i="107"/>
  <c r="BM22" i="107"/>
  <c r="BY22" i="107"/>
  <c r="CK22" i="107" a="1"/>
  <c r="CK22" i="107" s="1"/>
  <c r="CL22" i="107" a="1"/>
  <c r="CL22" i="107" s="1"/>
  <c r="CU22" i="107" a="1"/>
  <c r="CU22" i="107" s="1"/>
  <c r="CM22" i="107" a="1"/>
  <c r="CM22" i="107" s="1"/>
  <c r="CI22" i="107" a="1"/>
  <c r="CI22" i="107" s="1"/>
  <c r="CJ22" i="107" a="1"/>
  <c r="CJ22" i="107" s="1"/>
  <c r="T22" i="107"/>
  <c r="AH22" i="107"/>
  <c r="AV22" i="107"/>
  <c r="BK22" i="107"/>
  <c r="BZ22" i="107"/>
  <c r="CN22" i="107" a="1"/>
  <c r="CN22" i="107" s="1"/>
  <c r="DB22" i="107" a="1"/>
  <c r="DB22" i="107" s="1"/>
  <c r="R22" i="107"/>
  <c r="AG22" i="107"/>
  <c r="AX22" i="107"/>
  <c r="BN22" i="107"/>
  <c r="CC22" i="107"/>
  <c r="S22" i="107"/>
  <c r="AI22" i="107"/>
  <c r="AY22" i="107"/>
  <c r="BO22" i="107"/>
  <c r="V22" i="107"/>
  <c r="AL22" i="107"/>
  <c r="BB22" i="107"/>
  <c r="BQ22" i="107"/>
  <c r="W22" i="107"/>
  <c r="AM22" i="107"/>
  <c r="BC22" i="107"/>
  <c r="BR22" i="107"/>
  <c r="CS22" i="107" a="1"/>
  <c r="CS22" i="107" s="1"/>
  <c r="AB22" i="107"/>
  <c r="AR22" i="107"/>
  <c r="BG22" i="107"/>
  <c r="BW22" i="107"/>
  <c r="CT22" i="107" a="1"/>
  <c r="CT22" i="107" s="1"/>
  <c r="CV22" i="107" a="1"/>
  <c r="CV22" i="107" s="1"/>
  <c r="AE22" i="107"/>
  <c r="BF22" i="107"/>
  <c r="AF22" i="107"/>
  <c r="BH22" i="107"/>
  <c r="N22" i="107"/>
  <c r="BP22" i="107"/>
  <c r="CR22" i="107" a="1"/>
  <c r="CR22" i="107" s="1"/>
  <c r="AJ22" i="107"/>
  <c r="BJ22" i="107"/>
  <c r="AP22" i="107"/>
  <c r="DA22" i="107" a="1"/>
  <c r="DA22" i="107" s="1"/>
  <c r="AN22" i="107"/>
  <c r="BL22" i="107"/>
  <c r="O22" i="107"/>
  <c r="AQ22" i="107"/>
  <c r="BS22" i="107"/>
  <c r="U22" i="107"/>
  <c r="BV22" i="107"/>
  <c r="P22" i="107"/>
  <c r="AS22" i="107"/>
  <c r="BT22" i="107"/>
  <c r="AT22" i="107"/>
  <c r="X22" i="107"/>
  <c r="AU22" i="107"/>
  <c r="BX22" i="107"/>
  <c r="AZ22" i="107"/>
  <c r="CB22" i="107"/>
  <c r="Z22" i="107"/>
  <c r="AA22" i="107"/>
  <c r="AD22" i="107"/>
  <c r="BD22" i="107"/>
  <c r="BE22" i="107"/>
  <c r="CA22" i="107"/>
  <c r="CQ32" i="107" a="1"/>
  <c r="CQ32" i="107" s="1"/>
  <c r="CT32" i="107" a="1"/>
  <c r="CT32" i="107" s="1"/>
  <c r="CK32" i="107" a="1"/>
  <c r="CK32" i="107" s="1"/>
  <c r="CE32" i="107" a="1"/>
  <c r="CE32" i="107" s="1"/>
  <c r="CW32" i="107" a="1"/>
  <c r="CW32" i="107" s="1"/>
  <c r="CG32" i="107" a="1"/>
  <c r="CG32" i="107" s="1"/>
  <c r="CU32" i="107" a="1"/>
  <c r="CU32" i="107" s="1"/>
  <c r="CH32" i="107" a="1"/>
  <c r="CH32" i="107" s="1"/>
  <c r="CV32" i="107" a="1"/>
  <c r="CV32" i="107" s="1"/>
  <c r="CI32" i="107" a="1"/>
  <c r="CI32" i="107" s="1"/>
  <c r="CJ32" i="107" a="1"/>
  <c r="CJ32" i="107" s="1"/>
  <c r="CX32" i="107" a="1"/>
  <c r="CX32" i="107" s="1"/>
  <c r="CP32" i="107" a="1"/>
  <c r="CP32" i="107" s="1"/>
  <c r="DB32" i="107" a="1"/>
  <c r="DB32" i="107" s="1"/>
  <c r="AO32" i="107"/>
  <c r="BA32" i="107"/>
  <c r="BM32" i="107"/>
  <c r="BY32" i="107"/>
  <c r="CF32" i="107" a="1"/>
  <c r="CF32" i="107" s="1"/>
  <c r="AP32" i="107"/>
  <c r="BB32" i="107"/>
  <c r="BN32" i="107"/>
  <c r="BZ32" i="107"/>
  <c r="CM32" i="107" a="1"/>
  <c r="CM32" i="107" s="1"/>
  <c r="CN32" i="107" a="1"/>
  <c r="CN32" i="107" s="1"/>
  <c r="AS32" i="107"/>
  <c r="BE32" i="107"/>
  <c r="BQ32" i="107"/>
  <c r="CC32" i="107"/>
  <c r="CS32" i="107" a="1"/>
  <c r="CS32" i="107" s="1"/>
  <c r="AK32" i="107"/>
  <c r="AW32" i="107"/>
  <c r="BI32" i="107"/>
  <c r="BU32" i="107"/>
  <c r="CY32" i="107" a="1"/>
  <c r="CY32" i="107" s="1"/>
  <c r="CZ32" i="107" a="1"/>
  <c r="CZ32" i="107" s="1"/>
  <c r="AY32" i="107"/>
  <c r="BR32" i="107"/>
  <c r="CL32" i="107" a="1"/>
  <c r="CL32" i="107" s="1"/>
  <c r="AZ32" i="107"/>
  <c r="BS32" i="107"/>
  <c r="AM32" i="107"/>
  <c r="CO32" i="107" a="1"/>
  <c r="CO32" i="107" s="1"/>
  <c r="BC32" i="107"/>
  <c r="BT32" i="107"/>
  <c r="BW32" i="107"/>
  <c r="AL32" i="107"/>
  <c r="BD32" i="107"/>
  <c r="BV32" i="107"/>
  <c r="BF32" i="107"/>
  <c r="CR32" i="107" a="1"/>
  <c r="CR32" i="107" s="1"/>
  <c r="DA32" i="107" a="1"/>
  <c r="DA32" i="107" s="1"/>
  <c r="AN32" i="107"/>
  <c r="BG32" i="107"/>
  <c r="BX32" i="107"/>
  <c r="CB32" i="107"/>
  <c r="AQ32" i="107"/>
  <c r="BH32" i="107"/>
  <c r="CA32" i="107"/>
  <c r="AR32" i="107"/>
  <c r="BJ32" i="107"/>
  <c r="AT32" i="107"/>
  <c r="BK32" i="107"/>
  <c r="AX32" i="107"/>
  <c r="BL32" i="107"/>
  <c r="BO32" i="107"/>
  <c r="BP32" i="107"/>
  <c r="AU32" i="107"/>
  <c r="AV32" i="107"/>
  <c r="CK27" i="107" a="1"/>
  <c r="CK27" i="107" s="1"/>
  <c r="CL27" i="107" a="1"/>
  <c r="CL27" i="107" s="1"/>
  <c r="CU27" i="107" a="1"/>
  <c r="CU27" i="107" s="1"/>
  <c r="CM27" i="107" a="1"/>
  <c r="CM27" i="107" s="1"/>
  <c r="CV27" i="107" a="1"/>
  <c r="CV27" i="107" s="1"/>
  <c r="CN27" i="107" a="1"/>
  <c r="CN27" i="107" s="1"/>
  <c r="CE27" i="107" a="1"/>
  <c r="CE27" i="107" s="1"/>
  <c r="CW27" i="107" a="1"/>
  <c r="CW27" i="107" s="1"/>
  <c r="CQ27" i="107" a="1"/>
  <c r="CQ27" i="107" s="1"/>
  <c r="CI27" i="107" a="1"/>
  <c r="CI27" i="107" s="1"/>
  <c r="CR27" i="107" a="1"/>
  <c r="CR27" i="107" s="1"/>
  <c r="DA27" i="107" a="1"/>
  <c r="DA27" i="107" s="1"/>
  <c r="CS27" i="107" a="1"/>
  <c r="CS27" i="107" s="1"/>
  <c r="CT27" i="107" a="1"/>
  <c r="CT27" i="107" s="1"/>
  <c r="AF27" i="107"/>
  <c r="AR27" i="107"/>
  <c r="BD27" i="107"/>
  <c r="BP27" i="107"/>
  <c r="CB27" i="107"/>
  <c r="CX27" i="107" a="1"/>
  <c r="CX27" i="107" s="1"/>
  <c r="CY27" i="107" a="1"/>
  <c r="CY27" i="107" s="1"/>
  <c r="AD27" i="107"/>
  <c r="AQ27" i="107"/>
  <c r="BE27" i="107"/>
  <c r="BR27" i="107"/>
  <c r="CZ27" i="107" a="1"/>
  <c r="CZ27" i="107" s="1"/>
  <c r="AE27" i="107"/>
  <c r="AS27" i="107"/>
  <c r="BF27" i="107"/>
  <c r="BS27" i="107"/>
  <c r="AH27" i="107"/>
  <c r="AU27" i="107"/>
  <c r="BH27" i="107"/>
  <c r="BU27" i="107"/>
  <c r="AI27" i="107"/>
  <c r="AV27" i="107"/>
  <c r="BI27" i="107"/>
  <c r="BV27" i="107"/>
  <c r="CH27" i="107" a="1"/>
  <c r="CH27" i="107" s="1"/>
  <c r="Z27" i="107"/>
  <c r="AM27" i="107"/>
  <c r="AZ27" i="107"/>
  <c r="BM27" i="107"/>
  <c r="BZ27" i="107"/>
  <c r="CJ27" i="107" a="1"/>
  <c r="CJ27" i="107" s="1"/>
  <c r="CO27" i="107" a="1"/>
  <c r="CO27" i="107" s="1"/>
  <c r="AG27" i="107"/>
  <c r="BB27" i="107"/>
  <c r="BY27" i="107"/>
  <c r="AJ27" i="107"/>
  <c r="BC27" i="107"/>
  <c r="CA27" i="107"/>
  <c r="CF27" i="107" a="1"/>
  <c r="CF27" i="107" s="1"/>
  <c r="AK27" i="107"/>
  <c r="BG27" i="107"/>
  <c r="CC27" i="107"/>
  <c r="BK27" i="107"/>
  <c r="CG27" i="107" a="1"/>
  <c r="CG27" i="107" s="1"/>
  <c r="AL27" i="107"/>
  <c r="BJ27" i="107"/>
  <c r="AN27" i="107"/>
  <c r="CP27" i="107" a="1"/>
  <c r="CP27" i="107" s="1"/>
  <c r="DB27" i="107" a="1"/>
  <c r="DB27" i="107" s="1"/>
  <c r="AO27" i="107"/>
  <c r="BL27" i="107"/>
  <c r="X27" i="107"/>
  <c r="AT27" i="107"/>
  <c r="AP27" i="107"/>
  <c r="BN27" i="107"/>
  <c r="BO27" i="107"/>
  <c r="Y27" i="107"/>
  <c r="AW27" i="107"/>
  <c r="BQ27" i="107"/>
  <c r="AC27" i="107"/>
  <c r="AY27" i="107"/>
  <c r="AX27" i="107"/>
  <c r="BA27" i="107"/>
  <c r="AA27" i="107"/>
  <c r="AB27" i="107"/>
  <c r="BT27" i="107"/>
  <c r="BW27" i="107"/>
  <c r="BX27" i="107"/>
  <c r="CO2" i="106"/>
  <c r="CM2" i="106"/>
  <c r="CL2" i="106"/>
  <c r="CP2" i="106"/>
  <c r="CN2" i="106"/>
  <c r="CK2" i="106"/>
  <c r="CJ2" i="106"/>
  <c r="CI2" i="106"/>
  <c r="BO13" i="108"/>
  <c r="AV13" i="108"/>
  <c r="BC13" i="108"/>
  <c r="BS13" i="108"/>
  <c r="BE13" i="108"/>
  <c r="BB13" i="108"/>
  <c r="AX13" i="108"/>
  <c r="E72" i="64"/>
  <c r="E73" i="64" s="1"/>
  <c r="BG13" i="108"/>
  <c r="BF13" i="108"/>
  <c r="BL13" i="108"/>
  <c r="BN13" i="108"/>
  <c r="BT13" i="108"/>
  <c r="BQ13" i="108"/>
  <c r="BK13" i="108"/>
  <c r="AZ13" i="108"/>
  <c r="BD13" i="108"/>
  <c r="AT13" i="108"/>
  <c r="C72" i="64"/>
  <c r="C73" i="64" s="1"/>
  <c r="BA13" i="108"/>
  <c r="BP13" i="108"/>
  <c r="AY13" i="108"/>
  <c r="AU13" i="108"/>
  <c r="AS13" i="108"/>
  <c r="BR13" i="108"/>
  <c r="BH13" i="108"/>
  <c r="BU13" i="108"/>
  <c r="AR13" i="108"/>
  <c r="BM13" i="108"/>
  <c r="BJ13" i="108"/>
  <c r="AW13" i="108"/>
  <c r="BI13" i="108"/>
  <c r="D72" i="64"/>
  <c r="D73" i="64" s="1"/>
  <c r="L9" i="105"/>
  <c r="DV6" i="106"/>
  <c r="Q6" i="103"/>
  <c r="Q7" i="103"/>
  <c r="Q8" i="103"/>
  <c r="Q9" i="103"/>
  <c r="Q10" i="103"/>
  <c r="Q11" i="103"/>
  <c r="Q12" i="103"/>
  <c r="Q13" i="103"/>
  <c r="Q14" i="103"/>
  <c r="Q15" i="103"/>
  <c r="Q16" i="103"/>
  <c r="Q17" i="103"/>
  <c r="Q18" i="103"/>
  <c r="Q19" i="103"/>
  <c r="Q20" i="103"/>
  <c r="Q21" i="103"/>
  <c r="Q22" i="103"/>
  <c r="Q5" i="103"/>
  <c r="AP17" i="108" l="1"/>
  <c r="B100" i="25" s="1" a="1"/>
  <c r="B100" i="25" s="1"/>
  <c r="BA20" i="108"/>
  <c r="BA22" i="108"/>
  <c r="BA34" i="108"/>
  <c r="BA46" i="108"/>
  <c r="BA23" i="108"/>
  <c r="BA35" i="108"/>
  <c r="BA47" i="108"/>
  <c r="BA24" i="108"/>
  <c r="BA36" i="108"/>
  <c r="BA48" i="108"/>
  <c r="BA25" i="108"/>
  <c r="BA37" i="108"/>
  <c r="BA49" i="108"/>
  <c r="BA33" i="108"/>
  <c r="BA26" i="108"/>
  <c r="BA38" i="108"/>
  <c r="BA27" i="108"/>
  <c r="BA39" i="108"/>
  <c r="BA21" i="108"/>
  <c r="BA45" i="108"/>
  <c r="BA28" i="108"/>
  <c r="BA40" i="108"/>
  <c r="BA29" i="108"/>
  <c r="BA41" i="108"/>
  <c r="BA30" i="108"/>
  <c r="BA42" i="108"/>
  <c r="BA44" i="108"/>
  <c r="BA31" i="108"/>
  <c r="BA43" i="108"/>
  <c r="BA32" i="108"/>
  <c r="CR18" i="107"/>
  <c r="CX18" i="107"/>
  <c r="CJ18" i="107"/>
  <c r="CI18" i="107"/>
  <c r="CZ18" i="107"/>
  <c r="CE18" i="107"/>
  <c r="CS18" i="107"/>
  <c r="CQ18" i="107"/>
  <c r="CY18" i="107"/>
  <c r="CH18" i="107"/>
  <c r="CU18" i="107"/>
  <c r="CW18" i="107"/>
  <c r="CM18" i="107"/>
  <c r="CL18" i="107"/>
  <c r="CP18" i="107"/>
  <c r="CV18" i="107"/>
  <c r="DB18" i="107"/>
  <c r="CK18" i="107"/>
  <c r="CG18" i="107"/>
  <c r="DA18" i="107"/>
  <c r="CT18" i="107"/>
  <c r="CN18" i="107"/>
  <c r="CO18" i="107"/>
  <c r="CF18" i="107"/>
  <c r="DP21" i="107"/>
  <c r="DM21" i="107"/>
  <c r="DK22" i="107"/>
  <c r="DK21" i="107"/>
  <c r="DJ21" i="107"/>
  <c r="DL21" i="107"/>
  <c r="DN21" i="107"/>
  <c r="DJ22" i="107"/>
  <c r="DW6" i="106"/>
  <c r="DT4" i="106"/>
  <c r="DU5" i="106"/>
  <c r="DV5" i="106"/>
  <c r="DR4" i="106"/>
  <c r="DQ5" i="106"/>
  <c r="DS4" i="106"/>
  <c r="DS5" i="106"/>
  <c r="DQ4" i="106"/>
  <c r="DT5" i="106"/>
  <c r="DU4" i="106"/>
  <c r="DR5" i="106"/>
  <c r="DV4" i="106"/>
  <c r="DW5" i="106"/>
  <c r="DW4" i="106"/>
  <c r="BB21" i="108" l="1"/>
  <c r="B54" i="25" a="1"/>
  <c r="B54" i="25" s="1"/>
  <c r="B53" i="25" a="1"/>
  <c r="B53" i="25" s="1"/>
  <c r="B114" i="25" a="1"/>
  <c r="B114" i="25" s="1"/>
  <c r="C114" i="25" s="1"/>
  <c r="B57" i="97" a="1"/>
  <c r="B57" i="97" s="1"/>
  <c r="B64" i="97" a="1"/>
  <c r="B64" i="97" s="1"/>
  <c r="B101" i="25" a="1"/>
  <c r="B101" i="25" s="1"/>
  <c r="C101" i="25" s="1"/>
  <c r="B54" i="97" a="1"/>
  <c r="B54" i="97" s="1"/>
  <c r="B74" i="25" a="1"/>
  <c r="B74" i="25" s="1"/>
  <c r="C74" i="25" s="1"/>
  <c r="B104" i="25" a="1"/>
  <c r="B104" i="25" s="1"/>
  <c r="C104" i="25" s="1"/>
  <c r="B87" i="25" a="1"/>
  <c r="B87" i="25" s="1"/>
  <c r="B74" i="97" a="1"/>
  <c r="B74" i="97" s="1"/>
  <c r="C74" i="97" s="1"/>
  <c r="B96" i="25" a="1"/>
  <c r="B96" i="25" s="1"/>
  <c r="B57" i="25" a="1"/>
  <c r="B57" i="25" s="1"/>
  <c r="B113" i="25" a="1"/>
  <c r="B113" i="25" s="1"/>
  <c r="C113" i="25" s="1"/>
  <c r="B75" i="25" a="1"/>
  <c r="B75" i="25" s="1"/>
  <c r="C75" i="25" s="1"/>
  <c r="B108" i="25" a="1"/>
  <c r="B108" i="25" s="1"/>
  <c r="C108" i="25" s="1"/>
  <c r="B85" i="25" a="1"/>
  <c r="B85" i="25" s="1"/>
  <c r="B111" i="97" a="1"/>
  <c r="B111" i="97" s="1"/>
  <c r="C111" i="97" s="1"/>
  <c r="B93" i="25" a="1"/>
  <c r="B93" i="25" s="1"/>
  <c r="B66" i="25" a="1"/>
  <c r="B66" i="25" s="1"/>
  <c r="B76" i="25" a="1"/>
  <c r="B76" i="25" s="1"/>
  <c r="C76" i="25" s="1"/>
  <c r="B58" i="97" a="1"/>
  <c r="B58" i="97" s="1"/>
  <c r="B107" i="25" a="1"/>
  <c r="B107" i="25" s="1"/>
  <c r="C107" i="25" s="1"/>
  <c r="B94" i="25" a="1"/>
  <c r="B94" i="25" s="1"/>
  <c r="B49" i="98" a="1"/>
  <c r="B49" i="98" s="1"/>
  <c r="B58" i="98" a="1"/>
  <c r="B58" i="98" s="1"/>
  <c r="B69" i="98" a="1"/>
  <c r="B69" i="98" s="1"/>
  <c r="B73" i="97" a="1"/>
  <c r="B73" i="97" s="1"/>
  <c r="C73" i="97" s="1"/>
  <c r="B59" i="98" a="1"/>
  <c r="B59" i="98" s="1"/>
  <c r="B101" i="97" a="1"/>
  <c r="B101" i="97" s="1"/>
  <c r="B54" i="98" a="1"/>
  <c r="B54" i="98" s="1"/>
  <c r="B109" i="97" a="1"/>
  <c r="B109" i="97" s="1"/>
  <c r="C109" i="97" s="1"/>
  <c r="B97" i="97" a="1"/>
  <c r="B97" i="97" s="1"/>
  <c r="B106" i="25" a="1"/>
  <c r="B106" i="25" s="1"/>
  <c r="C106" i="25" s="1"/>
  <c r="B97" i="25" a="1"/>
  <c r="B97" i="25" s="1"/>
  <c r="C97" i="25" s="1"/>
  <c r="B112" i="25" a="1"/>
  <c r="B112" i="25" s="1"/>
  <c r="C112" i="25" s="1"/>
  <c r="B77" i="25" a="1"/>
  <c r="B77" i="25" s="1"/>
  <c r="C77" i="25" s="1"/>
  <c r="B48" i="98" a="1"/>
  <c r="B48" i="98" s="1"/>
  <c r="B63" i="97" a="1"/>
  <c r="B63" i="97" s="1"/>
  <c r="B91" i="97" a="1"/>
  <c r="B91" i="97" s="1"/>
  <c r="B99" i="97" a="1"/>
  <c r="B99" i="97" s="1"/>
  <c r="B69" i="97" a="1"/>
  <c r="B69" i="97" s="1"/>
  <c r="B87" i="97" a="1"/>
  <c r="B87" i="97" s="1"/>
  <c r="B88" i="25" a="1"/>
  <c r="B88" i="25" s="1"/>
  <c r="B63" i="25" a="1"/>
  <c r="B63" i="25" s="1"/>
  <c r="B26" i="25" s="1"/>
  <c r="B67" i="97" a="1"/>
  <c r="B67" i="97" s="1"/>
  <c r="B52" i="97" a="1"/>
  <c r="B52" i="97" s="1"/>
  <c r="B67" i="98" a="1"/>
  <c r="B67" i="98" s="1"/>
  <c r="B76" i="98" a="1"/>
  <c r="B76" i="98" s="1"/>
  <c r="B48" i="97" a="1"/>
  <c r="B48" i="97" s="1"/>
  <c r="B74" i="98" a="1"/>
  <c r="B74" i="98" s="1"/>
  <c r="B58" i="25" a="1"/>
  <c r="B58" i="25" s="1"/>
  <c r="B99" i="25" a="1"/>
  <c r="B99" i="25" s="1"/>
  <c r="C99" i="25" s="1"/>
  <c r="B90" i="25" a="1"/>
  <c r="B90" i="25" s="1"/>
  <c r="B68" i="25" a="1"/>
  <c r="B68" i="25" s="1"/>
  <c r="C68" i="25" s="1"/>
  <c r="B105" i="25" a="1"/>
  <c r="B105" i="25" s="1"/>
  <c r="C105" i="25" s="1"/>
  <c r="B70" i="25" a="1"/>
  <c r="B70" i="25" s="1"/>
  <c r="C70" i="25" s="1"/>
  <c r="B95" i="25" a="1"/>
  <c r="B95" i="25" s="1"/>
  <c r="B103" i="25" a="1"/>
  <c r="B103" i="25" s="1"/>
  <c r="C103" i="25" s="1"/>
  <c r="B51" i="25" a="1"/>
  <c r="B51" i="25" s="1"/>
  <c r="B102" i="97" a="1"/>
  <c r="B102" i="97" s="1"/>
  <c r="B56" i="98" a="1"/>
  <c r="B56" i="98" s="1"/>
  <c r="B64" i="98" a="1"/>
  <c r="B64" i="98" s="1"/>
  <c r="B98" i="97" a="1"/>
  <c r="B98" i="97" s="1"/>
  <c r="B62" i="98" a="1"/>
  <c r="B62" i="98" s="1"/>
  <c r="B77" i="97" a="1"/>
  <c r="B77" i="97" s="1"/>
  <c r="C77" i="97" s="1"/>
  <c r="B98" i="25" a="1"/>
  <c r="B98" i="25" s="1"/>
  <c r="C98" i="25" s="1"/>
  <c r="B89" i="25" a="1"/>
  <c r="B89" i="25" s="1"/>
  <c r="B55" i="25" a="1"/>
  <c r="B55" i="25" s="1"/>
  <c r="B56" i="25" a="1"/>
  <c r="B56" i="25" s="1"/>
  <c r="B69" i="25" a="1"/>
  <c r="B69" i="25" s="1"/>
  <c r="B65" i="25" a="1"/>
  <c r="B65" i="25" s="1"/>
  <c r="C65" i="25" s="1"/>
  <c r="B110" i="25" a="1"/>
  <c r="B110" i="25" s="1"/>
  <c r="C110" i="25" s="1"/>
  <c r="B65" i="97" a="1"/>
  <c r="B65" i="97" s="1"/>
  <c r="B92" i="97" a="1"/>
  <c r="B92" i="97" s="1"/>
  <c r="B71" i="97" a="1"/>
  <c r="B71" i="97" s="1"/>
  <c r="B70" i="97" a="1"/>
  <c r="B70" i="97" s="1"/>
  <c r="B53" i="98" a="1"/>
  <c r="B53" i="98" s="1"/>
  <c r="B75" i="98" a="1"/>
  <c r="B75" i="98" s="1"/>
  <c r="B66" i="97" a="1"/>
  <c r="B66" i="97" s="1"/>
  <c r="B75" i="97" a="1"/>
  <c r="B75" i="97" s="1"/>
  <c r="C75" i="97" s="1"/>
  <c r="B71" i="98" a="1"/>
  <c r="B71" i="98" s="1"/>
  <c r="B68" i="98" a="1"/>
  <c r="B68" i="98" s="1"/>
  <c r="B61" i="97" a="1"/>
  <c r="B61" i="97" s="1"/>
  <c r="B60" i="97" a="1"/>
  <c r="B60" i="97" s="1"/>
  <c r="B63" i="98" a="1"/>
  <c r="B63" i="98" s="1"/>
  <c r="B96" i="97" a="1"/>
  <c r="B96" i="97" s="1"/>
  <c r="B56" i="97" a="1"/>
  <c r="B56" i="97" s="1"/>
  <c r="B57" i="98" a="1"/>
  <c r="B57" i="98" s="1"/>
  <c r="B51" i="97" a="1"/>
  <c r="B51" i="97" s="1"/>
  <c r="B50" i="97" a="1"/>
  <c r="B50" i="97" s="1"/>
  <c r="B13" i="97" s="1"/>
  <c r="B86" i="97" a="1"/>
  <c r="B86" i="97" s="1"/>
  <c r="B106" i="97" a="1"/>
  <c r="B106" i="97" s="1"/>
  <c r="B73" i="98" a="1"/>
  <c r="B73" i="98" s="1"/>
  <c r="B95" i="97" a="1"/>
  <c r="B95" i="97" s="1"/>
  <c r="B110" i="97" a="1"/>
  <c r="B110" i="97" s="1"/>
  <c r="B109" i="25" a="1"/>
  <c r="B109" i="25" s="1"/>
  <c r="C109" i="25" s="1"/>
  <c r="B114" i="97" a="1"/>
  <c r="B114" i="97" s="1"/>
  <c r="C114" i="97" s="1"/>
  <c r="B53" i="97" a="1"/>
  <c r="B53" i="97" s="1"/>
  <c r="B90" i="97" a="1"/>
  <c r="B90" i="97" s="1"/>
  <c r="B100" i="97" a="1"/>
  <c r="B100" i="97" s="1"/>
  <c r="B108" i="97" a="1"/>
  <c r="B108" i="97" s="1"/>
  <c r="B61" i="98" a="1"/>
  <c r="B61" i="98" s="1"/>
  <c r="B85" i="97" a="1"/>
  <c r="B85" i="97" s="1"/>
  <c r="B50" i="25" a="1"/>
  <c r="B50" i="25" s="1"/>
  <c r="B67" i="25" a="1"/>
  <c r="B67" i="25" s="1"/>
  <c r="B73" i="25" a="1"/>
  <c r="B73" i="25" s="1"/>
  <c r="C73" i="25" s="1"/>
  <c r="B91" i="25" a="1"/>
  <c r="B91" i="25" s="1"/>
  <c r="B52" i="25" a="1"/>
  <c r="B52" i="25" s="1"/>
  <c r="B104" i="97" a="1"/>
  <c r="B104" i="97" s="1"/>
  <c r="B113" i="97" a="1"/>
  <c r="B113" i="97" s="1"/>
  <c r="C113" i="97" s="1"/>
  <c r="B72" i="97" a="1"/>
  <c r="B72" i="97" s="1"/>
  <c r="B35" i="97" s="1"/>
  <c r="B66" i="98" a="1"/>
  <c r="B66" i="98" s="1"/>
  <c r="B89" i="97" a="1"/>
  <c r="B89" i="97" s="1"/>
  <c r="B88" i="97" a="1"/>
  <c r="B88" i="97" s="1"/>
  <c r="B51" i="98" a="1"/>
  <c r="B51" i="98" s="1"/>
  <c r="B72" i="98" a="1"/>
  <c r="B72" i="98" s="1"/>
  <c r="B62" i="25" a="1"/>
  <c r="B62" i="25" s="1"/>
  <c r="B64" i="25" a="1"/>
  <c r="B64" i="25" s="1"/>
  <c r="B72" i="25" a="1"/>
  <c r="B72" i="25" s="1"/>
  <c r="B86" i="25" a="1"/>
  <c r="B86" i="25" s="1"/>
  <c r="B61" i="25" a="1"/>
  <c r="B61" i="25" s="1"/>
  <c r="B60" i="25" a="1"/>
  <c r="B60" i="25" s="1"/>
  <c r="B71" i="25" a="1"/>
  <c r="B71" i="25" s="1"/>
  <c r="C71" i="25" s="1"/>
  <c r="B111" i="25" a="1"/>
  <c r="B111" i="25" s="1"/>
  <c r="B55" i="97" a="1"/>
  <c r="B55" i="97" s="1"/>
  <c r="B94" i="97" a="1"/>
  <c r="B94" i="97" s="1"/>
  <c r="B103" i="97" a="1"/>
  <c r="B103" i="97" s="1"/>
  <c r="B62" i="97" a="1"/>
  <c r="B62" i="97" s="1"/>
  <c r="B25" i="97" s="1"/>
  <c r="B55" i="98" a="1"/>
  <c r="B55" i="98" s="1"/>
  <c r="B77" i="98" a="1"/>
  <c r="B77" i="98" s="1"/>
  <c r="B59" i="97" a="1"/>
  <c r="B59" i="97" s="1"/>
  <c r="B52" i="98" a="1"/>
  <c r="B52" i="98" s="1"/>
  <c r="B68" i="97" a="1"/>
  <c r="B68" i="97" s="1"/>
  <c r="B60" i="98" a="1"/>
  <c r="B60" i="98" s="1"/>
  <c r="B49" i="25" a="1"/>
  <c r="B49" i="25" s="1"/>
  <c r="B48" i="25" a="1"/>
  <c r="B48" i="25" s="1"/>
  <c r="C48" i="25" s="1"/>
  <c r="B59" i="25" a="1"/>
  <c r="B59" i="25" s="1"/>
  <c r="B102" i="25" a="1"/>
  <c r="B102" i="25" s="1"/>
  <c r="C102" i="25" s="1"/>
  <c r="B92" i="25" a="1"/>
  <c r="B92" i="25" s="1"/>
  <c r="B105" i="97" a="1"/>
  <c r="B105" i="97" s="1"/>
  <c r="B70" i="98" a="1"/>
  <c r="B70" i="98" s="1"/>
  <c r="B93" i="97" a="1"/>
  <c r="B93" i="97" s="1"/>
  <c r="B76" i="97" a="1"/>
  <c r="B76" i="97" s="1"/>
  <c r="B112" i="97" a="1"/>
  <c r="B112" i="97" s="1"/>
  <c r="C112" i="97" s="1"/>
  <c r="B65" i="98" a="1"/>
  <c r="B65" i="98" s="1"/>
  <c r="B49" i="97" a="1"/>
  <c r="B49" i="97" s="1"/>
  <c r="B107" i="97" a="1"/>
  <c r="B107" i="97" s="1"/>
  <c r="B50" i="98" a="1"/>
  <c r="B50" i="98" s="1"/>
  <c r="C100" i="25"/>
  <c r="DM22" i="107"/>
  <c r="DL22" i="107"/>
  <c r="DN22" i="107"/>
  <c r="DO21" i="107"/>
  <c r="DP22" i="107"/>
  <c r="DO22" i="107"/>
  <c r="BB49" i="108"/>
  <c r="BB47" i="108"/>
  <c r="BB30" i="108"/>
  <c r="BB45" i="108"/>
  <c r="BB37" i="108"/>
  <c r="BB33" i="108"/>
  <c r="BB22" i="108"/>
  <c r="BB25" i="108"/>
  <c r="BB48" i="108"/>
  <c r="BB32" i="108"/>
  <c r="BB43" i="108"/>
  <c r="BB39" i="108"/>
  <c r="BB35" i="108"/>
  <c r="BB27" i="108"/>
  <c r="BB23" i="108"/>
  <c r="BB26" i="108"/>
  <c r="BB41" i="108"/>
  <c r="BB38" i="108"/>
  <c r="BB34" i="108"/>
  <c r="BB44" i="108"/>
  <c r="BB40" i="108"/>
  <c r="BB36" i="108"/>
  <c r="BB28" i="108"/>
  <c r="BB24" i="108"/>
  <c r="BB31" i="108"/>
  <c r="BB42" i="108"/>
  <c r="BB46" i="108"/>
  <c r="BB29" i="108"/>
  <c r="C66" i="25"/>
  <c r="DX6" i="106"/>
  <c r="DR7" i="106"/>
  <c r="DR8" i="106" s="1"/>
  <c r="DT7" i="106"/>
  <c r="DT8" i="106" s="1"/>
  <c r="DQ7" i="106"/>
  <c r="DQ8" i="106" s="1"/>
  <c r="DV7" i="106"/>
  <c r="DV8" i="106" s="1"/>
  <c r="DS7" i="106"/>
  <c r="DS8" i="106" s="1"/>
  <c r="DU7" i="106"/>
  <c r="DU8" i="106" s="1"/>
  <c r="DQ22" i="107"/>
  <c r="DQ21" i="107"/>
  <c r="DW7" i="106"/>
  <c r="DW8" i="106" s="1"/>
  <c r="DX4" i="106"/>
  <c r="DX5" i="106"/>
  <c r="B27" i="97" l="1"/>
  <c r="B17" i="97"/>
  <c r="B39" i="98"/>
  <c r="B15" i="98"/>
  <c r="B12" i="98"/>
  <c r="B17" i="25"/>
  <c r="C23" i="96" s="1"/>
  <c r="C23" i="114" s="1"/>
  <c r="B30" i="98"/>
  <c r="B26" i="98"/>
  <c r="C76" i="98"/>
  <c r="C39" i="98" s="1"/>
  <c r="B40" i="98"/>
  <c r="B27" i="25"/>
  <c r="C33" i="96" s="1"/>
  <c r="C33" i="114" s="1"/>
  <c r="B21" i="97"/>
  <c r="B31" i="98"/>
  <c r="B23" i="98"/>
  <c r="B11" i="98"/>
  <c r="B36" i="98"/>
  <c r="B34" i="98"/>
  <c r="B21" i="98"/>
  <c r="B18" i="98"/>
  <c r="B17" i="98"/>
  <c r="B33" i="98"/>
  <c r="B35" i="98"/>
  <c r="B24" i="98"/>
  <c r="B16" i="98"/>
  <c r="B16" i="25"/>
  <c r="B28" i="98"/>
  <c r="B19" i="98"/>
  <c r="B14" i="98"/>
  <c r="B38" i="98"/>
  <c r="B13" i="98"/>
  <c r="B37" i="25"/>
  <c r="B29" i="98"/>
  <c r="B20" i="98"/>
  <c r="B25" i="98"/>
  <c r="B22" i="98"/>
  <c r="B27" i="98"/>
  <c r="B37" i="98"/>
  <c r="B32" i="98"/>
  <c r="B20" i="97"/>
  <c r="B30" i="25"/>
  <c r="C36" i="96" s="1"/>
  <c r="C36" i="114" s="1"/>
  <c r="B32" i="25"/>
  <c r="C38" i="96" s="1"/>
  <c r="C38" i="114" s="1"/>
  <c r="B32" i="97"/>
  <c r="B31" i="25"/>
  <c r="C37" i="96" s="1"/>
  <c r="C37" i="114" s="1"/>
  <c r="C75" i="98"/>
  <c r="C38" i="98" s="1"/>
  <c r="B19" i="25"/>
  <c r="C25" i="96" s="1"/>
  <c r="C25" i="114" s="1"/>
  <c r="B36" i="97"/>
  <c r="B24" i="25"/>
  <c r="C30" i="96" s="1"/>
  <c r="C30" i="114" s="1"/>
  <c r="B21" i="25"/>
  <c r="C27" i="96" s="1"/>
  <c r="C27" i="114" s="1"/>
  <c r="B37" i="97"/>
  <c r="B22" i="97"/>
  <c r="B24" i="97"/>
  <c r="B14" i="25"/>
  <c r="C20" i="96" s="1"/>
  <c r="C20" i="114" s="1"/>
  <c r="B20" i="25"/>
  <c r="C26" i="96" s="1"/>
  <c r="C26" i="114" s="1"/>
  <c r="B13" i="25"/>
  <c r="C19" i="96" s="1"/>
  <c r="C19" i="114" s="1"/>
  <c r="B18" i="25"/>
  <c r="C24" i="96" s="1"/>
  <c r="C24" i="114" s="1"/>
  <c r="B30" i="97"/>
  <c r="C69" i="25"/>
  <c r="C32" i="25" s="1"/>
  <c r="B33" i="25"/>
  <c r="C39" i="96" s="1"/>
  <c r="C39" i="114" s="1"/>
  <c r="B15" i="97"/>
  <c r="B23" i="25"/>
  <c r="C29" i="96" s="1"/>
  <c r="C29" i="114" s="1"/>
  <c r="B29" i="25"/>
  <c r="C35" i="96" s="1"/>
  <c r="C35" i="114" s="1"/>
  <c r="B25" i="25"/>
  <c r="C31" i="96" s="1"/>
  <c r="C31" i="114" s="1"/>
  <c r="B33" i="97"/>
  <c r="B15" i="25"/>
  <c r="C21" i="96" s="1"/>
  <c r="C21" i="114" s="1"/>
  <c r="B34" i="25"/>
  <c r="C40" i="96" s="1"/>
  <c r="C40" i="114" s="1"/>
  <c r="B22" i="25"/>
  <c r="C28" i="96" s="1"/>
  <c r="C28" i="114" s="1"/>
  <c r="B34" i="97"/>
  <c r="B23" i="97"/>
  <c r="B36" i="25"/>
  <c r="C42" i="96" s="1"/>
  <c r="C42" i="114" s="1"/>
  <c r="B39" i="25"/>
  <c r="C45" i="96" s="1"/>
  <c r="C45" i="114" s="1"/>
  <c r="C67" i="25"/>
  <c r="C30" i="25" s="1"/>
  <c r="B28" i="97"/>
  <c r="B11" i="97"/>
  <c r="C72" i="98"/>
  <c r="C35" i="98" s="1"/>
  <c r="B12" i="97"/>
  <c r="B26" i="97"/>
  <c r="B35" i="25"/>
  <c r="C41" i="96" s="1"/>
  <c r="C41" i="114" s="1"/>
  <c r="B38" i="25"/>
  <c r="C44" i="96" s="1"/>
  <c r="C44" i="114" s="1"/>
  <c r="B29" i="97"/>
  <c r="B40" i="25"/>
  <c r="C46" i="96" s="1"/>
  <c r="C46" i="114" s="1"/>
  <c r="B18" i="97"/>
  <c r="B39" i="97"/>
  <c r="C74" i="98"/>
  <c r="C37" i="98" s="1"/>
  <c r="C76" i="97"/>
  <c r="C39" i="97" s="1"/>
  <c r="B12" i="25"/>
  <c r="C18" i="96" s="1"/>
  <c r="C18" i="114" s="1"/>
  <c r="B16" i="97"/>
  <c r="B19" i="97"/>
  <c r="B11" i="25"/>
  <c r="C17" i="96" s="1"/>
  <c r="C17" i="114" s="1"/>
  <c r="B14" i="97"/>
  <c r="B31" i="97"/>
  <c r="C77" i="98"/>
  <c r="C40" i="98" s="1"/>
  <c r="C72" i="25"/>
  <c r="C35" i="25" s="1"/>
  <c r="C111" i="25"/>
  <c r="C37" i="25" s="1"/>
  <c r="C110" i="97"/>
  <c r="C36" i="97" s="1"/>
  <c r="C64" i="25"/>
  <c r="C27" i="25" s="1"/>
  <c r="B28" i="25"/>
  <c r="C34" i="96" s="1"/>
  <c r="C34" i="114" s="1"/>
  <c r="C72" i="97"/>
  <c r="C35" i="97" s="1"/>
  <c r="B40" i="97"/>
  <c r="C73" i="98"/>
  <c r="C36" i="98" s="1"/>
  <c r="B38" i="97"/>
  <c r="C40" i="97"/>
  <c r="C37" i="97"/>
  <c r="C38" i="97"/>
  <c r="C34" i="25"/>
  <c r="C33" i="25"/>
  <c r="C40" i="25"/>
  <c r="C31" i="25"/>
  <c r="C36" i="25"/>
  <c r="C29" i="25"/>
  <c r="C39" i="25"/>
  <c r="C38" i="25"/>
  <c r="C28" i="25"/>
  <c r="C32" i="96"/>
  <c r="C32" i="114" s="1"/>
  <c r="C43" i="96"/>
  <c r="C43" i="114" s="1"/>
  <c r="C22" i="96"/>
  <c r="C22" i="114" s="1"/>
  <c r="CQ2" i="106"/>
  <c r="DY6" i="106"/>
  <c r="DR21" i="107"/>
  <c r="DR22" i="107"/>
  <c r="DY5" i="106"/>
  <c r="DX7" i="106"/>
  <c r="DX8" i="106" s="1"/>
  <c r="DY4" i="106"/>
  <c r="CR2" i="106" l="1"/>
  <c r="DZ6" i="106"/>
  <c r="DS22" i="107"/>
  <c r="DS21" i="107"/>
  <c r="DY7" i="106"/>
  <c r="DY8" i="106" s="1"/>
  <c r="DZ4" i="106"/>
  <c r="DZ5" i="106"/>
  <c r="CS2" i="106" l="1"/>
  <c r="EA6" i="106"/>
  <c r="DT21" i="107"/>
  <c r="DT22" i="107"/>
  <c r="EA5" i="106"/>
  <c r="DZ7" i="106"/>
  <c r="DZ8" i="106" s="1"/>
  <c r="EA4" i="106"/>
  <c r="I27" i="24"/>
  <c r="I28" i="24"/>
  <c r="F71" i="103" s="1"/>
  <c r="F72" i="103" s="1"/>
  <c r="F73" i="103" s="1"/>
  <c r="F74" i="103" s="1"/>
  <c r="F75" i="103" s="1"/>
  <c r="F76" i="103" s="1"/>
  <c r="F77" i="103" s="1"/>
  <c r="F78" i="103" s="1"/>
  <c r="F79" i="103" s="1"/>
  <c r="F80" i="103" s="1"/>
  <c r="F81" i="103" s="1"/>
  <c r="F82" i="103" s="1"/>
  <c r="F83" i="103" s="1"/>
  <c r="F84" i="103" s="1"/>
  <c r="F85" i="103" s="1"/>
  <c r="F86" i="103" s="1"/>
  <c r="F87" i="103" s="1"/>
  <c r="F88" i="103" s="1"/>
  <c r="F89" i="103" s="1"/>
  <c r="F90" i="103" s="1"/>
  <c r="F91" i="103" s="1"/>
  <c r="F92" i="103" s="1"/>
  <c r="F93" i="103" s="1"/>
  <c r="F94" i="103" s="1"/>
  <c r="F95" i="103" s="1"/>
  <c r="F96" i="103" s="1"/>
  <c r="F97" i="103" s="1"/>
  <c r="F98" i="103" s="1"/>
  <c r="F99" i="103" s="1"/>
  <c r="F100" i="103" s="1"/>
  <c r="F101" i="103" s="1"/>
  <c r="F102" i="103" s="1"/>
  <c r="F103" i="103" s="1"/>
  <c r="I29" i="24"/>
  <c r="G71" i="103" s="1"/>
  <c r="G72" i="103" s="1"/>
  <c r="G73" i="103" s="1"/>
  <c r="G74" i="103" s="1"/>
  <c r="G75" i="103" s="1"/>
  <c r="G76" i="103" s="1"/>
  <c r="G77" i="103" s="1"/>
  <c r="G78" i="103" s="1"/>
  <c r="G79" i="103" s="1"/>
  <c r="G80" i="103" s="1"/>
  <c r="G81" i="103" s="1"/>
  <c r="G82" i="103" s="1"/>
  <c r="G83" i="103" s="1"/>
  <c r="G84" i="103" s="1"/>
  <c r="G85" i="103" s="1"/>
  <c r="G86" i="103" s="1"/>
  <c r="G87" i="103" s="1"/>
  <c r="G88" i="103" s="1"/>
  <c r="G89" i="103" s="1"/>
  <c r="G90" i="103" s="1"/>
  <c r="G91" i="103" s="1"/>
  <c r="G92" i="103" s="1"/>
  <c r="G93" i="103" s="1"/>
  <c r="G94" i="103" s="1"/>
  <c r="G95" i="103" s="1"/>
  <c r="G96" i="103" s="1"/>
  <c r="G97" i="103" s="1"/>
  <c r="G98" i="103" s="1"/>
  <c r="G99" i="103" s="1"/>
  <c r="G100" i="103" s="1"/>
  <c r="G101" i="103" s="1"/>
  <c r="G102" i="103" s="1"/>
  <c r="G103" i="103" s="1"/>
  <c r="I30" i="24"/>
  <c r="O26" i="24" s="1"/>
  <c r="G5" i="96" s="1"/>
  <c r="I31" i="24"/>
  <c r="I32" i="24"/>
  <c r="O27" i="24" s="1"/>
  <c r="I33" i="24"/>
  <c r="I34" i="24"/>
  <c r="F137" i="103" s="1"/>
  <c r="I35" i="24"/>
  <c r="G137" i="103" s="1"/>
  <c r="G138" i="103" s="1"/>
  <c r="G139" i="103" s="1"/>
  <c r="G140" i="103" s="1"/>
  <c r="G141" i="103" s="1"/>
  <c r="G142" i="103" s="1"/>
  <c r="G143" i="103" s="1"/>
  <c r="G144" i="103" s="1"/>
  <c r="G145" i="103" s="1"/>
  <c r="G146" i="103" s="1"/>
  <c r="G147" i="103" s="1"/>
  <c r="G148" i="103" s="1"/>
  <c r="G149" i="103" s="1"/>
  <c r="G150" i="103" s="1"/>
  <c r="G151" i="103" s="1"/>
  <c r="G152" i="103" s="1"/>
  <c r="G153" i="103" s="1"/>
  <c r="G154" i="103" s="1"/>
  <c r="G155" i="103" s="1"/>
  <c r="G156" i="103" s="1"/>
  <c r="G157" i="103" s="1"/>
  <c r="G158" i="103" s="1"/>
  <c r="G159" i="103" s="1"/>
  <c r="G160" i="103" s="1"/>
  <c r="G161" i="103" s="1"/>
  <c r="G162" i="103" s="1"/>
  <c r="G163" i="103" s="1"/>
  <c r="G164" i="103" s="1"/>
  <c r="G165" i="103" s="1"/>
  <c r="G166" i="103" s="1"/>
  <c r="G167" i="103" s="1"/>
  <c r="G168" i="103" s="1"/>
  <c r="G169" i="103" s="1"/>
  <c r="I36" i="24"/>
  <c r="O30" i="24" s="1"/>
  <c r="I37" i="24"/>
  <c r="I38" i="24"/>
  <c r="O31" i="24" s="1"/>
  <c r="I22" i="24"/>
  <c r="F5" i="103" s="1"/>
  <c r="F6" i="103" s="1"/>
  <c r="F7" i="103" s="1"/>
  <c r="F8" i="103" s="1"/>
  <c r="F9" i="103" s="1"/>
  <c r="F10" i="103" s="1"/>
  <c r="F11" i="103" s="1"/>
  <c r="F12" i="103" s="1"/>
  <c r="F13" i="103" s="1"/>
  <c r="F14" i="103" s="1"/>
  <c r="F15" i="103" s="1"/>
  <c r="F16" i="103" s="1"/>
  <c r="F17" i="103" s="1"/>
  <c r="F18" i="103" s="1"/>
  <c r="F19" i="103" s="1"/>
  <c r="F20" i="103" s="1"/>
  <c r="F21" i="103" s="1"/>
  <c r="F22" i="103" s="1"/>
  <c r="F23" i="103" s="1"/>
  <c r="F24" i="103" s="1"/>
  <c r="F25" i="103" s="1"/>
  <c r="F26" i="103" s="1"/>
  <c r="F27" i="103" s="1"/>
  <c r="F28" i="103" s="1"/>
  <c r="F29" i="103" s="1"/>
  <c r="F30" i="103" s="1"/>
  <c r="F31" i="103" s="1"/>
  <c r="F32" i="103" s="1"/>
  <c r="F33" i="103" s="1"/>
  <c r="F34" i="103" s="1"/>
  <c r="F35" i="103" s="1"/>
  <c r="F36" i="103" s="1"/>
  <c r="F37" i="103" s="1"/>
  <c r="I23" i="24"/>
  <c r="G5" i="103" s="1"/>
  <c r="G6" i="103" s="1"/>
  <c r="G7" i="103" s="1"/>
  <c r="G8" i="103" s="1"/>
  <c r="G9" i="103" s="1"/>
  <c r="G10" i="103" s="1"/>
  <c r="G11" i="103" s="1"/>
  <c r="G12" i="103" s="1"/>
  <c r="G13" i="103" s="1"/>
  <c r="G14" i="103" s="1"/>
  <c r="G15" i="103" s="1"/>
  <c r="G16" i="103" s="1"/>
  <c r="G17" i="103" s="1"/>
  <c r="G18" i="103" s="1"/>
  <c r="G19" i="103" s="1"/>
  <c r="G20" i="103" s="1"/>
  <c r="G21" i="103" s="1"/>
  <c r="G22" i="103" s="1"/>
  <c r="G23" i="103" s="1"/>
  <c r="G24" i="103" s="1"/>
  <c r="G25" i="103" s="1"/>
  <c r="G26" i="103" s="1"/>
  <c r="G27" i="103" s="1"/>
  <c r="G28" i="103" s="1"/>
  <c r="G29" i="103" s="1"/>
  <c r="G30" i="103" s="1"/>
  <c r="G31" i="103" s="1"/>
  <c r="G32" i="103" s="1"/>
  <c r="G33" i="103" s="1"/>
  <c r="G34" i="103" s="1"/>
  <c r="G35" i="103" s="1"/>
  <c r="G36" i="103" s="1"/>
  <c r="G37" i="103" s="1"/>
  <c r="I24" i="24"/>
  <c r="O22" i="24" s="1"/>
  <c r="I25" i="24"/>
  <c r="I26" i="24"/>
  <c r="O23" i="24" s="1"/>
  <c r="I21" i="24"/>
  <c r="G4" i="98"/>
  <c r="G4" i="97"/>
  <c r="G4" i="25"/>
  <c r="F138" i="103" l="1"/>
  <c r="F139" i="103" s="1"/>
  <c r="F140" i="103" s="1"/>
  <c r="F141" i="103" s="1"/>
  <c r="F142" i="103" s="1"/>
  <c r="F143" i="103" s="1"/>
  <c r="F144" i="103" s="1"/>
  <c r="F145" i="103" s="1"/>
  <c r="F146" i="103" s="1"/>
  <c r="F147" i="103" s="1"/>
  <c r="F148" i="103" s="1"/>
  <c r="F149" i="103" s="1"/>
  <c r="F150" i="103" s="1"/>
  <c r="F151" i="103" s="1"/>
  <c r="F152" i="103" s="1"/>
  <c r="F153" i="103" s="1"/>
  <c r="F154" i="103" s="1"/>
  <c r="F155" i="103" s="1"/>
  <c r="F156" i="103" s="1"/>
  <c r="F157" i="103" s="1"/>
  <c r="F158" i="103" s="1"/>
  <c r="F159" i="103" s="1"/>
  <c r="F160" i="103" s="1"/>
  <c r="F161" i="103" s="1"/>
  <c r="F162" i="103" s="1"/>
  <c r="F163" i="103" s="1"/>
  <c r="F164" i="103" s="1"/>
  <c r="F165" i="103" s="1"/>
  <c r="F166" i="103" s="1"/>
  <c r="F167" i="103" s="1"/>
  <c r="F168" i="103" s="1"/>
  <c r="F169" i="103" s="1"/>
  <c r="E137" i="103"/>
  <c r="E138" i="103" s="1"/>
  <c r="E139" i="103" s="1"/>
  <c r="E140" i="103" s="1"/>
  <c r="E141" i="103" s="1"/>
  <c r="E142" i="103" s="1"/>
  <c r="E143" i="103" s="1"/>
  <c r="E144" i="103" s="1"/>
  <c r="E145" i="103" s="1"/>
  <c r="E146" i="103" s="1"/>
  <c r="E147" i="103" s="1"/>
  <c r="E148" i="103" s="1"/>
  <c r="E149" i="103" s="1"/>
  <c r="E150" i="103" s="1"/>
  <c r="E151" i="103" s="1"/>
  <c r="E152" i="103" s="1"/>
  <c r="E153" i="103" s="1"/>
  <c r="E154" i="103" s="1"/>
  <c r="E155" i="103" s="1"/>
  <c r="E156" i="103" s="1"/>
  <c r="E157" i="103" s="1"/>
  <c r="E158" i="103" s="1"/>
  <c r="E159" i="103" s="1"/>
  <c r="E160" i="103" s="1"/>
  <c r="E161" i="103" s="1"/>
  <c r="E162" i="103" s="1"/>
  <c r="E163" i="103" s="1"/>
  <c r="E164" i="103" s="1"/>
  <c r="E165" i="103" s="1"/>
  <c r="E166" i="103" s="1"/>
  <c r="E167" i="103" s="1"/>
  <c r="E168" i="103" s="1"/>
  <c r="E169" i="103" s="1"/>
  <c r="O29" i="24"/>
  <c r="F6" i="96" s="1"/>
  <c r="E71" i="103"/>
  <c r="E72" i="103" s="1"/>
  <c r="E73" i="103" s="1"/>
  <c r="E74" i="103" s="1"/>
  <c r="E75" i="103" s="1"/>
  <c r="E76" i="103" s="1"/>
  <c r="E77" i="103" s="1"/>
  <c r="E78" i="103" s="1"/>
  <c r="E79" i="103" s="1"/>
  <c r="E80" i="103" s="1"/>
  <c r="E81" i="103" s="1"/>
  <c r="E82" i="103" s="1"/>
  <c r="E83" i="103" s="1"/>
  <c r="E84" i="103" s="1"/>
  <c r="E85" i="103" s="1"/>
  <c r="E86" i="103" s="1"/>
  <c r="E87" i="103" s="1"/>
  <c r="E88" i="103" s="1"/>
  <c r="E89" i="103" s="1"/>
  <c r="E90" i="103" s="1"/>
  <c r="E91" i="103" s="1"/>
  <c r="E92" i="103" s="1"/>
  <c r="E93" i="103" s="1"/>
  <c r="E94" i="103" s="1"/>
  <c r="E95" i="103" s="1"/>
  <c r="E96" i="103" s="1"/>
  <c r="E97" i="103" s="1"/>
  <c r="E98" i="103" s="1"/>
  <c r="E99" i="103" s="1"/>
  <c r="E100" i="103" s="1"/>
  <c r="E101" i="103" s="1"/>
  <c r="E102" i="103" s="1"/>
  <c r="E103" i="103" s="1"/>
  <c r="O25" i="24"/>
  <c r="F5" i="96" s="1"/>
  <c r="H5" i="96" s="1"/>
  <c r="E5" i="103"/>
  <c r="E6" i="103" s="1"/>
  <c r="E7" i="103" s="1"/>
  <c r="E8" i="103" s="1"/>
  <c r="E9" i="103" s="1"/>
  <c r="E10" i="103" s="1"/>
  <c r="E11" i="103" s="1"/>
  <c r="E12" i="103" s="1"/>
  <c r="E13" i="103" s="1"/>
  <c r="E14" i="103" s="1"/>
  <c r="E15" i="103" s="1"/>
  <c r="E16" i="103" s="1"/>
  <c r="E17" i="103" s="1"/>
  <c r="E18" i="103" s="1"/>
  <c r="E19" i="103" s="1"/>
  <c r="E20" i="103" s="1"/>
  <c r="E21" i="103" s="1"/>
  <c r="E22" i="103" s="1"/>
  <c r="E23" i="103" s="1"/>
  <c r="E24" i="103" s="1"/>
  <c r="E25" i="103" s="1"/>
  <c r="E26" i="103" s="1"/>
  <c r="E27" i="103" s="1"/>
  <c r="E28" i="103" s="1"/>
  <c r="E29" i="103" s="1"/>
  <c r="E30" i="103" s="1"/>
  <c r="E31" i="103" s="1"/>
  <c r="E32" i="103" s="1"/>
  <c r="E33" i="103" s="1"/>
  <c r="E34" i="103" s="1"/>
  <c r="E35" i="103" s="1"/>
  <c r="E36" i="103" s="1"/>
  <c r="E37" i="103" s="1"/>
  <c r="O21" i="24"/>
  <c r="F4" i="96" s="1"/>
  <c r="H4" i="96" s="1"/>
  <c r="F38" i="103"/>
  <c r="F39" i="103"/>
  <c r="F40" i="103"/>
  <c r="F41" i="103"/>
  <c r="F42" i="103"/>
  <c r="F43" i="103" s="1"/>
  <c r="F44" i="103" s="1"/>
  <c r="F45" i="103" s="1"/>
  <c r="F46" i="103" s="1"/>
  <c r="F47" i="103" s="1"/>
  <c r="F48" i="103" s="1"/>
  <c r="F49" i="103" s="1"/>
  <c r="F50" i="103" s="1"/>
  <c r="F51" i="103" s="1"/>
  <c r="F52" i="103" s="1"/>
  <c r="F53" i="103" s="1"/>
  <c r="F54" i="103" s="1"/>
  <c r="F55" i="103" s="1"/>
  <c r="F56" i="103" s="1"/>
  <c r="F57" i="103" s="1"/>
  <c r="F58" i="103" s="1"/>
  <c r="F59" i="103" s="1"/>
  <c r="F60" i="103" s="1"/>
  <c r="F61" i="103" s="1"/>
  <c r="F62" i="103" s="1"/>
  <c r="F63" i="103" s="1"/>
  <c r="F64" i="103" s="1"/>
  <c r="F65" i="103" s="1"/>
  <c r="F66" i="103" s="1"/>
  <c r="F67" i="103" s="1"/>
  <c r="F68" i="103" s="1"/>
  <c r="F69" i="103" s="1"/>
  <c r="F70" i="103" s="1"/>
  <c r="E170" i="103"/>
  <c r="E171" i="103"/>
  <c r="E172" i="103"/>
  <c r="E174" i="103"/>
  <c r="E175" i="103" s="1"/>
  <c r="E176" i="103" s="1"/>
  <c r="E177" i="103" s="1"/>
  <c r="E178" i="103" s="1"/>
  <c r="E179" i="103" s="1"/>
  <c r="E180" i="103" s="1"/>
  <c r="E181" i="103" s="1"/>
  <c r="E182" i="103" s="1"/>
  <c r="E183" i="103" s="1"/>
  <c r="E184" i="103" s="1"/>
  <c r="E185" i="103" s="1"/>
  <c r="E186" i="103" s="1"/>
  <c r="E187" i="103" s="1"/>
  <c r="E188" i="103" s="1"/>
  <c r="E189" i="103" s="1"/>
  <c r="E190" i="103" s="1"/>
  <c r="E191" i="103" s="1"/>
  <c r="E192" i="103" s="1"/>
  <c r="E193" i="103" s="1"/>
  <c r="E194" i="103" s="1"/>
  <c r="E195" i="103" s="1"/>
  <c r="E196" i="103" s="1"/>
  <c r="E197" i="103" s="1"/>
  <c r="E198" i="103" s="1"/>
  <c r="E199" i="103" s="1"/>
  <c r="E200" i="103" s="1"/>
  <c r="E201" i="103" s="1"/>
  <c r="E202" i="103" s="1"/>
  <c r="E173" i="103"/>
  <c r="E107" i="103"/>
  <c r="E108" i="103"/>
  <c r="E109" i="103" s="1"/>
  <c r="E110" i="103" s="1"/>
  <c r="E111" i="103" s="1"/>
  <c r="E112" i="103" s="1"/>
  <c r="E113" i="103" s="1"/>
  <c r="E114" i="103" s="1"/>
  <c r="E115" i="103" s="1"/>
  <c r="E116" i="103" s="1"/>
  <c r="E117" i="103" s="1"/>
  <c r="E118" i="103" s="1"/>
  <c r="E119" i="103" s="1"/>
  <c r="E120" i="103" s="1"/>
  <c r="E121" i="103" s="1"/>
  <c r="E122" i="103" s="1"/>
  <c r="E123" i="103" s="1"/>
  <c r="E124" i="103" s="1"/>
  <c r="E125" i="103" s="1"/>
  <c r="E126" i="103" s="1"/>
  <c r="E127" i="103" s="1"/>
  <c r="E128" i="103" s="1"/>
  <c r="E129" i="103" s="1"/>
  <c r="E130" i="103" s="1"/>
  <c r="E131" i="103" s="1"/>
  <c r="E132" i="103" s="1"/>
  <c r="E133" i="103" s="1"/>
  <c r="E134" i="103" s="1"/>
  <c r="E135" i="103" s="1"/>
  <c r="E136" i="103" s="1"/>
  <c r="E105" i="103"/>
  <c r="E104" i="103"/>
  <c r="E106" i="103"/>
  <c r="E38" i="103"/>
  <c r="E39" i="103"/>
  <c r="E40" i="103"/>
  <c r="E41" i="103"/>
  <c r="E42" i="103"/>
  <c r="E43" i="103" s="1"/>
  <c r="G174" i="103"/>
  <c r="G175" i="103" s="1"/>
  <c r="G176" i="103" s="1"/>
  <c r="G177" i="103" s="1"/>
  <c r="G178" i="103" s="1"/>
  <c r="G179" i="103" s="1"/>
  <c r="G180" i="103" s="1"/>
  <c r="G181" i="103" s="1"/>
  <c r="G182" i="103" s="1"/>
  <c r="G183" i="103" s="1"/>
  <c r="G184" i="103" s="1"/>
  <c r="G185" i="103" s="1"/>
  <c r="G186" i="103" s="1"/>
  <c r="G187" i="103" s="1"/>
  <c r="G188" i="103" s="1"/>
  <c r="G189" i="103" s="1"/>
  <c r="G190" i="103" s="1"/>
  <c r="G191" i="103" s="1"/>
  <c r="G192" i="103" s="1"/>
  <c r="G193" i="103" s="1"/>
  <c r="G194" i="103" s="1"/>
  <c r="G195" i="103" s="1"/>
  <c r="G196" i="103" s="1"/>
  <c r="G197" i="103" s="1"/>
  <c r="G198" i="103" s="1"/>
  <c r="G199" i="103" s="1"/>
  <c r="G200" i="103" s="1"/>
  <c r="G201" i="103" s="1"/>
  <c r="G202" i="103" s="1"/>
  <c r="G171" i="103"/>
  <c r="G172" i="103"/>
  <c r="G170" i="103"/>
  <c r="G173" i="103"/>
  <c r="G104" i="103"/>
  <c r="G105" i="103"/>
  <c r="G108" i="103"/>
  <c r="G109" i="103" s="1"/>
  <c r="G110" i="103" s="1"/>
  <c r="G111" i="103" s="1"/>
  <c r="G112" i="103" s="1"/>
  <c r="G113" i="103" s="1"/>
  <c r="G114" i="103" s="1"/>
  <c r="G115" i="103" s="1"/>
  <c r="G116" i="103" s="1"/>
  <c r="G117" i="103" s="1"/>
  <c r="G118" i="103" s="1"/>
  <c r="G119" i="103" s="1"/>
  <c r="G120" i="103" s="1"/>
  <c r="G121" i="103" s="1"/>
  <c r="G122" i="103" s="1"/>
  <c r="G123" i="103" s="1"/>
  <c r="G124" i="103" s="1"/>
  <c r="G125" i="103" s="1"/>
  <c r="G126" i="103" s="1"/>
  <c r="G127" i="103" s="1"/>
  <c r="G128" i="103" s="1"/>
  <c r="G129" i="103" s="1"/>
  <c r="G130" i="103" s="1"/>
  <c r="G131" i="103" s="1"/>
  <c r="G132" i="103" s="1"/>
  <c r="G133" i="103" s="1"/>
  <c r="G134" i="103" s="1"/>
  <c r="G135" i="103" s="1"/>
  <c r="G136" i="103" s="1"/>
  <c r="G107" i="103"/>
  <c r="G106" i="103"/>
  <c r="G38" i="103"/>
  <c r="G39" i="103"/>
  <c r="G40" i="103"/>
  <c r="G41" i="103"/>
  <c r="G42" i="103"/>
  <c r="G43" i="103" s="1"/>
  <c r="G44" i="103" s="1"/>
  <c r="G45" i="103" s="1"/>
  <c r="G46" i="103" s="1"/>
  <c r="G47" i="103" s="1"/>
  <c r="G48" i="103" s="1"/>
  <c r="G49" i="103" s="1"/>
  <c r="G50" i="103" s="1"/>
  <c r="G51" i="103" s="1"/>
  <c r="G52" i="103" s="1"/>
  <c r="G53" i="103" s="1"/>
  <c r="G54" i="103" s="1"/>
  <c r="G55" i="103" s="1"/>
  <c r="G56" i="103" s="1"/>
  <c r="G57" i="103" s="1"/>
  <c r="G58" i="103" s="1"/>
  <c r="G59" i="103" s="1"/>
  <c r="G60" i="103" s="1"/>
  <c r="G61" i="103" s="1"/>
  <c r="G62" i="103" s="1"/>
  <c r="G63" i="103" s="1"/>
  <c r="G64" i="103" s="1"/>
  <c r="G65" i="103" s="1"/>
  <c r="G66" i="103" s="1"/>
  <c r="G67" i="103" s="1"/>
  <c r="G68" i="103" s="1"/>
  <c r="G69" i="103" s="1"/>
  <c r="G70" i="103" s="1"/>
  <c r="F170" i="103"/>
  <c r="F172" i="103"/>
  <c r="F174" i="103"/>
  <c r="F175" i="103" s="1"/>
  <c r="F176" i="103" s="1"/>
  <c r="F177" i="103" s="1"/>
  <c r="F178" i="103" s="1"/>
  <c r="F179" i="103" s="1"/>
  <c r="F180" i="103" s="1"/>
  <c r="F181" i="103" s="1"/>
  <c r="F182" i="103" s="1"/>
  <c r="F183" i="103" s="1"/>
  <c r="F184" i="103" s="1"/>
  <c r="F185" i="103" s="1"/>
  <c r="F186" i="103" s="1"/>
  <c r="F187" i="103" s="1"/>
  <c r="F188" i="103" s="1"/>
  <c r="F189" i="103" s="1"/>
  <c r="F190" i="103" s="1"/>
  <c r="F191" i="103" s="1"/>
  <c r="F192" i="103" s="1"/>
  <c r="F193" i="103" s="1"/>
  <c r="F194" i="103" s="1"/>
  <c r="F195" i="103" s="1"/>
  <c r="F196" i="103" s="1"/>
  <c r="F197" i="103" s="1"/>
  <c r="F198" i="103" s="1"/>
  <c r="F199" i="103" s="1"/>
  <c r="F200" i="103" s="1"/>
  <c r="F201" i="103" s="1"/>
  <c r="F202" i="103" s="1"/>
  <c r="F171" i="103"/>
  <c r="F173" i="103"/>
  <c r="F105" i="103"/>
  <c r="F107" i="103"/>
  <c r="F106" i="103"/>
  <c r="F104" i="103"/>
  <c r="F108" i="103"/>
  <c r="F109" i="103" s="1"/>
  <c r="F110" i="103" s="1"/>
  <c r="F111" i="103" s="1"/>
  <c r="F112" i="103" s="1"/>
  <c r="F113" i="103" s="1"/>
  <c r="F114" i="103" s="1"/>
  <c r="F115" i="103" s="1"/>
  <c r="F116" i="103" s="1"/>
  <c r="F117" i="103" s="1"/>
  <c r="F118" i="103" s="1"/>
  <c r="F119" i="103" s="1"/>
  <c r="F120" i="103" s="1"/>
  <c r="F121" i="103" s="1"/>
  <c r="F122" i="103" s="1"/>
  <c r="F123" i="103" s="1"/>
  <c r="F124" i="103" s="1"/>
  <c r="F125" i="103" s="1"/>
  <c r="F126" i="103" s="1"/>
  <c r="F127" i="103" s="1"/>
  <c r="F128" i="103" s="1"/>
  <c r="F129" i="103" s="1"/>
  <c r="F130" i="103" s="1"/>
  <c r="F131" i="103" s="1"/>
  <c r="F132" i="103" s="1"/>
  <c r="F133" i="103" s="1"/>
  <c r="F134" i="103" s="1"/>
  <c r="F135" i="103" s="1"/>
  <c r="F136" i="103" s="1"/>
  <c r="CT2" i="106"/>
  <c r="EB6" i="106"/>
  <c r="DU22" i="107"/>
  <c r="DU21" i="107"/>
  <c r="EA7" i="106"/>
  <c r="EA8" i="106" s="1"/>
  <c r="EB4" i="106"/>
  <c r="EB5" i="106"/>
  <c r="F37" i="24"/>
  <c r="F36" i="24"/>
  <c r="F34" i="24"/>
  <c r="F33" i="24"/>
  <c r="F31" i="24"/>
  <c r="F30" i="24"/>
  <c r="F28" i="24"/>
  <c r="F27" i="24"/>
  <c r="F24" i="24"/>
  <c r="F25" i="24"/>
  <c r="F22" i="24"/>
  <c r="F21" i="24"/>
  <c r="P29" i="24" l="1"/>
  <c r="P25" i="24"/>
  <c r="E44" i="103"/>
  <c r="E45" i="103" s="1"/>
  <c r="E46" i="103" s="1"/>
  <c r="E47" i="103" s="1"/>
  <c r="E48" i="103" s="1"/>
  <c r="E49" i="103" s="1"/>
  <c r="E50" i="103" s="1"/>
  <c r="E51" i="103" s="1"/>
  <c r="E52" i="103" s="1"/>
  <c r="E53" i="103" s="1"/>
  <c r="E54" i="103" s="1"/>
  <c r="E55" i="103" s="1"/>
  <c r="E56" i="103" s="1"/>
  <c r="E57" i="103" s="1"/>
  <c r="E58" i="103" s="1"/>
  <c r="E59" i="103" s="1"/>
  <c r="E60" i="103" s="1"/>
  <c r="E61" i="103" s="1"/>
  <c r="E62" i="103" s="1"/>
  <c r="E63" i="103" s="1"/>
  <c r="E64" i="103" s="1"/>
  <c r="E65" i="103" s="1"/>
  <c r="E66" i="103" s="1"/>
  <c r="E67" i="103" s="1"/>
  <c r="E68" i="103" s="1"/>
  <c r="E69" i="103" s="1"/>
  <c r="E70" i="103" s="1"/>
  <c r="CU2" i="106"/>
  <c r="H37" i="103"/>
  <c r="H32" i="103"/>
  <c r="H36" i="103"/>
  <c r="H33" i="103"/>
  <c r="H34" i="103"/>
  <c r="H35" i="103"/>
  <c r="H28" i="103"/>
  <c r="H29" i="103"/>
  <c r="H26" i="103"/>
  <c r="H30" i="103"/>
  <c r="H31" i="103"/>
  <c r="H27" i="103"/>
  <c r="H98" i="103"/>
  <c r="H102" i="103"/>
  <c r="H99" i="103"/>
  <c r="H103" i="103"/>
  <c r="H100" i="103"/>
  <c r="H101" i="103"/>
  <c r="H95" i="103"/>
  <c r="H92" i="103"/>
  <c r="H96" i="103"/>
  <c r="H93" i="103"/>
  <c r="H97" i="103"/>
  <c r="H94" i="103"/>
  <c r="H164" i="103"/>
  <c r="H168" i="103"/>
  <c r="H165" i="103"/>
  <c r="H169" i="103"/>
  <c r="H166" i="103"/>
  <c r="H167" i="103"/>
  <c r="H158" i="103"/>
  <c r="H162" i="103"/>
  <c r="H159" i="103"/>
  <c r="H163" i="103"/>
  <c r="H160" i="103"/>
  <c r="H161" i="103"/>
  <c r="J32" i="103"/>
  <c r="J33" i="103"/>
  <c r="J36" i="103"/>
  <c r="J34" i="103"/>
  <c r="J35" i="103"/>
  <c r="J37" i="103"/>
  <c r="J27" i="103"/>
  <c r="J28" i="103"/>
  <c r="J29" i="103"/>
  <c r="J26" i="103"/>
  <c r="J30" i="103"/>
  <c r="J31" i="103"/>
  <c r="J101" i="103"/>
  <c r="J98" i="103"/>
  <c r="J102" i="103"/>
  <c r="J99" i="103"/>
  <c r="J103" i="103"/>
  <c r="J100" i="103"/>
  <c r="J94" i="103"/>
  <c r="J97" i="103"/>
  <c r="J95" i="103"/>
  <c r="J92" i="103"/>
  <c r="J96" i="103"/>
  <c r="J93" i="103"/>
  <c r="J167" i="103"/>
  <c r="J164" i="103"/>
  <c r="J168" i="103"/>
  <c r="J165" i="103"/>
  <c r="J169" i="103"/>
  <c r="J166" i="103"/>
  <c r="J161" i="103"/>
  <c r="J158" i="103"/>
  <c r="J162" i="103"/>
  <c r="J159" i="103"/>
  <c r="J163" i="103"/>
  <c r="J160" i="103"/>
  <c r="I37" i="103"/>
  <c r="I36" i="103"/>
  <c r="I32" i="103"/>
  <c r="I34" i="103"/>
  <c r="I33" i="103"/>
  <c r="I35" i="103"/>
  <c r="I28" i="103"/>
  <c r="I29" i="103"/>
  <c r="I26" i="103"/>
  <c r="I30" i="103"/>
  <c r="I31" i="103"/>
  <c r="I27" i="103"/>
  <c r="I98" i="103"/>
  <c r="I102" i="103"/>
  <c r="I101" i="103"/>
  <c r="I99" i="103"/>
  <c r="I103" i="103"/>
  <c r="I100" i="103"/>
  <c r="I95" i="103"/>
  <c r="I94" i="103"/>
  <c r="I92" i="103"/>
  <c r="I96" i="103"/>
  <c r="I93" i="103"/>
  <c r="I97" i="103"/>
  <c r="I164" i="103"/>
  <c r="I168" i="103"/>
  <c r="I165" i="103"/>
  <c r="I169" i="103"/>
  <c r="I166" i="103"/>
  <c r="I167" i="103"/>
  <c r="I158" i="103"/>
  <c r="I162" i="103"/>
  <c r="I159" i="103"/>
  <c r="I163" i="103"/>
  <c r="I161" i="103"/>
  <c r="I160" i="103"/>
  <c r="I68" i="103"/>
  <c r="I69" i="103"/>
  <c r="I70" i="103"/>
  <c r="I67" i="103"/>
  <c r="I65" i="103"/>
  <c r="I66" i="103"/>
  <c r="H133" i="103"/>
  <c r="H134" i="103"/>
  <c r="H131" i="103"/>
  <c r="H135" i="103"/>
  <c r="H132" i="103"/>
  <c r="H136" i="103"/>
  <c r="H199" i="103"/>
  <c r="H200" i="103"/>
  <c r="H197" i="103"/>
  <c r="H201" i="103"/>
  <c r="H198" i="103"/>
  <c r="H202" i="103"/>
  <c r="H70" i="103"/>
  <c r="H69" i="103"/>
  <c r="H65" i="103"/>
  <c r="H66" i="103"/>
  <c r="H67" i="103"/>
  <c r="H68" i="103"/>
  <c r="I136" i="103"/>
  <c r="I133" i="103"/>
  <c r="I132" i="103"/>
  <c r="I134" i="103"/>
  <c r="I131" i="103"/>
  <c r="I135" i="103"/>
  <c r="I199" i="103"/>
  <c r="I198" i="103"/>
  <c r="I200" i="103"/>
  <c r="I197" i="103"/>
  <c r="I201" i="103"/>
  <c r="I202" i="103"/>
  <c r="J67" i="103"/>
  <c r="J68" i="103"/>
  <c r="J69" i="103"/>
  <c r="J70" i="103"/>
  <c r="J65" i="103"/>
  <c r="J66" i="103"/>
  <c r="J132" i="103"/>
  <c r="J136" i="103"/>
  <c r="J133" i="103"/>
  <c r="J134" i="103"/>
  <c r="J131" i="103"/>
  <c r="J135" i="103"/>
  <c r="J198" i="103"/>
  <c r="J202" i="103"/>
  <c r="J199" i="103"/>
  <c r="J200" i="103"/>
  <c r="J197" i="103"/>
  <c r="J201" i="103"/>
  <c r="EC6" i="106"/>
  <c r="DV21" i="107"/>
  <c r="DV22" i="107"/>
  <c r="EC5" i="106"/>
  <c r="EB7" i="106"/>
  <c r="EB8" i="106" s="1"/>
  <c r="EC4" i="106"/>
  <c r="J194" i="103"/>
  <c r="J193" i="103"/>
  <c r="J196" i="103"/>
  <c r="J191" i="103"/>
  <c r="J195" i="103"/>
  <c r="J192" i="103"/>
  <c r="J62" i="103"/>
  <c r="J59" i="103"/>
  <c r="J63" i="103"/>
  <c r="J60" i="103"/>
  <c r="J64" i="103"/>
  <c r="J61" i="103"/>
  <c r="J126" i="103"/>
  <c r="J127" i="103"/>
  <c r="J130" i="103"/>
  <c r="J129" i="103"/>
  <c r="J128" i="103"/>
  <c r="J125" i="103"/>
  <c r="I64" i="103"/>
  <c r="I60" i="103"/>
  <c r="I62" i="103"/>
  <c r="I63" i="103"/>
  <c r="I59" i="103"/>
  <c r="I61" i="103"/>
  <c r="I130" i="103"/>
  <c r="I126" i="103"/>
  <c r="I128" i="103"/>
  <c r="I125" i="103"/>
  <c r="I127" i="103"/>
  <c r="I129" i="103"/>
  <c r="I191" i="103"/>
  <c r="I193" i="103"/>
  <c r="I195" i="103"/>
  <c r="I192" i="103"/>
  <c r="I196" i="103"/>
  <c r="I194" i="103"/>
  <c r="H125" i="103"/>
  <c r="H129" i="103"/>
  <c r="H130" i="103"/>
  <c r="H127" i="103"/>
  <c r="H128" i="103"/>
  <c r="H126" i="103"/>
  <c r="H196" i="103"/>
  <c r="H192" i="103"/>
  <c r="H191" i="103"/>
  <c r="H195" i="103"/>
  <c r="H193" i="103"/>
  <c r="H194" i="103"/>
  <c r="H59" i="103"/>
  <c r="H63" i="103"/>
  <c r="H61" i="103"/>
  <c r="H64" i="103"/>
  <c r="H60" i="103"/>
  <c r="H62" i="103"/>
  <c r="I40" i="103"/>
  <c r="I44" i="103"/>
  <c r="I48" i="103"/>
  <c r="I52" i="103"/>
  <c r="I56" i="103"/>
  <c r="I38" i="103"/>
  <c r="I42" i="103"/>
  <c r="I46" i="103"/>
  <c r="I50" i="103"/>
  <c r="I54" i="103"/>
  <c r="I58" i="103"/>
  <c r="I39" i="103"/>
  <c r="I47" i="103"/>
  <c r="I55" i="103"/>
  <c r="I45" i="103"/>
  <c r="I53" i="103"/>
  <c r="I43" i="103"/>
  <c r="I51" i="103"/>
  <c r="I49" i="103"/>
  <c r="I41" i="103"/>
  <c r="I57" i="103"/>
  <c r="H105" i="103"/>
  <c r="H109" i="103"/>
  <c r="H107" i="103"/>
  <c r="H111" i="103"/>
  <c r="H104" i="103"/>
  <c r="H116" i="103"/>
  <c r="H120" i="103"/>
  <c r="H124" i="103"/>
  <c r="H110" i="103"/>
  <c r="H112" i="103"/>
  <c r="H115" i="103"/>
  <c r="H119" i="103"/>
  <c r="H123" i="103"/>
  <c r="H108" i="103"/>
  <c r="H114" i="103"/>
  <c r="H118" i="103"/>
  <c r="H122" i="103"/>
  <c r="H106" i="103"/>
  <c r="H121" i="103"/>
  <c r="H117" i="103"/>
  <c r="H113" i="103"/>
  <c r="H173" i="103"/>
  <c r="H177" i="103"/>
  <c r="H181" i="103"/>
  <c r="H185" i="103"/>
  <c r="H189" i="103"/>
  <c r="H186" i="103"/>
  <c r="H172" i="103"/>
  <c r="H176" i="103"/>
  <c r="H180" i="103"/>
  <c r="H184" i="103"/>
  <c r="H188" i="103"/>
  <c r="H171" i="103"/>
  <c r="H175" i="103"/>
  <c r="H179" i="103"/>
  <c r="H183" i="103"/>
  <c r="H187" i="103"/>
  <c r="H170" i="103"/>
  <c r="H174" i="103"/>
  <c r="H178" i="103"/>
  <c r="H182" i="103"/>
  <c r="H190" i="103"/>
  <c r="H39" i="103"/>
  <c r="H43" i="103"/>
  <c r="H47" i="103"/>
  <c r="H51" i="103"/>
  <c r="H55" i="103"/>
  <c r="H41" i="103"/>
  <c r="H45" i="103"/>
  <c r="H49" i="103"/>
  <c r="H53" i="103"/>
  <c r="H57" i="103"/>
  <c r="H42" i="103"/>
  <c r="H50" i="103"/>
  <c r="H58" i="103"/>
  <c r="H40" i="103"/>
  <c r="H48" i="103"/>
  <c r="H56" i="103"/>
  <c r="H38" i="103"/>
  <c r="H46" i="103"/>
  <c r="H54" i="103"/>
  <c r="H52" i="103"/>
  <c r="H44" i="103"/>
  <c r="H73" i="103"/>
  <c r="H77" i="103"/>
  <c r="H81" i="103"/>
  <c r="H85" i="103"/>
  <c r="H89" i="103"/>
  <c r="H71" i="103"/>
  <c r="H75" i="103"/>
  <c r="H79" i="103"/>
  <c r="H83" i="103"/>
  <c r="H87" i="103"/>
  <c r="H91" i="103"/>
  <c r="H76" i="103"/>
  <c r="H84" i="103"/>
  <c r="H74" i="103"/>
  <c r="H82" i="103"/>
  <c r="H90" i="103"/>
  <c r="H72" i="103"/>
  <c r="H80" i="103"/>
  <c r="H88" i="103"/>
  <c r="H86" i="103"/>
  <c r="H78" i="103"/>
  <c r="I8" i="103"/>
  <c r="I12" i="103"/>
  <c r="I16" i="103"/>
  <c r="I20" i="103"/>
  <c r="I24" i="103"/>
  <c r="I6" i="103"/>
  <c r="I10" i="103"/>
  <c r="I14" i="103"/>
  <c r="I18" i="103"/>
  <c r="I22" i="103"/>
  <c r="I11" i="103"/>
  <c r="I19" i="103"/>
  <c r="I9" i="103"/>
  <c r="I17" i="103"/>
  <c r="I25" i="103"/>
  <c r="I7" i="103"/>
  <c r="I15" i="103"/>
  <c r="I23" i="103"/>
  <c r="I5" i="103"/>
  <c r="I21" i="103"/>
  <c r="I13" i="103"/>
  <c r="J41" i="103"/>
  <c r="J45" i="103"/>
  <c r="J49" i="103"/>
  <c r="J53" i="103"/>
  <c r="J57" i="103"/>
  <c r="J39" i="103"/>
  <c r="J43" i="103"/>
  <c r="J47" i="103"/>
  <c r="J51" i="103"/>
  <c r="J55" i="103"/>
  <c r="J44" i="103"/>
  <c r="J52" i="103"/>
  <c r="J42" i="103"/>
  <c r="J50" i="103"/>
  <c r="J58" i="103"/>
  <c r="J40" i="103"/>
  <c r="J48" i="103"/>
  <c r="J56" i="103"/>
  <c r="J38" i="103"/>
  <c r="J54" i="103"/>
  <c r="J46" i="103"/>
  <c r="I74" i="103"/>
  <c r="I78" i="103"/>
  <c r="I82" i="103"/>
  <c r="I86" i="103"/>
  <c r="I90" i="103"/>
  <c r="I72" i="103"/>
  <c r="I76" i="103"/>
  <c r="I80" i="103"/>
  <c r="I84" i="103"/>
  <c r="I88" i="103"/>
  <c r="I73" i="103"/>
  <c r="I81" i="103"/>
  <c r="I89" i="103"/>
  <c r="I71" i="103"/>
  <c r="I79" i="103"/>
  <c r="I87" i="103"/>
  <c r="I77" i="103"/>
  <c r="I85" i="103"/>
  <c r="I83" i="103"/>
  <c r="I75" i="103"/>
  <c r="I91" i="103"/>
  <c r="J107" i="103"/>
  <c r="J105" i="103"/>
  <c r="J109" i="103"/>
  <c r="J106" i="103"/>
  <c r="J111" i="103"/>
  <c r="J114" i="103"/>
  <c r="J118" i="103"/>
  <c r="J122" i="103"/>
  <c r="J104" i="103"/>
  <c r="J113" i="103"/>
  <c r="J117" i="103"/>
  <c r="J121" i="103"/>
  <c r="J110" i="103"/>
  <c r="J112" i="103"/>
  <c r="J116" i="103"/>
  <c r="J120" i="103"/>
  <c r="J124" i="103"/>
  <c r="J119" i="103"/>
  <c r="J108" i="103"/>
  <c r="J115" i="103"/>
  <c r="J123" i="103"/>
  <c r="I138" i="103"/>
  <c r="I137" i="103"/>
  <c r="I142" i="103"/>
  <c r="I146" i="103"/>
  <c r="I150" i="103"/>
  <c r="I154" i="103"/>
  <c r="I141" i="103"/>
  <c r="I145" i="103"/>
  <c r="I149" i="103"/>
  <c r="I153" i="103"/>
  <c r="I157" i="103"/>
  <c r="I140" i="103"/>
  <c r="I144" i="103"/>
  <c r="I148" i="103"/>
  <c r="I152" i="103"/>
  <c r="I156" i="103"/>
  <c r="I139" i="103"/>
  <c r="I143" i="103"/>
  <c r="I147" i="103"/>
  <c r="I151" i="103"/>
  <c r="I155" i="103"/>
  <c r="J171" i="103"/>
  <c r="J175" i="103"/>
  <c r="J179" i="103"/>
  <c r="J183" i="103"/>
  <c r="J187" i="103"/>
  <c r="J170" i="103"/>
  <c r="J174" i="103"/>
  <c r="J178" i="103"/>
  <c r="J182" i="103"/>
  <c r="J186" i="103"/>
  <c r="J190" i="103"/>
  <c r="J184" i="103"/>
  <c r="J188" i="103"/>
  <c r="J173" i="103"/>
  <c r="J177" i="103"/>
  <c r="J181" i="103"/>
  <c r="J185" i="103"/>
  <c r="J189" i="103"/>
  <c r="J172" i="103"/>
  <c r="J176" i="103"/>
  <c r="J180" i="103"/>
  <c r="H7" i="103"/>
  <c r="H11" i="103"/>
  <c r="H15" i="103"/>
  <c r="H19" i="103"/>
  <c r="H23" i="103"/>
  <c r="H6" i="103"/>
  <c r="H9" i="103"/>
  <c r="H13" i="103"/>
  <c r="H17" i="103"/>
  <c r="H21" i="103"/>
  <c r="H25" i="103"/>
  <c r="H14" i="103"/>
  <c r="H22" i="103"/>
  <c r="H12" i="103"/>
  <c r="H20" i="103"/>
  <c r="H10" i="103"/>
  <c r="H18" i="103"/>
  <c r="H16" i="103"/>
  <c r="H8" i="103"/>
  <c r="H5" i="103"/>
  <c r="H24" i="103"/>
  <c r="I106" i="103"/>
  <c r="I110" i="103"/>
  <c r="I104" i="103"/>
  <c r="I108" i="103"/>
  <c r="I112" i="103"/>
  <c r="I109" i="103"/>
  <c r="I113" i="103"/>
  <c r="I117" i="103"/>
  <c r="I121" i="103"/>
  <c r="I107" i="103"/>
  <c r="I116" i="103"/>
  <c r="I120" i="103"/>
  <c r="I124" i="103"/>
  <c r="I105" i="103"/>
  <c r="I115" i="103"/>
  <c r="I119" i="103"/>
  <c r="I123" i="103"/>
  <c r="I114" i="103"/>
  <c r="I111" i="103"/>
  <c r="I122" i="103"/>
  <c r="I118" i="103"/>
  <c r="H137" i="103"/>
  <c r="H141" i="103"/>
  <c r="H145" i="103"/>
  <c r="H149" i="103"/>
  <c r="H153" i="103"/>
  <c r="H157" i="103"/>
  <c r="H138" i="103"/>
  <c r="H140" i="103"/>
  <c r="H144" i="103"/>
  <c r="H148" i="103"/>
  <c r="H152" i="103"/>
  <c r="H156" i="103"/>
  <c r="H139" i="103"/>
  <c r="H143" i="103"/>
  <c r="H147" i="103"/>
  <c r="H151" i="103"/>
  <c r="H155" i="103"/>
  <c r="H142" i="103"/>
  <c r="H146" i="103"/>
  <c r="H150" i="103"/>
  <c r="H154" i="103"/>
  <c r="I170" i="103"/>
  <c r="I174" i="103"/>
  <c r="I178" i="103"/>
  <c r="I182" i="103"/>
  <c r="I186" i="103"/>
  <c r="I190" i="103"/>
  <c r="I173" i="103"/>
  <c r="I177" i="103"/>
  <c r="I181" i="103"/>
  <c r="I185" i="103"/>
  <c r="I189" i="103"/>
  <c r="I179" i="103"/>
  <c r="I172" i="103"/>
  <c r="I176" i="103"/>
  <c r="I180" i="103"/>
  <c r="I184" i="103"/>
  <c r="I188" i="103"/>
  <c r="I171" i="103"/>
  <c r="I175" i="103"/>
  <c r="I183" i="103"/>
  <c r="I187" i="103"/>
  <c r="J9" i="103"/>
  <c r="J13" i="103"/>
  <c r="J17" i="103"/>
  <c r="J21" i="103"/>
  <c r="J25" i="103"/>
  <c r="J7" i="103"/>
  <c r="J11" i="103"/>
  <c r="J15" i="103"/>
  <c r="J19" i="103"/>
  <c r="J23" i="103"/>
  <c r="J8" i="103"/>
  <c r="J16" i="103"/>
  <c r="J24" i="103"/>
  <c r="J6" i="103"/>
  <c r="J14" i="103"/>
  <c r="J22" i="103"/>
  <c r="J12" i="103"/>
  <c r="J20" i="103"/>
  <c r="J18" i="103"/>
  <c r="J5" i="103"/>
  <c r="J10" i="103"/>
  <c r="J71" i="103"/>
  <c r="J75" i="103"/>
  <c r="J79" i="103"/>
  <c r="J83" i="103"/>
  <c r="J87" i="103"/>
  <c r="J91" i="103"/>
  <c r="J73" i="103"/>
  <c r="J77" i="103"/>
  <c r="J81" i="103"/>
  <c r="J85" i="103"/>
  <c r="J89" i="103"/>
  <c r="J78" i="103"/>
  <c r="J86" i="103"/>
  <c r="J76" i="103"/>
  <c r="J84" i="103"/>
  <c r="J74" i="103"/>
  <c r="J82" i="103"/>
  <c r="J90" i="103"/>
  <c r="J72" i="103"/>
  <c r="J88" i="103"/>
  <c r="J80" i="103"/>
  <c r="J138" i="103"/>
  <c r="J137" i="103"/>
  <c r="J139" i="103"/>
  <c r="J143" i="103"/>
  <c r="J147" i="103"/>
  <c r="J151" i="103"/>
  <c r="J155" i="103"/>
  <c r="J142" i="103"/>
  <c r="J146" i="103"/>
  <c r="J150" i="103"/>
  <c r="J154" i="103"/>
  <c r="J141" i="103"/>
  <c r="J145" i="103"/>
  <c r="J149" i="103"/>
  <c r="J153" i="103"/>
  <c r="J157" i="103"/>
  <c r="J140" i="103"/>
  <c r="J144" i="103"/>
  <c r="J148" i="103"/>
  <c r="J152" i="103"/>
  <c r="J156" i="103"/>
  <c r="P21" i="24"/>
  <c r="E46" i="24"/>
  <c r="K43" i="103" l="1"/>
  <c r="CV2" i="106"/>
  <c r="ED6" i="106"/>
  <c r="DW22" i="107"/>
  <c r="DW21" i="107"/>
  <c r="EC7" i="106"/>
  <c r="EC8" i="106" s="1"/>
  <c r="ED4" i="106"/>
  <c r="ED5" i="106"/>
  <c r="K6" i="103"/>
  <c r="K5" i="103"/>
  <c r="K7" i="103"/>
  <c r="CW2" i="106" l="1"/>
  <c r="EE4" i="106"/>
  <c r="EE6" i="106"/>
  <c r="CX2" i="106"/>
  <c r="DX21" i="107"/>
  <c r="DX22" i="107"/>
  <c r="EE5" i="106"/>
  <c r="ED7" i="106"/>
  <c r="ED8" i="106" s="1"/>
  <c r="K8" i="103"/>
  <c r="EF6" i="106" l="1"/>
  <c r="CY2" i="106"/>
  <c r="DY22" i="107"/>
  <c r="DY21" i="107"/>
  <c r="EE7" i="106"/>
  <c r="EE8" i="106" s="1"/>
  <c r="EF4" i="106"/>
  <c r="EF5" i="106"/>
  <c r="K9" i="103"/>
  <c r="AD49" i="25" s="1"/>
  <c r="EG6" i="106" l="1"/>
  <c r="DZ21" i="107"/>
  <c r="DZ22" i="107"/>
  <c r="EG5" i="106"/>
  <c r="EF7" i="106"/>
  <c r="EF8" i="106" s="1"/>
  <c r="EG4" i="106"/>
  <c r="K10" i="103"/>
  <c r="B5" i="64"/>
  <c r="CZ2" i="106" l="1"/>
  <c r="B6" i="64"/>
  <c r="B7" i="64" s="1"/>
  <c r="B8" i="64" s="1"/>
  <c r="B9" i="64" s="1"/>
  <c r="B10" i="64" s="1"/>
  <c r="B11" i="64" s="1"/>
  <c r="B12" i="64" s="1"/>
  <c r="B13" i="64" s="1"/>
  <c r="B14" i="64" s="1"/>
  <c r="B15" i="64" s="1"/>
  <c r="B16" i="64" s="1"/>
  <c r="B17" i="64" s="1"/>
  <c r="B18" i="64" s="1"/>
  <c r="B19" i="64" s="1"/>
  <c r="B20" i="64" s="1"/>
  <c r="B21" i="64" s="1"/>
  <c r="B22" i="64" s="1"/>
  <c r="B23" i="64" s="1"/>
  <c r="B24" i="64" s="1"/>
  <c r="B25" i="64" s="1"/>
  <c r="B26" i="64" s="1"/>
  <c r="B27" i="64" s="1"/>
  <c r="B28" i="64" s="1"/>
  <c r="B29" i="64" s="1"/>
  <c r="B30" i="64" s="1"/>
  <c r="B31" i="64" s="1"/>
  <c r="B32" i="64" s="1"/>
  <c r="B33" i="64" s="1"/>
  <c r="B34" i="64" s="1"/>
  <c r="B35" i="64" s="1"/>
  <c r="EH6" i="106"/>
  <c r="DA2" i="106"/>
  <c r="EA22" i="107"/>
  <c r="EA21" i="107"/>
  <c r="EG7" i="106"/>
  <c r="EG8" i="106" s="1"/>
  <c r="EH4" i="106"/>
  <c r="EH5" i="106"/>
  <c r="K11" i="103"/>
  <c r="EI6" i="106" l="1"/>
  <c r="DB2" i="106"/>
  <c r="EB21" i="107"/>
  <c r="EB22" i="107"/>
  <c r="EI5" i="106"/>
  <c r="EH7" i="106"/>
  <c r="EH8" i="106" s="1"/>
  <c r="EI4" i="106"/>
  <c r="K12" i="103"/>
  <c r="EJ6" i="106" l="1"/>
  <c r="EC22" i="107"/>
  <c r="EC21" i="107"/>
  <c r="EI7" i="106"/>
  <c r="EI8" i="106" s="1"/>
  <c r="EJ4" i="106"/>
  <c r="EJ5" i="106"/>
  <c r="K13" i="103"/>
  <c r="C82" i="25"/>
  <c r="C45" i="25"/>
  <c r="C82" i="97"/>
  <c r="C45" i="98"/>
  <c r="C45" i="97"/>
  <c r="AD35" i="96"/>
  <c r="AD34" i="96"/>
  <c r="AD33" i="96"/>
  <c r="AD32" i="96"/>
  <c r="AD31" i="96"/>
  <c r="AD30" i="96"/>
  <c r="AD29" i="96"/>
  <c r="AD28" i="96"/>
  <c r="AD27" i="96"/>
  <c r="AD26" i="96"/>
  <c r="AD25" i="96"/>
  <c r="AD24" i="96"/>
  <c r="AD23" i="96"/>
  <c r="AD22" i="96"/>
  <c r="AD21" i="96"/>
  <c r="AD20" i="96"/>
  <c r="AD19" i="96"/>
  <c r="AD18" i="96"/>
  <c r="AD17" i="96"/>
  <c r="AD16" i="96"/>
  <c r="AD15" i="96"/>
  <c r="AD14" i="96"/>
  <c r="P15" i="96"/>
  <c r="P16" i="96"/>
  <c r="P17" i="96"/>
  <c r="P18" i="96"/>
  <c r="P19" i="96"/>
  <c r="P20" i="96"/>
  <c r="P21" i="96"/>
  <c r="P22" i="96"/>
  <c r="P23" i="96"/>
  <c r="P24" i="96"/>
  <c r="P25" i="96"/>
  <c r="P26" i="96"/>
  <c r="P27" i="96"/>
  <c r="P28" i="96"/>
  <c r="P29" i="96"/>
  <c r="P30" i="96"/>
  <c r="P31" i="96"/>
  <c r="P32" i="96"/>
  <c r="P33" i="96"/>
  <c r="P34" i="96"/>
  <c r="P35" i="96"/>
  <c r="P14" i="96"/>
  <c r="F4" i="98"/>
  <c r="C4" i="98"/>
  <c r="B4" i="98"/>
  <c r="BS45" i="98"/>
  <c r="J8" i="98"/>
  <c r="AO14" i="96" s="1"/>
  <c r="F45" i="98" l="1"/>
  <c r="F47" i="98"/>
  <c r="F46" i="98"/>
  <c r="F76" i="98"/>
  <c r="F52" i="98"/>
  <c r="F49" i="98"/>
  <c r="F67" i="98"/>
  <c r="F63" i="98"/>
  <c r="F77" i="98"/>
  <c r="F68" i="98"/>
  <c r="F60" i="98"/>
  <c r="F48" i="98"/>
  <c r="F73" i="98"/>
  <c r="F36" i="98" s="1"/>
  <c r="F71" i="98"/>
  <c r="F58" i="98"/>
  <c r="F55" i="98"/>
  <c r="F54" i="98"/>
  <c r="F70" i="98"/>
  <c r="F72" i="98"/>
  <c r="F35" i="98" s="1"/>
  <c r="F61" i="98"/>
  <c r="F53" i="98"/>
  <c r="F65" i="98"/>
  <c r="F56" i="98"/>
  <c r="F51" i="98"/>
  <c r="F75" i="98"/>
  <c r="F38" i="98" s="1"/>
  <c r="F50" i="98"/>
  <c r="F66" i="98"/>
  <c r="F57" i="98"/>
  <c r="F62" i="98"/>
  <c r="F59" i="98"/>
  <c r="F64" i="98"/>
  <c r="F74" i="98"/>
  <c r="F37" i="98" s="1"/>
  <c r="F69" i="98"/>
  <c r="C8" i="98"/>
  <c r="C8" i="97"/>
  <c r="AM14" i="96"/>
  <c r="AM14" i="114" s="1"/>
  <c r="C8" i="25"/>
  <c r="DC2" i="106"/>
  <c r="F39" i="98"/>
  <c r="F40" i="98"/>
  <c r="EK6" i="106"/>
  <c r="ED21" i="107"/>
  <c r="ED22" i="107"/>
  <c r="EK5" i="106"/>
  <c r="EJ7" i="106"/>
  <c r="EJ8" i="106" s="1"/>
  <c r="EK4" i="106"/>
  <c r="C46" i="98"/>
  <c r="F9" i="98"/>
  <c r="C46" i="97"/>
  <c r="C83" i="97"/>
  <c r="C83" i="25"/>
  <c r="C46" i="25"/>
  <c r="K14" i="103"/>
  <c r="D4" i="98"/>
  <c r="J9" i="98" s="1"/>
  <c r="AO15" i="96" s="1"/>
  <c r="F4" i="97"/>
  <c r="C4" i="97"/>
  <c r="B4" i="97"/>
  <c r="B35" i="96"/>
  <c r="B34" i="96"/>
  <c r="B33" i="96"/>
  <c r="B32" i="96"/>
  <c r="B31" i="96"/>
  <c r="B30" i="96"/>
  <c r="B29" i="96"/>
  <c r="B28" i="96"/>
  <c r="B27" i="96"/>
  <c r="B26" i="96"/>
  <c r="B25" i="96"/>
  <c r="B24" i="96"/>
  <c r="B23" i="96"/>
  <c r="B22" i="96"/>
  <c r="B21" i="96"/>
  <c r="B20" i="96"/>
  <c r="B19" i="96"/>
  <c r="B18" i="96"/>
  <c r="B17" i="96"/>
  <c r="B16" i="96"/>
  <c r="B15" i="96"/>
  <c r="B14" i="96"/>
  <c r="J8" i="25"/>
  <c r="M14" i="96" s="1"/>
  <c r="F54" i="97" l="1" a="1"/>
  <c r="F54" i="97" s="1"/>
  <c r="F75" i="97" a="1"/>
  <c r="F75" i="97" s="1"/>
  <c r="F87" i="97" a="1"/>
  <c r="F87" i="97" s="1"/>
  <c r="F69" i="97" a="1"/>
  <c r="F69" i="97" s="1"/>
  <c r="F73" i="97" a="1"/>
  <c r="F73" i="97" s="1"/>
  <c r="F48" i="97" a="1"/>
  <c r="F48" i="97" s="1"/>
  <c r="F106" i="97" a="1"/>
  <c r="F106" i="97" s="1"/>
  <c r="F60" i="97" a="1"/>
  <c r="F60" i="97" s="1"/>
  <c r="F56" i="97" a="1"/>
  <c r="F56" i="97" s="1"/>
  <c r="F114" i="97" a="1"/>
  <c r="F114" i="97" s="1"/>
  <c r="F62" i="97" a="1"/>
  <c r="F62" i="97" s="1"/>
  <c r="F108" i="97" a="1"/>
  <c r="F108" i="97" s="1"/>
  <c r="F95" i="97" a="1"/>
  <c r="F95" i="97" s="1"/>
  <c r="F58" i="97" a="1"/>
  <c r="F58" i="97" s="1"/>
  <c r="F112" i="97" a="1"/>
  <c r="F112" i="97" s="1"/>
  <c r="F98" i="97" a="1"/>
  <c r="F98" i="97" s="1"/>
  <c r="F85" i="97" a="1"/>
  <c r="F85" i="97" s="1"/>
  <c r="F104" i="97" a="1"/>
  <c r="F104" i="97" s="1"/>
  <c r="F101" i="97" a="1"/>
  <c r="F101" i="97" s="1"/>
  <c r="F71" i="97" a="1"/>
  <c r="F71" i="97" s="1"/>
  <c r="F88" i="97" a="1"/>
  <c r="F88" i="97" s="1"/>
  <c r="F67" i="97" a="1"/>
  <c r="F67" i="97" s="1"/>
  <c r="F93" i="97" a="1"/>
  <c r="F93" i="97" s="1"/>
  <c r="F64" i="97" a="1"/>
  <c r="F64" i="97" s="1"/>
  <c r="F91" i="97" a="1"/>
  <c r="F91" i="97" s="1"/>
  <c r="F50" i="97" a="1"/>
  <c r="F50" i="97" s="1"/>
  <c r="F57" i="97" a="1"/>
  <c r="F57" i="97" s="1"/>
  <c r="F110" i="97" a="1"/>
  <c r="F110" i="97" s="1"/>
  <c r="F70" i="97" a="1"/>
  <c r="F70" i="97" s="1"/>
  <c r="F96" i="97" a="1"/>
  <c r="F96" i="97" s="1"/>
  <c r="F90" i="97" a="1"/>
  <c r="F90" i="97" s="1"/>
  <c r="F74" i="97" a="1"/>
  <c r="F74" i="97" s="1"/>
  <c r="F53" i="97" a="1"/>
  <c r="F53" i="97" s="1"/>
  <c r="F100" i="97" a="1"/>
  <c r="F100" i="97" s="1"/>
  <c r="F59" i="97" a="1"/>
  <c r="F59" i="97" s="1"/>
  <c r="F86" i="97" a="1"/>
  <c r="F86" i="97" s="1"/>
  <c r="F103" i="97" a="1"/>
  <c r="F103" i="97" s="1"/>
  <c r="F72" i="97" a="1"/>
  <c r="F72" i="97" s="1"/>
  <c r="F89" i="97" a="1"/>
  <c r="F89" i="97" s="1"/>
  <c r="F49" i="97" a="1"/>
  <c r="F49" i="97" s="1"/>
  <c r="F77" i="97" a="1"/>
  <c r="F77" i="97" s="1"/>
  <c r="F92" i="97" a="1"/>
  <c r="F92" i="97" s="1"/>
  <c r="F63" i="97" a="1"/>
  <c r="F63" i="97" s="1"/>
  <c r="F52" i="97" a="1"/>
  <c r="F52" i="97" s="1"/>
  <c r="F61" i="97" a="1"/>
  <c r="F61" i="97" s="1"/>
  <c r="F109" i="97" a="1"/>
  <c r="F109" i="97" s="1"/>
  <c r="F68" i="97" a="1"/>
  <c r="F68" i="97" s="1"/>
  <c r="F65" i="97" a="1"/>
  <c r="F65" i="97" s="1"/>
  <c r="F113" i="97" a="1"/>
  <c r="F113" i="97" s="1"/>
  <c r="F76" i="97" a="1"/>
  <c r="F76" i="97" s="1"/>
  <c r="F51" i="97" a="1"/>
  <c r="F51" i="97" s="1"/>
  <c r="F99" i="97" a="1"/>
  <c r="F99" i="97" s="1"/>
  <c r="F107" i="97" a="1"/>
  <c r="F107" i="97" s="1"/>
  <c r="F55" i="97" a="1"/>
  <c r="F55" i="97" s="1"/>
  <c r="F102" i="97" a="1"/>
  <c r="F102" i="97" s="1"/>
  <c r="F94" i="97" a="1"/>
  <c r="F94" i="97" s="1"/>
  <c r="F111" i="97" a="1"/>
  <c r="F111" i="97" s="1"/>
  <c r="F97" i="97" a="1"/>
  <c r="F97" i="97" s="1"/>
  <c r="F66" i="97" a="1"/>
  <c r="F66" i="97" s="1"/>
  <c r="F105" i="97" a="1"/>
  <c r="F105" i="97" s="1"/>
  <c r="C9" i="98"/>
  <c r="C9" i="97"/>
  <c r="C9" i="25"/>
  <c r="DD2" i="106"/>
  <c r="F61" i="64"/>
  <c r="C27" i="62" s="1"/>
  <c r="EL6" i="106"/>
  <c r="EE22" i="107"/>
  <c r="EE21" i="107"/>
  <c r="EK7" i="106"/>
  <c r="EK8" i="106" s="1"/>
  <c r="EL4" i="106"/>
  <c r="EL5" i="106"/>
  <c r="J10" i="98"/>
  <c r="AO16" i="96" s="1"/>
  <c r="K15" i="103"/>
  <c r="D4" i="97"/>
  <c r="J9" i="97" s="1"/>
  <c r="AA15" i="96" s="1"/>
  <c r="F40" i="97" l="1"/>
  <c r="AI15" i="96"/>
  <c r="F35" i="97"/>
  <c r="F36" i="97"/>
  <c r="F39" i="97"/>
  <c r="F38" i="97"/>
  <c r="F37" i="97"/>
  <c r="F8" i="97"/>
  <c r="F9" i="97"/>
  <c r="DE2" i="106"/>
  <c r="F62" i="64"/>
  <c r="C28" i="62" s="1"/>
  <c r="EM6" i="106"/>
  <c r="EF21" i="107"/>
  <c r="EF22" i="107"/>
  <c r="EM5" i="106"/>
  <c r="EL7" i="106"/>
  <c r="EL8" i="106" s="1"/>
  <c r="EM4" i="106"/>
  <c r="J11" i="98"/>
  <c r="AO17" i="96" s="1"/>
  <c r="K16" i="103"/>
  <c r="J10" i="97"/>
  <c r="AA16" i="96" s="1"/>
  <c r="F4" i="25"/>
  <c r="F65" i="25" l="1" a="1"/>
  <c r="F65" i="25" s="1"/>
  <c r="F106" i="25" a="1"/>
  <c r="F106" i="25" s="1"/>
  <c r="F90" i="25" a="1"/>
  <c r="F90" i="25" s="1"/>
  <c r="F50" i="25" a="1"/>
  <c r="F50" i="25" s="1"/>
  <c r="F49" i="25" a="1"/>
  <c r="F49" i="25" s="1"/>
  <c r="F95" i="25" a="1"/>
  <c r="F95" i="25" s="1"/>
  <c r="F54" i="25" a="1"/>
  <c r="F54" i="25" s="1"/>
  <c r="F52" i="25" a="1"/>
  <c r="F52" i="25" s="1"/>
  <c r="F103" i="25" a="1"/>
  <c r="F103" i="25" s="1"/>
  <c r="F51" i="25" a="1"/>
  <c r="F51" i="25" s="1"/>
  <c r="F62" i="25" a="1"/>
  <c r="F62" i="25" s="1"/>
  <c r="F72" i="25" a="1"/>
  <c r="F72" i="25" s="1"/>
  <c r="F104" i="25" a="1"/>
  <c r="F104" i="25" s="1"/>
  <c r="F99" i="25" a="1"/>
  <c r="F99" i="25" s="1"/>
  <c r="F114" i="25" a="1"/>
  <c r="F114" i="25" s="1"/>
  <c r="F91" i="25" a="1"/>
  <c r="F91" i="25" s="1"/>
  <c r="F76" i="25" a="1"/>
  <c r="F76" i="25" s="1"/>
  <c r="F113" i="25" a="1"/>
  <c r="F113" i="25" s="1"/>
  <c r="F74" i="25" a="1"/>
  <c r="F74" i="25" s="1"/>
  <c r="F87" i="25" a="1"/>
  <c r="F87" i="25" s="1"/>
  <c r="F61" i="25" a="1"/>
  <c r="F61" i="25" s="1"/>
  <c r="F94" i="25" a="1"/>
  <c r="F94" i="25" s="1"/>
  <c r="F110" i="25" a="1"/>
  <c r="F110" i="25" s="1"/>
  <c r="F112" i="25" a="1"/>
  <c r="F112" i="25" s="1"/>
  <c r="F63" i="25" a="1"/>
  <c r="F63" i="25" s="1"/>
  <c r="F96" i="25" a="1"/>
  <c r="F96" i="25" s="1"/>
  <c r="F60" i="25" a="1"/>
  <c r="F60" i="25" s="1"/>
  <c r="F100" i="25" a="1"/>
  <c r="F100" i="25" s="1"/>
  <c r="F108" i="25" a="1"/>
  <c r="F108" i="25" s="1"/>
  <c r="F86" i="25" a="1"/>
  <c r="F86" i="25" s="1"/>
  <c r="F71" i="25" a="1"/>
  <c r="F71" i="25" s="1"/>
  <c r="F68" i="25" a="1"/>
  <c r="F68" i="25" s="1"/>
  <c r="F89" i="25" a="1"/>
  <c r="F89" i="25" s="1"/>
  <c r="F111" i="25" a="1"/>
  <c r="F111" i="25" s="1"/>
  <c r="F48" i="25" a="1"/>
  <c r="F48" i="25" s="1"/>
  <c r="F98" i="25" a="1"/>
  <c r="F98" i="25" s="1"/>
  <c r="F70" i="25" a="1"/>
  <c r="F70" i="25" s="1"/>
  <c r="F102" i="25" a="1"/>
  <c r="F102" i="25" s="1"/>
  <c r="F56" i="25" a="1"/>
  <c r="F56" i="25" s="1"/>
  <c r="F88" i="25" a="1"/>
  <c r="F88" i="25" s="1"/>
  <c r="F59" i="25" a="1"/>
  <c r="F59" i="25" s="1"/>
  <c r="F92" i="25" a="1"/>
  <c r="F92" i="25" s="1"/>
  <c r="F53" i="25" a="1"/>
  <c r="F53" i="25" s="1"/>
  <c r="F55" i="25" a="1"/>
  <c r="F55" i="25" s="1"/>
  <c r="F67" i="25" a="1"/>
  <c r="F67" i="25" s="1"/>
  <c r="F105" i="25" a="1"/>
  <c r="F105" i="25" s="1"/>
  <c r="F58" i="25" a="1"/>
  <c r="F58" i="25" s="1"/>
  <c r="F57" i="25" a="1"/>
  <c r="F57" i="25" s="1"/>
  <c r="F77" i="25" a="1"/>
  <c r="F77" i="25" s="1"/>
  <c r="F101" i="25" a="1"/>
  <c r="F101" i="25" s="1"/>
  <c r="F75" i="25" a="1"/>
  <c r="F75" i="25" s="1"/>
  <c r="F66" i="25" a="1"/>
  <c r="F66" i="25" s="1"/>
  <c r="F73" i="25" a="1"/>
  <c r="F73" i="25" s="1"/>
  <c r="F69" i="25" a="1"/>
  <c r="F69" i="25" s="1"/>
  <c r="F64" i="25" a="1"/>
  <c r="F64" i="25" s="1"/>
  <c r="F107" i="25" a="1"/>
  <c r="F107" i="25" s="1"/>
  <c r="F93" i="25" a="1"/>
  <c r="F93" i="25" s="1"/>
  <c r="F109" i="25" a="1"/>
  <c r="F109" i="25" s="1"/>
  <c r="F97" i="25" a="1"/>
  <c r="F97" i="25" s="1"/>
  <c r="F85" i="25" a="1"/>
  <c r="F85" i="25" s="1"/>
  <c r="AM15" i="96"/>
  <c r="AM15" i="114" s="1"/>
  <c r="AI15" i="114"/>
  <c r="DF2" i="106"/>
  <c r="F63" i="64"/>
  <c r="C29" i="62" s="1"/>
  <c r="F64" i="64"/>
  <c r="C30" i="62" s="1"/>
  <c r="EN6" i="106"/>
  <c r="EM7" i="106"/>
  <c r="EM8" i="106" s="1"/>
  <c r="EN4" i="106"/>
  <c r="EN5" i="106"/>
  <c r="J12" i="98"/>
  <c r="AO18" i="96" s="1"/>
  <c r="C84" i="25"/>
  <c r="K17" i="103"/>
  <c r="J11" i="97"/>
  <c r="AA17" i="96" s="1"/>
  <c r="F40" i="25" l="1"/>
  <c r="F38" i="25"/>
  <c r="F9" i="25"/>
  <c r="F8" i="25"/>
  <c r="F35" i="25"/>
  <c r="F37" i="25"/>
  <c r="F39" i="25"/>
  <c r="F36" i="25"/>
  <c r="DG2" i="106"/>
  <c r="EG22" i="107"/>
  <c r="D50" i="107" s="1" a="1"/>
  <c r="D50" i="107" s="1"/>
  <c r="EG21" i="107"/>
  <c r="EO6" i="106"/>
  <c r="EO5" i="106"/>
  <c r="EN7" i="106"/>
  <c r="EN8" i="106" s="1"/>
  <c r="EO4" i="106"/>
  <c r="J13" i="98"/>
  <c r="AO19" i="96" s="1"/>
  <c r="C84" i="97"/>
  <c r="K18" i="103"/>
  <c r="J12" i="97"/>
  <c r="AA18" i="96" s="1"/>
  <c r="DH2" i="106" l="1"/>
  <c r="C50" i="107" a="1"/>
  <c r="C50" i="107" s="1"/>
  <c r="F65" i="64"/>
  <c r="C31" i="62" s="1"/>
  <c r="F66" i="64"/>
  <c r="C32" i="62" s="1"/>
  <c r="EP6" i="106"/>
  <c r="EO7" i="106"/>
  <c r="EO8" i="106" s="1"/>
  <c r="EP4" i="106"/>
  <c r="EP5" i="106"/>
  <c r="J14" i="98"/>
  <c r="AO20" i="96" s="1"/>
  <c r="K19" i="103"/>
  <c r="J13" i="97"/>
  <c r="AA19" i="96" s="1"/>
  <c r="DI2" i="106" l="1"/>
  <c r="F67" i="64"/>
  <c r="C33" i="62" s="1"/>
  <c r="EQ6" i="106"/>
  <c r="EQ5" i="106"/>
  <c r="EP7" i="106"/>
  <c r="EP8" i="106" s="1"/>
  <c r="EQ4" i="106"/>
  <c r="J15" i="98"/>
  <c r="AO21" i="96" s="1"/>
  <c r="K20" i="103"/>
  <c r="J14" i="97"/>
  <c r="AA20" i="96" s="1"/>
  <c r="DJ2" i="106" l="1"/>
  <c r="F68" i="64"/>
  <c r="C34" i="62" s="1"/>
  <c r="ER6" i="106"/>
  <c r="EQ7" i="106"/>
  <c r="EQ8" i="106" s="1"/>
  <c r="ER4" i="106"/>
  <c r="ER5" i="106"/>
  <c r="J16" i="98"/>
  <c r="AO22" i="96" s="1"/>
  <c r="K21" i="103"/>
  <c r="J15" i="97"/>
  <c r="AA21" i="96" s="1"/>
  <c r="DK2" i="106" l="1"/>
  <c r="ET6" i="106"/>
  <c r="ES6" i="106"/>
  <c r="ET5" i="106"/>
  <c r="ES5" i="106"/>
  <c r="ER7" i="106"/>
  <c r="ER8" i="106" s="1"/>
  <c r="ES4" i="106"/>
  <c r="J17" i="98"/>
  <c r="AO23" i="96" s="1"/>
  <c r="K22" i="103"/>
  <c r="J16" i="97"/>
  <c r="AA22" i="96" s="1"/>
  <c r="DL2" i="106" l="1"/>
  <c r="F69" i="64"/>
  <c r="C35" i="62" s="1"/>
  <c r="DR11" i="106" a="1"/>
  <c r="ET4" i="106"/>
  <c r="ET7" i="106" s="1"/>
  <c r="DQ11" i="106" a="1"/>
  <c r="ES7" i="106"/>
  <c r="ES8" i="106" s="1"/>
  <c r="J18" i="98"/>
  <c r="AO24" i="96" s="1"/>
  <c r="K23" i="103"/>
  <c r="J17" i="97"/>
  <c r="AA23" i="96" s="1"/>
  <c r="ET8" i="106" l="1"/>
  <c r="D32" i="64"/>
  <c r="D33" i="64"/>
  <c r="E11" i="64"/>
  <c r="E33" i="64"/>
  <c r="E32" i="64"/>
  <c r="F70" i="64"/>
  <c r="C36" i="62" s="1"/>
  <c r="E17" i="64"/>
  <c r="E20" i="64"/>
  <c r="D27" i="64"/>
  <c r="D31" i="64"/>
  <c r="D35" i="64"/>
  <c r="D28" i="64"/>
  <c r="D25" i="64"/>
  <c r="D29" i="64"/>
  <c r="D26" i="64"/>
  <c r="D30" i="64"/>
  <c r="D34" i="64"/>
  <c r="E15" i="64"/>
  <c r="DR11" i="106"/>
  <c r="E5" i="64" s="1"/>
  <c r="E26" i="64"/>
  <c r="E30" i="64"/>
  <c r="E34" i="64"/>
  <c r="E27" i="64"/>
  <c r="E31" i="64"/>
  <c r="E35" i="64"/>
  <c r="E28" i="64"/>
  <c r="E25" i="64"/>
  <c r="E29" i="64"/>
  <c r="E14" i="64"/>
  <c r="E22" i="64"/>
  <c r="E19" i="64"/>
  <c r="E9" i="64"/>
  <c r="E12" i="64"/>
  <c r="E8" i="64"/>
  <c r="E18" i="64"/>
  <c r="E6" i="64"/>
  <c r="E24" i="64"/>
  <c r="E13" i="64"/>
  <c r="E21" i="64"/>
  <c r="E10" i="64"/>
  <c r="E23" i="64"/>
  <c r="E7" i="64"/>
  <c r="E16" i="64"/>
  <c r="DP11" i="106" a="1"/>
  <c r="DQ11" i="106"/>
  <c r="D5" i="64" s="1"/>
  <c r="D11" i="64"/>
  <c r="D6" i="64"/>
  <c r="D7" i="64"/>
  <c r="D9" i="64"/>
  <c r="D8" i="64"/>
  <c r="D10" i="64"/>
  <c r="D24" i="64"/>
  <c r="D20" i="64"/>
  <c r="D23" i="64"/>
  <c r="D13" i="64"/>
  <c r="D14" i="64"/>
  <c r="D15" i="64"/>
  <c r="D16" i="64"/>
  <c r="D21" i="64"/>
  <c r="D17" i="64"/>
  <c r="D18" i="64"/>
  <c r="D19" i="64"/>
  <c r="D22" i="64"/>
  <c r="D12" i="64"/>
  <c r="J19" i="98"/>
  <c r="AO25" i="96" s="1"/>
  <c r="K24" i="103"/>
  <c r="J18" i="97"/>
  <c r="AA24" i="96" s="1"/>
  <c r="DS40" i="106" l="1"/>
  <c r="DS41" i="106"/>
  <c r="K38" i="103"/>
  <c r="AC82" i="25" s="1"/>
  <c r="F71" i="64"/>
  <c r="C37" i="62" s="1"/>
  <c r="C6" i="64"/>
  <c r="G41" i="96"/>
  <c r="DS36" i="106"/>
  <c r="DS23" i="106"/>
  <c r="DS20" i="106"/>
  <c r="DS12" i="106"/>
  <c r="DS35" i="106"/>
  <c r="DS32" i="106"/>
  <c r="DS21" i="106"/>
  <c r="DS33" i="106"/>
  <c r="DS24" i="106"/>
  <c r="C8" i="64"/>
  <c r="DS31" i="106"/>
  <c r="DS19" i="106"/>
  <c r="DP11" i="106"/>
  <c r="C5" i="64" s="1"/>
  <c r="DS30" i="106"/>
  <c r="DS18" i="106"/>
  <c r="DS39" i="106"/>
  <c r="DS29" i="106"/>
  <c r="DS17" i="106"/>
  <c r="DS38" i="106"/>
  <c r="DS28" i="106"/>
  <c r="DS16" i="106"/>
  <c r="DS27" i="106"/>
  <c r="DS15" i="106"/>
  <c r="C11" i="64"/>
  <c r="DS26" i="106"/>
  <c r="DS14" i="106"/>
  <c r="C10" i="64"/>
  <c r="DS37" i="106"/>
  <c r="DS25" i="106"/>
  <c r="DS13" i="106"/>
  <c r="C9" i="64"/>
  <c r="C7" i="64"/>
  <c r="DS34" i="106"/>
  <c r="DS22" i="106"/>
  <c r="J20" i="98"/>
  <c r="AO26" i="96" s="1"/>
  <c r="K25" i="103"/>
  <c r="J19" i="97"/>
  <c r="AA25" i="96" s="1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82" i="25"/>
  <c r="K41" i="96" l="1"/>
  <c r="K41" i="114" s="1"/>
  <c r="G41" i="114"/>
  <c r="Q41" i="114"/>
  <c r="Q41" i="96"/>
  <c r="AE41" i="96"/>
  <c r="AE41" i="114" s="1"/>
  <c r="K39" i="103"/>
  <c r="G42" i="96"/>
  <c r="DS11" i="106"/>
  <c r="AI41" i="96"/>
  <c r="U41" i="96"/>
  <c r="J21" i="98"/>
  <c r="AO27" i="96" s="1"/>
  <c r="K26" i="103"/>
  <c r="J20" i="97"/>
  <c r="AA26" i="96" s="1"/>
  <c r="Y41" i="96" l="1"/>
  <c r="Y41" i="114" s="1"/>
  <c r="U41" i="114"/>
  <c r="AM41" i="96"/>
  <c r="AM41" i="114" s="1"/>
  <c r="AI41" i="114"/>
  <c r="G42" i="114"/>
  <c r="K42" i="96"/>
  <c r="K42" i="114" s="1"/>
  <c r="Q42" i="114"/>
  <c r="AE42" i="96"/>
  <c r="AE42" i="114" s="1"/>
  <c r="Q42" i="96"/>
  <c r="K40" i="103"/>
  <c r="AF84" i="25" s="1"/>
  <c r="AI42" i="96"/>
  <c r="U42" i="96"/>
  <c r="G43" i="96"/>
  <c r="J22" i="98"/>
  <c r="AO28" i="96" s="1"/>
  <c r="K27" i="103"/>
  <c r="AN65" i="25"/>
  <c r="AC65" i="25"/>
  <c r="AL65" i="25"/>
  <c r="AE65" i="25"/>
  <c r="AG65" i="25"/>
  <c r="AI65" i="25"/>
  <c r="AF65" i="25"/>
  <c r="AK65" i="25"/>
  <c r="AD65" i="25"/>
  <c r="AM65" i="25"/>
  <c r="AJ65" i="25"/>
  <c r="AH65" i="25"/>
  <c r="AN52" i="25"/>
  <c r="AD52" i="25"/>
  <c r="AI52" i="25"/>
  <c r="AC52" i="25"/>
  <c r="O52" i="25" s="1"/>
  <c r="AH52" i="25"/>
  <c r="AM52" i="25"/>
  <c r="AF52" i="25"/>
  <c r="AG52" i="25"/>
  <c r="AL52" i="25"/>
  <c r="AJ52" i="25"/>
  <c r="AK52" i="25"/>
  <c r="AE52" i="25"/>
  <c r="AF57" i="25"/>
  <c r="AG57" i="25"/>
  <c r="AL57" i="25"/>
  <c r="AJ57" i="25"/>
  <c r="AK57" i="25"/>
  <c r="AE57" i="25"/>
  <c r="AC57" i="25"/>
  <c r="AH57" i="25"/>
  <c r="AM57" i="25"/>
  <c r="AN57" i="25"/>
  <c r="AD57" i="25"/>
  <c r="AI57" i="25"/>
  <c r="AG45" i="25"/>
  <c r="AH45" i="25"/>
  <c r="AM45" i="25"/>
  <c r="AC45" i="25"/>
  <c r="AJ45" i="25"/>
  <c r="AK45" i="25"/>
  <c r="AL45" i="25"/>
  <c r="AF45" i="25"/>
  <c r="AD45" i="25"/>
  <c r="AN45" i="25"/>
  <c r="AE45" i="25"/>
  <c r="AI45" i="25"/>
  <c r="AF51" i="25"/>
  <c r="AG51" i="25"/>
  <c r="AL51" i="25"/>
  <c r="AJ51" i="25"/>
  <c r="AK51" i="25"/>
  <c r="AE51" i="25"/>
  <c r="AH51" i="25"/>
  <c r="AN51" i="25"/>
  <c r="AD51" i="25"/>
  <c r="AI51" i="25"/>
  <c r="AC51" i="25"/>
  <c r="AM51" i="25"/>
  <c r="AN64" i="25"/>
  <c r="AD64" i="25"/>
  <c r="AI64" i="25"/>
  <c r="AC64" i="25"/>
  <c r="AH64" i="25"/>
  <c r="AM64" i="25"/>
  <c r="AF64" i="25"/>
  <c r="AG64" i="25"/>
  <c r="AL64" i="25"/>
  <c r="AJ64" i="25"/>
  <c r="AK64" i="25"/>
  <c r="AE64" i="25"/>
  <c r="AN61" i="25"/>
  <c r="AD61" i="25"/>
  <c r="AI61" i="25"/>
  <c r="AC61" i="25"/>
  <c r="AH61" i="25"/>
  <c r="AM61" i="25"/>
  <c r="AF61" i="25"/>
  <c r="AG61" i="25"/>
  <c r="AL61" i="25"/>
  <c r="AJ61" i="25"/>
  <c r="AK61" i="25"/>
  <c r="AE61" i="25"/>
  <c r="AN62" i="25"/>
  <c r="AD62" i="25"/>
  <c r="AI62" i="25"/>
  <c r="AC62" i="25"/>
  <c r="AH62" i="25"/>
  <c r="AM62" i="25"/>
  <c r="AF62" i="25"/>
  <c r="AG62" i="25"/>
  <c r="AL62" i="25"/>
  <c r="AJ62" i="25"/>
  <c r="AK62" i="25"/>
  <c r="AE62" i="25"/>
  <c r="AF59" i="25"/>
  <c r="AG59" i="25"/>
  <c r="AL59" i="25"/>
  <c r="AJ59" i="25"/>
  <c r="AK59" i="25"/>
  <c r="AE59" i="25"/>
  <c r="AN59" i="25"/>
  <c r="AD59" i="25"/>
  <c r="AI59" i="25"/>
  <c r="AC59" i="25"/>
  <c r="AH59" i="25"/>
  <c r="AM59" i="25"/>
  <c r="AK83" i="25"/>
  <c r="AJ83" i="25"/>
  <c r="AE83" i="25"/>
  <c r="AG83" i="25"/>
  <c r="AF83" i="25"/>
  <c r="AL83" i="25"/>
  <c r="AM83" i="25"/>
  <c r="AN83" i="25"/>
  <c r="AI83" i="25"/>
  <c r="AD83" i="25"/>
  <c r="AC83" i="25"/>
  <c r="AH83" i="25"/>
  <c r="AM82" i="25"/>
  <c r="AH82" i="25"/>
  <c r="AN82" i="25"/>
  <c r="AI82" i="25"/>
  <c r="AD82" i="25"/>
  <c r="AG82" i="25"/>
  <c r="AF82" i="25"/>
  <c r="AL82" i="25"/>
  <c r="AK82" i="25"/>
  <c r="AJ82" i="25"/>
  <c r="AE82" i="25"/>
  <c r="AG66" i="25"/>
  <c r="AI66" i="25"/>
  <c r="AF66" i="25"/>
  <c r="AK66" i="25"/>
  <c r="AD66" i="25"/>
  <c r="AM66" i="25"/>
  <c r="AJ66" i="25"/>
  <c r="AH66" i="25"/>
  <c r="AN66" i="25"/>
  <c r="AC66" i="25"/>
  <c r="AL66" i="25"/>
  <c r="AE66" i="25"/>
  <c r="AF56" i="25"/>
  <c r="AG56" i="25"/>
  <c r="AL56" i="25"/>
  <c r="AJ56" i="25"/>
  <c r="AK56" i="25"/>
  <c r="AE56" i="25"/>
  <c r="AN56" i="25"/>
  <c r="AD56" i="25"/>
  <c r="AI56" i="25"/>
  <c r="AC56" i="25"/>
  <c r="AH56" i="25"/>
  <c r="AM56" i="25"/>
  <c r="AF53" i="25"/>
  <c r="AG53" i="25"/>
  <c r="AL53" i="25"/>
  <c r="AC53" i="25"/>
  <c r="AH53" i="25"/>
  <c r="AM53" i="25"/>
  <c r="AJ53" i="25"/>
  <c r="AK53" i="25"/>
  <c r="AE53" i="25"/>
  <c r="AN53" i="25"/>
  <c r="AD53" i="25"/>
  <c r="AI53" i="25"/>
  <c r="AN50" i="25"/>
  <c r="AD50" i="25"/>
  <c r="AI50" i="25"/>
  <c r="AC50" i="25"/>
  <c r="AH50" i="25"/>
  <c r="AM50" i="25"/>
  <c r="AF50" i="25"/>
  <c r="AL50" i="25"/>
  <c r="AJ50" i="25"/>
  <c r="AE50" i="25"/>
  <c r="AG50" i="25"/>
  <c r="AK50" i="25"/>
  <c r="AN54" i="25"/>
  <c r="AD54" i="25"/>
  <c r="AI54" i="25"/>
  <c r="AC54" i="25"/>
  <c r="AH54" i="25"/>
  <c r="AM54" i="25"/>
  <c r="AF54" i="25"/>
  <c r="AG54" i="25"/>
  <c r="AL54" i="25"/>
  <c r="AJ54" i="25"/>
  <c r="AK54" i="25"/>
  <c r="AE54" i="25"/>
  <c r="AF46" i="25"/>
  <c r="AG46" i="25"/>
  <c r="AL46" i="25"/>
  <c r="AJ46" i="25"/>
  <c r="AK46" i="25"/>
  <c r="AE46" i="25"/>
  <c r="AN46" i="25"/>
  <c r="AD46" i="25"/>
  <c r="AI46" i="25"/>
  <c r="AC46" i="25"/>
  <c r="AH46" i="25"/>
  <c r="AM46" i="25"/>
  <c r="AF48" i="25"/>
  <c r="AG48" i="25"/>
  <c r="AL48" i="25"/>
  <c r="AJ48" i="25"/>
  <c r="AK48" i="25"/>
  <c r="AE48" i="25"/>
  <c r="AN48" i="25"/>
  <c r="AD48" i="25"/>
  <c r="AI48" i="25"/>
  <c r="AC48" i="25"/>
  <c r="AH48" i="25"/>
  <c r="AM48" i="25"/>
  <c r="AF49" i="25"/>
  <c r="AG49" i="25"/>
  <c r="AL49" i="25"/>
  <c r="AJ49" i="25"/>
  <c r="AK49" i="25"/>
  <c r="AE49" i="25"/>
  <c r="AN49" i="25"/>
  <c r="AC49" i="25"/>
  <c r="AM49" i="25"/>
  <c r="AI49" i="25"/>
  <c r="AH49" i="25"/>
  <c r="AF55" i="25"/>
  <c r="AG55" i="25"/>
  <c r="AL55" i="25"/>
  <c r="AJ55" i="25"/>
  <c r="AK55" i="25"/>
  <c r="AE55" i="25"/>
  <c r="AN55" i="25"/>
  <c r="AD55" i="25"/>
  <c r="AI55" i="25"/>
  <c r="AC55" i="25"/>
  <c r="AH55" i="25"/>
  <c r="AM55" i="25"/>
  <c r="AC60" i="25"/>
  <c r="AH60" i="25"/>
  <c r="AM60" i="25"/>
  <c r="AF60" i="25"/>
  <c r="AG60" i="25"/>
  <c r="AL60" i="25"/>
  <c r="AJ60" i="25"/>
  <c r="AK60" i="25"/>
  <c r="AE60" i="25"/>
  <c r="AN60" i="25"/>
  <c r="AD60" i="25"/>
  <c r="AI60" i="25"/>
  <c r="AF58" i="25"/>
  <c r="AG58" i="25"/>
  <c r="AL58" i="25"/>
  <c r="AJ58" i="25"/>
  <c r="AK58" i="25"/>
  <c r="AE58" i="25"/>
  <c r="AN58" i="25"/>
  <c r="AD58" i="25"/>
  <c r="AI58" i="25"/>
  <c r="AC58" i="25"/>
  <c r="AH58" i="25"/>
  <c r="AM58" i="25"/>
  <c r="AN47" i="25"/>
  <c r="AD47" i="25"/>
  <c r="AI47" i="25"/>
  <c r="AC47" i="25"/>
  <c r="AH47" i="25"/>
  <c r="AM47" i="25"/>
  <c r="AK47" i="25"/>
  <c r="AF47" i="25"/>
  <c r="AG47" i="25"/>
  <c r="AL47" i="25"/>
  <c r="AJ47" i="25"/>
  <c r="AE47" i="25"/>
  <c r="J21" i="97"/>
  <c r="AA27" i="96" s="1"/>
  <c r="AG84" i="25" l="1"/>
  <c r="AK84" i="25"/>
  <c r="Y42" i="96"/>
  <c r="Y42" i="114" s="1"/>
  <c r="U42" i="114"/>
  <c r="AM42" i="96"/>
  <c r="AM42" i="114" s="1"/>
  <c r="AI42" i="114"/>
  <c r="AE84" i="25"/>
  <c r="AJ84" i="25"/>
  <c r="AD84" i="25"/>
  <c r="AN84" i="25"/>
  <c r="AM84" i="25"/>
  <c r="AH84" i="25"/>
  <c r="AI84" i="25"/>
  <c r="AC84" i="25"/>
  <c r="AL84" i="25"/>
  <c r="K43" i="96"/>
  <c r="K43" i="114" s="1"/>
  <c r="G43" i="114"/>
  <c r="R41" i="114"/>
  <c r="AE43" i="96"/>
  <c r="AE43" i="114" s="1"/>
  <c r="AF41" i="96"/>
  <c r="AF41" i="114" s="1"/>
  <c r="R41" i="96"/>
  <c r="K41" i="103"/>
  <c r="G44" i="96"/>
  <c r="AI43" i="96"/>
  <c r="U43" i="96"/>
  <c r="J23" i="98"/>
  <c r="AO29" i="96" s="1"/>
  <c r="AD67" i="25"/>
  <c r="AF67" i="25"/>
  <c r="AE67" i="25"/>
  <c r="AI67" i="25"/>
  <c r="AM67" i="25"/>
  <c r="AN67" i="25"/>
  <c r="AC67" i="25"/>
  <c r="AG67" i="25"/>
  <c r="AK67" i="25"/>
  <c r="AH67" i="25"/>
  <c r="AL67" i="25"/>
  <c r="AJ67" i="25"/>
  <c r="K28" i="103"/>
  <c r="J22" i="97"/>
  <c r="AA28" i="96" s="1"/>
  <c r="Y43" i="96" l="1"/>
  <c r="Y43" i="114" s="1"/>
  <c r="U43" i="114"/>
  <c r="AM43" i="96"/>
  <c r="AM43" i="114" s="1"/>
  <c r="AI43" i="114"/>
  <c r="K44" i="96"/>
  <c r="K44" i="114" s="1"/>
  <c r="G44" i="114"/>
  <c r="R43" i="114"/>
  <c r="Q44" i="114"/>
  <c r="Q43" i="114"/>
  <c r="R42" i="114"/>
  <c r="Q29" i="114"/>
  <c r="Q44" i="96"/>
  <c r="Q43" i="96"/>
  <c r="Q29" i="96"/>
  <c r="AF42" i="96"/>
  <c r="AF42" i="114" s="1"/>
  <c r="R43" i="96"/>
  <c r="R42" i="96"/>
  <c r="AE85" i="25"/>
  <c r="AG85" i="25"/>
  <c r="AF85" i="25"/>
  <c r="AL85" i="25"/>
  <c r="AH85" i="25"/>
  <c r="AC85" i="25"/>
  <c r="AM85" i="25"/>
  <c r="AN85" i="25"/>
  <c r="AI85" i="25"/>
  <c r="AD85" i="25"/>
  <c r="AJ85" i="25"/>
  <c r="AK85" i="25"/>
  <c r="K42" i="103"/>
  <c r="AI44" i="96"/>
  <c r="G45" i="96"/>
  <c r="U44" i="96"/>
  <c r="J24" i="98"/>
  <c r="AO30" i="96" s="1"/>
  <c r="AF68" i="25"/>
  <c r="AE68" i="25"/>
  <c r="AI68" i="25"/>
  <c r="AM68" i="25"/>
  <c r="AN68" i="25"/>
  <c r="AC68" i="25"/>
  <c r="AG68" i="25"/>
  <c r="AK68" i="25"/>
  <c r="AD68" i="25"/>
  <c r="AH68" i="25"/>
  <c r="AL68" i="25"/>
  <c r="AJ68" i="25"/>
  <c r="K29" i="103"/>
  <c r="J23" i="97"/>
  <c r="AA29" i="96" s="1"/>
  <c r="Y44" i="96" l="1"/>
  <c r="Y44" i="114" s="1"/>
  <c r="U44" i="114"/>
  <c r="AM44" i="96"/>
  <c r="AM44" i="114" s="1"/>
  <c r="AI44" i="114"/>
  <c r="G45" i="114"/>
  <c r="K45" i="96"/>
  <c r="K45" i="114" s="1"/>
  <c r="Q45" i="114"/>
  <c r="AE45" i="96"/>
  <c r="AE45" i="114" s="1"/>
  <c r="AF43" i="96"/>
  <c r="AF43" i="114" s="1"/>
  <c r="Q45" i="96"/>
  <c r="AE44" i="96"/>
  <c r="AE44" i="114" s="1"/>
  <c r="AC86" i="25"/>
  <c r="AM86" i="25"/>
  <c r="AH86" i="25"/>
  <c r="AF86" i="25"/>
  <c r="AK86" i="25"/>
  <c r="AJ86" i="25"/>
  <c r="AL86" i="25"/>
  <c r="AE86" i="25"/>
  <c r="AG86" i="25"/>
  <c r="AN86" i="25"/>
  <c r="AI86" i="25"/>
  <c r="AD86" i="25"/>
  <c r="U45" i="96"/>
  <c r="G46" i="96"/>
  <c r="AI45" i="96"/>
  <c r="J25" i="98"/>
  <c r="AO31" i="96" s="1"/>
  <c r="K30" i="103"/>
  <c r="AJ70" i="25" s="1"/>
  <c r="AF69" i="25"/>
  <c r="AE69" i="25"/>
  <c r="AI69" i="25"/>
  <c r="AM69" i="25"/>
  <c r="AJ69" i="25"/>
  <c r="AC69" i="25"/>
  <c r="AG69" i="25"/>
  <c r="AK69" i="25"/>
  <c r="AD69" i="25"/>
  <c r="AH69" i="25"/>
  <c r="AL69" i="25"/>
  <c r="AN69" i="25"/>
  <c r="J24" i="97"/>
  <c r="AA30" i="96" s="1"/>
  <c r="Y45" i="96" l="1"/>
  <c r="Y45" i="114" s="1"/>
  <c r="U45" i="114"/>
  <c r="AM45" i="96"/>
  <c r="AM45" i="114" s="1"/>
  <c r="AI45" i="114"/>
  <c r="G46" i="114"/>
  <c r="K46" i="96"/>
  <c r="K46" i="114" s="1"/>
  <c r="Q46" i="114"/>
  <c r="R44" i="114"/>
  <c r="AF44" i="96"/>
  <c r="AF44" i="114" s="1"/>
  <c r="Q46" i="96"/>
  <c r="R44" i="96"/>
  <c r="AH87" i="25"/>
  <c r="AN87" i="25"/>
  <c r="AD87" i="25"/>
  <c r="AK87" i="25"/>
  <c r="AF87" i="25"/>
  <c r="AJ87" i="25"/>
  <c r="AE87" i="25"/>
  <c r="AG87" i="25"/>
  <c r="AL87" i="25"/>
  <c r="AI87" i="25"/>
  <c r="AM87" i="25"/>
  <c r="AC87" i="25"/>
  <c r="K44" i="103"/>
  <c r="U46" i="96"/>
  <c r="K31" i="103"/>
  <c r="AL71" i="25" s="1"/>
  <c r="AL70" i="25"/>
  <c r="AK70" i="25"/>
  <c r="AC70" i="25"/>
  <c r="AI70" i="25"/>
  <c r="J26" i="98"/>
  <c r="AO32" i="96" s="1"/>
  <c r="AF70" i="25"/>
  <c r="AG70" i="25"/>
  <c r="AH70" i="25"/>
  <c r="AM70" i="25"/>
  <c r="AE70" i="25"/>
  <c r="AD70" i="25"/>
  <c r="AN70" i="25"/>
  <c r="J25" i="97"/>
  <c r="AA31" i="96" s="1"/>
  <c r="Y46" i="96" l="1"/>
  <c r="Y46" i="114" s="1"/>
  <c r="U46" i="114"/>
  <c r="R45" i="114"/>
  <c r="R45" i="96"/>
  <c r="AF45" i="96"/>
  <c r="AF45" i="114" s="1"/>
  <c r="AE46" i="96"/>
  <c r="AE46" i="114" s="1"/>
  <c r="AK71" i="25"/>
  <c r="AI71" i="25"/>
  <c r="AF71" i="25"/>
  <c r="AG71" i="25"/>
  <c r="AM71" i="25"/>
  <c r="AH71" i="25"/>
  <c r="AN71" i="25"/>
  <c r="AD71" i="25"/>
  <c r="AJ71" i="25"/>
  <c r="AE71" i="25"/>
  <c r="AC71" i="25"/>
  <c r="AH88" i="25"/>
  <c r="AN88" i="25"/>
  <c r="AI88" i="25"/>
  <c r="AD88" i="25"/>
  <c r="AK88" i="25"/>
  <c r="AJ88" i="25"/>
  <c r="AE88" i="25"/>
  <c r="AG88" i="25"/>
  <c r="AF88" i="25"/>
  <c r="AL88" i="25"/>
  <c r="AC88" i="25"/>
  <c r="AM88" i="25"/>
  <c r="K45" i="103"/>
  <c r="AI46" i="96"/>
  <c r="K32" i="103"/>
  <c r="J27" i="98"/>
  <c r="AO33" i="96" s="1"/>
  <c r="J26" i="97"/>
  <c r="AA32" i="96" s="1"/>
  <c r="AM46" i="96" l="1"/>
  <c r="AM46" i="114" s="1"/>
  <c r="AI46" i="114"/>
  <c r="R46" i="114"/>
  <c r="R46" i="96"/>
  <c r="AF46" i="96"/>
  <c r="AF46" i="114" s="1"/>
  <c r="AE89" i="25"/>
  <c r="AN89" i="25"/>
  <c r="AI89" i="25"/>
  <c r="AD89" i="25"/>
  <c r="AG89" i="25"/>
  <c r="AC89" i="25"/>
  <c r="O89" i="25" s="1"/>
  <c r="AM89" i="25"/>
  <c r="AF89" i="25"/>
  <c r="AL89" i="25"/>
  <c r="AH89" i="25"/>
  <c r="AK89" i="25"/>
  <c r="AJ89" i="25"/>
  <c r="K46" i="103"/>
  <c r="AH72" i="25"/>
  <c r="AL72" i="25"/>
  <c r="AM72" i="25"/>
  <c r="AD72" i="25"/>
  <c r="AN72" i="25"/>
  <c r="AE72" i="25"/>
  <c r="AI72" i="25"/>
  <c r="AG72" i="25"/>
  <c r="AC72" i="25"/>
  <c r="AF72" i="25"/>
  <c r="AJ72" i="25"/>
  <c r="AK72" i="25"/>
  <c r="K33" i="103"/>
  <c r="J28" i="98"/>
  <c r="AO34" i="96" s="1"/>
  <c r="J27" i="97"/>
  <c r="AA33" i="96" s="1"/>
  <c r="AG90" i="25" l="1"/>
  <c r="AH90" i="25"/>
  <c r="AF90" i="25"/>
  <c r="AL90" i="25"/>
  <c r="AC90" i="25"/>
  <c r="AM90" i="25"/>
  <c r="AN90" i="25"/>
  <c r="AD90" i="25"/>
  <c r="AI90" i="25"/>
  <c r="AK90" i="25"/>
  <c r="AJ90" i="25"/>
  <c r="AE90" i="25"/>
  <c r="K47" i="103"/>
  <c r="AC91" i="25" s="1"/>
  <c r="AH73" i="25"/>
  <c r="AG73" i="25"/>
  <c r="AI73" i="25"/>
  <c r="AC73" i="25"/>
  <c r="AM73" i="25"/>
  <c r="AD73" i="25"/>
  <c r="AN73" i="25"/>
  <c r="AE73" i="25"/>
  <c r="AF73" i="25"/>
  <c r="AL73" i="25"/>
  <c r="AJ73" i="25"/>
  <c r="AK73" i="25"/>
  <c r="K34" i="103"/>
  <c r="J29" i="98"/>
  <c r="J28" i="97"/>
  <c r="AA34" i="96" s="1"/>
  <c r="J30" i="98" l="1"/>
  <c r="AO36" i="96" s="1"/>
  <c r="AO35" i="96"/>
  <c r="AE91" i="25"/>
  <c r="AN91" i="25"/>
  <c r="AI91" i="25"/>
  <c r="AG91" i="25"/>
  <c r="AF91" i="25"/>
  <c r="AL91" i="25"/>
  <c r="AM91" i="25"/>
  <c r="AH91" i="25"/>
  <c r="AD91" i="25"/>
  <c r="AK91" i="25"/>
  <c r="AJ91" i="25"/>
  <c r="K48" i="103"/>
  <c r="J31" i="98"/>
  <c r="AO37" i="96" s="1"/>
  <c r="AH74" i="25"/>
  <c r="AD74" i="25"/>
  <c r="AE74" i="25"/>
  <c r="AF74" i="25"/>
  <c r="AG74" i="25"/>
  <c r="AN74" i="25"/>
  <c r="AC74" i="25"/>
  <c r="AL74" i="25"/>
  <c r="AJ74" i="25"/>
  <c r="AK74" i="25"/>
  <c r="AI74" i="25"/>
  <c r="AM74" i="25"/>
  <c r="K35" i="103"/>
  <c r="J29" i="97"/>
  <c r="AA35" i="96" s="1"/>
  <c r="J30" i="97" l="1"/>
  <c r="AA36" i="96" s="1"/>
  <c r="AH92" i="25"/>
  <c r="AN92" i="25"/>
  <c r="AI92" i="25"/>
  <c r="AF92" i="25"/>
  <c r="AD92" i="25"/>
  <c r="AG92" i="25"/>
  <c r="AK92" i="25"/>
  <c r="AJ92" i="25"/>
  <c r="AC92" i="25"/>
  <c r="AE92" i="25"/>
  <c r="AL92" i="25"/>
  <c r="AM92" i="25"/>
  <c r="K49" i="103"/>
  <c r="J32" i="98"/>
  <c r="AO38" i="96" s="1"/>
  <c r="AH75" i="25"/>
  <c r="AN75" i="25"/>
  <c r="AF75" i="25"/>
  <c r="AG75" i="25"/>
  <c r="AM75" i="25"/>
  <c r="AC75" i="25"/>
  <c r="AD75" i="25"/>
  <c r="AE75" i="25"/>
  <c r="AI75" i="25"/>
  <c r="AK75" i="25"/>
  <c r="AL75" i="25"/>
  <c r="AJ75" i="25"/>
  <c r="K37" i="103"/>
  <c r="K36" i="103"/>
  <c r="J31" i="97" l="1"/>
  <c r="AA37" i="96" s="1"/>
  <c r="AE93" i="25"/>
  <c r="AK93" i="25"/>
  <c r="AG93" i="25"/>
  <c r="AF93" i="25"/>
  <c r="AC93" i="25"/>
  <c r="AL93" i="25"/>
  <c r="AN93" i="25"/>
  <c r="AI93" i="25"/>
  <c r="AD93" i="25"/>
  <c r="AM93" i="25"/>
  <c r="AH93" i="25"/>
  <c r="AJ93" i="25"/>
  <c r="K50" i="103"/>
  <c r="J33" i="98"/>
  <c r="AO39" i="96" s="1"/>
  <c r="AH76" i="25"/>
  <c r="AC76" i="25"/>
  <c r="AD76" i="25"/>
  <c r="AE76" i="25"/>
  <c r="AF76" i="25"/>
  <c r="AG76" i="25"/>
  <c r="AK76" i="25"/>
  <c r="AI76" i="25"/>
  <c r="AN76" i="25"/>
  <c r="AM76" i="25"/>
  <c r="AL76" i="25"/>
  <c r="AJ76" i="25"/>
  <c r="AM77" i="25"/>
  <c r="AF77" i="25"/>
  <c r="AE77" i="25"/>
  <c r="AG77" i="25"/>
  <c r="AK77" i="25"/>
  <c r="AD77" i="25"/>
  <c r="AI77" i="25"/>
  <c r="AC77" i="25"/>
  <c r="AL77" i="25"/>
  <c r="AH77" i="25"/>
  <c r="AN77" i="25"/>
  <c r="AJ77" i="25"/>
  <c r="B4" i="25"/>
  <c r="C4" i="25"/>
  <c r="O91" i="25"/>
  <c r="F43" i="24"/>
  <c r="F44" i="24"/>
  <c r="F45" i="24"/>
  <c r="D46" i="24"/>
  <c r="F46" i="24" s="1"/>
  <c r="J32" i="97" l="1"/>
  <c r="AA38" i="96" s="1"/>
  <c r="AE94" i="25"/>
  <c r="AG94" i="25"/>
  <c r="AI94" i="25"/>
  <c r="AF94" i="25"/>
  <c r="AL94" i="25"/>
  <c r="AK94" i="25"/>
  <c r="AC94" i="25"/>
  <c r="AM94" i="25"/>
  <c r="AH94" i="25"/>
  <c r="AN94" i="25"/>
  <c r="AD94" i="25"/>
  <c r="AJ94" i="25"/>
  <c r="K51" i="103"/>
  <c r="J34" i="98"/>
  <c r="J33" i="97"/>
  <c r="AA39" i="96" s="1"/>
  <c r="W82" i="25"/>
  <c r="H4" i="98"/>
  <c r="E8" i="98" s="1"/>
  <c r="H4" i="97"/>
  <c r="E8" i="97" s="1"/>
  <c r="T14" i="96" s="1"/>
  <c r="H4" i="25"/>
  <c r="E8" i="25" s="1"/>
  <c r="F14" i="96" s="1"/>
  <c r="D4" i="25"/>
  <c r="Q45" i="25"/>
  <c r="U45" i="25"/>
  <c r="Y45" i="25"/>
  <c r="P45" i="25"/>
  <c r="T45" i="25"/>
  <c r="X45" i="25"/>
  <c r="S45" i="25"/>
  <c r="W45" i="25"/>
  <c r="R45" i="25"/>
  <c r="V45" i="25"/>
  <c r="Z45" i="25"/>
  <c r="S82" i="25"/>
  <c r="W83" i="25"/>
  <c r="T82" i="25"/>
  <c r="R82" i="25"/>
  <c r="V82" i="25"/>
  <c r="Z82" i="25"/>
  <c r="Q82" i="25"/>
  <c r="U82" i="25"/>
  <c r="Y82" i="25"/>
  <c r="X82" i="25"/>
  <c r="P82" i="25"/>
  <c r="X14" i="96" l="1"/>
  <c r="X14" i="114" s="1"/>
  <c r="T14" i="114"/>
  <c r="AH14" i="96"/>
  <c r="H8" i="98"/>
  <c r="J35" i="98"/>
  <c r="AO41" i="96" s="1"/>
  <c r="AO40" i="96"/>
  <c r="J14" i="96"/>
  <c r="J14" i="114" s="1"/>
  <c r="F14" i="114"/>
  <c r="AN95" i="25"/>
  <c r="AF95" i="25"/>
  <c r="AI95" i="25"/>
  <c r="AE95" i="25"/>
  <c r="AL95" i="25"/>
  <c r="AD95" i="25"/>
  <c r="AK95" i="25"/>
  <c r="AJ95" i="25"/>
  <c r="AG95" i="25"/>
  <c r="AC95" i="25"/>
  <c r="AM95" i="25"/>
  <c r="AH95" i="25"/>
  <c r="K52" i="103"/>
  <c r="J34" i="97"/>
  <c r="AA40" i="96" s="1"/>
  <c r="W77" i="25"/>
  <c r="O45" i="25"/>
  <c r="D45" i="25" s="1"/>
  <c r="H45" i="25" s="1"/>
  <c r="O82" i="25"/>
  <c r="D82" i="25" s="1"/>
  <c r="H82" i="25" s="1"/>
  <c r="G4" i="96"/>
  <c r="J9" i="25"/>
  <c r="M15" i="96" s="1"/>
  <c r="O83" i="25"/>
  <c r="W46" i="25"/>
  <c r="X46" i="25"/>
  <c r="U46" i="25"/>
  <c r="Z46" i="25"/>
  <c r="S46" i="25"/>
  <c r="T46" i="25"/>
  <c r="Q46" i="25"/>
  <c r="V46" i="25"/>
  <c r="P46" i="25"/>
  <c r="R46" i="25"/>
  <c r="O46" i="25"/>
  <c r="Y46" i="25"/>
  <c r="Y83" i="25"/>
  <c r="V83" i="25"/>
  <c r="W84" i="25"/>
  <c r="P83" i="25"/>
  <c r="U83" i="25"/>
  <c r="R83" i="25"/>
  <c r="T83" i="25"/>
  <c r="X83" i="25"/>
  <c r="Q83" i="25"/>
  <c r="Z83" i="25"/>
  <c r="D46" i="25" l="1"/>
  <c r="H46" i="25" s="1"/>
  <c r="J36" i="98"/>
  <c r="AO42" i="96" s="1"/>
  <c r="AL14" i="96"/>
  <c r="AL14" i="114" s="1"/>
  <c r="AH14" i="114"/>
  <c r="J35" i="97"/>
  <c r="AA41" i="96" s="1"/>
  <c r="AH96" i="25"/>
  <c r="AF96" i="25"/>
  <c r="AN96" i="25"/>
  <c r="AI96" i="25"/>
  <c r="AD96" i="25"/>
  <c r="AK96" i="25"/>
  <c r="AJ96" i="25"/>
  <c r="AE96" i="25"/>
  <c r="AG96" i="25"/>
  <c r="AL96" i="25"/>
  <c r="AC96" i="25"/>
  <c r="AM96" i="25"/>
  <c r="K53" i="103"/>
  <c r="J37" i="98"/>
  <c r="AO43" i="96" s="1"/>
  <c r="J36" i="97"/>
  <c r="AA42" i="96" s="1"/>
  <c r="Y76" i="25"/>
  <c r="U75" i="25"/>
  <c r="Q77" i="25"/>
  <c r="Z75" i="25"/>
  <c r="U73" i="25"/>
  <c r="T76" i="25"/>
  <c r="V72" i="25"/>
  <c r="W72" i="25"/>
  <c r="O73" i="25"/>
  <c r="S77" i="25"/>
  <c r="W75" i="25"/>
  <c r="W76" i="25"/>
  <c r="T68" i="25"/>
  <c r="O74" i="25"/>
  <c r="W74" i="25"/>
  <c r="W73" i="25"/>
  <c r="Y77" i="25"/>
  <c r="X69" i="25"/>
  <c r="U68" i="25"/>
  <c r="T71" i="25"/>
  <c r="Z68" i="25"/>
  <c r="Z70" i="25"/>
  <c r="Z67" i="25"/>
  <c r="Z71" i="25"/>
  <c r="V71" i="25"/>
  <c r="V70" i="25"/>
  <c r="V69" i="25"/>
  <c r="T70" i="25"/>
  <c r="U70" i="25"/>
  <c r="Y69" i="25"/>
  <c r="P67" i="25"/>
  <c r="X71" i="25"/>
  <c r="X70" i="25"/>
  <c r="V68" i="25"/>
  <c r="S68" i="25"/>
  <c r="W69" i="25"/>
  <c r="S71" i="25"/>
  <c r="X67" i="25"/>
  <c r="S69" i="25"/>
  <c r="S70" i="25"/>
  <c r="W67" i="25"/>
  <c r="Z69" i="25"/>
  <c r="Q67" i="25"/>
  <c r="W70" i="25"/>
  <c r="W68" i="25"/>
  <c r="R71" i="25"/>
  <c r="S67" i="25"/>
  <c r="W71" i="25"/>
  <c r="O69" i="25"/>
  <c r="R67" i="25"/>
  <c r="S84" i="25"/>
  <c r="S83" i="25"/>
  <c r="D83" i="25" s="1"/>
  <c r="H83" i="25" s="1"/>
  <c r="D7" i="96"/>
  <c r="E7" i="96"/>
  <c r="J10" i="25"/>
  <c r="M16" i="96" s="1"/>
  <c r="O84" i="25"/>
  <c r="S47" i="25"/>
  <c r="U47" i="25"/>
  <c r="O47" i="25"/>
  <c r="P47" i="25"/>
  <c r="Q47" i="25"/>
  <c r="Y47" i="25"/>
  <c r="R47" i="25"/>
  <c r="V47" i="25"/>
  <c r="Z47" i="25"/>
  <c r="X47" i="25"/>
  <c r="T47" i="25"/>
  <c r="W47" i="25"/>
  <c r="X84" i="25"/>
  <c r="U84" i="25"/>
  <c r="Y84" i="25"/>
  <c r="R84" i="25"/>
  <c r="P84" i="25"/>
  <c r="Z84" i="25"/>
  <c r="V84" i="25"/>
  <c r="Q84" i="25"/>
  <c r="T84" i="25"/>
  <c r="W85" i="25"/>
  <c r="D84" i="25" l="1"/>
  <c r="H84" i="25" s="1"/>
  <c r="AH97" i="25"/>
  <c r="AN97" i="25"/>
  <c r="AI97" i="25"/>
  <c r="AF97" i="25"/>
  <c r="AD97" i="25"/>
  <c r="AK97" i="25"/>
  <c r="AJ97" i="25"/>
  <c r="AE97" i="25"/>
  <c r="AG97" i="25"/>
  <c r="AL97" i="25"/>
  <c r="AC97" i="25"/>
  <c r="AM97" i="25"/>
  <c r="K54" i="103"/>
  <c r="J37" i="97"/>
  <c r="AA43" i="96" s="1"/>
  <c r="J38" i="98"/>
  <c r="AO44" i="96" s="1"/>
  <c r="U74" i="25"/>
  <c r="P68" i="25"/>
  <c r="Y72" i="25"/>
  <c r="X77" i="25"/>
  <c r="S73" i="25"/>
  <c r="Z77" i="25"/>
  <c r="V73" i="25"/>
  <c r="R77" i="25"/>
  <c r="O76" i="25"/>
  <c r="Q74" i="25"/>
  <c r="Z74" i="25"/>
  <c r="X74" i="25"/>
  <c r="T72" i="25"/>
  <c r="Y73" i="25"/>
  <c r="Q75" i="25"/>
  <c r="R75" i="25"/>
  <c r="P77" i="25"/>
  <c r="P72" i="25"/>
  <c r="S72" i="25"/>
  <c r="U77" i="25"/>
  <c r="Z76" i="25"/>
  <c r="T77" i="25"/>
  <c r="V76" i="25"/>
  <c r="X72" i="25"/>
  <c r="V77" i="25"/>
  <c r="Y75" i="25"/>
  <c r="R74" i="25"/>
  <c r="P74" i="25"/>
  <c r="R73" i="25"/>
  <c r="S74" i="25"/>
  <c r="O72" i="25"/>
  <c r="X75" i="25"/>
  <c r="O77" i="25"/>
  <c r="S76" i="25"/>
  <c r="O75" i="25"/>
  <c r="R76" i="25"/>
  <c r="X73" i="25"/>
  <c r="S75" i="25"/>
  <c r="Q72" i="25"/>
  <c r="T74" i="25"/>
  <c r="V74" i="25"/>
  <c r="U76" i="25"/>
  <c r="T75" i="25"/>
  <c r="X76" i="25"/>
  <c r="P73" i="25"/>
  <c r="Z73" i="25"/>
  <c r="V75" i="25"/>
  <c r="P75" i="25"/>
  <c r="T73" i="25"/>
  <c r="U72" i="25"/>
  <c r="P76" i="25"/>
  <c r="Q76" i="25"/>
  <c r="R72" i="25"/>
  <c r="Y74" i="25"/>
  <c r="Q73" i="25"/>
  <c r="Z72" i="25"/>
  <c r="Q68" i="25"/>
  <c r="O70" i="25"/>
  <c r="V67" i="25"/>
  <c r="T69" i="25"/>
  <c r="U71" i="25"/>
  <c r="T67" i="25"/>
  <c r="Q71" i="25"/>
  <c r="O68" i="25"/>
  <c r="R69" i="25"/>
  <c r="X68" i="25"/>
  <c r="Q69" i="25"/>
  <c r="O71" i="25"/>
  <c r="R68" i="25"/>
  <c r="P71" i="25"/>
  <c r="Y71" i="25"/>
  <c r="Q70" i="25"/>
  <c r="O67" i="25"/>
  <c r="U67" i="25"/>
  <c r="P70" i="25"/>
  <c r="Y70" i="25"/>
  <c r="P69" i="25"/>
  <c r="R70" i="25"/>
  <c r="U69" i="25"/>
  <c r="Y67" i="25"/>
  <c r="Y68" i="25"/>
  <c r="C85" i="97"/>
  <c r="S85" i="25"/>
  <c r="J11" i="25"/>
  <c r="M17" i="96" s="1"/>
  <c r="O85" i="25"/>
  <c r="R48" i="25"/>
  <c r="O48" i="25"/>
  <c r="S48" i="25"/>
  <c r="W48" i="25"/>
  <c r="T48" i="25"/>
  <c r="X48" i="25"/>
  <c r="P48" i="25"/>
  <c r="Z48" i="25"/>
  <c r="V48" i="25"/>
  <c r="Y48" i="25"/>
  <c r="U48" i="25"/>
  <c r="Q48" i="25"/>
  <c r="Z85" i="25"/>
  <c r="R85" i="25"/>
  <c r="U85" i="25"/>
  <c r="X85" i="25"/>
  <c r="W86" i="25"/>
  <c r="V85" i="25"/>
  <c r="P85" i="25"/>
  <c r="Y85" i="25"/>
  <c r="T85" i="25"/>
  <c r="Q85" i="25"/>
  <c r="D69" i="25" l="1"/>
  <c r="H69" i="25" s="1"/>
  <c r="D74" i="25"/>
  <c r="H74" i="25" s="1"/>
  <c r="D68" i="25"/>
  <c r="H68" i="25" s="1"/>
  <c r="D73" i="25"/>
  <c r="H73" i="25" s="1"/>
  <c r="D70" i="25"/>
  <c r="H70" i="25" s="1"/>
  <c r="D77" i="25"/>
  <c r="H77" i="25" s="1"/>
  <c r="D76" i="25"/>
  <c r="H76" i="25" s="1"/>
  <c r="D48" i="25"/>
  <c r="H48" i="25" s="1"/>
  <c r="D67" i="25"/>
  <c r="H67" i="25" s="1"/>
  <c r="D75" i="25"/>
  <c r="H75" i="25" s="1"/>
  <c r="D71" i="25"/>
  <c r="H71" i="25" s="1"/>
  <c r="D72" i="25"/>
  <c r="H72" i="25" s="1"/>
  <c r="AE98" i="25"/>
  <c r="AN98" i="25"/>
  <c r="AG98" i="25"/>
  <c r="AF98" i="25"/>
  <c r="AL98" i="25"/>
  <c r="AC98" i="25"/>
  <c r="AM98" i="25"/>
  <c r="AH98" i="25"/>
  <c r="AI98" i="25"/>
  <c r="AD98" i="25"/>
  <c r="AK98" i="25"/>
  <c r="AJ98" i="25"/>
  <c r="K55" i="103"/>
  <c r="J39" i="98"/>
  <c r="AO45" i="96" s="1"/>
  <c r="J38" i="97"/>
  <c r="AA44" i="96" s="1"/>
  <c r="C47" i="25"/>
  <c r="D47" i="25" s="1"/>
  <c r="H47" i="25" s="1"/>
  <c r="F10" i="25"/>
  <c r="C86" i="97"/>
  <c r="S86" i="25"/>
  <c r="F10" i="98"/>
  <c r="J12" i="25"/>
  <c r="M18" i="96" s="1"/>
  <c r="O86" i="25"/>
  <c r="X49" i="25"/>
  <c r="W49" i="25"/>
  <c r="O49" i="25"/>
  <c r="Q49" i="25"/>
  <c r="U49" i="25"/>
  <c r="V49" i="25"/>
  <c r="S49" i="25"/>
  <c r="P49" i="25"/>
  <c r="T49" i="25"/>
  <c r="Y49" i="25"/>
  <c r="Z49" i="25"/>
  <c r="R49" i="25"/>
  <c r="Q86" i="25"/>
  <c r="W87" i="25"/>
  <c r="U86" i="25"/>
  <c r="R86" i="25"/>
  <c r="T86" i="25"/>
  <c r="V86" i="25"/>
  <c r="X86" i="25"/>
  <c r="Y86" i="25"/>
  <c r="P86" i="25"/>
  <c r="Z86" i="25"/>
  <c r="C10" i="25" l="1"/>
  <c r="AH99" i="25"/>
  <c r="AF99" i="25"/>
  <c r="AN99" i="25"/>
  <c r="AI99" i="25"/>
  <c r="AD99" i="25"/>
  <c r="AK99" i="25"/>
  <c r="AJ99" i="25"/>
  <c r="AE99" i="25"/>
  <c r="AG99" i="25"/>
  <c r="AC99" i="25"/>
  <c r="AL99" i="25"/>
  <c r="AM99" i="25"/>
  <c r="K56" i="103"/>
  <c r="J39" i="97"/>
  <c r="AA45" i="96" s="1"/>
  <c r="J40" i="98"/>
  <c r="AO46" i="96" s="1"/>
  <c r="C47" i="97"/>
  <c r="F10" i="97"/>
  <c r="C85" i="25"/>
  <c r="D85" i="25" s="1"/>
  <c r="H85" i="25" s="1"/>
  <c r="C87" i="97"/>
  <c r="F11" i="98"/>
  <c r="C47" i="98"/>
  <c r="S87" i="25"/>
  <c r="F11" i="97"/>
  <c r="J13" i="25"/>
  <c r="M19" i="96" s="1"/>
  <c r="O87" i="25"/>
  <c r="Z50" i="25"/>
  <c r="T50" i="25"/>
  <c r="Q50" i="25"/>
  <c r="S50" i="25"/>
  <c r="W50" i="25"/>
  <c r="R50" i="25"/>
  <c r="Y50" i="25"/>
  <c r="P50" i="25"/>
  <c r="U50" i="25"/>
  <c r="O50" i="25"/>
  <c r="V50" i="25"/>
  <c r="X50" i="25"/>
  <c r="Z87" i="25"/>
  <c r="X87" i="25"/>
  <c r="T87" i="25"/>
  <c r="V87" i="25"/>
  <c r="R87" i="25"/>
  <c r="P87" i="25"/>
  <c r="U87" i="25"/>
  <c r="Y87" i="25"/>
  <c r="W88" i="25"/>
  <c r="Q87" i="25"/>
  <c r="C10" i="98" l="1"/>
  <c r="C10" i="97"/>
  <c r="F11" i="25"/>
  <c r="C11" i="25"/>
  <c r="K57" i="103"/>
  <c r="J41" i="98"/>
  <c r="J40" i="97"/>
  <c r="AA46" i="96" s="1"/>
  <c r="C88" i="97"/>
  <c r="C86" i="25"/>
  <c r="D86" i="25" s="1"/>
  <c r="H86" i="25" s="1"/>
  <c r="F12" i="97"/>
  <c r="C48" i="97"/>
  <c r="C89" i="97"/>
  <c r="F12" i="25"/>
  <c r="F12" i="98"/>
  <c r="C48" i="98"/>
  <c r="S88" i="25"/>
  <c r="J14" i="25"/>
  <c r="M20" i="96" s="1"/>
  <c r="O88" i="25"/>
  <c r="X51" i="25"/>
  <c r="V51" i="25"/>
  <c r="Y51" i="25"/>
  <c r="W51" i="25"/>
  <c r="Z51" i="25"/>
  <c r="O51" i="25"/>
  <c r="T51" i="25"/>
  <c r="P51" i="25"/>
  <c r="S51" i="25"/>
  <c r="Q51" i="25"/>
  <c r="U51" i="25"/>
  <c r="R51" i="25"/>
  <c r="V88" i="25"/>
  <c r="T88" i="25"/>
  <c r="X88" i="25"/>
  <c r="Z88" i="25"/>
  <c r="U88" i="25"/>
  <c r="P88" i="25"/>
  <c r="Q88" i="25"/>
  <c r="W89" i="25"/>
  <c r="Y88" i="25"/>
  <c r="R88" i="25"/>
  <c r="C11" i="98" l="1"/>
  <c r="C11" i="97"/>
  <c r="AI18" i="96"/>
  <c r="AI18" i="114" s="1"/>
  <c r="AK101" i="25"/>
  <c r="AD101" i="25"/>
  <c r="AL101" i="25"/>
  <c r="AI101" i="25"/>
  <c r="AF101" i="25"/>
  <c r="AN101" i="25"/>
  <c r="AG101" i="25"/>
  <c r="AE101" i="25"/>
  <c r="AM101" i="25"/>
  <c r="AJ101" i="25"/>
  <c r="AH101" i="25"/>
  <c r="AC101" i="25"/>
  <c r="K58" i="103"/>
  <c r="J41" i="97"/>
  <c r="AO47" i="96"/>
  <c r="C105" i="97"/>
  <c r="C49" i="98"/>
  <c r="F13" i="98"/>
  <c r="C90" i="97"/>
  <c r="F13" i="97"/>
  <c r="C49" i="97"/>
  <c r="C49" i="25"/>
  <c r="D49" i="25" s="1"/>
  <c r="H49" i="25" s="1"/>
  <c r="C87" i="25"/>
  <c r="D87" i="25" s="1"/>
  <c r="H87" i="25" s="1"/>
  <c r="S89" i="25"/>
  <c r="J15" i="25"/>
  <c r="M21" i="96" s="1"/>
  <c r="R52" i="25"/>
  <c r="T52" i="25"/>
  <c r="V52" i="25"/>
  <c r="P52" i="25"/>
  <c r="U52" i="25"/>
  <c r="Q52" i="25"/>
  <c r="S52" i="25"/>
  <c r="W52" i="25"/>
  <c r="Z52" i="25"/>
  <c r="Y52" i="25"/>
  <c r="X52" i="25"/>
  <c r="R89" i="25"/>
  <c r="Q89" i="25"/>
  <c r="P89" i="25"/>
  <c r="U89" i="25"/>
  <c r="X89" i="25"/>
  <c r="W90" i="25"/>
  <c r="Z89" i="25"/>
  <c r="Y89" i="25"/>
  <c r="T89" i="25"/>
  <c r="V89" i="25"/>
  <c r="C12" i="97" l="1"/>
  <c r="C12" i="98"/>
  <c r="AM18" i="96"/>
  <c r="AM18" i="114" s="1"/>
  <c r="C12" i="25"/>
  <c r="AC102" i="25"/>
  <c r="AG102" i="25"/>
  <c r="AF102" i="25"/>
  <c r="AM102" i="25"/>
  <c r="AH102" i="25"/>
  <c r="AJ102" i="25"/>
  <c r="AE102" i="25"/>
  <c r="AK102" i="25"/>
  <c r="AL102" i="25"/>
  <c r="AN102" i="25"/>
  <c r="AD102" i="25"/>
  <c r="AI102" i="25"/>
  <c r="K59" i="103"/>
  <c r="AA47" i="96"/>
  <c r="F13" i="25"/>
  <c r="C106" i="97"/>
  <c r="C88" i="25"/>
  <c r="D88" i="25" s="1"/>
  <c r="H88" i="25" s="1"/>
  <c r="F14" i="25"/>
  <c r="C50" i="25"/>
  <c r="D50" i="25" s="1"/>
  <c r="H50" i="25" s="1"/>
  <c r="C91" i="97"/>
  <c r="C50" i="98"/>
  <c r="F14" i="98"/>
  <c r="F14" i="97"/>
  <c r="C50" i="97"/>
  <c r="S90" i="25"/>
  <c r="J16" i="25"/>
  <c r="M22" i="96" s="1"/>
  <c r="O90" i="25"/>
  <c r="U53" i="25"/>
  <c r="O53" i="25"/>
  <c r="T53" i="25"/>
  <c r="R53" i="25"/>
  <c r="Y53" i="25"/>
  <c r="Q53" i="25"/>
  <c r="V53" i="25"/>
  <c r="Z53" i="25"/>
  <c r="W53" i="25"/>
  <c r="X53" i="25"/>
  <c r="S53" i="25"/>
  <c r="P53" i="25"/>
  <c r="Z90" i="25"/>
  <c r="P90" i="25"/>
  <c r="R90" i="25"/>
  <c r="X90" i="25"/>
  <c r="V90" i="25"/>
  <c r="T90" i="25"/>
  <c r="Y90" i="25"/>
  <c r="W91" i="25"/>
  <c r="U90" i="25"/>
  <c r="Q90" i="25"/>
  <c r="C13" i="97" l="1"/>
  <c r="C13" i="98"/>
  <c r="AI20" i="96"/>
  <c r="C13" i="25"/>
  <c r="AN103" i="25"/>
  <c r="AE103" i="25"/>
  <c r="AK103" i="25"/>
  <c r="AH103" i="25"/>
  <c r="AL103" i="25"/>
  <c r="AM103" i="25"/>
  <c r="AI103" i="25"/>
  <c r="AC103" i="25"/>
  <c r="AG103" i="25"/>
  <c r="AJ103" i="25"/>
  <c r="AF103" i="25"/>
  <c r="AD103" i="25"/>
  <c r="K60" i="103"/>
  <c r="C107" i="97"/>
  <c r="C51" i="98"/>
  <c r="C51" i="97"/>
  <c r="C51" i="25"/>
  <c r="D51" i="25" s="1"/>
  <c r="H51" i="25" s="1"/>
  <c r="C92" i="97"/>
  <c r="C89" i="25"/>
  <c r="D89" i="25" s="1"/>
  <c r="H89" i="25" s="1"/>
  <c r="S91" i="25"/>
  <c r="J17" i="25"/>
  <c r="M23" i="96" s="1"/>
  <c r="S54" i="25"/>
  <c r="Z54" i="25"/>
  <c r="R54" i="25"/>
  <c r="U54" i="25"/>
  <c r="V54" i="25"/>
  <c r="Y54" i="25"/>
  <c r="T54" i="25"/>
  <c r="P54" i="25"/>
  <c r="X54" i="25"/>
  <c r="W54" i="25"/>
  <c r="Q54" i="25"/>
  <c r="O54" i="25"/>
  <c r="Q91" i="25"/>
  <c r="U91" i="25"/>
  <c r="W92" i="25"/>
  <c r="Y91" i="25"/>
  <c r="V91" i="25"/>
  <c r="X91" i="25"/>
  <c r="R91" i="25"/>
  <c r="T91" i="25"/>
  <c r="P91" i="25"/>
  <c r="Z91" i="25"/>
  <c r="AM20" i="96" l="1"/>
  <c r="AM20" i="114" s="1"/>
  <c r="AI20" i="114"/>
  <c r="C14" i="97"/>
  <c r="C14" i="98"/>
  <c r="C14" i="25"/>
  <c r="AG104" i="25"/>
  <c r="S104" i="25" s="1"/>
  <c r="AF104" i="25"/>
  <c r="R104" i="25" s="1"/>
  <c r="AE104" i="25"/>
  <c r="Q104" i="25" s="1"/>
  <c r="AM104" i="25"/>
  <c r="Y104" i="25" s="1"/>
  <c r="AJ104" i="25"/>
  <c r="V104" i="25" s="1"/>
  <c r="AC104" i="25"/>
  <c r="O104" i="25" s="1"/>
  <c r="AI104" i="25"/>
  <c r="U104" i="25" s="1"/>
  <c r="AN104" i="25"/>
  <c r="Z104" i="25" s="1"/>
  <c r="AD104" i="25"/>
  <c r="P104" i="25" s="1"/>
  <c r="AK104" i="25"/>
  <c r="W104" i="25" s="1"/>
  <c r="AH104" i="25"/>
  <c r="T104" i="25" s="1"/>
  <c r="AL104" i="25"/>
  <c r="X104" i="25" s="1"/>
  <c r="K61" i="103"/>
  <c r="F15" i="98"/>
  <c r="C108" i="97"/>
  <c r="F15" i="97"/>
  <c r="F15" i="25"/>
  <c r="C90" i="25"/>
  <c r="D90" i="25" s="1"/>
  <c r="H90" i="25" s="1"/>
  <c r="C52" i="97"/>
  <c r="C93" i="97"/>
  <c r="C52" i="25"/>
  <c r="D52" i="25" s="1"/>
  <c r="H52" i="25" s="1"/>
  <c r="C52" i="98"/>
  <c r="S92" i="25"/>
  <c r="O92" i="25"/>
  <c r="J18" i="25"/>
  <c r="M24" i="96" s="1"/>
  <c r="Q55" i="25"/>
  <c r="T55" i="25"/>
  <c r="U55" i="25"/>
  <c r="O55" i="25"/>
  <c r="P55" i="25"/>
  <c r="V55" i="25"/>
  <c r="Z55" i="25"/>
  <c r="S55" i="25"/>
  <c r="Y55" i="25"/>
  <c r="W55" i="25"/>
  <c r="X55" i="25"/>
  <c r="R55" i="25"/>
  <c r="T92" i="25"/>
  <c r="X92" i="25"/>
  <c r="U92" i="25"/>
  <c r="Q92" i="25"/>
  <c r="Z92" i="25"/>
  <c r="R92" i="25"/>
  <c r="Y92" i="25"/>
  <c r="P92" i="25"/>
  <c r="V92" i="25"/>
  <c r="W93" i="25"/>
  <c r="D104" i="25" l="1"/>
  <c r="H104" i="25" s="1"/>
  <c r="C15" i="98"/>
  <c r="C15" i="97"/>
  <c r="AI21" i="96"/>
  <c r="C15" i="25"/>
  <c r="AI105" i="25"/>
  <c r="U105" i="25" s="1"/>
  <c r="AG105" i="25"/>
  <c r="S105" i="25" s="1"/>
  <c r="AM105" i="25"/>
  <c r="Y105" i="25" s="1"/>
  <c r="AH105" i="25"/>
  <c r="T105" i="25" s="1"/>
  <c r="AL105" i="25"/>
  <c r="X105" i="25" s="1"/>
  <c r="AD105" i="25"/>
  <c r="P105" i="25" s="1"/>
  <c r="AE105" i="25"/>
  <c r="Q105" i="25" s="1"/>
  <c r="AJ105" i="25"/>
  <c r="V105" i="25" s="1"/>
  <c r="AK105" i="25"/>
  <c r="W105" i="25" s="1"/>
  <c r="AC105" i="25"/>
  <c r="O105" i="25" s="1"/>
  <c r="AN105" i="25"/>
  <c r="Z105" i="25" s="1"/>
  <c r="AF105" i="25"/>
  <c r="R105" i="25" s="1"/>
  <c r="K62" i="103"/>
  <c r="C68" i="97"/>
  <c r="F16" i="97"/>
  <c r="F31" i="98"/>
  <c r="C68" i="98"/>
  <c r="F16" i="98"/>
  <c r="F16" i="25"/>
  <c r="C53" i="98"/>
  <c r="C94" i="97"/>
  <c r="C53" i="25"/>
  <c r="D53" i="25" s="1"/>
  <c r="H53" i="25" s="1"/>
  <c r="C53" i="97"/>
  <c r="C91" i="25"/>
  <c r="D91" i="25" s="1"/>
  <c r="H91" i="25" s="1"/>
  <c r="S93" i="25"/>
  <c r="O93" i="25"/>
  <c r="J19" i="25"/>
  <c r="M25" i="96" s="1"/>
  <c r="Z56" i="25"/>
  <c r="Q56" i="25"/>
  <c r="X56" i="25"/>
  <c r="P56" i="25"/>
  <c r="U56" i="25"/>
  <c r="T56" i="25"/>
  <c r="R56" i="25"/>
  <c r="Y56" i="25"/>
  <c r="S56" i="25"/>
  <c r="V56" i="25"/>
  <c r="W56" i="25"/>
  <c r="O56" i="25"/>
  <c r="Y93" i="25"/>
  <c r="Q93" i="25"/>
  <c r="V93" i="25"/>
  <c r="R93" i="25"/>
  <c r="W94" i="25"/>
  <c r="P93" i="25"/>
  <c r="Z93" i="25"/>
  <c r="U93" i="25"/>
  <c r="X93" i="25"/>
  <c r="T93" i="25"/>
  <c r="AM21" i="96" l="1"/>
  <c r="AM21" i="114" s="1"/>
  <c r="AI21" i="114"/>
  <c r="D105" i="25"/>
  <c r="H105" i="25" s="1"/>
  <c r="C16" i="97"/>
  <c r="C31" i="98"/>
  <c r="C16" i="98"/>
  <c r="AI22" i="96"/>
  <c r="C31" i="97"/>
  <c r="F31" i="97"/>
  <c r="U37" i="96" s="1"/>
  <c r="F31" i="25"/>
  <c r="G37" i="96" s="1"/>
  <c r="K37" i="96" s="1"/>
  <c r="K37" i="114" s="1"/>
  <c r="C16" i="25"/>
  <c r="Q37" i="114"/>
  <c r="AE37" i="96"/>
  <c r="AE37" i="114" s="1"/>
  <c r="Q37" i="96"/>
  <c r="AD106" i="25"/>
  <c r="P106" i="25" s="1"/>
  <c r="AH106" i="25"/>
  <c r="T106" i="25" s="1"/>
  <c r="AC106" i="25"/>
  <c r="O106" i="25" s="1"/>
  <c r="AI106" i="25"/>
  <c r="U106" i="25" s="1"/>
  <c r="AE106" i="25"/>
  <c r="Q106" i="25" s="1"/>
  <c r="AM106" i="25"/>
  <c r="Y106" i="25" s="1"/>
  <c r="AJ106" i="25"/>
  <c r="V106" i="25" s="1"/>
  <c r="AL106" i="25"/>
  <c r="X106" i="25" s="1"/>
  <c r="AG106" i="25"/>
  <c r="S106" i="25" s="1"/>
  <c r="AF106" i="25"/>
  <c r="R106" i="25" s="1"/>
  <c r="AN106" i="25"/>
  <c r="Z106" i="25" s="1"/>
  <c r="AK106" i="25"/>
  <c r="W106" i="25" s="1"/>
  <c r="K63" i="103"/>
  <c r="C69" i="98"/>
  <c r="F32" i="98"/>
  <c r="C69" i="97"/>
  <c r="F17" i="97"/>
  <c r="F17" i="98"/>
  <c r="C92" i="25"/>
  <c r="D92" i="25" s="1"/>
  <c r="H92" i="25" s="1"/>
  <c r="C54" i="25"/>
  <c r="D54" i="25" s="1"/>
  <c r="H54" i="25" s="1"/>
  <c r="C95" i="97"/>
  <c r="C54" i="97"/>
  <c r="C54" i="98"/>
  <c r="S94" i="25"/>
  <c r="O94" i="25"/>
  <c r="J20" i="25"/>
  <c r="M26" i="96" s="1"/>
  <c r="W57" i="25"/>
  <c r="P57" i="25"/>
  <c r="Q57" i="25"/>
  <c r="S57" i="25"/>
  <c r="X57" i="25"/>
  <c r="V57" i="25"/>
  <c r="R57" i="25"/>
  <c r="U57" i="25"/>
  <c r="O57" i="25"/>
  <c r="Y57" i="25"/>
  <c r="T57" i="25"/>
  <c r="Z57" i="25"/>
  <c r="X94" i="25"/>
  <c r="P94" i="25"/>
  <c r="R94" i="25"/>
  <c r="Q94" i="25"/>
  <c r="W95" i="25"/>
  <c r="V94" i="25"/>
  <c r="T94" i="25"/>
  <c r="U94" i="25"/>
  <c r="Z94" i="25"/>
  <c r="Y94" i="25"/>
  <c r="F5" i="64"/>
  <c r="D7" i="62" s="1"/>
  <c r="Y37" i="96" l="1"/>
  <c r="Y37" i="114" s="1"/>
  <c r="U37" i="114"/>
  <c r="AM22" i="96"/>
  <c r="AM22" i="114" s="1"/>
  <c r="AI22" i="114"/>
  <c r="D106" i="25"/>
  <c r="H106" i="25" s="1"/>
  <c r="C17" i="98"/>
  <c r="C17" i="97"/>
  <c r="C32" i="98"/>
  <c r="AI37" i="96"/>
  <c r="AI23" i="96"/>
  <c r="AI38" i="96"/>
  <c r="C32" i="97"/>
  <c r="F32" i="97"/>
  <c r="F32" i="25"/>
  <c r="G38" i="96" s="1"/>
  <c r="G37" i="114"/>
  <c r="C17" i="25"/>
  <c r="D31" i="25"/>
  <c r="F17" i="25"/>
  <c r="G23" i="96" s="1"/>
  <c r="Q38" i="114"/>
  <c r="R37" i="114"/>
  <c r="AF37" i="96"/>
  <c r="AF37" i="114" s="1"/>
  <c r="Q38" i="96"/>
  <c r="R37" i="96"/>
  <c r="AE38" i="96"/>
  <c r="AE38" i="114" s="1"/>
  <c r="D37" i="96"/>
  <c r="D37" i="114" s="1"/>
  <c r="AL107" i="25"/>
  <c r="X107" i="25" s="1"/>
  <c r="AG107" i="25"/>
  <c r="S107" i="25" s="1"/>
  <c r="AK107" i="25"/>
  <c r="W107" i="25" s="1"/>
  <c r="AE107" i="25"/>
  <c r="Q107" i="25" s="1"/>
  <c r="AM107" i="25"/>
  <c r="Y107" i="25" s="1"/>
  <c r="AC107" i="25"/>
  <c r="O107" i="25" s="1"/>
  <c r="AF107" i="25"/>
  <c r="R107" i="25" s="1"/>
  <c r="AI107" i="25"/>
  <c r="U107" i="25" s="1"/>
  <c r="AN107" i="25"/>
  <c r="Z107" i="25" s="1"/>
  <c r="AH107" i="25"/>
  <c r="T107" i="25" s="1"/>
  <c r="AJ107" i="25"/>
  <c r="V107" i="25" s="1"/>
  <c r="AD107" i="25"/>
  <c r="P107" i="25" s="1"/>
  <c r="K64" i="103"/>
  <c r="C70" i="97"/>
  <c r="F33" i="98"/>
  <c r="C70" i="98"/>
  <c r="F18" i="98"/>
  <c r="F18" i="97"/>
  <c r="F18" i="25"/>
  <c r="F19" i="98"/>
  <c r="C55" i="98"/>
  <c r="F19" i="97"/>
  <c r="C55" i="97"/>
  <c r="F19" i="25"/>
  <c r="C55" i="25"/>
  <c r="D55" i="25" s="1"/>
  <c r="H55" i="25" s="1"/>
  <c r="C96" i="97"/>
  <c r="C93" i="25"/>
  <c r="D93" i="25" s="1"/>
  <c r="H93" i="25" s="1"/>
  <c r="S95" i="25"/>
  <c r="O95" i="25"/>
  <c r="J21" i="25"/>
  <c r="M27" i="96" s="1"/>
  <c r="X58" i="25"/>
  <c r="W58" i="25"/>
  <c r="Z58" i="25"/>
  <c r="Y58" i="25"/>
  <c r="Q58" i="25"/>
  <c r="U58" i="25"/>
  <c r="V58" i="25"/>
  <c r="S58" i="25"/>
  <c r="T58" i="25"/>
  <c r="O58" i="25"/>
  <c r="R58" i="25"/>
  <c r="P58" i="25"/>
  <c r="U95" i="25"/>
  <c r="V95" i="25"/>
  <c r="Y95" i="25"/>
  <c r="Q95" i="25"/>
  <c r="Z95" i="25"/>
  <c r="W96" i="25"/>
  <c r="P95" i="25"/>
  <c r="X95" i="25"/>
  <c r="T95" i="25"/>
  <c r="R95" i="25"/>
  <c r="AM38" i="96" l="1"/>
  <c r="AM38" i="114" s="1"/>
  <c r="AI38" i="114"/>
  <c r="AM23" i="96"/>
  <c r="AM23" i="114" s="1"/>
  <c r="AI23" i="114"/>
  <c r="AM37" i="96"/>
  <c r="AM37" i="114" s="1"/>
  <c r="AI37" i="114"/>
  <c r="D107" i="25"/>
  <c r="H107" i="25" s="1"/>
  <c r="C33" i="98"/>
  <c r="C18" i="98"/>
  <c r="C18" i="97"/>
  <c r="AI25" i="96"/>
  <c r="AI24" i="96"/>
  <c r="F33" i="97"/>
  <c r="U38" i="96"/>
  <c r="C33" i="97"/>
  <c r="K23" i="96"/>
  <c r="K23" i="114" s="1"/>
  <c r="G23" i="114"/>
  <c r="G38" i="114"/>
  <c r="K38" i="96"/>
  <c r="K38" i="114" s="1"/>
  <c r="D32" i="25"/>
  <c r="C18" i="25"/>
  <c r="F33" i="25"/>
  <c r="G39" i="96" s="1"/>
  <c r="R38" i="114"/>
  <c r="Q39" i="114"/>
  <c r="R38" i="96"/>
  <c r="Q39" i="96"/>
  <c r="AF38" i="96"/>
  <c r="AF38" i="114" s="1"/>
  <c r="AE39" i="96"/>
  <c r="AE39" i="114" s="1"/>
  <c r="D38" i="96"/>
  <c r="D38" i="114" s="1"/>
  <c r="AN108" i="25"/>
  <c r="Z108" i="25" s="1"/>
  <c r="AH108" i="25"/>
  <c r="T108" i="25" s="1"/>
  <c r="AC108" i="25"/>
  <c r="O108" i="25" s="1"/>
  <c r="AG108" i="25"/>
  <c r="S108" i="25" s="1"/>
  <c r="AM108" i="25"/>
  <c r="Y108" i="25" s="1"/>
  <c r="AJ108" i="25"/>
  <c r="V108" i="25" s="1"/>
  <c r="AK108" i="25"/>
  <c r="W108" i="25" s="1"/>
  <c r="AE108" i="25"/>
  <c r="Q108" i="25" s="1"/>
  <c r="AL108" i="25"/>
  <c r="X108" i="25" s="1"/>
  <c r="AI108" i="25"/>
  <c r="U108" i="25" s="1"/>
  <c r="AD108" i="25"/>
  <c r="P108" i="25" s="1"/>
  <c r="AF108" i="25"/>
  <c r="R108" i="25" s="1"/>
  <c r="K65" i="103"/>
  <c r="AI39" i="96"/>
  <c r="F34" i="25"/>
  <c r="C71" i="98"/>
  <c r="F34" i="98"/>
  <c r="F34" i="97"/>
  <c r="C71" i="97"/>
  <c r="C94" i="25"/>
  <c r="D94" i="25" s="1"/>
  <c r="H94" i="25" s="1"/>
  <c r="F20" i="97"/>
  <c r="C56" i="97"/>
  <c r="C97" i="97"/>
  <c r="F20" i="25"/>
  <c r="C56" i="25"/>
  <c r="D56" i="25" s="1"/>
  <c r="H56" i="25" s="1"/>
  <c r="F20" i="98"/>
  <c r="C56" i="98"/>
  <c r="S96" i="25"/>
  <c r="O96" i="25"/>
  <c r="J22" i="25"/>
  <c r="M28" i="96" s="1"/>
  <c r="P59" i="25"/>
  <c r="T59" i="25"/>
  <c r="S59" i="25"/>
  <c r="Z59" i="25"/>
  <c r="X59" i="25"/>
  <c r="R59" i="25"/>
  <c r="V59" i="25"/>
  <c r="Y59" i="25"/>
  <c r="W59" i="25"/>
  <c r="Q59" i="25"/>
  <c r="O59" i="25"/>
  <c r="U59" i="25"/>
  <c r="R96" i="25"/>
  <c r="X96" i="25"/>
  <c r="P96" i="25"/>
  <c r="W97" i="25"/>
  <c r="Z96" i="25"/>
  <c r="Q96" i="25"/>
  <c r="T96" i="25"/>
  <c r="V96" i="25"/>
  <c r="U96" i="25"/>
  <c r="Y96" i="25"/>
  <c r="AM24" i="96" l="1"/>
  <c r="AM24" i="114" s="1"/>
  <c r="AI24" i="114"/>
  <c r="AM25" i="96"/>
  <c r="AM25" i="114" s="1"/>
  <c r="AI25" i="114"/>
  <c r="AM39" i="96"/>
  <c r="AM39" i="114" s="1"/>
  <c r="AI39" i="114"/>
  <c r="Y38" i="96"/>
  <c r="Y38" i="114" s="1"/>
  <c r="U38" i="114"/>
  <c r="D108" i="25"/>
  <c r="H108" i="25" s="1"/>
  <c r="C19" i="98"/>
  <c r="C34" i="98"/>
  <c r="C19" i="97"/>
  <c r="AI26" i="96"/>
  <c r="U39" i="96"/>
  <c r="C34" i="97"/>
  <c r="G39" i="114"/>
  <c r="K39" i="96"/>
  <c r="K39" i="114" s="1"/>
  <c r="C19" i="25"/>
  <c r="D33" i="25"/>
  <c r="R39" i="114"/>
  <c r="Q40" i="114"/>
  <c r="Q40" i="96"/>
  <c r="R39" i="96"/>
  <c r="AE40" i="96"/>
  <c r="AE40" i="114" s="1"/>
  <c r="AF39" i="96"/>
  <c r="AF39" i="114" s="1"/>
  <c r="D41" i="96"/>
  <c r="D41" i="114" s="1"/>
  <c r="D39" i="96"/>
  <c r="D39" i="114" s="1"/>
  <c r="AM109" i="25"/>
  <c r="Y109" i="25" s="1"/>
  <c r="AC109" i="25"/>
  <c r="O109" i="25" s="1"/>
  <c r="AK109" i="25"/>
  <c r="W109" i="25" s="1"/>
  <c r="AL109" i="25"/>
  <c r="X109" i="25" s="1"/>
  <c r="AN109" i="25"/>
  <c r="Z109" i="25" s="1"/>
  <c r="AE109" i="25"/>
  <c r="Q109" i="25" s="1"/>
  <c r="AF109" i="25"/>
  <c r="R109" i="25" s="1"/>
  <c r="AG109" i="25"/>
  <c r="S109" i="25" s="1"/>
  <c r="AI109" i="25"/>
  <c r="U109" i="25" s="1"/>
  <c r="AJ109" i="25"/>
  <c r="V109" i="25" s="1"/>
  <c r="AD109" i="25"/>
  <c r="P109" i="25" s="1"/>
  <c r="AH109" i="25"/>
  <c r="T109" i="25" s="1"/>
  <c r="K66" i="103"/>
  <c r="AI40" i="96"/>
  <c r="G40" i="96"/>
  <c r="U40" i="96"/>
  <c r="F21" i="98"/>
  <c r="C57" i="98"/>
  <c r="C98" i="97"/>
  <c r="F21" i="25"/>
  <c r="C57" i="25"/>
  <c r="D57" i="25" s="1"/>
  <c r="H57" i="25" s="1"/>
  <c r="F21" i="97"/>
  <c r="C57" i="97"/>
  <c r="C95" i="25"/>
  <c r="D95" i="25" s="1"/>
  <c r="H95" i="25" s="1"/>
  <c r="S97" i="25"/>
  <c r="O97" i="25"/>
  <c r="J23" i="25"/>
  <c r="M29" i="96" s="1"/>
  <c r="O60" i="25"/>
  <c r="Q60" i="25"/>
  <c r="Y60" i="25"/>
  <c r="R60" i="25"/>
  <c r="X60" i="25"/>
  <c r="S60" i="25"/>
  <c r="P60" i="25"/>
  <c r="U60" i="25"/>
  <c r="Z60" i="25"/>
  <c r="T60" i="25"/>
  <c r="W60" i="25"/>
  <c r="V60" i="25"/>
  <c r="Q97" i="25"/>
  <c r="W98" i="25"/>
  <c r="R97" i="25"/>
  <c r="V97" i="25"/>
  <c r="P97" i="25"/>
  <c r="X97" i="25"/>
  <c r="Y97" i="25"/>
  <c r="U97" i="25"/>
  <c r="T97" i="25"/>
  <c r="Z97" i="25"/>
  <c r="D97" i="25" l="1"/>
  <c r="H97" i="25" s="1"/>
  <c r="Y40" i="96"/>
  <c r="Y40" i="114" s="1"/>
  <c r="U40" i="114"/>
  <c r="AM40" i="96"/>
  <c r="AM40" i="114" s="1"/>
  <c r="AI40" i="114"/>
  <c r="Y39" i="96"/>
  <c r="Y39" i="114" s="1"/>
  <c r="U39" i="114"/>
  <c r="AM26" i="96"/>
  <c r="AM26" i="114" s="1"/>
  <c r="AI26" i="114"/>
  <c r="D109" i="25"/>
  <c r="H109" i="25" s="1"/>
  <c r="C20" i="97"/>
  <c r="C20" i="98"/>
  <c r="AI27" i="96"/>
  <c r="C20" i="25"/>
  <c r="D34" i="25"/>
  <c r="G40" i="114"/>
  <c r="K40" i="96"/>
  <c r="K40" i="114" s="1"/>
  <c r="R40" i="114"/>
  <c r="AF40" i="96"/>
  <c r="AF40" i="114" s="1"/>
  <c r="R40" i="96"/>
  <c r="D40" i="96"/>
  <c r="D40" i="114" s="1"/>
  <c r="AL110" i="25"/>
  <c r="X110" i="25" s="1"/>
  <c r="AM110" i="25"/>
  <c r="Y110" i="25" s="1"/>
  <c r="AN110" i="25"/>
  <c r="Z110" i="25" s="1"/>
  <c r="AG110" i="25"/>
  <c r="S110" i="25" s="1"/>
  <c r="AC110" i="25"/>
  <c r="O110" i="25" s="1"/>
  <c r="AK110" i="25"/>
  <c r="W110" i="25" s="1"/>
  <c r="AD110" i="25"/>
  <c r="P110" i="25" s="1"/>
  <c r="AF110" i="25"/>
  <c r="R110" i="25" s="1"/>
  <c r="AJ110" i="25"/>
  <c r="V110" i="25" s="1"/>
  <c r="AE110" i="25"/>
  <c r="Q110" i="25" s="1"/>
  <c r="AH110" i="25"/>
  <c r="T110" i="25" s="1"/>
  <c r="AI110" i="25"/>
  <c r="U110" i="25" s="1"/>
  <c r="K67" i="103"/>
  <c r="C96" i="25"/>
  <c r="D96" i="25" s="1"/>
  <c r="H96" i="25" s="1"/>
  <c r="F22" i="25"/>
  <c r="C58" i="25"/>
  <c r="D58" i="25" s="1"/>
  <c r="H58" i="25" s="1"/>
  <c r="C99" i="97"/>
  <c r="F22" i="97"/>
  <c r="C58" i="97"/>
  <c r="F22" i="98"/>
  <c r="C58" i="98"/>
  <c r="S98" i="25"/>
  <c r="O98" i="25"/>
  <c r="J24" i="25"/>
  <c r="M30" i="96" s="1"/>
  <c r="T61" i="25"/>
  <c r="S61" i="25"/>
  <c r="R61" i="25"/>
  <c r="V61" i="25"/>
  <c r="U61" i="25"/>
  <c r="O61" i="25"/>
  <c r="W61" i="25"/>
  <c r="Z61" i="25"/>
  <c r="Y61" i="25"/>
  <c r="P61" i="25"/>
  <c r="X61" i="25"/>
  <c r="Q61" i="25"/>
  <c r="R98" i="25"/>
  <c r="Z98" i="25"/>
  <c r="U98" i="25"/>
  <c r="W99" i="25"/>
  <c r="Q98" i="25"/>
  <c r="Y98" i="25"/>
  <c r="X98" i="25"/>
  <c r="P98" i="25"/>
  <c r="T98" i="25"/>
  <c r="V98" i="25"/>
  <c r="AM27" i="96" l="1"/>
  <c r="AM27" i="114" s="1"/>
  <c r="AI27" i="114"/>
  <c r="D110" i="25"/>
  <c r="H110" i="25" s="1"/>
  <c r="D98" i="25"/>
  <c r="H98" i="25" s="1"/>
  <c r="C21" i="97"/>
  <c r="C21" i="98"/>
  <c r="C21" i="25"/>
  <c r="D35" i="25"/>
  <c r="D42" i="96"/>
  <c r="D42" i="114" s="1"/>
  <c r="D43" i="96"/>
  <c r="D43" i="114" s="1"/>
  <c r="AK111" i="25"/>
  <c r="W111" i="25" s="1"/>
  <c r="AC111" i="25"/>
  <c r="O111" i="25" s="1"/>
  <c r="AD111" i="25"/>
  <c r="P111" i="25" s="1"/>
  <c r="AF111" i="25"/>
  <c r="R111" i="25" s="1"/>
  <c r="AE111" i="25"/>
  <c r="Q111" i="25" s="1"/>
  <c r="AL111" i="25"/>
  <c r="X111" i="25" s="1"/>
  <c r="AG111" i="25"/>
  <c r="S111" i="25" s="1"/>
  <c r="AM111" i="25"/>
  <c r="Y111" i="25" s="1"/>
  <c r="AN111" i="25"/>
  <c r="Z111" i="25" s="1"/>
  <c r="AI111" i="25"/>
  <c r="U111" i="25" s="1"/>
  <c r="AJ111" i="25"/>
  <c r="V111" i="25" s="1"/>
  <c r="AH111" i="25"/>
  <c r="T111" i="25" s="1"/>
  <c r="K68" i="103"/>
  <c r="F23" i="98"/>
  <c r="C59" i="98"/>
  <c r="F23" i="97"/>
  <c r="C59" i="97"/>
  <c r="F23" i="25"/>
  <c r="C59" i="25"/>
  <c r="D59" i="25" s="1"/>
  <c r="H59" i="25" s="1"/>
  <c r="C100" i="97"/>
  <c r="S99" i="25"/>
  <c r="O99" i="25"/>
  <c r="J25" i="25"/>
  <c r="M31" i="96" s="1"/>
  <c r="U62" i="25"/>
  <c r="P62" i="25"/>
  <c r="X62" i="25"/>
  <c r="Y62" i="25"/>
  <c r="Z62" i="25"/>
  <c r="O62" i="25"/>
  <c r="R62" i="25"/>
  <c r="T62" i="25"/>
  <c r="W62" i="25"/>
  <c r="S62" i="25"/>
  <c r="Q62" i="25"/>
  <c r="V62" i="25"/>
  <c r="Y99" i="25"/>
  <c r="Q99" i="25"/>
  <c r="T99" i="25"/>
  <c r="P99" i="25"/>
  <c r="Z99" i="25"/>
  <c r="R99" i="25"/>
  <c r="V99" i="25"/>
  <c r="X99" i="25"/>
  <c r="U99" i="25"/>
  <c r="D99" i="25" l="1"/>
  <c r="H99" i="25" s="1"/>
  <c r="D111" i="25"/>
  <c r="H111" i="25" s="1"/>
  <c r="C22" i="98"/>
  <c r="C22" i="97"/>
  <c r="D36" i="25"/>
  <c r="C22" i="25"/>
  <c r="D44" i="96"/>
  <c r="D44" i="114" s="1"/>
  <c r="AF112" i="25"/>
  <c r="R112" i="25" s="1"/>
  <c r="AG112" i="25"/>
  <c r="S112" i="25" s="1"/>
  <c r="AC112" i="25"/>
  <c r="O112" i="25" s="1"/>
  <c r="AH112" i="25"/>
  <c r="T112" i="25" s="1"/>
  <c r="AJ112" i="25"/>
  <c r="V112" i="25" s="1"/>
  <c r="AE112" i="25"/>
  <c r="Q112" i="25" s="1"/>
  <c r="AI112" i="25"/>
  <c r="U112" i="25" s="1"/>
  <c r="AL112" i="25"/>
  <c r="X112" i="25" s="1"/>
  <c r="AK112" i="25"/>
  <c r="W112" i="25" s="1"/>
  <c r="AM112" i="25"/>
  <c r="Y112" i="25" s="1"/>
  <c r="AN112" i="25"/>
  <c r="Z112" i="25" s="1"/>
  <c r="AD112" i="25"/>
  <c r="P112" i="25" s="1"/>
  <c r="K70" i="103"/>
  <c r="K69" i="103"/>
  <c r="F24" i="97"/>
  <c r="C60" i="97"/>
  <c r="C101" i="97"/>
  <c r="F24" i="25"/>
  <c r="C60" i="25"/>
  <c r="D60" i="25" s="1"/>
  <c r="H60" i="25" s="1"/>
  <c r="F24" i="98"/>
  <c r="C60" i="98"/>
  <c r="J26" i="25"/>
  <c r="M32" i="96" s="1"/>
  <c r="W101" i="25"/>
  <c r="D112" i="25" l="1"/>
  <c r="H112" i="25" s="1"/>
  <c r="C23" i="97"/>
  <c r="C23" i="98"/>
  <c r="C23" i="25"/>
  <c r="D37" i="25"/>
  <c r="D45" i="96"/>
  <c r="D45" i="114" s="1"/>
  <c r="AD114" i="25"/>
  <c r="P114" i="25" s="1"/>
  <c r="AI114" i="25"/>
  <c r="U114" i="25" s="1"/>
  <c r="AC114" i="25"/>
  <c r="O114" i="25" s="1"/>
  <c r="AK114" i="25"/>
  <c r="W114" i="25" s="1"/>
  <c r="AM114" i="25"/>
  <c r="Y114" i="25" s="1"/>
  <c r="AL114" i="25"/>
  <c r="X114" i="25" s="1"/>
  <c r="AN114" i="25"/>
  <c r="Z114" i="25" s="1"/>
  <c r="AF114" i="25"/>
  <c r="R114" i="25" s="1"/>
  <c r="AE114" i="25"/>
  <c r="Q114" i="25" s="1"/>
  <c r="AG114" i="25"/>
  <c r="S114" i="25" s="1"/>
  <c r="AH114" i="25"/>
  <c r="T114" i="25" s="1"/>
  <c r="AJ114" i="25"/>
  <c r="V114" i="25" s="1"/>
  <c r="AE113" i="25"/>
  <c r="Q113" i="25" s="1"/>
  <c r="AI113" i="25"/>
  <c r="U113" i="25" s="1"/>
  <c r="AF113" i="25"/>
  <c r="R113" i="25" s="1"/>
  <c r="AK113" i="25"/>
  <c r="W113" i="25" s="1"/>
  <c r="AG113" i="25"/>
  <c r="S113" i="25" s="1"/>
  <c r="AH113" i="25"/>
  <c r="T113" i="25" s="1"/>
  <c r="AJ113" i="25"/>
  <c r="V113" i="25" s="1"/>
  <c r="AM113" i="25"/>
  <c r="Y113" i="25" s="1"/>
  <c r="AD113" i="25"/>
  <c r="P113" i="25" s="1"/>
  <c r="AL113" i="25"/>
  <c r="X113" i="25" s="1"/>
  <c r="AN113" i="25"/>
  <c r="Z113" i="25" s="1"/>
  <c r="AC113" i="25"/>
  <c r="O113" i="25" s="1"/>
  <c r="F25" i="98"/>
  <c r="C61" i="98"/>
  <c r="C102" i="97"/>
  <c r="F25" i="25"/>
  <c r="C61" i="25"/>
  <c r="D61" i="25" s="1"/>
  <c r="H61" i="25" s="1"/>
  <c r="F25" i="97"/>
  <c r="C61" i="97"/>
  <c r="S101" i="25"/>
  <c r="O101" i="25"/>
  <c r="U14" i="96"/>
  <c r="J27" i="25"/>
  <c r="M33" i="96" s="1"/>
  <c r="G14" i="96"/>
  <c r="U64" i="25"/>
  <c r="R64" i="25"/>
  <c r="P64" i="25"/>
  <c r="Q64" i="25"/>
  <c r="V64" i="25"/>
  <c r="Y64" i="25"/>
  <c r="S64" i="25"/>
  <c r="X64" i="25"/>
  <c r="W64" i="25"/>
  <c r="O64" i="25"/>
  <c r="T64" i="25"/>
  <c r="Z64" i="25"/>
  <c r="Q101" i="25"/>
  <c r="Z101" i="25"/>
  <c r="T101" i="25"/>
  <c r="W102" i="25"/>
  <c r="U101" i="25"/>
  <c r="X101" i="25"/>
  <c r="P101" i="25"/>
  <c r="R101" i="25"/>
  <c r="Y101" i="25"/>
  <c r="V101" i="25"/>
  <c r="Y14" i="96" l="1"/>
  <c r="Y14" i="114" s="1"/>
  <c r="U14" i="114"/>
  <c r="D114" i="25"/>
  <c r="H114" i="25" s="1"/>
  <c r="D113" i="25"/>
  <c r="H113" i="25" s="1"/>
  <c r="D101" i="25"/>
  <c r="H101" i="25" s="1"/>
  <c r="D64" i="25"/>
  <c r="H64" i="25" s="1"/>
  <c r="C24" i="98"/>
  <c r="C24" i="97"/>
  <c r="C24" i="25"/>
  <c r="D38" i="25"/>
  <c r="K14" i="96"/>
  <c r="K14" i="114" s="1"/>
  <c r="G14" i="114"/>
  <c r="H8" i="25"/>
  <c r="H8" i="97"/>
  <c r="D46" i="96"/>
  <c r="D46" i="114" s="1"/>
  <c r="C104" i="97"/>
  <c r="C103" i="97"/>
  <c r="F26" i="97"/>
  <c r="C62" i="97"/>
  <c r="F26" i="25"/>
  <c r="C62" i="25"/>
  <c r="D62" i="25" s="1"/>
  <c r="H62" i="25" s="1"/>
  <c r="F26" i="98"/>
  <c r="C62" i="98"/>
  <c r="S102" i="25"/>
  <c r="O102" i="25"/>
  <c r="J28" i="25"/>
  <c r="M34" i="96" s="1"/>
  <c r="G15" i="96"/>
  <c r="X65" i="25"/>
  <c r="S65" i="25"/>
  <c r="V65" i="25"/>
  <c r="P65" i="25"/>
  <c r="R65" i="25"/>
  <c r="Z65" i="25"/>
  <c r="W65" i="25"/>
  <c r="O65" i="25"/>
  <c r="Y65" i="25"/>
  <c r="Q65" i="25"/>
  <c r="U65" i="25"/>
  <c r="T65" i="25"/>
  <c r="T102" i="25"/>
  <c r="Z102" i="25"/>
  <c r="R102" i="25"/>
  <c r="P102" i="25"/>
  <c r="U102" i="25"/>
  <c r="W103" i="25"/>
  <c r="Q102" i="25"/>
  <c r="V102" i="25"/>
  <c r="Y102" i="25"/>
  <c r="X102" i="25"/>
  <c r="D102" i="25" l="1"/>
  <c r="H102" i="25" s="1"/>
  <c r="D65" i="25"/>
  <c r="H65" i="25" s="1"/>
  <c r="C25" i="98"/>
  <c r="C25" i="97"/>
  <c r="D39" i="25"/>
  <c r="D40" i="25"/>
  <c r="C25" i="25"/>
  <c r="G15" i="114"/>
  <c r="K15" i="96"/>
  <c r="K15" i="114" s="1"/>
  <c r="Q14" i="114"/>
  <c r="AE14" i="96"/>
  <c r="AE14" i="114" s="1"/>
  <c r="C14" i="96"/>
  <c r="C14" i="114" s="1"/>
  <c r="Q14" i="96"/>
  <c r="F115" i="97"/>
  <c r="F27" i="98"/>
  <c r="C63" i="98"/>
  <c r="F27" i="25"/>
  <c r="C63" i="25"/>
  <c r="F27" i="97"/>
  <c r="C63" i="97"/>
  <c r="S103" i="25"/>
  <c r="O103" i="25"/>
  <c r="U15" i="96"/>
  <c r="J29" i="25"/>
  <c r="Q66" i="25"/>
  <c r="O66" i="25"/>
  <c r="W66" i="25"/>
  <c r="P66" i="25"/>
  <c r="S66" i="25"/>
  <c r="R66" i="25"/>
  <c r="U66" i="25"/>
  <c r="V66" i="25"/>
  <c r="X66" i="25"/>
  <c r="T66" i="25"/>
  <c r="Y66" i="25"/>
  <c r="Z66" i="25"/>
  <c r="X103" i="25"/>
  <c r="Z103" i="25"/>
  <c r="Y103" i="25"/>
  <c r="V103" i="25"/>
  <c r="R103" i="25"/>
  <c r="T103" i="25"/>
  <c r="P103" i="25"/>
  <c r="Q103" i="25"/>
  <c r="U103" i="25"/>
  <c r="Y15" i="96" l="1"/>
  <c r="Y15" i="114" s="1"/>
  <c r="U15" i="114"/>
  <c r="D66" i="25"/>
  <c r="H66" i="25" s="1"/>
  <c r="D103" i="25"/>
  <c r="H103" i="25" s="1"/>
  <c r="C26" i="97"/>
  <c r="C26" i="98"/>
  <c r="D8" i="25"/>
  <c r="J30" i="25"/>
  <c r="M36" i="96" s="1"/>
  <c r="M35" i="96"/>
  <c r="C26" i="25"/>
  <c r="Q15" i="114"/>
  <c r="R14" i="114"/>
  <c r="AF14" i="96"/>
  <c r="AF14" i="114" s="1"/>
  <c r="R14" i="96"/>
  <c r="AE15" i="96"/>
  <c r="AE15" i="114" s="1"/>
  <c r="Q15" i="96"/>
  <c r="D14" i="96"/>
  <c r="D14" i="114" s="1"/>
  <c r="F28" i="97"/>
  <c r="C64" i="97"/>
  <c r="F28" i="98"/>
  <c r="C64" i="98"/>
  <c r="C27" i="97" l="1"/>
  <c r="C27" i="98"/>
  <c r="J31" i="25"/>
  <c r="M37" i="96" s="1"/>
  <c r="D9" i="25"/>
  <c r="Q16" i="114"/>
  <c r="R15" i="114"/>
  <c r="AF15" i="96"/>
  <c r="AF15" i="114" s="1"/>
  <c r="Q16" i="96"/>
  <c r="AE16" i="96"/>
  <c r="AE16" i="114" s="1"/>
  <c r="R15" i="96"/>
  <c r="D15" i="96"/>
  <c r="D15" i="114" s="1"/>
  <c r="J32" i="25"/>
  <c r="M38" i="96" s="1"/>
  <c r="F28" i="25"/>
  <c r="F115" i="25"/>
  <c r="C65" i="98"/>
  <c r="C65" i="97"/>
  <c r="AI16" i="96"/>
  <c r="U16" i="96"/>
  <c r="Y16" i="96" l="1"/>
  <c r="Y16" i="114" s="1"/>
  <c r="U16" i="114"/>
  <c r="AM16" i="96"/>
  <c r="AM16" i="114" s="1"/>
  <c r="AI16" i="114"/>
  <c r="C28" i="97"/>
  <c r="C28" i="98"/>
  <c r="R16" i="114"/>
  <c r="R16" i="96"/>
  <c r="AF16" i="96"/>
  <c r="AF16" i="114" s="1"/>
  <c r="J33" i="25"/>
  <c r="M39" i="96" s="1"/>
  <c r="C67" i="98"/>
  <c r="F30" i="98"/>
  <c r="F30" i="97"/>
  <c r="C67" i="97"/>
  <c r="F29" i="25"/>
  <c r="C66" i="97"/>
  <c r="F29" i="97"/>
  <c r="C66" i="98"/>
  <c r="F29" i="98"/>
  <c r="C30" i="98" l="1"/>
  <c r="C29" i="98"/>
  <c r="C29" i="97"/>
  <c r="C30" i="97"/>
  <c r="Q36" i="114"/>
  <c r="AE36" i="96"/>
  <c r="AE36" i="114" s="1"/>
  <c r="Q36" i="96"/>
  <c r="F78" i="98"/>
  <c r="F78" i="97"/>
  <c r="J34" i="25"/>
  <c r="U36" i="96"/>
  <c r="AI36" i="96"/>
  <c r="Y36" i="96" l="1"/>
  <c r="Y36" i="114" s="1"/>
  <c r="U36" i="114"/>
  <c r="AM36" i="96"/>
  <c r="AM36" i="114" s="1"/>
  <c r="AI36" i="114"/>
  <c r="J35" i="25"/>
  <c r="M41" i="96" s="1"/>
  <c r="M40" i="96"/>
  <c r="F78" i="25"/>
  <c r="F30" i="25"/>
  <c r="G36" i="96" s="1"/>
  <c r="R36" i="114"/>
  <c r="AF36" i="96"/>
  <c r="AF36" i="114" s="1"/>
  <c r="R36" i="96"/>
  <c r="J36" i="25"/>
  <c r="M42" i="96" s="1"/>
  <c r="D30" i="25" l="1"/>
  <c r="G36" i="114"/>
  <c r="K36" i="96"/>
  <c r="K36" i="114" s="1"/>
  <c r="D36" i="96"/>
  <c r="D36" i="114" s="1"/>
  <c r="J37" i="25"/>
  <c r="M43" i="96" s="1"/>
  <c r="J38" i="25" l="1"/>
  <c r="M44" i="96" s="1"/>
  <c r="J39" i="25" l="1"/>
  <c r="M45" i="96" s="1"/>
  <c r="J40" i="25" l="1"/>
  <c r="M46" i="96" s="1"/>
  <c r="J41" i="25" l="1"/>
  <c r="E14" i="96" l="1"/>
  <c r="E14" i="114" s="1"/>
  <c r="M47" i="96"/>
  <c r="I14" i="96" l="1"/>
  <c r="I14" i="114" s="1"/>
  <c r="G8" i="25"/>
  <c r="E15" i="96"/>
  <c r="E15" i="114" s="1"/>
  <c r="I15" i="96" l="1"/>
  <c r="I15" i="114" s="1"/>
  <c r="G9" i="25"/>
  <c r="L14" i="96"/>
  <c r="H14" i="96"/>
  <c r="H14" i="114" s="1"/>
  <c r="N14" i="96" l="1"/>
  <c r="L14" i="114"/>
  <c r="K71" i="103" l="1"/>
  <c r="AJ45" i="97" l="1"/>
  <c r="V45" i="97" s="1"/>
  <c r="AN45" i="97"/>
  <c r="Z45" i="97" s="1"/>
  <c r="AK45" i="97"/>
  <c r="W45" i="97" s="1"/>
  <c r="AM45" i="97"/>
  <c r="Y45" i="97" s="1"/>
  <c r="AD45" i="97"/>
  <c r="P45" i="97" s="1"/>
  <c r="AF45" i="97"/>
  <c r="R45" i="97" s="1"/>
  <c r="AE45" i="97"/>
  <c r="Q45" i="97" s="1"/>
  <c r="AH45" i="97"/>
  <c r="T45" i="97" s="1"/>
  <c r="AL45" i="97"/>
  <c r="X45" i="97" s="1"/>
  <c r="AI45" i="97"/>
  <c r="U45" i="97" s="1"/>
  <c r="AG45" i="97"/>
  <c r="S45" i="97" s="1"/>
  <c r="AC45" i="97"/>
  <c r="O45" i="97" s="1"/>
  <c r="K72" i="103"/>
  <c r="D45" i="97" l="1"/>
  <c r="H45" i="97" s="1"/>
  <c r="AJ46" i="97"/>
  <c r="V46" i="97" s="1"/>
  <c r="AG46" i="97"/>
  <c r="S46" i="97" s="1"/>
  <c r="AC46" i="97"/>
  <c r="O46" i="97" s="1"/>
  <c r="AF46" i="97"/>
  <c r="R46" i="97" s="1"/>
  <c r="AL46" i="97"/>
  <c r="X46" i="97" s="1"/>
  <c r="AN46" i="97"/>
  <c r="Z46" i="97" s="1"/>
  <c r="AE46" i="97"/>
  <c r="Q46" i="97" s="1"/>
  <c r="AK46" i="97"/>
  <c r="W46" i="97" s="1"/>
  <c r="AM46" i="97"/>
  <c r="Y46" i="97" s="1"/>
  <c r="AH46" i="97"/>
  <c r="T46" i="97" s="1"/>
  <c r="AI46" i="97"/>
  <c r="U46" i="97" s="1"/>
  <c r="AD46" i="97"/>
  <c r="P46" i="97" s="1"/>
  <c r="K73" i="103"/>
  <c r="D46" i="97" l="1"/>
  <c r="H46" i="97" s="1"/>
  <c r="AI47" i="97"/>
  <c r="U47" i="97" s="1"/>
  <c r="AC47" i="97"/>
  <c r="O47" i="97" s="1"/>
  <c r="AK47" i="97"/>
  <c r="W47" i="97" s="1"/>
  <c r="AE47" i="97"/>
  <c r="Q47" i="97" s="1"/>
  <c r="AM47" i="97"/>
  <c r="Y47" i="97" s="1"/>
  <c r="AN47" i="97"/>
  <c r="Z47" i="97" s="1"/>
  <c r="AF47" i="97"/>
  <c r="R47" i="97" s="1"/>
  <c r="AH47" i="97"/>
  <c r="T47" i="97" s="1"/>
  <c r="AD47" i="97"/>
  <c r="P47" i="97" s="1"/>
  <c r="AL47" i="97"/>
  <c r="X47" i="97" s="1"/>
  <c r="AJ47" i="97"/>
  <c r="V47" i="97" s="1"/>
  <c r="AG47" i="97"/>
  <c r="S47" i="97" s="1"/>
  <c r="K74" i="103"/>
  <c r="D47" i="97" l="1"/>
  <c r="H47" i="97" s="1"/>
  <c r="AE48" i="97"/>
  <c r="Q48" i="97" s="1"/>
  <c r="AL48" i="97"/>
  <c r="X48" i="97" s="1"/>
  <c r="AN48" i="97"/>
  <c r="Z48" i="97" s="1"/>
  <c r="AJ48" i="97"/>
  <c r="V48" i="97" s="1"/>
  <c r="AF48" i="97"/>
  <c r="R48" i="97" s="1"/>
  <c r="AI48" i="97"/>
  <c r="U48" i="97" s="1"/>
  <c r="AM48" i="97"/>
  <c r="Y48" i="97" s="1"/>
  <c r="AG48" i="97"/>
  <c r="S48" i="97" s="1"/>
  <c r="AC48" i="97"/>
  <c r="O48" i="97" s="1"/>
  <c r="AD48" i="97"/>
  <c r="P48" i="97" s="1"/>
  <c r="AK48" i="97"/>
  <c r="W48" i="97" s="1"/>
  <c r="AH48" i="97"/>
  <c r="T48" i="97" s="1"/>
  <c r="E36" i="96"/>
  <c r="E36" i="114" s="1"/>
  <c r="K75" i="103"/>
  <c r="D48" i="97" l="1"/>
  <c r="H48" i="97" s="1"/>
  <c r="I36" i="96"/>
  <c r="I36" i="114" s="1"/>
  <c r="G30" i="25"/>
  <c r="AJ49" i="97"/>
  <c r="V49" i="97" s="1"/>
  <c r="AM49" i="97"/>
  <c r="Y49" i="97" s="1"/>
  <c r="AF49" i="97"/>
  <c r="R49" i="97" s="1"/>
  <c r="AK49" i="97"/>
  <c r="W49" i="97" s="1"/>
  <c r="AN49" i="97"/>
  <c r="Z49" i="97" s="1"/>
  <c r="AE49" i="97"/>
  <c r="Q49" i="97" s="1"/>
  <c r="AH49" i="97"/>
  <c r="T49" i="97" s="1"/>
  <c r="AI49" i="97"/>
  <c r="U49" i="97" s="1"/>
  <c r="AL49" i="97"/>
  <c r="X49" i="97" s="1"/>
  <c r="AG49" i="97"/>
  <c r="S49" i="97" s="1"/>
  <c r="AD49" i="97"/>
  <c r="P49" i="97" s="1"/>
  <c r="AC49" i="97"/>
  <c r="O49" i="97" s="1"/>
  <c r="E38" i="96"/>
  <c r="E38" i="114" s="1"/>
  <c r="E37" i="96"/>
  <c r="E37" i="114" s="1"/>
  <c r="K76" i="103"/>
  <c r="D49" i="97" l="1"/>
  <c r="H49" i="97" s="1"/>
  <c r="I38" i="96"/>
  <c r="I38" i="114" s="1"/>
  <c r="I37" i="96"/>
  <c r="I37" i="114" s="1"/>
  <c r="G31" i="25"/>
  <c r="G32" i="25"/>
  <c r="AK50" i="97"/>
  <c r="W50" i="97" s="1"/>
  <c r="AF50" i="97"/>
  <c r="R50" i="97" s="1"/>
  <c r="AD50" i="97"/>
  <c r="P50" i="97" s="1"/>
  <c r="AM50" i="97"/>
  <c r="Y50" i="97" s="1"/>
  <c r="AG50" i="97"/>
  <c r="S50" i="97" s="1"/>
  <c r="AJ50" i="97"/>
  <c r="V50" i="97" s="1"/>
  <c r="AL50" i="97"/>
  <c r="X50" i="97" s="1"/>
  <c r="AI50" i="97"/>
  <c r="U50" i="97" s="1"/>
  <c r="AN50" i="97"/>
  <c r="Z50" i="97" s="1"/>
  <c r="AE50" i="97"/>
  <c r="Q50" i="97" s="1"/>
  <c r="AH50" i="97"/>
  <c r="T50" i="97" s="1"/>
  <c r="AC50" i="97"/>
  <c r="O50" i="97" s="1"/>
  <c r="K77" i="103"/>
  <c r="D50" i="97" l="1"/>
  <c r="H50" i="97" s="1"/>
  <c r="AJ51" i="97"/>
  <c r="V51" i="97" s="1"/>
  <c r="AD51" i="97"/>
  <c r="P51" i="97" s="1"/>
  <c r="AM51" i="97"/>
  <c r="Y51" i="97" s="1"/>
  <c r="AH51" i="97"/>
  <c r="T51" i="97" s="1"/>
  <c r="AC51" i="97"/>
  <c r="O51" i="97" s="1"/>
  <c r="AE51" i="97"/>
  <c r="Q51" i="97" s="1"/>
  <c r="AN51" i="97"/>
  <c r="Z51" i="97" s="1"/>
  <c r="AF51" i="97"/>
  <c r="R51" i="97" s="1"/>
  <c r="AI51" i="97"/>
  <c r="U51" i="97" s="1"/>
  <c r="AL51" i="97"/>
  <c r="X51" i="97" s="1"/>
  <c r="AG51" i="97"/>
  <c r="S51" i="97" s="1"/>
  <c r="AK51" i="97"/>
  <c r="W51" i="97" s="1"/>
  <c r="E39" i="96"/>
  <c r="E39" i="114" s="1"/>
  <c r="K78" i="103"/>
  <c r="D51" i="97" l="1"/>
  <c r="H51" i="97" s="1"/>
  <c r="I39" i="96"/>
  <c r="I39" i="114" s="1"/>
  <c r="G33" i="25"/>
  <c r="AJ52" i="97"/>
  <c r="V52" i="97" s="1"/>
  <c r="AN52" i="97"/>
  <c r="Z52" i="97" s="1"/>
  <c r="AM52" i="97"/>
  <c r="Y52" i="97" s="1"/>
  <c r="AD52" i="97"/>
  <c r="P52" i="97" s="1"/>
  <c r="AE52" i="97"/>
  <c r="Q52" i="97" s="1"/>
  <c r="AF52" i="97"/>
  <c r="R52" i="97" s="1"/>
  <c r="AI52" i="97"/>
  <c r="U52" i="97" s="1"/>
  <c r="AK52" i="97"/>
  <c r="W52" i="97" s="1"/>
  <c r="AL52" i="97"/>
  <c r="X52" i="97" s="1"/>
  <c r="AG52" i="97"/>
  <c r="S52" i="97" s="1"/>
  <c r="AC52" i="97"/>
  <c r="O52" i="97" s="1"/>
  <c r="AH52" i="97"/>
  <c r="T52" i="97" s="1"/>
  <c r="E40" i="96"/>
  <c r="E40" i="114" s="1"/>
  <c r="K79" i="103"/>
  <c r="D52" i="97" l="1"/>
  <c r="H52" i="97" s="1"/>
  <c r="I40" i="96"/>
  <c r="I40" i="114" s="1"/>
  <c r="G34" i="25"/>
  <c r="AJ53" i="97"/>
  <c r="V53" i="97" s="1"/>
  <c r="AD53" i="97"/>
  <c r="P53" i="97" s="1"/>
  <c r="AC53" i="97"/>
  <c r="O53" i="97" s="1"/>
  <c r="AF53" i="97"/>
  <c r="R53" i="97" s="1"/>
  <c r="AM53" i="97"/>
  <c r="Y53" i="97" s="1"/>
  <c r="AK53" i="97"/>
  <c r="W53" i="97" s="1"/>
  <c r="AI53" i="97"/>
  <c r="U53" i="97" s="1"/>
  <c r="AN53" i="97"/>
  <c r="Z53" i="97" s="1"/>
  <c r="AL53" i="97"/>
  <c r="X53" i="97" s="1"/>
  <c r="AE53" i="97"/>
  <c r="Q53" i="97" s="1"/>
  <c r="AG53" i="97"/>
  <c r="S53" i="97" s="1"/>
  <c r="AH53" i="97"/>
  <c r="T53" i="97" s="1"/>
  <c r="E41" i="96"/>
  <c r="E41" i="114" s="1"/>
  <c r="K80" i="103"/>
  <c r="D53" i="97" l="1"/>
  <c r="H53" i="97" s="1"/>
  <c r="I41" i="96"/>
  <c r="I41" i="114" s="1"/>
  <c r="G35" i="25"/>
  <c r="AF54" i="97"/>
  <c r="R54" i="97" s="1"/>
  <c r="AJ54" i="97"/>
  <c r="V54" i="97" s="1"/>
  <c r="AK54" i="97"/>
  <c r="W54" i="97" s="1"/>
  <c r="AI54" i="97"/>
  <c r="U54" i="97" s="1"/>
  <c r="AM54" i="97"/>
  <c r="Y54" i="97" s="1"/>
  <c r="AC54" i="97"/>
  <c r="O54" i="97" s="1"/>
  <c r="AH54" i="97"/>
  <c r="T54" i="97" s="1"/>
  <c r="AG54" i="97"/>
  <c r="S54" i="97" s="1"/>
  <c r="AN54" i="97"/>
  <c r="Z54" i="97" s="1"/>
  <c r="AL54" i="97"/>
  <c r="X54" i="97" s="1"/>
  <c r="AE54" i="97"/>
  <c r="Q54" i="97" s="1"/>
  <c r="AD54" i="97"/>
  <c r="P54" i="97" s="1"/>
  <c r="E42" i="96"/>
  <c r="E42" i="114" s="1"/>
  <c r="K81" i="103"/>
  <c r="D54" i="97" l="1"/>
  <c r="H54" i="97" s="1"/>
  <c r="I42" i="96"/>
  <c r="I42" i="114" s="1"/>
  <c r="G36" i="25"/>
  <c r="E43" i="96"/>
  <c r="E43" i="114" s="1"/>
  <c r="AD55" i="97"/>
  <c r="P55" i="97" s="1"/>
  <c r="AM55" i="97"/>
  <c r="Y55" i="97" s="1"/>
  <c r="AI55" i="97"/>
  <c r="U55" i="97" s="1"/>
  <c r="AG55" i="97"/>
  <c r="S55" i="97" s="1"/>
  <c r="AE55" i="97"/>
  <c r="Q55" i="97" s="1"/>
  <c r="AJ55" i="97"/>
  <c r="V55" i="97" s="1"/>
  <c r="AK55" i="97"/>
  <c r="W55" i="97" s="1"/>
  <c r="AN55" i="97"/>
  <c r="Z55" i="97" s="1"/>
  <c r="AL55" i="97"/>
  <c r="X55" i="97" s="1"/>
  <c r="AC55" i="97"/>
  <c r="O55" i="97" s="1"/>
  <c r="AF55" i="97"/>
  <c r="R55" i="97" s="1"/>
  <c r="AH55" i="97"/>
  <c r="T55" i="97" s="1"/>
  <c r="K82" i="103"/>
  <c r="D55" i="97" l="1"/>
  <c r="H55" i="97" s="1"/>
  <c r="I43" i="96"/>
  <c r="I43" i="114" s="1"/>
  <c r="G37" i="25"/>
  <c r="AK56" i="97"/>
  <c r="W56" i="97" s="1"/>
  <c r="AM56" i="97"/>
  <c r="Y56" i="97" s="1"/>
  <c r="AC56" i="97"/>
  <c r="O56" i="97" s="1"/>
  <c r="AE56" i="97"/>
  <c r="Q56" i="97" s="1"/>
  <c r="AN56" i="97"/>
  <c r="Z56" i="97" s="1"/>
  <c r="AJ56" i="97"/>
  <c r="V56" i="97" s="1"/>
  <c r="AF56" i="97"/>
  <c r="R56" i="97" s="1"/>
  <c r="AL56" i="97"/>
  <c r="X56" i="97" s="1"/>
  <c r="AH56" i="97"/>
  <c r="T56" i="97" s="1"/>
  <c r="AD56" i="97"/>
  <c r="P56" i="97" s="1"/>
  <c r="AI56" i="97"/>
  <c r="U56" i="97" s="1"/>
  <c r="AG56" i="97"/>
  <c r="S56" i="97" s="1"/>
  <c r="E44" i="96"/>
  <c r="E44" i="114" s="1"/>
  <c r="E46" i="96"/>
  <c r="E46" i="114" s="1"/>
  <c r="K83" i="103"/>
  <c r="D56" i="97" l="1"/>
  <c r="H56" i="97" s="1"/>
  <c r="I46" i="96"/>
  <c r="I46" i="114" s="1"/>
  <c r="I44" i="96"/>
  <c r="I44" i="114" s="1"/>
  <c r="G40" i="25"/>
  <c r="G38" i="25"/>
  <c r="AH57" i="97"/>
  <c r="T57" i="97" s="1"/>
  <c r="AF57" i="97"/>
  <c r="R57" i="97" s="1"/>
  <c r="AD57" i="97"/>
  <c r="P57" i="97" s="1"/>
  <c r="AM57" i="97"/>
  <c r="Y57" i="97" s="1"/>
  <c r="AE57" i="97"/>
  <c r="Q57" i="97" s="1"/>
  <c r="AK57" i="97"/>
  <c r="W57" i="97" s="1"/>
  <c r="AC57" i="97"/>
  <c r="O57" i="97" s="1"/>
  <c r="AI57" i="97"/>
  <c r="U57" i="97" s="1"/>
  <c r="AG57" i="97"/>
  <c r="S57" i="97" s="1"/>
  <c r="AL57" i="97"/>
  <c r="X57" i="97" s="1"/>
  <c r="AN57" i="97"/>
  <c r="Z57" i="97" s="1"/>
  <c r="AJ57" i="97"/>
  <c r="V57" i="97" s="1"/>
  <c r="E45" i="96"/>
  <c r="E45" i="114" s="1"/>
  <c r="K84" i="103"/>
  <c r="D57" i="97" l="1"/>
  <c r="H57" i="97" s="1"/>
  <c r="I45" i="96"/>
  <c r="I45" i="114" s="1"/>
  <c r="G39" i="25"/>
  <c r="AM58" i="97"/>
  <c r="Y58" i="97" s="1"/>
  <c r="AG58" i="97"/>
  <c r="S58" i="97" s="1"/>
  <c r="AI58" i="97"/>
  <c r="U58" i="97" s="1"/>
  <c r="AE58" i="97"/>
  <c r="Q58" i="97" s="1"/>
  <c r="AC58" i="97"/>
  <c r="O58" i="97" s="1"/>
  <c r="AN58" i="97"/>
  <c r="Z58" i="97" s="1"/>
  <c r="AK58" i="97"/>
  <c r="W58" i="97" s="1"/>
  <c r="AJ58" i="97"/>
  <c r="V58" i="97" s="1"/>
  <c r="AF58" i="97"/>
  <c r="R58" i="97" s="1"/>
  <c r="AL58" i="97"/>
  <c r="X58" i="97" s="1"/>
  <c r="AH58" i="97"/>
  <c r="T58" i="97" s="1"/>
  <c r="AD58" i="97"/>
  <c r="P58" i="97" s="1"/>
  <c r="K85" i="103"/>
  <c r="D58" i="97" l="1"/>
  <c r="H58" i="97" s="1"/>
  <c r="AK59" i="97"/>
  <c r="W59" i="97" s="1"/>
  <c r="AG59" i="97"/>
  <c r="S59" i="97" s="1"/>
  <c r="AM59" i="97"/>
  <c r="Y59" i="97" s="1"/>
  <c r="AN59" i="97"/>
  <c r="Z59" i="97" s="1"/>
  <c r="AC59" i="97"/>
  <c r="O59" i="97" s="1"/>
  <c r="AI59" i="97"/>
  <c r="U59" i="97" s="1"/>
  <c r="AJ59" i="97"/>
  <c r="V59" i="97" s="1"/>
  <c r="AE59" i="97"/>
  <c r="Q59" i="97" s="1"/>
  <c r="AF59" i="97"/>
  <c r="R59" i="97" s="1"/>
  <c r="AL59" i="97"/>
  <c r="X59" i="97" s="1"/>
  <c r="AH59" i="97"/>
  <c r="T59" i="97" s="1"/>
  <c r="AD59" i="97"/>
  <c r="P59" i="97" s="1"/>
  <c r="K86" i="103"/>
  <c r="D59" i="97" l="1"/>
  <c r="H59" i="97" s="1"/>
  <c r="AC60" i="97"/>
  <c r="O60" i="97" s="1"/>
  <c r="AE60" i="97"/>
  <c r="Q60" i="97" s="1"/>
  <c r="AM60" i="97"/>
  <c r="Y60" i="97" s="1"/>
  <c r="AI60" i="97"/>
  <c r="U60" i="97" s="1"/>
  <c r="AN60" i="97"/>
  <c r="Z60" i="97" s="1"/>
  <c r="AD60" i="97"/>
  <c r="P60" i="97" s="1"/>
  <c r="AG60" i="97"/>
  <c r="S60" i="97" s="1"/>
  <c r="AJ60" i="97"/>
  <c r="V60" i="97" s="1"/>
  <c r="AF60" i="97"/>
  <c r="R60" i="97" s="1"/>
  <c r="AL60" i="97"/>
  <c r="X60" i="97" s="1"/>
  <c r="AH60" i="97"/>
  <c r="T60" i="97" s="1"/>
  <c r="AK60" i="97"/>
  <c r="W60" i="97" s="1"/>
  <c r="K87" i="103"/>
  <c r="D60" i="97" l="1"/>
  <c r="H60" i="97" s="1"/>
  <c r="AH61" i="97"/>
  <c r="T61" i="97" s="1"/>
  <c r="AD61" i="97"/>
  <c r="P61" i="97" s="1"/>
  <c r="AK61" i="97"/>
  <c r="W61" i="97" s="1"/>
  <c r="AG61" i="97"/>
  <c r="S61" i="97" s="1"/>
  <c r="AC61" i="97"/>
  <c r="O61" i="97" s="1"/>
  <c r="AF61" i="97"/>
  <c r="R61" i="97" s="1"/>
  <c r="AI61" i="97"/>
  <c r="U61" i="97" s="1"/>
  <c r="AE61" i="97"/>
  <c r="Q61" i="97" s="1"/>
  <c r="AL61" i="97"/>
  <c r="X61" i="97" s="1"/>
  <c r="AM61" i="97"/>
  <c r="Y61" i="97" s="1"/>
  <c r="AN61" i="97"/>
  <c r="Z61" i="97" s="1"/>
  <c r="AJ61" i="97"/>
  <c r="V61" i="97" s="1"/>
  <c r="K88" i="103"/>
  <c r="D61" i="97" l="1"/>
  <c r="H61" i="97" s="1"/>
  <c r="AG62" i="97"/>
  <c r="S62" i="97" s="1"/>
  <c r="AC62" i="97"/>
  <c r="O62" i="97" s="1"/>
  <c r="AL62" i="97"/>
  <c r="X62" i="97" s="1"/>
  <c r="AK62" i="97"/>
  <c r="W62" i="97" s="1"/>
  <c r="AM62" i="97"/>
  <c r="Y62" i="97" s="1"/>
  <c r="AI62" i="97"/>
  <c r="U62" i="97" s="1"/>
  <c r="AF62" i="97"/>
  <c r="R62" i="97" s="1"/>
  <c r="AE62" i="97"/>
  <c r="Q62" i="97" s="1"/>
  <c r="AN62" i="97"/>
  <c r="Z62" i="97" s="1"/>
  <c r="AJ62" i="97"/>
  <c r="V62" i="97" s="1"/>
  <c r="AH62" i="97"/>
  <c r="T62" i="97" s="1"/>
  <c r="AD62" i="97"/>
  <c r="P62" i="97" s="1"/>
  <c r="K89" i="103"/>
  <c r="D62" i="97" l="1"/>
  <c r="H62" i="97" s="1"/>
  <c r="K90" i="103"/>
  <c r="AH64" i="97" l="1"/>
  <c r="T64" i="97" s="1"/>
  <c r="AD64" i="97"/>
  <c r="P64" i="97" s="1"/>
  <c r="AK64" i="97"/>
  <c r="W64" i="97" s="1"/>
  <c r="AN64" i="97"/>
  <c r="Z64" i="97" s="1"/>
  <c r="AG64" i="97"/>
  <c r="S64" i="97" s="1"/>
  <c r="AC64" i="97"/>
  <c r="O64" i="97" s="1"/>
  <c r="AE64" i="97"/>
  <c r="Q64" i="97" s="1"/>
  <c r="AI64" i="97"/>
  <c r="U64" i="97" s="1"/>
  <c r="AL64" i="97"/>
  <c r="X64" i="97" s="1"/>
  <c r="AM64" i="97"/>
  <c r="Y64" i="97" s="1"/>
  <c r="AJ64" i="97"/>
  <c r="V64" i="97" s="1"/>
  <c r="AF64" i="97"/>
  <c r="R64" i="97" s="1"/>
  <c r="K91" i="103"/>
  <c r="D64" i="97" l="1"/>
  <c r="H64" i="97" s="1"/>
  <c r="AJ65" i="97"/>
  <c r="V65" i="97" s="1"/>
  <c r="AC65" i="97"/>
  <c r="O65" i="97" s="1"/>
  <c r="AE65" i="97"/>
  <c r="Q65" i="97" s="1"/>
  <c r="AH65" i="97"/>
  <c r="T65" i="97" s="1"/>
  <c r="AK65" i="97"/>
  <c r="W65" i="97" s="1"/>
  <c r="AL65" i="97"/>
  <c r="X65" i="97" s="1"/>
  <c r="AN65" i="97"/>
  <c r="Z65" i="97" s="1"/>
  <c r="AF65" i="97"/>
  <c r="R65" i="97" s="1"/>
  <c r="AM65" i="97"/>
  <c r="Y65" i="97" s="1"/>
  <c r="AI65" i="97"/>
  <c r="U65" i="97" s="1"/>
  <c r="AG65" i="97"/>
  <c r="S65" i="97" s="1"/>
  <c r="AD65" i="97"/>
  <c r="P65" i="97" s="1"/>
  <c r="K92" i="103"/>
  <c r="K104" i="103"/>
  <c r="D65" i="97" l="1"/>
  <c r="H65" i="97" s="1"/>
  <c r="AJ82" i="97"/>
  <c r="V82" i="97" s="1"/>
  <c r="AD82" i="97"/>
  <c r="P82" i="97" s="1"/>
  <c r="AM82" i="97"/>
  <c r="Y82" i="97" s="1"/>
  <c r="AF82" i="97"/>
  <c r="R82" i="97" s="1"/>
  <c r="AK82" i="97"/>
  <c r="W82" i="97" s="1"/>
  <c r="AI82" i="97"/>
  <c r="U82" i="97" s="1"/>
  <c r="AL82" i="97"/>
  <c r="X82" i="97" s="1"/>
  <c r="AN82" i="97"/>
  <c r="Z82" i="97" s="1"/>
  <c r="AH82" i="97"/>
  <c r="T82" i="97" s="1"/>
  <c r="AG82" i="97"/>
  <c r="S82" i="97" s="1"/>
  <c r="AC82" i="97"/>
  <c r="O82" i="97" s="1"/>
  <c r="AE82" i="97"/>
  <c r="Q82" i="97" s="1"/>
  <c r="AD66" i="97"/>
  <c r="P66" i="97" s="1"/>
  <c r="AC66" i="97"/>
  <c r="O66" i="97" s="1"/>
  <c r="AM66" i="97"/>
  <c r="Y66" i="97" s="1"/>
  <c r="AK66" i="97"/>
  <c r="W66" i="97" s="1"/>
  <c r="AI66" i="97"/>
  <c r="U66" i="97" s="1"/>
  <c r="AJ66" i="97"/>
  <c r="V66" i="97" s="1"/>
  <c r="AG66" i="97"/>
  <c r="S66" i="97" s="1"/>
  <c r="AF66" i="97"/>
  <c r="R66" i="97" s="1"/>
  <c r="AL66" i="97"/>
  <c r="X66" i="97" s="1"/>
  <c r="AE66" i="97"/>
  <c r="Q66" i="97" s="1"/>
  <c r="AH66" i="97"/>
  <c r="T66" i="97" s="1"/>
  <c r="AN66" i="97"/>
  <c r="Z66" i="97" s="1"/>
  <c r="K105" i="103"/>
  <c r="K93" i="103"/>
  <c r="D82" i="97" l="1"/>
  <c r="H82" i="97" s="1"/>
  <c r="D66" i="97"/>
  <c r="H66" i="97" s="1"/>
  <c r="AG67" i="97"/>
  <c r="S67" i="97" s="1"/>
  <c r="AK67" i="97"/>
  <c r="W67" i="97" s="1"/>
  <c r="AC67" i="97"/>
  <c r="O67" i="97" s="1"/>
  <c r="AD67" i="97"/>
  <c r="P67" i="97" s="1"/>
  <c r="AL67" i="97"/>
  <c r="X67" i="97" s="1"/>
  <c r="AI67" i="97"/>
  <c r="U67" i="97" s="1"/>
  <c r="AM67" i="97"/>
  <c r="Y67" i="97" s="1"/>
  <c r="AE67" i="97"/>
  <c r="Q67" i="97" s="1"/>
  <c r="AN67" i="97"/>
  <c r="Z67" i="97" s="1"/>
  <c r="AJ67" i="97"/>
  <c r="V67" i="97" s="1"/>
  <c r="AH67" i="97"/>
  <c r="T67" i="97" s="1"/>
  <c r="AF67" i="97"/>
  <c r="R67" i="97" s="1"/>
  <c r="AJ83" i="97"/>
  <c r="V83" i="97" s="1"/>
  <c r="AD83" i="97"/>
  <c r="P83" i="97" s="1"/>
  <c r="AE83" i="97"/>
  <c r="Q83" i="97" s="1"/>
  <c r="AF83" i="97"/>
  <c r="R83" i="97" s="1"/>
  <c r="AK83" i="97"/>
  <c r="W83" i="97" s="1"/>
  <c r="AC83" i="97"/>
  <c r="O83" i="97" s="1"/>
  <c r="AM83" i="97"/>
  <c r="Y83" i="97" s="1"/>
  <c r="AN83" i="97"/>
  <c r="Z83" i="97" s="1"/>
  <c r="AL83" i="97"/>
  <c r="X83" i="97" s="1"/>
  <c r="AG83" i="97"/>
  <c r="S83" i="97" s="1"/>
  <c r="AI83" i="97"/>
  <c r="U83" i="97" s="1"/>
  <c r="AH83" i="97"/>
  <c r="T83" i="97" s="1"/>
  <c r="K94" i="103"/>
  <c r="K106" i="103"/>
  <c r="D83" i="97" l="1"/>
  <c r="H83" i="97" s="1"/>
  <c r="D67" i="97"/>
  <c r="H67" i="97" s="1"/>
  <c r="D8" i="97"/>
  <c r="S14" i="96" s="1"/>
  <c r="S14" i="114" s="1"/>
  <c r="AH68" i="97"/>
  <c r="T68" i="97" s="1"/>
  <c r="AK68" i="97"/>
  <c r="W68" i="97" s="1"/>
  <c r="AE68" i="97"/>
  <c r="Q68" i="97" s="1"/>
  <c r="AI68" i="97"/>
  <c r="U68" i="97" s="1"/>
  <c r="AM68" i="97"/>
  <c r="Y68" i="97" s="1"/>
  <c r="AD68" i="97"/>
  <c r="P68" i="97" s="1"/>
  <c r="AL68" i="97"/>
  <c r="X68" i="97" s="1"/>
  <c r="AN68" i="97"/>
  <c r="Z68" i="97" s="1"/>
  <c r="AC68" i="97"/>
  <c r="O68" i="97" s="1"/>
  <c r="AF68" i="97"/>
  <c r="R68" i="97" s="1"/>
  <c r="AJ68" i="97"/>
  <c r="V68" i="97" s="1"/>
  <c r="AG68" i="97"/>
  <c r="S68" i="97" s="1"/>
  <c r="AM84" i="97"/>
  <c r="Y84" i="97" s="1"/>
  <c r="AF84" i="97"/>
  <c r="R84" i="97" s="1"/>
  <c r="AE84" i="97"/>
  <c r="Q84" i="97" s="1"/>
  <c r="AG84" i="97"/>
  <c r="S84" i="97" s="1"/>
  <c r="AN84" i="97"/>
  <c r="Z84" i="97" s="1"/>
  <c r="AH84" i="97"/>
  <c r="T84" i="97" s="1"/>
  <c r="AC84" i="97"/>
  <c r="O84" i="97" s="1"/>
  <c r="AK84" i="97"/>
  <c r="W84" i="97" s="1"/>
  <c r="AL84" i="97"/>
  <c r="X84" i="97" s="1"/>
  <c r="AJ84" i="97"/>
  <c r="V84" i="97" s="1"/>
  <c r="AD84" i="97"/>
  <c r="P84" i="97" s="1"/>
  <c r="AI84" i="97"/>
  <c r="U84" i="97" s="1"/>
  <c r="K107" i="103"/>
  <c r="K95" i="103"/>
  <c r="D68" i="97" l="1"/>
  <c r="H68" i="97" s="1"/>
  <c r="D84" i="97"/>
  <c r="H84" i="97" s="1"/>
  <c r="D9" i="97"/>
  <c r="AE69" i="97"/>
  <c r="Q69" i="97" s="1"/>
  <c r="AM69" i="97"/>
  <c r="Y69" i="97" s="1"/>
  <c r="AH69" i="97"/>
  <c r="T69" i="97" s="1"/>
  <c r="AF69" i="97"/>
  <c r="R69" i="97" s="1"/>
  <c r="AJ69" i="97"/>
  <c r="V69" i="97" s="1"/>
  <c r="AN69" i="97"/>
  <c r="Z69" i="97" s="1"/>
  <c r="AC69" i="97"/>
  <c r="O69" i="97" s="1"/>
  <c r="AG69" i="97"/>
  <c r="S69" i="97" s="1"/>
  <c r="AK69" i="97"/>
  <c r="W69" i="97" s="1"/>
  <c r="AD69" i="97"/>
  <c r="P69" i="97" s="1"/>
  <c r="AL69" i="97"/>
  <c r="X69" i="97" s="1"/>
  <c r="AI69" i="97"/>
  <c r="U69" i="97" s="1"/>
  <c r="AJ85" i="97"/>
  <c r="V85" i="97" s="1"/>
  <c r="AN85" i="97"/>
  <c r="Z85" i="97" s="1"/>
  <c r="AH85" i="97"/>
  <c r="T85" i="97" s="1"/>
  <c r="AC85" i="97"/>
  <c r="O85" i="97" s="1"/>
  <c r="AD85" i="97"/>
  <c r="P85" i="97" s="1"/>
  <c r="AM85" i="97"/>
  <c r="Y85" i="97" s="1"/>
  <c r="AI85" i="97"/>
  <c r="U85" i="97" s="1"/>
  <c r="AF85" i="97"/>
  <c r="R85" i="97" s="1"/>
  <c r="AK85" i="97"/>
  <c r="W85" i="97" s="1"/>
  <c r="AL85" i="97"/>
  <c r="X85" i="97" s="1"/>
  <c r="AG85" i="97"/>
  <c r="S85" i="97" s="1"/>
  <c r="AE85" i="97"/>
  <c r="Q85" i="97" s="1"/>
  <c r="K108" i="103"/>
  <c r="K96" i="103"/>
  <c r="D69" i="97" l="1"/>
  <c r="H69" i="97" s="1"/>
  <c r="D85" i="97"/>
  <c r="H85" i="97" s="1"/>
  <c r="D10" i="97"/>
  <c r="AJ86" i="97"/>
  <c r="V86" i="97" s="1"/>
  <c r="AD86" i="97"/>
  <c r="P86" i="97" s="1"/>
  <c r="AN86" i="97"/>
  <c r="Z86" i="97" s="1"/>
  <c r="AH86" i="97"/>
  <c r="T86" i="97" s="1"/>
  <c r="AC86" i="97"/>
  <c r="O86" i="97" s="1"/>
  <c r="AM86" i="97"/>
  <c r="Y86" i="97" s="1"/>
  <c r="AG86" i="97"/>
  <c r="S86" i="97" s="1"/>
  <c r="AF86" i="97"/>
  <c r="R86" i="97" s="1"/>
  <c r="AK86" i="97"/>
  <c r="W86" i="97" s="1"/>
  <c r="AI86" i="97"/>
  <c r="U86" i="97" s="1"/>
  <c r="AL86" i="97"/>
  <c r="X86" i="97" s="1"/>
  <c r="AE86" i="97"/>
  <c r="Q86" i="97" s="1"/>
  <c r="AC70" i="97"/>
  <c r="O70" i="97" s="1"/>
  <c r="AL70" i="97"/>
  <c r="X70" i="97" s="1"/>
  <c r="AM70" i="97"/>
  <c r="Y70" i="97" s="1"/>
  <c r="AD70" i="97"/>
  <c r="P70" i="97" s="1"/>
  <c r="AH70" i="97"/>
  <c r="T70" i="97" s="1"/>
  <c r="AN70" i="97"/>
  <c r="Z70" i="97" s="1"/>
  <c r="AK70" i="97"/>
  <c r="W70" i="97" s="1"/>
  <c r="AI70" i="97"/>
  <c r="U70" i="97" s="1"/>
  <c r="AG70" i="97"/>
  <c r="S70" i="97" s="1"/>
  <c r="AF70" i="97"/>
  <c r="R70" i="97" s="1"/>
  <c r="AE70" i="97"/>
  <c r="Q70" i="97" s="1"/>
  <c r="AJ70" i="97"/>
  <c r="V70" i="97" s="1"/>
  <c r="K109" i="103"/>
  <c r="K97" i="103"/>
  <c r="D86" i="97" l="1"/>
  <c r="H86" i="97" s="1"/>
  <c r="D70" i="97"/>
  <c r="H70" i="97" s="1"/>
  <c r="AL87" i="97"/>
  <c r="X87" i="97" s="1"/>
  <c r="AG87" i="97"/>
  <c r="S87" i="97" s="1"/>
  <c r="AF87" i="97"/>
  <c r="R87" i="97" s="1"/>
  <c r="AI87" i="97"/>
  <c r="U87" i="97" s="1"/>
  <c r="AJ87" i="97"/>
  <c r="V87" i="97" s="1"/>
  <c r="AK87" i="97"/>
  <c r="W87" i="97" s="1"/>
  <c r="AE87" i="97"/>
  <c r="Q87" i="97" s="1"/>
  <c r="AM87" i="97"/>
  <c r="Y87" i="97" s="1"/>
  <c r="AN87" i="97"/>
  <c r="Z87" i="97" s="1"/>
  <c r="AH87" i="97"/>
  <c r="T87" i="97" s="1"/>
  <c r="AC87" i="97"/>
  <c r="O87" i="97" s="1"/>
  <c r="AD87" i="97"/>
  <c r="P87" i="97" s="1"/>
  <c r="AD71" i="97"/>
  <c r="P71" i="97" s="1"/>
  <c r="AL71" i="97"/>
  <c r="X71" i="97" s="1"/>
  <c r="AC71" i="97"/>
  <c r="O71" i="97" s="1"/>
  <c r="AM71" i="97"/>
  <c r="Y71" i="97" s="1"/>
  <c r="AN71" i="97"/>
  <c r="Z71" i="97" s="1"/>
  <c r="AI71" i="97"/>
  <c r="U71" i="97" s="1"/>
  <c r="AK71" i="97"/>
  <c r="W71" i="97" s="1"/>
  <c r="AJ71" i="97"/>
  <c r="V71" i="97" s="1"/>
  <c r="AG71" i="97"/>
  <c r="S71" i="97" s="1"/>
  <c r="AF71" i="97"/>
  <c r="R71" i="97" s="1"/>
  <c r="AE71" i="97"/>
  <c r="Q71" i="97" s="1"/>
  <c r="AH71" i="97"/>
  <c r="T71" i="97" s="1"/>
  <c r="K110" i="103"/>
  <c r="K98" i="103"/>
  <c r="D71" i="97" l="1"/>
  <c r="H71" i="97" s="1"/>
  <c r="D87" i="97"/>
  <c r="H87" i="97" s="1"/>
  <c r="AJ88" i="97"/>
  <c r="V88" i="97" s="1"/>
  <c r="AD88" i="97"/>
  <c r="P88" i="97" s="1"/>
  <c r="AI88" i="97"/>
  <c r="U88" i="97" s="1"/>
  <c r="AH88" i="97"/>
  <c r="T88" i="97" s="1"/>
  <c r="AE88" i="97"/>
  <c r="Q88" i="97" s="1"/>
  <c r="AL88" i="97"/>
  <c r="X88" i="97" s="1"/>
  <c r="AN88" i="97"/>
  <c r="Z88" i="97" s="1"/>
  <c r="AM88" i="97"/>
  <c r="Y88" i="97" s="1"/>
  <c r="AF88" i="97"/>
  <c r="R88" i="97" s="1"/>
  <c r="AK88" i="97"/>
  <c r="W88" i="97" s="1"/>
  <c r="AG88" i="97"/>
  <c r="S88" i="97" s="1"/>
  <c r="AC88" i="97"/>
  <c r="O88" i="97" s="1"/>
  <c r="AK72" i="97"/>
  <c r="W72" i="97" s="1"/>
  <c r="AL72" i="97"/>
  <c r="X72" i="97" s="1"/>
  <c r="AN72" i="97"/>
  <c r="Z72" i="97" s="1"/>
  <c r="AC72" i="97"/>
  <c r="O72" i="97" s="1"/>
  <c r="AD72" i="97"/>
  <c r="P72" i="97" s="1"/>
  <c r="AE72" i="97"/>
  <c r="Q72" i="97" s="1"/>
  <c r="AF72" i="97"/>
  <c r="R72" i="97" s="1"/>
  <c r="AG72" i="97"/>
  <c r="S72" i="97" s="1"/>
  <c r="AH72" i="97"/>
  <c r="T72" i="97" s="1"/>
  <c r="AI72" i="97"/>
  <c r="U72" i="97" s="1"/>
  <c r="AJ72" i="97"/>
  <c r="V72" i="97" s="1"/>
  <c r="AM72" i="97"/>
  <c r="Y72" i="97" s="1"/>
  <c r="K99" i="103"/>
  <c r="K111" i="103"/>
  <c r="D72" i="97" l="1"/>
  <c r="H72" i="97" s="1"/>
  <c r="D88" i="97"/>
  <c r="H88" i="97" s="1"/>
  <c r="AG73" i="97"/>
  <c r="S73" i="97" s="1"/>
  <c r="AF73" i="97"/>
  <c r="R73" i="97" s="1"/>
  <c r="AH73" i="97"/>
  <c r="T73" i="97" s="1"/>
  <c r="AI73" i="97"/>
  <c r="U73" i="97" s="1"/>
  <c r="AJ73" i="97"/>
  <c r="V73" i="97" s="1"/>
  <c r="AM73" i="97"/>
  <c r="Y73" i="97" s="1"/>
  <c r="AK73" i="97"/>
  <c r="W73" i="97" s="1"/>
  <c r="AE73" i="97"/>
  <c r="Q73" i="97" s="1"/>
  <c r="AL73" i="97"/>
  <c r="X73" i="97" s="1"/>
  <c r="AN73" i="97"/>
  <c r="Z73" i="97" s="1"/>
  <c r="AC73" i="97"/>
  <c r="O73" i="97" s="1"/>
  <c r="AD73" i="97"/>
  <c r="P73" i="97" s="1"/>
  <c r="AL89" i="97"/>
  <c r="X89" i="97" s="1"/>
  <c r="AK89" i="97"/>
  <c r="W89" i="97" s="1"/>
  <c r="AI89" i="97"/>
  <c r="U89" i="97" s="1"/>
  <c r="AG89" i="97"/>
  <c r="S89" i="97" s="1"/>
  <c r="AE89" i="97"/>
  <c r="Q89" i="97" s="1"/>
  <c r="AN89" i="97"/>
  <c r="Z89" i="97" s="1"/>
  <c r="AH89" i="97"/>
  <c r="T89" i="97" s="1"/>
  <c r="AC89" i="97"/>
  <c r="O89" i="97" s="1"/>
  <c r="AJ89" i="97"/>
  <c r="V89" i="97" s="1"/>
  <c r="AD89" i="97"/>
  <c r="P89" i="97" s="1"/>
  <c r="AF89" i="97"/>
  <c r="R89" i="97" s="1"/>
  <c r="AM89" i="97"/>
  <c r="Y89" i="97" s="1"/>
  <c r="K112" i="103"/>
  <c r="K100" i="103"/>
  <c r="D89" i="97" l="1"/>
  <c r="H89" i="97" s="1"/>
  <c r="D73" i="97"/>
  <c r="H73" i="97" s="1"/>
  <c r="AL74" i="97"/>
  <c r="X74" i="97" s="1"/>
  <c r="AD74" i="97"/>
  <c r="P74" i="97" s="1"/>
  <c r="AG74" i="97"/>
  <c r="S74" i="97" s="1"/>
  <c r="AN74" i="97"/>
  <c r="Z74" i="97" s="1"/>
  <c r="AK74" i="97"/>
  <c r="W74" i="97" s="1"/>
  <c r="AC74" i="97"/>
  <c r="O74" i="97" s="1"/>
  <c r="AF74" i="97"/>
  <c r="R74" i="97" s="1"/>
  <c r="AH74" i="97"/>
  <c r="T74" i="97" s="1"/>
  <c r="AE74" i="97"/>
  <c r="Q74" i="97" s="1"/>
  <c r="AI74" i="97"/>
  <c r="U74" i="97" s="1"/>
  <c r="AJ74" i="97"/>
  <c r="V74" i="97" s="1"/>
  <c r="AM74" i="97"/>
  <c r="Y74" i="97" s="1"/>
  <c r="AJ90" i="97"/>
  <c r="V90" i="97" s="1"/>
  <c r="AM90" i="97"/>
  <c r="Y90" i="97" s="1"/>
  <c r="AD90" i="97"/>
  <c r="P90" i="97" s="1"/>
  <c r="AK90" i="97"/>
  <c r="W90" i="97" s="1"/>
  <c r="AL90" i="97"/>
  <c r="X90" i="97" s="1"/>
  <c r="AG90" i="97"/>
  <c r="S90" i="97" s="1"/>
  <c r="AE90" i="97"/>
  <c r="Q90" i="97" s="1"/>
  <c r="AN90" i="97"/>
  <c r="Z90" i="97" s="1"/>
  <c r="AI90" i="97"/>
  <c r="U90" i="97" s="1"/>
  <c r="AH90" i="97"/>
  <c r="T90" i="97" s="1"/>
  <c r="AC90" i="97"/>
  <c r="O90" i="97" s="1"/>
  <c r="AF90" i="97"/>
  <c r="R90" i="97" s="1"/>
  <c r="K101" i="103"/>
  <c r="K113" i="103"/>
  <c r="D74" i="97" l="1"/>
  <c r="H74" i="97" s="1"/>
  <c r="D90" i="97"/>
  <c r="H90" i="97" s="1"/>
  <c r="AF91" i="97"/>
  <c r="R91" i="97" s="1"/>
  <c r="AI91" i="97"/>
  <c r="U91" i="97" s="1"/>
  <c r="AK91" i="97"/>
  <c r="W91" i="97" s="1"/>
  <c r="AG91" i="97"/>
  <c r="S91" i="97" s="1"/>
  <c r="AH91" i="97"/>
  <c r="T91" i="97" s="1"/>
  <c r="AL91" i="97"/>
  <c r="X91" i="97" s="1"/>
  <c r="AD91" i="97"/>
  <c r="P91" i="97" s="1"/>
  <c r="AM91" i="97"/>
  <c r="Y91" i="97" s="1"/>
  <c r="AC91" i="97"/>
  <c r="O91" i="97" s="1"/>
  <c r="AN91" i="97"/>
  <c r="Z91" i="97" s="1"/>
  <c r="AE91" i="97"/>
  <c r="Q91" i="97" s="1"/>
  <c r="AJ91" i="97"/>
  <c r="V91" i="97" s="1"/>
  <c r="AM75" i="97"/>
  <c r="Y75" i="97" s="1"/>
  <c r="AK75" i="97"/>
  <c r="W75" i="97" s="1"/>
  <c r="AL75" i="97"/>
  <c r="X75" i="97" s="1"/>
  <c r="AN75" i="97"/>
  <c r="Z75" i="97" s="1"/>
  <c r="AF75" i="97"/>
  <c r="R75" i="97" s="1"/>
  <c r="AC75" i="97"/>
  <c r="O75" i="97" s="1"/>
  <c r="AD75" i="97"/>
  <c r="P75" i="97" s="1"/>
  <c r="AJ75" i="97"/>
  <c r="V75" i="97" s="1"/>
  <c r="AE75" i="97"/>
  <c r="Q75" i="97" s="1"/>
  <c r="AG75" i="97"/>
  <c r="S75" i="97" s="1"/>
  <c r="AH75" i="97"/>
  <c r="T75" i="97" s="1"/>
  <c r="AI75" i="97"/>
  <c r="U75" i="97" s="1"/>
  <c r="K114" i="103"/>
  <c r="K102" i="103"/>
  <c r="K103" i="103"/>
  <c r="D91" i="97" l="1"/>
  <c r="H91" i="97" s="1"/>
  <c r="D75" i="97"/>
  <c r="H75" i="97" s="1"/>
  <c r="AM77" i="97"/>
  <c r="Y77" i="97" s="1"/>
  <c r="AI77" i="97"/>
  <c r="U77" i="97" s="1"/>
  <c r="AK77" i="97"/>
  <c r="W77" i="97" s="1"/>
  <c r="AL77" i="97"/>
  <c r="X77" i="97" s="1"/>
  <c r="AN77" i="97"/>
  <c r="Z77" i="97" s="1"/>
  <c r="AC77" i="97"/>
  <c r="O77" i="97" s="1"/>
  <c r="AD77" i="97"/>
  <c r="P77" i="97" s="1"/>
  <c r="AE77" i="97"/>
  <c r="Q77" i="97" s="1"/>
  <c r="AF77" i="97"/>
  <c r="R77" i="97" s="1"/>
  <c r="AG77" i="97"/>
  <c r="S77" i="97" s="1"/>
  <c r="AH77" i="97"/>
  <c r="T77" i="97" s="1"/>
  <c r="AJ77" i="97"/>
  <c r="V77" i="97" s="1"/>
  <c r="AM76" i="97"/>
  <c r="Y76" i="97" s="1"/>
  <c r="AK76" i="97"/>
  <c r="W76" i="97" s="1"/>
  <c r="AL76" i="97"/>
  <c r="X76" i="97" s="1"/>
  <c r="AN76" i="97"/>
  <c r="Z76" i="97" s="1"/>
  <c r="AI76" i="97"/>
  <c r="U76" i="97" s="1"/>
  <c r="AC76" i="97"/>
  <c r="O76" i="97" s="1"/>
  <c r="AD76" i="97"/>
  <c r="P76" i="97" s="1"/>
  <c r="AE76" i="97"/>
  <c r="Q76" i="97" s="1"/>
  <c r="AF76" i="97"/>
  <c r="R76" i="97" s="1"/>
  <c r="AG76" i="97"/>
  <c r="S76" i="97" s="1"/>
  <c r="AH76" i="97"/>
  <c r="T76" i="97" s="1"/>
  <c r="AJ76" i="97"/>
  <c r="V76" i="97" s="1"/>
  <c r="AD92" i="97"/>
  <c r="P92" i="97" s="1"/>
  <c r="AK92" i="97"/>
  <c r="W92" i="97" s="1"/>
  <c r="AG92" i="97"/>
  <c r="S92" i="97" s="1"/>
  <c r="AC92" i="97"/>
  <c r="O92" i="97" s="1"/>
  <c r="AI92" i="97"/>
  <c r="U92" i="97" s="1"/>
  <c r="AF92" i="97"/>
  <c r="R92" i="97" s="1"/>
  <c r="AH92" i="97"/>
  <c r="T92" i="97" s="1"/>
  <c r="AE92" i="97"/>
  <c r="Q92" i="97" s="1"/>
  <c r="AM92" i="97"/>
  <c r="Y92" i="97" s="1"/>
  <c r="AL92" i="97"/>
  <c r="X92" i="97" s="1"/>
  <c r="AN92" i="97"/>
  <c r="Z92" i="97" s="1"/>
  <c r="AJ92" i="97"/>
  <c r="V92" i="97" s="1"/>
  <c r="K115" i="103"/>
  <c r="D76" i="97" l="1"/>
  <c r="H76" i="97" s="1"/>
  <c r="D77" i="97"/>
  <c r="H77" i="97" s="1"/>
  <c r="D92" i="97"/>
  <c r="H92" i="97" s="1"/>
  <c r="AK93" i="97"/>
  <c r="W93" i="97" s="1"/>
  <c r="AJ93" i="97"/>
  <c r="V93" i="97" s="1"/>
  <c r="AI93" i="97"/>
  <c r="U93" i="97" s="1"/>
  <c r="AF93" i="97"/>
  <c r="R93" i="97" s="1"/>
  <c r="AM93" i="97"/>
  <c r="Y93" i="97" s="1"/>
  <c r="AH93" i="97"/>
  <c r="T93" i="97" s="1"/>
  <c r="AD93" i="97"/>
  <c r="P93" i="97" s="1"/>
  <c r="AL93" i="97"/>
  <c r="X93" i="97" s="1"/>
  <c r="AG93" i="97"/>
  <c r="S93" i="97" s="1"/>
  <c r="AC93" i="97"/>
  <c r="O93" i="97" s="1"/>
  <c r="AN93" i="97"/>
  <c r="Z93" i="97" s="1"/>
  <c r="AE93" i="97"/>
  <c r="Q93" i="97" s="1"/>
  <c r="K116" i="103"/>
  <c r="D93" i="97" l="1"/>
  <c r="H93" i="97" s="1"/>
  <c r="AK94" i="97"/>
  <c r="W94" i="97" s="1"/>
  <c r="AG94" i="97"/>
  <c r="S94" i="97" s="1"/>
  <c r="AC94" i="97"/>
  <c r="O94" i="97" s="1"/>
  <c r="AI94" i="97"/>
  <c r="U94" i="97" s="1"/>
  <c r="AD94" i="97"/>
  <c r="P94" i="97" s="1"/>
  <c r="AM94" i="97"/>
  <c r="Y94" i="97" s="1"/>
  <c r="AF94" i="97"/>
  <c r="R94" i="97" s="1"/>
  <c r="AL94" i="97"/>
  <c r="X94" i="97" s="1"/>
  <c r="AE94" i="97"/>
  <c r="Q94" i="97" s="1"/>
  <c r="AH94" i="97"/>
  <c r="T94" i="97" s="1"/>
  <c r="AN94" i="97"/>
  <c r="Z94" i="97" s="1"/>
  <c r="AJ94" i="97"/>
  <c r="V94" i="97" s="1"/>
  <c r="K117" i="103"/>
  <c r="D94" i="97" l="1"/>
  <c r="H94" i="97" s="1"/>
  <c r="AL95" i="97"/>
  <c r="X95" i="97" s="1"/>
  <c r="AD95" i="97"/>
  <c r="P95" i="97" s="1"/>
  <c r="AN95" i="97"/>
  <c r="Z95" i="97" s="1"/>
  <c r="AJ95" i="97"/>
  <c r="V95" i="97" s="1"/>
  <c r="AF95" i="97"/>
  <c r="R95" i="97" s="1"/>
  <c r="AK95" i="97"/>
  <c r="W95" i="97" s="1"/>
  <c r="AG95" i="97"/>
  <c r="S95" i="97" s="1"/>
  <c r="AC95" i="97"/>
  <c r="O95" i="97" s="1"/>
  <c r="AM95" i="97"/>
  <c r="Y95" i="97" s="1"/>
  <c r="AE95" i="97"/>
  <c r="Q95" i="97" s="1"/>
  <c r="AI95" i="97"/>
  <c r="U95" i="97" s="1"/>
  <c r="AH95" i="97"/>
  <c r="T95" i="97" s="1"/>
  <c r="K118" i="103"/>
  <c r="D95" i="97" l="1"/>
  <c r="H95" i="97" s="1"/>
  <c r="AI96" i="97"/>
  <c r="U96" i="97" s="1"/>
  <c r="AM96" i="97"/>
  <c r="Y96" i="97" s="1"/>
  <c r="AE96" i="97"/>
  <c r="Q96" i="97" s="1"/>
  <c r="AH96" i="97"/>
  <c r="T96" i="97" s="1"/>
  <c r="AC96" i="97"/>
  <c r="O96" i="97" s="1"/>
  <c r="AL96" i="97"/>
  <c r="X96" i="97" s="1"/>
  <c r="AD96" i="97"/>
  <c r="P96" i="97" s="1"/>
  <c r="AG96" i="97"/>
  <c r="S96" i="97" s="1"/>
  <c r="AN96" i="97"/>
  <c r="Z96" i="97" s="1"/>
  <c r="AJ96" i="97"/>
  <c r="V96" i="97" s="1"/>
  <c r="AF96" i="97"/>
  <c r="R96" i="97" s="1"/>
  <c r="AK96" i="97"/>
  <c r="W96" i="97" s="1"/>
  <c r="K119" i="103"/>
  <c r="D96" i="97" l="1"/>
  <c r="H96" i="97" s="1"/>
  <c r="AI97" i="97"/>
  <c r="U97" i="97" s="1"/>
  <c r="AH97" i="97"/>
  <c r="T97" i="97" s="1"/>
  <c r="AN97" i="97"/>
  <c r="Z97" i="97" s="1"/>
  <c r="AJ97" i="97"/>
  <c r="V97" i="97" s="1"/>
  <c r="AC97" i="97"/>
  <c r="O97" i="97" s="1"/>
  <c r="AM97" i="97"/>
  <c r="Y97" i="97" s="1"/>
  <c r="AE97" i="97"/>
  <c r="Q97" i="97" s="1"/>
  <c r="AL97" i="97"/>
  <c r="X97" i="97" s="1"/>
  <c r="AD97" i="97"/>
  <c r="P97" i="97" s="1"/>
  <c r="AF97" i="97"/>
  <c r="R97" i="97" s="1"/>
  <c r="AK97" i="97"/>
  <c r="W97" i="97" s="1"/>
  <c r="AG97" i="97"/>
  <c r="S97" i="97" s="1"/>
  <c r="K120" i="103"/>
  <c r="D97" i="97" l="1"/>
  <c r="H97" i="97" s="1"/>
  <c r="AG98" i="97"/>
  <c r="S98" i="97" s="1"/>
  <c r="AM98" i="97"/>
  <c r="Y98" i="97" s="1"/>
  <c r="AF98" i="97"/>
  <c r="R98" i="97" s="1"/>
  <c r="AK98" i="97"/>
  <c r="W98" i="97" s="1"/>
  <c r="AC98" i="97"/>
  <c r="O98" i="97" s="1"/>
  <c r="AI98" i="97"/>
  <c r="U98" i="97" s="1"/>
  <c r="AE98" i="97"/>
  <c r="Q98" i="97" s="1"/>
  <c r="AL98" i="97"/>
  <c r="X98" i="97" s="1"/>
  <c r="AJ98" i="97"/>
  <c r="V98" i="97" s="1"/>
  <c r="AD98" i="97"/>
  <c r="P98" i="97" s="1"/>
  <c r="AH98" i="97"/>
  <c r="T98" i="97" s="1"/>
  <c r="AN98" i="97"/>
  <c r="Z98" i="97" s="1"/>
  <c r="K121" i="103"/>
  <c r="D98" i="97" l="1"/>
  <c r="H98" i="97" s="1"/>
  <c r="AC99" i="97"/>
  <c r="O99" i="97" s="1"/>
  <c r="AM99" i="97"/>
  <c r="Y99" i="97" s="1"/>
  <c r="AE99" i="97"/>
  <c r="Q99" i="97" s="1"/>
  <c r="AN99" i="97"/>
  <c r="Z99" i="97" s="1"/>
  <c r="AJ99" i="97"/>
  <c r="V99" i="97" s="1"/>
  <c r="AI99" i="97"/>
  <c r="U99" i="97" s="1"/>
  <c r="AH99" i="97"/>
  <c r="T99" i="97" s="1"/>
  <c r="AG99" i="97"/>
  <c r="S99" i="97" s="1"/>
  <c r="AD99" i="97"/>
  <c r="P99" i="97" s="1"/>
  <c r="AL99" i="97"/>
  <c r="X99" i="97" s="1"/>
  <c r="AF99" i="97"/>
  <c r="R99" i="97" s="1"/>
  <c r="AK99" i="97"/>
  <c r="W99" i="97" s="1"/>
  <c r="K122" i="103"/>
  <c r="D99" i="97" l="1"/>
  <c r="H99" i="97" s="1"/>
  <c r="K123" i="103"/>
  <c r="AG101" i="97" l="1"/>
  <c r="S101" i="97" s="1"/>
  <c r="AC101" i="97"/>
  <c r="O101" i="97" s="1"/>
  <c r="AF101" i="97"/>
  <c r="R101" i="97" s="1"/>
  <c r="AM101" i="97"/>
  <c r="Y101" i="97" s="1"/>
  <c r="AE101" i="97"/>
  <c r="Q101" i="97" s="1"/>
  <c r="AN101" i="97"/>
  <c r="Z101" i="97" s="1"/>
  <c r="AK101" i="97"/>
  <c r="W101" i="97" s="1"/>
  <c r="AI101" i="97"/>
  <c r="U101" i="97" s="1"/>
  <c r="AH101" i="97"/>
  <c r="T101" i="97" s="1"/>
  <c r="AL101" i="97"/>
  <c r="X101" i="97" s="1"/>
  <c r="AD101" i="97"/>
  <c r="P101" i="97" s="1"/>
  <c r="AJ101" i="97"/>
  <c r="V101" i="97" s="1"/>
  <c r="K124" i="103"/>
  <c r="D101" i="97" l="1"/>
  <c r="H101" i="97" s="1"/>
  <c r="AN102" i="97"/>
  <c r="Z102" i="97" s="1"/>
  <c r="AC102" i="97"/>
  <c r="O102" i="97" s="1"/>
  <c r="AI102" i="97"/>
  <c r="U102" i="97" s="1"/>
  <c r="AE102" i="97"/>
  <c r="Q102" i="97" s="1"/>
  <c r="AD102" i="97"/>
  <c r="P102" i="97" s="1"/>
  <c r="AF102" i="97"/>
  <c r="R102" i="97" s="1"/>
  <c r="AG102" i="97"/>
  <c r="S102" i="97" s="1"/>
  <c r="AM102" i="97"/>
  <c r="Y102" i="97" s="1"/>
  <c r="AK102" i="97"/>
  <c r="W102" i="97" s="1"/>
  <c r="AL102" i="97"/>
  <c r="X102" i="97" s="1"/>
  <c r="AH102" i="97"/>
  <c r="T102" i="97" s="1"/>
  <c r="AJ102" i="97"/>
  <c r="V102" i="97" s="1"/>
  <c r="K125" i="103"/>
  <c r="D102" i="97" l="1"/>
  <c r="H102" i="97" s="1"/>
  <c r="AJ103" i="97"/>
  <c r="V103" i="97" s="1"/>
  <c r="AH103" i="97"/>
  <c r="T103" i="97" s="1"/>
  <c r="AI103" i="97"/>
  <c r="U103" i="97" s="1"/>
  <c r="AK103" i="97"/>
  <c r="W103" i="97" s="1"/>
  <c r="AC103" i="97"/>
  <c r="O103" i="97" s="1"/>
  <c r="AD103" i="97"/>
  <c r="P103" i="97" s="1"/>
  <c r="AG103" i="97"/>
  <c r="S103" i="97" s="1"/>
  <c r="AM103" i="97"/>
  <c r="Y103" i="97" s="1"/>
  <c r="AN103" i="97"/>
  <c r="Z103" i="97" s="1"/>
  <c r="AE103" i="97"/>
  <c r="Q103" i="97" s="1"/>
  <c r="AL103" i="97"/>
  <c r="X103" i="97" s="1"/>
  <c r="AF103" i="97"/>
  <c r="R103" i="97" s="1"/>
  <c r="K126" i="103"/>
  <c r="D103" i="97" l="1"/>
  <c r="H103" i="97" s="1"/>
  <c r="AG104" i="97"/>
  <c r="S104" i="97" s="1"/>
  <c r="AC104" i="97"/>
  <c r="O104" i="97" s="1"/>
  <c r="AK104" i="97"/>
  <c r="W104" i="97" s="1"/>
  <c r="AD104" i="97"/>
  <c r="P104" i="97" s="1"/>
  <c r="AN104" i="97"/>
  <c r="Z104" i="97" s="1"/>
  <c r="AH104" i="97"/>
  <c r="T104" i="97" s="1"/>
  <c r="AI104" i="97"/>
  <c r="U104" i="97" s="1"/>
  <c r="AE104" i="97"/>
  <c r="Q104" i="97" s="1"/>
  <c r="AM104" i="97"/>
  <c r="Y104" i="97" s="1"/>
  <c r="AF104" i="97"/>
  <c r="R104" i="97" s="1"/>
  <c r="AL104" i="97"/>
  <c r="X104" i="97" s="1"/>
  <c r="AJ104" i="97"/>
  <c r="V104" i="97" s="1"/>
  <c r="K127" i="103"/>
  <c r="D104" i="97" l="1"/>
  <c r="H104" i="97" s="1"/>
  <c r="AD105" i="97"/>
  <c r="P105" i="97" s="1"/>
  <c r="AL105" i="97"/>
  <c r="X105" i="97" s="1"/>
  <c r="AI105" i="97"/>
  <c r="U105" i="97" s="1"/>
  <c r="AN105" i="97"/>
  <c r="Z105" i="97" s="1"/>
  <c r="AE105" i="97"/>
  <c r="Q105" i="97" s="1"/>
  <c r="AC105" i="97"/>
  <c r="O105" i="97" s="1"/>
  <c r="AK105" i="97"/>
  <c r="W105" i="97" s="1"/>
  <c r="AM105" i="97"/>
  <c r="Y105" i="97" s="1"/>
  <c r="AG105" i="97"/>
  <c r="S105" i="97" s="1"/>
  <c r="AH105" i="97"/>
  <c r="T105" i="97" s="1"/>
  <c r="AF105" i="97"/>
  <c r="R105" i="97" s="1"/>
  <c r="AJ105" i="97"/>
  <c r="V105" i="97" s="1"/>
  <c r="K128" i="103"/>
  <c r="D105" i="97" l="1"/>
  <c r="H105" i="97" s="1"/>
  <c r="D30" i="97"/>
  <c r="AD106" i="97"/>
  <c r="P106" i="97" s="1"/>
  <c r="AL106" i="97"/>
  <c r="X106" i="97" s="1"/>
  <c r="AF106" i="97"/>
  <c r="R106" i="97" s="1"/>
  <c r="AJ106" i="97"/>
  <c r="V106" i="97" s="1"/>
  <c r="AN106" i="97"/>
  <c r="Z106" i="97" s="1"/>
  <c r="AC106" i="97"/>
  <c r="O106" i="97" s="1"/>
  <c r="AG106" i="97"/>
  <c r="S106" i="97" s="1"/>
  <c r="AK106" i="97"/>
  <c r="W106" i="97" s="1"/>
  <c r="AH106" i="97"/>
  <c r="T106" i="97" s="1"/>
  <c r="AM106" i="97"/>
  <c r="Y106" i="97" s="1"/>
  <c r="AI106" i="97"/>
  <c r="U106" i="97" s="1"/>
  <c r="AE106" i="97"/>
  <c r="Q106" i="97" s="1"/>
  <c r="K129" i="103"/>
  <c r="D106" i="97" l="1"/>
  <c r="H106" i="97" s="1"/>
  <c r="D31" i="97"/>
  <c r="AN107" i="97"/>
  <c r="Z107" i="97" s="1"/>
  <c r="AM107" i="97"/>
  <c r="Y107" i="97" s="1"/>
  <c r="AC107" i="97"/>
  <c r="O107" i="97" s="1"/>
  <c r="AG107" i="97"/>
  <c r="S107" i="97" s="1"/>
  <c r="AK107" i="97"/>
  <c r="W107" i="97" s="1"/>
  <c r="AD107" i="97"/>
  <c r="P107" i="97" s="1"/>
  <c r="AI107" i="97"/>
  <c r="U107" i="97" s="1"/>
  <c r="AL107" i="97"/>
  <c r="X107" i="97" s="1"/>
  <c r="AE107" i="97"/>
  <c r="Q107" i="97" s="1"/>
  <c r="AH107" i="97"/>
  <c r="T107" i="97" s="1"/>
  <c r="AF107" i="97"/>
  <c r="R107" i="97" s="1"/>
  <c r="AJ107" i="97"/>
  <c r="V107" i="97" s="1"/>
  <c r="K130" i="103"/>
  <c r="D107" i="97" l="1"/>
  <c r="H107" i="97" s="1"/>
  <c r="D32" i="97"/>
  <c r="AD108" i="97"/>
  <c r="P108" i="97" s="1"/>
  <c r="AH108" i="97"/>
  <c r="T108" i="97" s="1"/>
  <c r="AL108" i="97"/>
  <c r="X108" i="97" s="1"/>
  <c r="AF108" i="97"/>
  <c r="R108" i="97" s="1"/>
  <c r="AJ108" i="97"/>
  <c r="V108" i="97" s="1"/>
  <c r="AN108" i="97"/>
  <c r="Z108" i="97" s="1"/>
  <c r="AC108" i="97"/>
  <c r="O108" i="97" s="1"/>
  <c r="AG108" i="97"/>
  <c r="S108" i="97" s="1"/>
  <c r="AK108" i="97"/>
  <c r="W108" i="97" s="1"/>
  <c r="AE108" i="97"/>
  <c r="Q108" i="97" s="1"/>
  <c r="AI108" i="97"/>
  <c r="U108" i="97" s="1"/>
  <c r="AM108" i="97"/>
  <c r="Y108" i="97" s="1"/>
  <c r="K131" i="103"/>
  <c r="D108" i="97" l="1"/>
  <c r="H108" i="97" s="1"/>
  <c r="D33" i="97"/>
  <c r="AK109" i="97"/>
  <c r="W109" i="97" s="1"/>
  <c r="AL109" i="97"/>
  <c r="X109" i="97" s="1"/>
  <c r="AN109" i="97"/>
  <c r="Z109" i="97" s="1"/>
  <c r="AC109" i="97"/>
  <c r="O109" i="97" s="1"/>
  <c r="AD109" i="97"/>
  <c r="P109" i="97" s="1"/>
  <c r="AE109" i="97"/>
  <c r="Q109" i="97" s="1"/>
  <c r="AF109" i="97"/>
  <c r="R109" i="97" s="1"/>
  <c r="AG109" i="97"/>
  <c r="S109" i="97" s="1"/>
  <c r="AH109" i="97"/>
  <c r="T109" i="97" s="1"/>
  <c r="AI109" i="97"/>
  <c r="U109" i="97" s="1"/>
  <c r="AJ109" i="97"/>
  <c r="V109" i="97" s="1"/>
  <c r="AM109" i="97"/>
  <c r="Y109" i="97" s="1"/>
  <c r="K132" i="103"/>
  <c r="D109" i="97" l="1"/>
  <c r="H109" i="97" s="1"/>
  <c r="D34" i="97"/>
  <c r="AL110" i="97"/>
  <c r="X110" i="97" s="1"/>
  <c r="AK110" i="97"/>
  <c r="W110" i="97" s="1"/>
  <c r="AN110" i="97"/>
  <c r="Z110" i="97" s="1"/>
  <c r="AJ110" i="97"/>
  <c r="V110" i="97" s="1"/>
  <c r="AC110" i="97"/>
  <c r="O110" i="97" s="1"/>
  <c r="AH110" i="97"/>
  <c r="T110" i="97" s="1"/>
  <c r="AD110" i="97"/>
  <c r="P110" i="97" s="1"/>
  <c r="AI110" i="97"/>
  <c r="U110" i="97" s="1"/>
  <c r="AM110" i="97"/>
  <c r="Y110" i="97" s="1"/>
  <c r="AE110" i="97"/>
  <c r="Q110" i="97" s="1"/>
  <c r="AF110" i="97"/>
  <c r="R110" i="97" s="1"/>
  <c r="AG110" i="97"/>
  <c r="S110" i="97" s="1"/>
  <c r="K133" i="103"/>
  <c r="D110" i="97" l="1"/>
  <c r="H110" i="97" s="1"/>
  <c r="D35" i="97"/>
  <c r="AK111" i="97"/>
  <c r="W111" i="97" s="1"/>
  <c r="AL111" i="97"/>
  <c r="X111" i="97" s="1"/>
  <c r="AN111" i="97"/>
  <c r="Z111" i="97" s="1"/>
  <c r="AC111" i="97"/>
  <c r="O111" i="97" s="1"/>
  <c r="AD111" i="97"/>
  <c r="P111" i="97" s="1"/>
  <c r="AE111" i="97"/>
  <c r="Q111" i="97" s="1"/>
  <c r="AF111" i="97"/>
  <c r="R111" i="97" s="1"/>
  <c r="AG111" i="97"/>
  <c r="S111" i="97" s="1"/>
  <c r="AH111" i="97"/>
  <c r="T111" i="97" s="1"/>
  <c r="AI111" i="97"/>
  <c r="U111" i="97" s="1"/>
  <c r="AJ111" i="97"/>
  <c r="V111" i="97" s="1"/>
  <c r="AM111" i="97"/>
  <c r="Y111" i="97" s="1"/>
  <c r="K134" i="103"/>
  <c r="D111" i="97" l="1"/>
  <c r="H111" i="97" s="1"/>
  <c r="D36" i="97"/>
  <c r="AJ112" i="97"/>
  <c r="V112" i="97" s="1"/>
  <c r="AM112" i="97"/>
  <c r="Y112" i="97" s="1"/>
  <c r="AK112" i="97"/>
  <c r="W112" i="97" s="1"/>
  <c r="AL112" i="97"/>
  <c r="X112" i="97" s="1"/>
  <c r="AH112" i="97"/>
  <c r="T112" i="97" s="1"/>
  <c r="AN112" i="97"/>
  <c r="Z112" i="97" s="1"/>
  <c r="AF112" i="97"/>
  <c r="R112" i="97" s="1"/>
  <c r="AI112" i="97"/>
  <c r="U112" i="97" s="1"/>
  <c r="AC112" i="97"/>
  <c r="O112" i="97" s="1"/>
  <c r="AD112" i="97"/>
  <c r="P112" i="97" s="1"/>
  <c r="AE112" i="97"/>
  <c r="Q112" i="97" s="1"/>
  <c r="AG112" i="97"/>
  <c r="S112" i="97" s="1"/>
  <c r="K135" i="103"/>
  <c r="K136" i="103"/>
  <c r="D112" i="97" l="1"/>
  <c r="H112" i="97" s="1"/>
  <c r="D37" i="97"/>
  <c r="AI114" i="97"/>
  <c r="U114" i="97" s="1"/>
  <c r="AD114" i="97"/>
  <c r="P114" i="97" s="1"/>
  <c r="AE114" i="97"/>
  <c r="Q114" i="97" s="1"/>
  <c r="AJ114" i="97"/>
  <c r="V114" i="97" s="1"/>
  <c r="AM114" i="97"/>
  <c r="Y114" i="97" s="1"/>
  <c r="AK114" i="97"/>
  <c r="W114" i="97" s="1"/>
  <c r="AL114" i="97"/>
  <c r="X114" i="97" s="1"/>
  <c r="AN114" i="97"/>
  <c r="Z114" i="97" s="1"/>
  <c r="AC114" i="97"/>
  <c r="O114" i="97" s="1"/>
  <c r="AF114" i="97"/>
  <c r="R114" i="97" s="1"/>
  <c r="AH114" i="97"/>
  <c r="T114" i="97" s="1"/>
  <c r="AG114" i="97"/>
  <c r="S114" i="97" s="1"/>
  <c r="AM113" i="97"/>
  <c r="Y113" i="97" s="1"/>
  <c r="AK113" i="97"/>
  <c r="W113" i="97" s="1"/>
  <c r="AL113" i="97"/>
  <c r="X113" i="97" s="1"/>
  <c r="AN113" i="97"/>
  <c r="Z113" i="97" s="1"/>
  <c r="AC113" i="97"/>
  <c r="O113" i="97" s="1"/>
  <c r="AD113" i="97"/>
  <c r="P113" i="97" s="1"/>
  <c r="AF113" i="97"/>
  <c r="R113" i="97" s="1"/>
  <c r="AJ113" i="97"/>
  <c r="V113" i="97" s="1"/>
  <c r="AE113" i="97"/>
  <c r="Q113" i="97" s="1"/>
  <c r="AG113" i="97"/>
  <c r="S113" i="97" s="1"/>
  <c r="AH113" i="97"/>
  <c r="T113" i="97" s="1"/>
  <c r="AI113" i="97"/>
  <c r="U113" i="97" s="1"/>
  <c r="D114" i="97" l="1"/>
  <c r="H114" i="97" s="1"/>
  <c r="D113" i="97"/>
  <c r="H113" i="97" s="1"/>
  <c r="D38" i="97"/>
  <c r="D39" i="97" l="1"/>
  <c r="D40" i="97"/>
  <c r="W14" i="96" l="1"/>
  <c r="W14" i="114" s="1"/>
  <c r="G8" i="97" l="1"/>
  <c r="S15" i="96"/>
  <c r="W15" i="96" l="1"/>
  <c r="W15" i="114" s="1"/>
  <c r="S15" i="114"/>
  <c r="G9" i="97"/>
  <c r="Z14" i="96"/>
  <c r="AB14" i="96" s="1"/>
  <c r="V14" i="96"/>
  <c r="S16" i="96"/>
  <c r="W16" i="96" l="1"/>
  <c r="W16" i="114" s="1"/>
  <c r="S16" i="114"/>
  <c r="G10" i="97"/>
  <c r="Z14" i="114"/>
  <c r="V14" i="114"/>
  <c r="S41" i="96" l="1"/>
  <c r="W41" i="96" l="1"/>
  <c r="W41" i="114" s="1"/>
  <c r="S41" i="114"/>
  <c r="G35" i="97"/>
  <c r="S46" i="96" l="1"/>
  <c r="W46" i="96" l="1"/>
  <c r="W46" i="114" s="1"/>
  <c r="S46" i="114"/>
  <c r="G40" i="97"/>
  <c r="K137" i="103" l="1"/>
  <c r="AN45" i="98" l="1"/>
  <c r="Z45" i="98" s="1"/>
  <c r="AH45" i="98"/>
  <c r="T45" i="98" s="1"/>
  <c r="AJ45" i="98"/>
  <c r="V45" i="98" s="1"/>
  <c r="AI45" i="98"/>
  <c r="U45" i="98" s="1"/>
  <c r="AD45" i="98"/>
  <c r="P45" i="98" s="1"/>
  <c r="AG45" i="98"/>
  <c r="S45" i="98" s="1"/>
  <c r="AF45" i="98"/>
  <c r="R45" i="98" s="1"/>
  <c r="AM45" i="98"/>
  <c r="Y45" i="98" s="1"/>
  <c r="AK45" i="98"/>
  <c r="W45" i="98" s="1"/>
  <c r="AE45" i="98"/>
  <c r="Q45" i="98" s="1"/>
  <c r="AC45" i="98"/>
  <c r="O45" i="98" s="1"/>
  <c r="AL45" i="98"/>
  <c r="X45" i="98" s="1"/>
  <c r="K138" i="103"/>
  <c r="D45" i="98" l="1"/>
  <c r="H45" i="98" s="1"/>
  <c r="AF46" i="98"/>
  <c r="R46" i="98" s="1"/>
  <c r="AL46" i="98"/>
  <c r="X46" i="98" s="1"/>
  <c r="AM46" i="98"/>
  <c r="Y46" i="98" s="1"/>
  <c r="AG46" i="98"/>
  <c r="S46" i="98" s="1"/>
  <c r="AD46" i="98"/>
  <c r="P46" i="98" s="1"/>
  <c r="AC46" i="98"/>
  <c r="O46" i="98" s="1"/>
  <c r="AN46" i="98"/>
  <c r="Z46" i="98" s="1"/>
  <c r="AH46" i="98"/>
  <c r="T46" i="98" s="1"/>
  <c r="AE46" i="98"/>
  <c r="Q46" i="98" s="1"/>
  <c r="AJ46" i="98"/>
  <c r="V46" i="98" s="1"/>
  <c r="AI46" i="98"/>
  <c r="U46" i="98" s="1"/>
  <c r="AK46" i="98"/>
  <c r="W46" i="98" s="1"/>
  <c r="K139" i="103"/>
  <c r="D8" i="98" l="1"/>
  <c r="D46" i="98"/>
  <c r="H46" i="98" s="1"/>
  <c r="AF47" i="98"/>
  <c r="R47" i="98" s="1"/>
  <c r="AM47" i="98"/>
  <c r="Y47" i="98" s="1"/>
  <c r="AC47" i="98"/>
  <c r="O47" i="98" s="1"/>
  <c r="AH47" i="98"/>
  <c r="T47" i="98" s="1"/>
  <c r="AL47" i="98"/>
  <c r="X47" i="98" s="1"/>
  <c r="AE47" i="98"/>
  <c r="Q47" i="98" s="1"/>
  <c r="AK47" i="98"/>
  <c r="W47" i="98" s="1"/>
  <c r="AJ47" i="98"/>
  <c r="V47" i="98" s="1"/>
  <c r="AG47" i="98"/>
  <c r="S47" i="98" s="1"/>
  <c r="AN47" i="98"/>
  <c r="Z47" i="98" s="1"/>
  <c r="AI47" i="98"/>
  <c r="U47" i="98" s="1"/>
  <c r="AD47" i="98"/>
  <c r="P47" i="98" s="1"/>
  <c r="K140" i="103"/>
  <c r="D9" i="98" l="1"/>
  <c r="D47" i="98"/>
  <c r="H47" i="98" s="1"/>
  <c r="S36" i="96"/>
  <c r="AF48" i="98"/>
  <c r="R48" i="98" s="1"/>
  <c r="AL48" i="98"/>
  <c r="X48" i="98" s="1"/>
  <c r="AI48" i="98"/>
  <c r="U48" i="98" s="1"/>
  <c r="AC48" i="98"/>
  <c r="O48" i="98" s="1"/>
  <c r="AM48" i="98"/>
  <c r="Y48" i="98" s="1"/>
  <c r="AG48" i="98"/>
  <c r="S48" i="98" s="1"/>
  <c r="AJ48" i="98"/>
  <c r="V48" i="98" s="1"/>
  <c r="AD48" i="98"/>
  <c r="P48" i="98" s="1"/>
  <c r="AK48" i="98"/>
  <c r="W48" i="98" s="1"/>
  <c r="AN48" i="98"/>
  <c r="Z48" i="98" s="1"/>
  <c r="AH48" i="98"/>
  <c r="T48" i="98" s="1"/>
  <c r="AE48" i="98"/>
  <c r="Q48" i="98" s="1"/>
  <c r="K141" i="103"/>
  <c r="W36" i="96" l="1"/>
  <c r="W36" i="114" s="1"/>
  <c r="S36" i="114"/>
  <c r="D10" i="98"/>
  <c r="D48" i="98"/>
  <c r="H48" i="98" s="1"/>
  <c r="G30" i="97"/>
  <c r="AJ49" i="98"/>
  <c r="V49" i="98" s="1"/>
  <c r="AD49" i="98"/>
  <c r="P49" i="98" s="1"/>
  <c r="AG49" i="98"/>
  <c r="S49" i="98" s="1"/>
  <c r="AF49" i="98"/>
  <c r="R49" i="98" s="1"/>
  <c r="AM49" i="98"/>
  <c r="Y49" i="98" s="1"/>
  <c r="AK49" i="98"/>
  <c r="W49" i="98" s="1"/>
  <c r="AL49" i="98"/>
  <c r="X49" i="98" s="1"/>
  <c r="AC49" i="98"/>
  <c r="O49" i="98" s="1"/>
  <c r="AE49" i="98"/>
  <c r="Q49" i="98" s="1"/>
  <c r="AN49" i="98"/>
  <c r="Z49" i="98" s="1"/>
  <c r="AI49" i="98"/>
  <c r="U49" i="98" s="1"/>
  <c r="AH49" i="98"/>
  <c r="T49" i="98" s="1"/>
  <c r="S37" i="96"/>
  <c r="K142" i="103"/>
  <c r="W37" i="96" l="1"/>
  <c r="W37" i="114" s="1"/>
  <c r="S37" i="114"/>
  <c r="D49" i="98"/>
  <c r="H49" i="98" s="1"/>
  <c r="G31" i="97"/>
  <c r="AN50" i="98"/>
  <c r="Z50" i="98" s="1"/>
  <c r="AH50" i="98"/>
  <c r="T50" i="98" s="1"/>
  <c r="AE50" i="98"/>
  <c r="Q50" i="98" s="1"/>
  <c r="AJ50" i="98"/>
  <c r="V50" i="98" s="1"/>
  <c r="AD50" i="98"/>
  <c r="P50" i="98" s="1"/>
  <c r="AK50" i="98"/>
  <c r="W50" i="98" s="1"/>
  <c r="AL50" i="98"/>
  <c r="X50" i="98" s="1"/>
  <c r="AG50" i="98"/>
  <c r="S50" i="98" s="1"/>
  <c r="AF50" i="98"/>
  <c r="R50" i="98" s="1"/>
  <c r="AM50" i="98"/>
  <c r="Y50" i="98" s="1"/>
  <c r="AI50" i="98"/>
  <c r="U50" i="98" s="1"/>
  <c r="AC50" i="98"/>
  <c r="O50" i="98" s="1"/>
  <c r="S38" i="96"/>
  <c r="K143" i="103"/>
  <c r="W38" i="96" l="1"/>
  <c r="W38" i="114" s="1"/>
  <c r="S38" i="114"/>
  <c r="D50" i="98"/>
  <c r="H50" i="98" s="1"/>
  <c r="G32" i="97"/>
  <c r="S39" i="96"/>
  <c r="AN51" i="98"/>
  <c r="Z51" i="98" s="1"/>
  <c r="AH51" i="98"/>
  <c r="T51" i="98" s="1"/>
  <c r="AK51" i="98"/>
  <c r="W51" i="98" s="1"/>
  <c r="AJ51" i="98"/>
  <c r="V51" i="98" s="1"/>
  <c r="AD51" i="98"/>
  <c r="P51" i="98" s="1"/>
  <c r="AI51" i="98"/>
  <c r="U51" i="98" s="1"/>
  <c r="AF51" i="98"/>
  <c r="R51" i="98" s="1"/>
  <c r="AC51" i="98"/>
  <c r="O51" i="98" s="1"/>
  <c r="AG51" i="98"/>
  <c r="S51" i="98" s="1"/>
  <c r="AL51" i="98"/>
  <c r="X51" i="98" s="1"/>
  <c r="AM51" i="98"/>
  <c r="Y51" i="98" s="1"/>
  <c r="AE51" i="98"/>
  <c r="Q51" i="98" s="1"/>
  <c r="K144" i="103"/>
  <c r="AE52" i="98" s="1"/>
  <c r="W39" i="96" l="1"/>
  <c r="W39" i="114" s="1"/>
  <c r="S39" i="114"/>
  <c r="D51" i="98"/>
  <c r="H51" i="98" s="1"/>
  <c r="G33" i="97"/>
  <c r="AL52" i="98"/>
  <c r="X52" i="98" s="1"/>
  <c r="AG52" i="98"/>
  <c r="S52" i="98" s="1"/>
  <c r="AC52" i="98"/>
  <c r="O52" i="98" s="1"/>
  <c r="AN52" i="98"/>
  <c r="Z52" i="98" s="1"/>
  <c r="AH52" i="98"/>
  <c r="T52" i="98" s="1"/>
  <c r="AM52" i="98"/>
  <c r="Y52" i="98" s="1"/>
  <c r="AJ52" i="98"/>
  <c r="V52" i="98" s="1"/>
  <c r="AD52" i="98"/>
  <c r="P52" i="98" s="1"/>
  <c r="AF52" i="98"/>
  <c r="R52" i="98" s="1"/>
  <c r="Q52" i="98"/>
  <c r="AI52" i="98"/>
  <c r="U52" i="98" s="1"/>
  <c r="AK52" i="98"/>
  <c r="W52" i="98" s="1"/>
  <c r="S40" i="96"/>
  <c r="K145" i="103"/>
  <c r="W40" i="96" l="1"/>
  <c r="W40" i="114" s="1"/>
  <c r="S40" i="114"/>
  <c r="D52" i="98"/>
  <c r="H52" i="98" s="1"/>
  <c r="G34" i="97"/>
  <c r="AN53" i="98"/>
  <c r="Z53" i="98" s="1"/>
  <c r="AI53" i="98"/>
  <c r="U53" i="98" s="1"/>
  <c r="AC53" i="98"/>
  <c r="O53" i="98" s="1"/>
  <c r="AG53" i="98"/>
  <c r="S53" i="98" s="1"/>
  <c r="AM53" i="98"/>
  <c r="Y53" i="98" s="1"/>
  <c r="AD53" i="98"/>
  <c r="P53" i="98" s="1"/>
  <c r="AE53" i="98"/>
  <c r="Q53" i="98" s="1"/>
  <c r="AK53" i="98"/>
  <c r="W53" i="98" s="1"/>
  <c r="AF53" i="98"/>
  <c r="R53" i="98" s="1"/>
  <c r="AJ53" i="98"/>
  <c r="V53" i="98" s="1"/>
  <c r="AL53" i="98"/>
  <c r="X53" i="98" s="1"/>
  <c r="AH53" i="98"/>
  <c r="T53" i="98" s="1"/>
  <c r="K146" i="103"/>
  <c r="D53" i="98" l="1"/>
  <c r="H53" i="98" s="1"/>
  <c r="AC54" i="98"/>
  <c r="O54" i="98" s="1"/>
  <c r="AN54" i="98"/>
  <c r="Z54" i="98" s="1"/>
  <c r="AJ54" i="98"/>
  <c r="V54" i="98" s="1"/>
  <c r="AF54" i="98"/>
  <c r="R54" i="98" s="1"/>
  <c r="AL54" i="98"/>
  <c r="X54" i="98" s="1"/>
  <c r="AD54" i="98"/>
  <c r="P54" i="98" s="1"/>
  <c r="AH54" i="98"/>
  <c r="T54" i="98" s="1"/>
  <c r="AI54" i="98"/>
  <c r="U54" i="98" s="1"/>
  <c r="AG54" i="98"/>
  <c r="S54" i="98" s="1"/>
  <c r="AK54" i="98"/>
  <c r="W54" i="98" s="1"/>
  <c r="AE54" i="98"/>
  <c r="Q54" i="98" s="1"/>
  <c r="AM54" i="98"/>
  <c r="Y54" i="98" s="1"/>
  <c r="S42" i="96"/>
  <c r="K147" i="103"/>
  <c r="W42" i="96" l="1"/>
  <c r="W42" i="114" s="1"/>
  <c r="S42" i="114"/>
  <c r="D16" i="98"/>
  <c r="D54" i="98"/>
  <c r="H54" i="98" s="1"/>
  <c r="G36" i="97"/>
  <c r="AD55" i="98"/>
  <c r="P55" i="98" s="1"/>
  <c r="AM55" i="98"/>
  <c r="Y55" i="98" s="1"/>
  <c r="AE55" i="98"/>
  <c r="Q55" i="98" s="1"/>
  <c r="AI55" i="98"/>
  <c r="U55" i="98" s="1"/>
  <c r="AG55" i="98"/>
  <c r="S55" i="98" s="1"/>
  <c r="AJ55" i="98"/>
  <c r="V55" i="98" s="1"/>
  <c r="AK55" i="98"/>
  <c r="W55" i="98" s="1"/>
  <c r="AC55" i="98"/>
  <c r="O55" i="98" s="1"/>
  <c r="AH55" i="98"/>
  <c r="T55" i="98" s="1"/>
  <c r="AF55" i="98"/>
  <c r="R55" i="98" s="1"/>
  <c r="AN55" i="98"/>
  <c r="Z55" i="98" s="1"/>
  <c r="AL55" i="98"/>
  <c r="X55" i="98" s="1"/>
  <c r="S43" i="96"/>
  <c r="K148" i="103"/>
  <c r="W43" i="96" l="1"/>
  <c r="W43" i="114" s="1"/>
  <c r="S43" i="114"/>
  <c r="D55" i="98"/>
  <c r="H55" i="98" s="1"/>
  <c r="G37" i="97"/>
  <c r="AK56" i="98"/>
  <c r="W56" i="98" s="1"/>
  <c r="AC56" i="98"/>
  <c r="O56" i="98" s="1"/>
  <c r="AN56" i="98"/>
  <c r="Z56" i="98" s="1"/>
  <c r="AJ56" i="98"/>
  <c r="V56" i="98" s="1"/>
  <c r="AF56" i="98"/>
  <c r="R56" i="98" s="1"/>
  <c r="AM56" i="98"/>
  <c r="Y56" i="98" s="1"/>
  <c r="AL56" i="98"/>
  <c r="X56" i="98" s="1"/>
  <c r="AH56" i="98"/>
  <c r="T56" i="98" s="1"/>
  <c r="AD56" i="98"/>
  <c r="P56" i="98" s="1"/>
  <c r="AI56" i="98"/>
  <c r="U56" i="98" s="1"/>
  <c r="AG56" i="98"/>
  <c r="S56" i="98" s="1"/>
  <c r="AE56" i="98"/>
  <c r="Q56" i="98" s="1"/>
  <c r="S44" i="96"/>
  <c r="K149" i="103"/>
  <c r="W44" i="96" l="1"/>
  <c r="W44" i="114" s="1"/>
  <c r="S44" i="114"/>
  <c r="D56" i="98"/>
  <c r="H56" i="98" s="1"/>
  <c r="G38" i="97"/>
  <c r="AH57" i="98"/>
  <c r="T57" i="98" s="1"/>
  <c r="AD57" i="98"/>
  <c r="P57" i="98" s="1"/>
  <c r="AM57" i="98"/>
  <c r="Y57" i="98" s="1"/>
  <c r="AE57" i="98"/>
  <c r="Q57" i="98" s="1"/>
  <c r="AK57" i="98"/>
  <c r="W57" i="98" s="1"/>
  <c r="AC57" i="98"/>
  <c r="O57" i="98" s="1"/>
  <c r="AI57" i="98"/>
  <c r="U57" i="98" s="1"/>
  <c r="AL57" i="98"/>
  <c r="X57" i="98" s="1"/>
  <c r="AG57" i="98"/>
  <c r="S57" i="98" s="1"/>
  <c r="AN57" i="98"/>
  <c r="Z57" i="98" s="1"/>
  <c r="AJ57" i="98"/>
  <c r="V57" i="98" s="1"/>
  <c r="AF57" i="98"/>
  <c r="R57" i="98" s="1"/>
  <c r="S45" i="96"/>
  <c r="K150" i="103"/>
  <c r="W45" i="96" l="1"/>
  <c r="W45" i="114" s="1"/>
  <c r="S45" i="114"/>
  <c r="D57" i="98"/>
  <c r="H57" i="98" s="1"/>
  <c r="G39" i="97"/>
  <c r="AE58" i="98"/>
  <c r="Q58" i="98" s="1"/>
  <c r="AC58" i="98"/>
  <c r="O58" i="98" s="1"/>
  <c r="AN58" i="98"/>
  <c r="Z58" i="98" s="1"/>
  <c r="AJ58" i="98"/>
  <c r="V58" i="98" s="1"/>
  <c r="AF58" i="98"/>
  <c r="R58" i="98" s="1"/>
  <c r="AM58" i="98"/>
  <c r="Y58" i="98" s="1"/>
  <c r="AI58" i="98"/>
  <c r="U58" i="98" s="1"/>
  <c r="AG58" i="98"/>
  <c r="S58" i="98" s="1"/>
  <c r="AL58" i="98"/>
  <c r="X58" i="98" s="1"/>
  <c r="AH58" i="98"/>
  <c r="T58" i="98" s="1"/>
  <c r="AD58" i="98"/>
  <c r="P58" i="98" s="1"/>
  <c r="AK58" i="98"/>
  <c r="W58" i="98" s="1"/>
  <c r="K151" i="103"/>
  <c r="D58" i="98" l="1"/>
  <c r="H58" i="98" s="1"/>
  <c r="AL59" i="98"/>
  <c r="X59" i="98" s="1"/>
  <c r="AH59" i="98"/>
  <c r="T59" i="98" s="1"/>
  <c r="AE59" i="98"/>
  <c r="Q59" i="98" s="1"/>
  <c r="AD59" i="98"/>
  <c r="P59" i="98" s="1"/>
  <c r="AK59" i="98"/>
  <c r="W59" i="98" s="1"/>
  <c r="AI59" i="98"/>
  <c r="U59" i="98" s="1"/>
  <c r="AG59" i="98"/>
  <c r="S59" i="98" s="1"/>
  <c r="AC59" i="98"/>
  <c r="O59" i="98" s="1"/>
  <c r="AN59" i="98"/>
  <c r="Z59" i="98" s="1"/>
  <c r="AM59" i="98"/>
  <c r="Y59" i="98" s="1"/>
  <c r="AJ59" i="98"/>
  <c r="V59" i="98" s="1"/>
  <c r="AF59" i="98"/>
  <c r="R59" i="98" s="1"/>
  <c r="K152" i="103"/>
  <c r="D59" i="98" l="1"/>
  <c r="H59" i="98" s="1"/>
  <c r="AK60" i="98"/>
  <c r="W60" i="98" s="1"/>
  <c r="AG60" i="98"/>
  <c r="S60" i="98" s="1"/>
  <c r="AD60" i="98"/>
  <c r="P60" i="98" s="1"/>
  <c r="AH60" i="98"/>
  <c r="T60" i="98" s="1"/>
  <c r="AN60" i="98"/>
  <c r="Z60" i="98" s="1"/>
  <c r="AJ60" i="98"/>
  <c r="V60" i="98" s="1"/>
  <c r="AF60" i="98"/>
  <c r="R60" i="98" s="1"/>
  <c r="AM60" i="98"/>
  <c r="Y60" i="98" s="1"/>
  <c r="AI60" i="98"/>
  <c r="U60" i="98" s="1"/>
  <c r="AE60" i="98"/>
  <c r="Q60" i="98" s="1"/>
  <c r="AL60" i="98"/>
  <c r="X60" i="98" s="1"/>
  <c r="AC60" i="98"/>
  <c r="O60" i="98" s="1"/>
  <c r="K153" i="103"/>
  <c r="D60" i="98" l="1"/>
  <c r="H60" i="98" s="1"/>
  <c r="AL61" i="98"/>
  <c r="X61" i="98" s="1"/>
  <c r="AM61" i="98"/>
  <c r="Y61" i="98" s="1"/>
  <c r="AH61" i="98"/>
  <c r="T61" i="98" s="1"/>
  <c r="AD61" i="98"/>
  <c r="P61" i="98" s="1"/>
  <c r="AI61" i="98"/>
  <c r="U61" i="98" s="1"/>
  <c r="AG61" i="98"/>
  <c r="S61" i="98" s="1"/>
  <c r="AC61" i="98"/>
  <c r="O61" i="98" s="1"/>
  <c r="AK61" i="98"/>
  <c r="W61" i="98" s="1"/>
  <c r="AN61" i="98"/>
  <c r="Z61" i="98" s="1"/>
  <c r="AE61" i="98"/>
  <c r="Q61" i="98" s="1"/>
  <c r="AJ61" i="98"/>
  <c r="V61" i="98" s="1"/>
  <c r="AF61" i="98"/>
  <c r="R61" i="98" s="1"/>
  <c r="K154" i="103"/>
  <c r="D61" i="98" l="1"/>
  <c r="H61" i="98" s="1"/>
  <c r="AE62" i="98"/>
  <c r="Q62" i="98" s="1"/>
  <c r="AN62" i="98"/>
  <c r="Z62" i="98" s="1"/>
  <c r="AL62" i="98"/>
  <c r="X62" i="98" s="1"/>
  <c r="AM62" i="98"/>
  <c r="Y62" i="98" s="1"/>
  <c r="AH62" i="98"/>
  <c r="T62" i="98" s="1"/>
  <c r="AI62" i="98"/>
  <c r="U62" i="98" s="1"/>
  <c r="AD62" i="98"/>
  <c r="P62" i="98" s="1"/>
  <c r="AK62" i="98"/>
  <c r="W62" i="98" s="1"/>
  <c r="AJ62" i="98"/>
  <c r="V62" i="98" s="1"/>
  <c r="AG62" i="98"/>
  <c r="S62" i="98" s="1"/>
  <c r="AC62" i="98"/>
  <c r="O62" i="98" s="1"/>
  <c r="AF62" i="98"/>
  <c r="R62" i="98" s="1"/>
  <c r="K155" i="103"/>
  <c r="D62" i="98" l="1"/>
  <c r="H62" i="98" s="1"/>
  <c r="K156" i="103"/>
  <c r="AI64" i="98" l="1"/>
  <c r="U64" i="98" s="1"/>
  <c r="AE64" i="98"/>
  <c r="Q64" i="98" s="1"/>
  <c r="AN64" i="98"/>
  <c r="Z64" i="98" s="1"/>
  <c r="AL64" i="98"/>
  <c r="X64" i="98" s="1"/>
  <c r="AH64" i="98"/>
  <c r="T64" i="98" s="1"/>
  <c r="AD64" i="98"/>
  <c r="P64" i="98" s="1"/>
  <c r="AG64" i="98"/>
  <c r="S64" i="98" s="1"/>
  <c r="AF64" i="98"/>
  <c r="R64" i="98" s="1"/>
  <c r="AC64" i="98"/>
  <c r="O64" i="98" s="1"/>
  <c r="AK64" i="98"/>
  <c r="W64" i="98" s="1"/>
  <c r="AM64" i="98"/>
  <c r="Y64" i="98" s="1"/>
  <c r="AJ64" i="98"/>
  <c r="V64" i="98" s="1"/>
  <c r="K157" i="103"/>
  <c r="D64" i="98" l="1"/>
  <c r="H64" i="98" s="1"/>
  <c r="AJ65" i="98"/>
  <c r="V65" i="98" s="1"/>
  <c r="AM65" i="98"/>
  <c r="Y65" i="98" s="1"/>
  <c r="AI65" i="98"/>
  <c r="U65" i="98" s="1"/>
  <c r="AD65" i="98"/>
  <c r="P65" i="98" s="1"/>
  <c r="AL65" i="98"/>
  <c r="X65" i="98" s="1"/>
  <c r="AF65" i="98"/>
  <c r="R65" i="98" s="1"/>
  <c r="AH65" i="98"/>
  <c r="T65" i="98" s="1"/>
  <c r="AC65" i="98"/>
  <c r="O65" i="98" s="1"/>
  <c r="AN65" i="98"/>
  <c r="Z65" i="98" s="1"/>
  <c r="AG65" i="98"/>
  <c r="S65" i="98" s="1"/>
  <c r="AK65" i="98"/>
  <c r="W65" i="98" s="1"/>
  <c r="AE65" i="98"/>
  <c r="Q65" i="98" s="1"/>
  <c r="K158" i="103"/>
  <c r="K170" i="103"/>
  <c r="D65" i="98" l="1"/>
  <c r="H65" i="98" s="1"/>
  <c r="AN66" i="98"/>
  <c r="Z66" i="98" s="1"/>
  <c r="AE66" i="98"/>
  <c r="Q66" i="98" s="1"/>
  <c r="AL66" i="98"/>
  <c r="X66" i="98" s="1"/>
  <c r="AM66" i="98"/>
  <c r="Y66" i="98" s="1"/>
  <c r="AK66" i="98"/>
  <c r="W66" i="98" s="1"/>
  <c r="AC66" i="98"/>
  <c r="O66" i="98" s="1"/>
  <c r="AJ66" i="98"/>
  <c r="V66" i="98" s="1"/>
  <c r="AH66" i="98"/>
  <c r="T66" i="98" s="1"/>
  <c r="AF66" i="98"/>
  <c r="R66" i="98" s="1"/>
  <c r="AD66" i="98"/>
  <c r="P66" i="98" s="1"/>
  <c r="AG66" i="98"/>
  <c r="S66" i="98" s="1"/>
  <c r="AI66" i="98"/>
  <c r="U66" i="98" s="1"/>
  <c r="K171" i="103"/>
  <c r="K159" i="103"/>
  <c r="D66" i="98" l="1"/>
  <c r="H66" i="98" s="1"/>
  <c r="AI67" i="98"/>
  <c r="U67" i="98" s="1"/>
  <c r="AE67" i="98"/>
  <c r="Q67" i="98" s="1"/>
  <c r="AM67" i="98"/>
  <c r="Y67" i="98" s="1"/>
  <c r="AF67" i="98"/>
  <c r="R67" i="98" s="1"/>
  <c r="AJ67" i="98"/>
  <c r="V67" i="98" s="1"/>
  <c r="AK67" i="98"/>
  <c r="W67" i="98" s="1"/>
  <c r="AN67" i="98"/>
  <c r="Z67" i="98" s="1"/>
  <c r="AL67" i="98"/>
  <c r="X67" i="98" s="1"/>
  <c r="AC67" i="98"/>
  <c r="O67" i="98" s="1"/>
  <c r="AD67" i="98"/>
  <c r="P67" i="98" s="1"/>
  <c r="AH67" i="98"/>
  <c r="T67" i="98" s="1"/>
  <c r="AG67" i="98"/>
  <c r="S67" i="98" s="1"/>
  <c r="K160" i="103"/>
  <c r="K172" i="103"/>
  <c r="D67" i="98" l="1"/>
  <c r="H67" i="98" s="1"/>
  <c r="AD68" i="98"/>
  <c r="P68" i="98" s="1"/>
  <c r="AF68" i="98"/>
  <c r="R68" i="98" s="1"/>
  <c r="AI68" i="98"/>
  <c r="U68" i="98" s="1"/>
  <c r="AJ68" i="98"/>
  <c r="V68" i="98" s="1"/>
  <c r="AN68" i="98"/>
  <c r="Z68" i="98" s="1"/>
  <c r="AL68" i="98"/>
  <c r="X68" i="98" s="1"/>
  <c r="AE68" i="98"/>
  <c r="Q68" i="98" s="1"/>
  <c r="AC68" i="98"/>
  <c r="O68" i="98" s="1"/>
  <c r="AG68" i="98"/>
  <c r="S68" i="98" s="1"/>
  <c r="AK68" i="98"/>
  <c r="W68" i="98" s="1"/>
  <c r="AM68" i="98"/>
  <c r="Y68" i="98" s="1"/>
  <c r="AH68" i="98"/>
  <c r="T68" i="98" s="1"/>
  <c r="K173" i="103"/>
  <c r="K161" i="103"/>
  <c r="D68" i="98" l="1"/>
  <c r="H68" i="98" s="1"/>
  <c r="D30" i="98"/>
  <c r="AL69" i="98"/>
  <c r="X69" i="98" s="1"/>
  <c r="AE69" i="98"/>
  <c r="Q69" i="98" s="1"/>
  <c r="AI69" i="98"/>
  <c r="U69" i="98" s="1"/>
  <c r="AM69" i="98"/>
  <c r="Y69" i="98" s="1"/>
  <c r="AH69" i="98"/>
  <c r="T69" i="98" s="1"/>
  <c r="AF69" i="98"/>
  <c r="R69" i="98" s="1"/>
  <c r="AJ69" i="98"/>
  <c r="V69" i="98" s="1"/>
  <c r="AN69" i="98"/>
  <c r="Z69" i="98" s="1"/>
  <c r="AD69" i="98"/>
  <c r="P69" i="98" s="1"/>
  <c r="AC69" i="98"/>
  <c r="O69" i="98" s="1"/>
  <c r="AG69" i="98"/>
  <c r="S69" i="98" s="1"/>
  <c r="AK69" i="98"/>
  <c r="W69" i="98" s="1"/>
  <c r="K174" i="103"/>
  <c r="K162" i="103"/>
  <c r="D31" i="98" l="1"/>
  <c r="D69" i="98"/>
  <c r="H69" i="98" s="1"/>
  <c r="AK70" i="98"/>
  <c r="W70" i="98" s="1"/>
  <c r="AH70" i="98"/>
  <c r="T70" i="98" s="1"/>
  <c r="AF70" i="98"/>
  <c r="R70" i="98" s="1"/>
  <c r="AJ70" i="98"/>
  <c r="V70" i="98" s="1"/>
  <c r="AN70" i="98"/>
  <c r="Z70" i="98" s="1"/>
  <c r="AG70" i="98"/>
  <c r="S70" i="98" s="1"/>
  <c r="AL70" i="98"/>
  <c r="X70" i="98" s="1"/>
  <c r="AC70" i="98"/>
  <c r="O70" i="98" s="1"/>
  <c r="AE70" i="98"/>
  <c r="Q70" i="98" s="1"/>
  <c r="AI70" i="98"/>
  <c r="U70" i="98" s="1"/>
  <c r="AM70" i="98"/>
  <c r="Y70" i="98" s="1"/>
  <c r="AD70" i="98"/>
  <c r="P70" i="98" s="1"/>
  <c r="K163" i="103"/>
  <c r="K175" i="103"/>
  <c r="D32" i="98" l="1"/>
  <c r="D70" i="98"/>
  <c r="H70" i="98" s="1"/>
  <c r="AJ71" i="98"/>
  <c r="V71" i="98" s="1"/>
  <c r="AN71" i="98"/>
  <c r="Z71" i="98" s="1"/>
  <c r="AC71" i="98"/>
  <c r="O71" i="98" s="1"/>
  <c r="AL71" i="98"/>
  <c r="X71" i="98" s="1"/>
  <c r="AG71" i="98"/>
  <c r="S71" i="98" s="1"/>
  <c r="AD71" i="98"/>
  <c r="P71" i="98" s="1"/>
  <c r="AE71" i="98"/>
  <c r="Q71" i="98" s="1"/>
  <c r="AH71" i="98"/>
  <c r="T71" i="98" s="1"/>
  <c r="AI71" i="98"/>
  <c r="U71" i="98" s="1"/>
  <c r="AM71" i="98"/>
  <c r="Y71" i="98" s="1"/>
  <c r="AK71" i="98"/>
  <c r="W71" i="98" s="1"/>
  <c r="AF71" i="98"/>
  <c r="R71" i="98" s="1"/>
  <c r="K164" i="103"/>
  <c r="K176" i="103"/>
  <c r="D33" i="98" l="1"/>
  <c r="D71" i="98"/>
  <c r="H71" i="98" s="1"/>
  <c r="AD72" i="98"/>
  <c r="P72" i="98" s="1"/>
  <c r="AC72" i="98"/>
  <c r="O72" i="98" s="1"/>
  <c r="AE72" i="98"/>
  <c r="Q72" i="98" s="1"/>
  <c r="AH72" i="98"/>
  <c r="T72" i="98" s="1"/>
  <c r="AF72" i="98"/>
  <c r="R72" i="98" s="1"/>
  <c r="AG72" i="98"/>
  <c r="S72" i="98" s="1"/>
  <c r="AI72" i="98"/>
  <c r="U72" i="98" s="1"/>
  <c r="AJ72" i="98"/>
  <c r="V72" i="98" s="1"/>
  <c r="AK72" i="98"/>
  <c r="W72" i="98" s="1"/>
  <c r="AL72" i="98"/>
  <c r="X72" i="98" s="1"/>
  <c r="AM72" i="98"/>
  <c r="Y72" i="98" s="1"/>
  <c r="AN72" i="98"/>
  <c r="Z72" i="98" s="1"/>
  <c r="K177" i="103"/>
  <c r="K165" i="103"/>
  <c r="D34" i="98" l="1"/>
  <c r="D72" i="98"/>
  <c r="H72" i="98" s="1"/>
  <c r="AK73" i="98"/>
  <c r="W73" i="98" s="1"/>
  <c r="AL73" i="98"/>
  <c r="X73" i="98" s="1"/>
  <c r="AM73" i="98"/>
  <c r="Y73" i="98" s="1"/>
  <c r="AI73" i="98"/>
  <c r="U73" i="98" s="1"/>
  <c r="AN73" i="98"/>
  <c r="Z73" i="98" s="1"/>
  <c r="AD73" i="98"/>
  <c r="P73" i="98" s="1"/>
  <c r="AC73" i="98"/>
  <c r="O73" i="98" s="1"/>
  <c r="AG73" i="98"/>
  <c r="S73" i="98" s="1"/>
  <c r="AE73" i="98"/>
  <c r="Q73" i="98" s="1"/>
  <c r="AF73" i="98"/>
  <c r="R73" i="98" s="1"/>
  <c r="AJ73" i="98"/>
  <c r="V73" i="98" s="1"/>
  <c r="AH73" i="98"/>
  <c r="T73" i="98" s="1"/>
  <c r="K166" i="103"/>
  <c r="K178" i="103"/>
  <c r="D35" i="98" l="1"/>
  <c r="D73" i="98"/>
  <c r="H73" i="98" s="1"/>
  <c r="AG74" i="98"/>
  <c r="S74" i="98" s="1"/>
  <c r="AH74" i="98"/>
  <c r="T74" i="98" s="1"/>
  <c r="AN74" i="98"/>
  <c r="Z74" i="98" s="1"/>
  <c r="AI74" i="98"/>
  <c r="U74" i="98" s="1"/>
  <c r="AF74" i="98"/>
  <c r="R74" i="98" s="1"/>
  <c r="AJ74" i="98"/>
  <c r="V74" i="98" s="1"/>
  <c r="AD74" i="98"/>
  <c r="P74" i="98" s="1"/>
  <c r="AK74" i="98"/>
  <c r="W74" i="98" s="1"/>
  <c r="AL74" i="98"/>
  <c r="X74" i="98" s="1"/>
  <c r="AM74" i="98"/>
  <c r="Y74" i="98" s="1"/>
  <c r="AC74" i="98"/>
  <c r="O74" i="98" s="1"/>
  <c r="AE74" i="98"/>
  <c r="Q74" i="98" s="1"/>
  <c r="K167" i="103"/>
  <c r="K179" i="103"/>
  <c r="D36" i="98" l="1"/>
  <c r="D74" i="98"/>
  <c r="H74" i="98" s="1"/>
  <c r="AI75" i="98"/>
  <c r="U75" i="98" s="1"/>
  <c r="AE75" i="98"/>
  <c r="Q75" i="98" s="1"/>
  <c r="AJ75" i="98"/>
  <c r="V75" i="98" s="1"/>
  <c r="AK75" i="98"/>
  <c r="W75" i="98" s="1"/>
  <c r="AC75" i="98"/>
  <c r="O75" i="98" s="1"/>
  <c r="AL75" i="98"/>
  <c r="X75" i="98" s="1"/>
  <c r="AM75" i="98"/>
  <c r="Y75" i="98" s="1"/>
  <c r="AN75" i="98"/>
  <c r="Z75" i="98" s="1"/>
  <c r="AD75" i="98"/>
  <c r="P75" i="98" s="1"/>
  <c r="AH75" i="98"/>
  <c r="T75" i="98" s="1"/>
  <c r="AF75" i="98"/>
  <c r="R75" i="98" s="1"/>
  <c r="AG75" i="98"/>
  <c r="S75" i="98" s="1"/>
  <c r="K180" i="103"/>
  <c r="K168" i="103"/>
  <c r="K169" i="103"/>
  <c r="D37" i="98" l="1"/>
  <c r="D75" i="98"/>
  <c r="H75" i="98" s="1"/>
  <c r="AG77" i="98"/>
  <c r="S77" i="98" s="1"/>
  <c r="AH77" i="98"/>
  <c r="T77" i="98" s="1"/>
  <c r="AI77" i="98"/>
  <c r="U77" i="98" s="1"/>
  <c r="AJ77" i="98"/>
  <c r="V77" i="98" s="1"/>
  <c r="AK77" i="98"/>
  <c r="W77" i="98" s="1"/>
  <c r="AL77" i="98"/>
  <c r="X77" i="98" s="1"/>
  <c r="AM77" i="98"/>
  <c r="Y77" i="98" s="1"/>
  <c r="AN77" i="98"/>
  <c r="Z77" i="98" s="1"/>
  <c r="AE77" i="98"/>
  <c r="Q77" i="98" s="1"/>
  <c r="AD77" i="98"/>
  <c r="P77" i="98" s="1"/>
  <c r="AC77" i="98"/>
  <c r="O77" i="98" s="1"/>
  <c r="AF77" i="98"/>
  <c r="R77" i="98" s="1"/>
  <c r="AE76" i="98"/>
  <c r="Q76" i="98" s="1"/>
  <c r="AF76" i="98"/>
  <c r="R76" i="98" s="1"/>
  <c r="AD76" i="98"/>
  <c r="P76" i="98" s="1"/>
  <c r="AG76" i="98"/>
  <c r="S76" i="98" s="1"/>
  <c r="AH76" i="98"/>
  <c r="T76" i="98" s="1"/>
  <c r="AI76" i="98"/>
  <c r="U76" i="98" s="1"/>
  <c r="AJ76" i="98"/>
  <c r="V76" i="98" s="1"/>
  <c r="AC76" i="98"/>
  <c r="O76" i="98" s="1"/>
  <c r="AK76" i="98"/>
  <c r="W76" i="98" s="1"/>
  <c r="AL76" i="98"/>
  <c r="X76" i="98" s="1"/>
  <c r="AM76" i="98"/>
  <c r="Y76" i="98" s="1"/>
  <c r="AN76" i="98"/>
  <c r="Z76" i="98" s="1"/>
  <c r="K181" i="103"/>
  <c r="D38" i="98" l="1"/>
  <c r="D77" i="98"/>
  <c r="H77" i="98" s="1"/>
  <c r="D76" i="98"/>
  <c r="H76" i="98" s="1"/>
  <c r="K182" i="103"/>
  <c r="D40" i="98" l="1"/>
  <c r="D39" i="98"/>
  <c r="K183" i="103"/>
  <c r="K184" i="103" l="1"/>
  <c r="K185" i="103" l="1"/>
  <c r="K186" i="103" l="1"/>
  <c r="K187" i="103" l="1"/>
  <c r="K188" i="103" l="1"/>
  <c r="K189" i="103" l="1"/>
  <c r="K190" i="103" l="1"/>
  <c r="K191" i="103" l="1"/>
  <c r="K192" i="103" l="1"/>
  <c r="K193" i="103" l="1"/>
  <c r="K194" i="103" l="1"/>
  <c r="K195" i="103" l="1"/>
  <c r="K196" i="103" l="1"/>
  <c r="K197" i="103" l="1"/>
  <c r="K198" i="103" l="1"/>
  <c r="K199" i="103" l="1"/>
  <c r="K200" i="103" l="1"/>
  <c r="K202" i="103" l="1"/>
  <c r="K201" i="103"/>
  <c r="AG14" i="96" l="1"/>
  <c r="AG14" i="114" s="1"/>
  <c r="AK14" i="96" l="1"/>
  <c r="AK14" i="114" s="1"/>
  <c r="AJ14" i="96"/>
  <c r="G8" i="98"/>
  <c r="AN14" i="96" l="1"/>
  <c r="AP14" i="96" s="1"/>
  <c r="AG15" i="96"/>
  <c r="AK15" i="96" l="1"/>
  <c r="AK15" i="114" s="1"/>
  <c r="AG15" i="114"/>
  <c r="G9" i="98"/>
  <c r="AJ14" i="114"/>
  <c r="AN14" i="114"/>
  <c r="AG16" i="96"/>
  <c r="AK16" i="96" l="1"/>
  <c r="AK16" i="114" s="1"/>
  <c r="AG16" i="114"/>
  <c r="G10" i="98"/>
  <c r="AG41" i="96" l="1"/>
  <c r="AK41" i="96" l="1"/>
  <c r="AK41" i="114" s="1"/>
  <c r="AG41" i="114"/>
  <c r="G35" i="98"/>
  <c r="AG46" i="96" l="1"/>
  <c r="AK46" i="96" l="1"/>
  <c r="AK46" i="114" s="1"/>
  <c r="AG46" i="114"/>
  <c r="G40" i="98"/>
  <c r="AG36" i="96" l="1"/>
  <c r="AK36" i="96" l="1"/>
  <c r="AK36" i="114" s="1"/>
  <c r="AG36" i="114"/>
  <c r="G30" i="98"/>
  <c r="AG37" i="96"/>
  <c r="AK37" i="96" l="1"/>
  <c r="AK37" i="114" s="1"/>
  <c r="AG37" i="114"/>
  <c r="G31" i="98"/>
  <c r="AG38" i="96"/>
  <c r="AK38" i="96" l="1"/>
  <c r="AK38" i="114" s="1"/>
  <c r="AG38" i="114"/>
  <c r="G32" i="98"/>
  <c r="AG39" i="96"/>
  <c r="AK39" i="96" l="1"/>
  <c r="AK39" i="114" s="1"/>
  <c r="AG39" i="114"/>
  <c r="G33" i="98"/>
  <c r="AG40" i="96"/>
  <c r="AK40" i="96" l="1"/>
  <c r="AK40" i="114" s="1"/>
  <c r="AG40" i="114"/>
  <c r="G34" i="98"/>
  <c r="AG42" i="96" l="1"/>
  <c r="AK42" i="96" l="1"/>
  <c r="AK42" i="114" s="1"/>
  <c r="AG42" i="114"/>
  <c r="G36" i="98"/>
  <c r="AG43" i="96"/>
  <c r="AE63" i="25"/>
  <c r="Q63" i="25" s="1"/>
  <c r="AI100" i="25"/>
  <c r="U100" i="25" s="1"/>
  <c r="AJ100" i="25"/>
  <c r="V100" i="25" s="1"/>
  <c r="AM63" i="25"/>
  <c r="Y63" i="25" s="1"/>
  <c r="AF63" i="25"/>
  <c r="R63" i="25" s="1"/>
  <c r="AI63" i="25"/>
  <c r="U63" i="25" s="1"/>
  <c r="AD63" i="25"/>
  <c r="P63" i="25" s="1"/>
  <c r="AN63" i="25"/>
  <c r="Z63" i="25" s="1"/>
  <c r="AC63" i="25"/>
  <c r="O63" i="25" s="1"/>
  <c r="AG63" i="25"/>
  <c r="S63" i="25" s="1"/>
  <c r="AJ63" i="25"/>
  <c r="V63" i="25" s="1"/>
  <c r="AK63" i="25"/>
  <c r="W63" i="25" s="1"/>
  <c r="AH63" i="25"/>
  <c r="T63" i="25" s="1"/>
  <c r="AL63" i="25"/>
  <c r="X63" i="25" s="1"/>
  <c r="AH100" i="25"/>
  <c r="T100" i="25" s="1"/>
  <c r="AD100" i="25"/>
  <c r="P100" i="25" s="1"/>
  <c r="AC100" i="25"/>
  <c r="O100" i="25" s="1"/>
  <c r="AL100" i="25"/>
  <c r="X100" i="25" s="1"/>
  <c r="AE100" i="25"/>
  <c r="Q100" i="25" s="1"/>
  <c r="AN100" i="25"/>
  <c r="Z100" i="25" s="1"/>
  <c r="AM100" i="25"/>
  <c r="Y100" i="25" s="1"/>
  <c r="AG100" i="25"/>
  <c r="S100" i="25" s="1"/>
  <c r="AK100" i="25"/>
  <c r="W100" i="25" s="1"/>
  <c r="AF100" i="25"/>
  <c r="R100" i="25" s="1"/>
  <c r="AK63" i="97"/>
  <c r="W63" i="97" s="1"/>
  <c r="AG63" i="97"/>
  <c r="S63" i="97" s="1"/>
  <c r="AE63" i="97"/>
  <c r="Q63" i="97" s="1"/>
  <c r="AM63" i="97"/>
  <c r="Y63" i="97" s="1"/>
  <c r="AC63" i="97"/>
  <c r="O63" i="97" s="1"/>
  <c r="AI63" i="97"/>
  <c r="U63" i="97" s="1"/>
  <c r="AJ63" i="97"/>
  <c r="V63" i="97" s="1"/>
  <c r="AH63" i="97"/>
  <c r="T63" i="97" s="1"/>
  <c r="AF63" i="97"/>
  <c r="R63" i="97" s="1"/>
  <c r="AN63" i="97"/>
  <c r="Z63" i="97" s="1"/>
  <c r="AD63" i="97"/>
  <c r="P63" i="97" s="1"/>
  <c r="AL63" i="97"/>
  <c r="X63" i="97" s="1"/>
  <c r="AD100" i="97"/>
  <c r="P100" i="97" s="1"/>
  <c r="AJ100" i="97"/>
  <c r="V100" i="97" s="1"/>
  <c r="AN100" i="97"/>
  <c r="Z100" i="97" s="1"/>
  <c r="AH100" i="97"/>
  <c r="T100" i="97" s="1"/>
  <c r="AG100" i="97"/>
  <c r="S100" i="97" s="1"/>
  <c r="AM100" i="97"/>
  <c r="Y100" i="97" s="1"/>
  <c r="AE100" i="97"/>
  <c r="Q100" i="97" s="1"/>
  <c r="AF100" i="97"/>
  <c r="R100" i="97" s="1"/>
  <c r="AK100" i="97"/>
  <c r="W100" i="97" s="1"/>
  <c r="AL100" i="97"/>
  <c r="X100" i="97" s="1"/>
  <c r="AC100" i="97"/>
  <c r="O100" i="97" s="1"/>
  <c r="AI100" i="97"/>
  <c r="U100" i="97" s="1"/>
  <c r="AK63" i="98"/>
  <c r="W63" i="98" s="1"/>
  <c r="AD63" i="98"/>
  <c r="P63" i="98" s="1"/>
  <c r="AH63" i="98"/>
  <c r="T63" i="98" s="1"/>
  <c r="AL63" i="98"/>
  <c r="X63" i="98" s="1"/>
  <c r="AI63" i="98"/>
  <c r="U63" i="98" s="1"/>
  <c r="AC63" i="98"/>
  <c r="O63" i="98" s="1"/>
  <c r="AG63" i="98"/>
  <c r="S63" i="98" s="1"/>
  <c r="AF63" i="98"/>
  <c r="R63" i="98" s="1"/>
  <c r="AN63" i="98"/>
  <c r="Z63" i="98" s="1"/>
  <c r="AM63" i="98"/>
  <c r="Y63" i="98" s="1"/>
  <c r="AJ63" i="98"/>
  <c r="V63" i="98" s="1"/>
  <c r="AE63" i="98"/>
  <c r="Q63" i="98" s="1"/>
  <c r="AK43" i="96" l="1"/>
  <c r="AK43" i="114" s="1"/>
  <c r="AG43" i="114"/>
  <c r="D63" i="25"/>
  <c r="H63" i="25" s="1"/>
  <c r="D100" i="25"/>
  <c r="H100" i="25" s="1"/>
  <c r="D63" i="97"/>
  <c r="H63" i="97" s="1"/>
  <c r="D100" i="97"/>
  <c r="H100" i="97" s="1"/>
  <c r="D63" i="98"/>
  <c r="H63" i="98" s="1"/>
  <c r="G37" i="98"/>
  <c r="AG44" i="96"/>
  <c r="AK44" i="96" l="1"/>
  <c r="AK44" i="114" s="1"/>
  <c r="AG44" i="114"/>
  <c r="G38" i="98"/>
  <c r="AG45" i="96"/>
  <c r="AK45" i="96" l="1"/>
  <c r="AK45" i="114" s="1"/>
  <c r="AG45" i="114"/>
  <c r="G39" i="98"/>
  <c r="E6" i="62" l="1"/>
  <c r="G6" i="62" l="1"/>
  <c r="I6" i="62" l="1"/>
  <c r="H6" i="62"/>
  <c r="E9" i="98" l="1"/>
  <c r="AH15" i="96" s="1"/>
  <c r="E9" i="25"/>
  <c r="F15" i="96" s="1"/>
  <c r="E9" i="97"/>
  <c r="T15" i="96" s="1"/>
  <c r="F41" i="64"/>
  <c r="C7" i="62" s="1"/>
  <c r="E7" i="62" s="1"/>
  <c r="X15" i="96" l="1"/>
  <c r="X15" i="114" s="1"/>
  <c r="T15" i="114"/>
  <c r="AL15" i="96"/>
  <c r="AL15" i="114" s="1"/>
  <c r="AH15" i="114"/>
  <c r="F15" i="114"/>
  <c r="J15" i="96"/>
  <c r="J15" i="114" s="1"/>
  <c r="H9" i="98"/>
  <c r="H9" i="97"/>
  <c r="H9" i="25"/>
  <c r="F42" i="64"/>
  <c r="G42" i="64" s="1"/>
  <c r="AN15" i="96" l="1"/>
  <c r="AP15" i="96" s="1"/>
  <c r="L15" i="96"/>
  <c r="H15" i="96"/>
  <c r="H15" i="114" s="1"/>
  <c r="Z15" i="96"/>
  <c r="AB15" i="96" s="1"/>
  <c r="V15" i="96"/>
  <c r="AJ15" i="96"/>
  <c r="C8" i="62"/>
  <c r="C18" i="62"/>
  <c r="F55" i="64"/>
  <c r="C21" i="62" s="1"/>
  <c r="C19" i="62"/>
  <c r="AN15" i="114" l="1"/>
  <c r="N15" i="96"/>
  <c r="L15" i="114"/>
  <c r="AJ15" i="114"/>
  <c r="Z15" i="114"/>
  <c r="V15" i="114"/>
  <c r="C10" i="62"/>
  <c r="C9" i="62"/>
  <c r="F47" i="64"/>
  <c r="C13" i="62" s="1"/>
  <c r="F54" i="64"/>
  <c r="C20" i="62" s="1"/>
  <c r="C17" i="62"/>
  <c r="F57" i="64"/>
  <c r="C23" i="62" s="1"/>
  <c r="F48" i="64"/>
  <c r="C14" i="62" s="1"/>
  <c r="F50" i="64"/>
  <c r="C16" i="62" s="1"/>
  <c r="F58" i="64"/>
  <c r="C24" i="62" s="1"/>
  <c r="F59" i="64"/>
  <c r="C25" i="62" s="1"/>
  <c r="F46" i="64"/>
  <c r="F49" i="64"/>
  <c r="C15" i="62" s="1"/>
  <c r="F56" i="64"/>
  <c r="C22" i="62" s="1"/>
  <c r="G16" i="96"/>
  <c r="D10" i="25" l="1"/>
  <c r="G16" i="114"/>
  <c r="K16" i="96"/>
  <c r="K16" i="114" s="1"/>
  <c r="E82" i="105"/>
  <c r="E83" i="105"/>
  <c r="E84" i="105"/>
  <c r="E85" i="105"/>
  <c r="E80" i="105"/>
  <c r="E81" i="105"/>
  <c r="C12" i="62"/>
  <c r="C11" i="62"/>
  <c r="F60" i="64"/>
  <c r="C26" i="62" s="1"/>
  <c r="D16" i="96" l="1"/>
  <c r="D16" i="114" s="1"/>
  <c r="K10" i="105"/>
  <c r="F72" i="64"/>
  <c r="F73" i="64" s="1"/>
  <c r="E16" i="96" l="1"/>
  <c r="E16" i="114" s="1"/>
  <c r="I16" i="96" l="1"/>
  <c r="I16" i="114" s="1"/>
  <c r="G10" i="25"/>
  <c r="F6" i="64" l="1"/>
  <c r="D8" i="62" s="1"/>
  <c r="E8" i="62" s="1"/>
  <c r="F7" i="64" l="1"/>
  <c r="D9" i="62" s="1"/>
  <c r="E9" i="62" s="1"/>
  <c r="D11" i="98"/>
  <c r="D11" i="97" l="1"/>
  <c r="D11" i="25"/>
  <c r="G7" i="62"/>
  <c r="H7" i="62" s="1"/>
  <c r="F8" i="64"/>
  <c r="D10" i="62" s="1"/>
  <c r="E10" i="62" s="1"/>
  <c r="D12" i="98"/>
  <c r="D12" i="97" l="1"/>
  <c r="Q17" i="114"/>
  <c r="Q17" i="96"/>
  <c r="AE17" i="96"/>
  <c r="AE17" i="114" s="1"/>
  <c r="E10" i="98"/>
  <c r="AH16" i="96" s="1"/>
  <c r="E10" i="25"/>
  <c r="F16" i="96" s="1"/>
  <c r="E10" i="97"/>
  <c r="T16" i="96" s="1"/>
  <c r="G8" i="62"/>
  <c r="H8" i="62" s="1"/>
  <c r="E11" i="98" s="1"/>
  <c r="AH17" i="96" s="1"/>
  <c r="AI17" i="96"/>
  <c r="G17" i="96"/>
  <c r="F9" i="64"/>
  <c r="D11" i="62" s="1"/>
  <c r="E11" i="62" s="1"/>
  <c r="D13" i="98"/>
  <c r="U17" i="96"/>
  <c r="D14" i="98"/>
  <c r="Y17" i="96" l="1"/>
  <c r="Y17" i="114" s="1"/>
  <c r="U17" i="114"/>
  <c r="AM17" i="96"/>
  <c r="AM17" i="114" s="1"/>
  <c r="AI17" i="114"/>
  <c r="AL17" i="96"/>
  <c r="AL17" i="114" s="1"/>
  <c r="AH17" i="114"/>
  <c r="AL16" i="96"/>
  <c r="AL16" i="114" s="1"/>
  <c r="AH16" i="114"/>
  <c r="X16" i="96"/>
  <c r="X16" i="114" s="1"/>
  <c r="T16" i="114"/>
  <c r="D12" i="25"/>
  <c r="K17" i="96"/>
  <c r="K17" i="114" s="1"/>
  <c r="G17" i="114"/>
  <c r="F16" i="114"/>
  <c r="J16" i="96"/>
  <c r="J16" i="114" s="1"/>
  <c r="R17" i="114"/>
  <c r="H10" i="98"/>
  <c r="Q18" i="114"/>
  <c r="H11" i="98"/>
  <c r="H10" i="25"/>
  <c r="H10" i="97"/>
  <c r="R17" i="96"/>
  <c r="Q18" i="96"/>
  <c r="AF17" i="96"/>
  <c r="AF17" i="114" s="1"/>
  <c r="AE18" i="96"/>
  <c r="AE18" i="114" s="1"/>
  <c r="D17" i="96"/>
  <c r="D17" i="114" s="1"/>
  <c r="E11" i="97"/>
  <c r="T17" i="96" s="1"/>
  <c r="E11" i="25"/>
  <c r="F17" i="96" s="1"/>
  <c r="E17" i="96"/>
  <c r="E17" i="114" s="1"/>
  <c r="G9" i="62"/>
  <c r="H9" i="62" s="1"/>
  <c r="AG17" i="96"/>
  <c r="S17" i="96"/>
  <c r="D15" i="98"/>
  <c r="U18" i="96"/>
  <c r="U19" i="96"/>
  <c r="F10" i="64"/>
  <c r="G18" i="96"/>
  <c r="Y19" i="96" l="1"/>
  <c r="Y19" i="114" s="1"/>
  <c r="U19" i="114"/>
  <c r="W17" i="96"/>
  <c r="W17" i="114" s="1"/>
  <c r="S17" i="114"/>
  <c r="AK17" i="96"/>
  <c r="AK17" i="114" s="1"/>
  <c r="AG17" i="114"/>
  <c r="Y18" i="96"/>
  <c r="Y18" i="114" s="1"/>
  <c r="U18" i="114"/>
  <c r="X17" i="96"/>
  <c r="X17" i="114" s="1"/>
  <c r="T17" i="114"/>
  <c r="D14" i="97"/>
  <c r="D13" i="97"/>
  <c r="D13" i="25"/>
  <c r="I17" i="96"/>
  <c r="I17" i="114" s="1"/>
  <c r="G18" i="114"/>
  <c r="K18" i="96"/>
  <c r="K18" i="114" s="1"/>
  <c r="J17" i="96"/>
  <c r="J17" i="114" s="1"/>
  <c r="F17" i="114"/>
  <c r="R18" i="114"/>
  <c r="H11" i="25"/>
  <c r="G11" i="98"/>
  <c r="Q19" i="114"/>
  <c r="H11" i="97"/>
  <c r="G11" i="25"/>
  <c r="G11" i="97"/>
  <c r="AN16" i="96"/>
  <c r="AP16" i="96" s="1"/>
  <c r="AJ16" i="96"/>
  <c r="L16" i="96"/>
  <c r="L16" i="114" s="1"/>
  <c r="H16" i="96"/>
  <c r="H16" i="114" s="1"/>
  <c r="Z16" i="96"/>
  <c r="AB16" i="96" s="1"/>
  <c r="V16" i="96"/>
  <c r="R18" i="96"/>
  <c r="AE19" i="96"/>
  <c r="AE19" i="114" s="1"/>
  <c r="AF18" i="96"/>
  <c r="AF18" i="114" s="1"/>
  <c r="Q19" i="96"/>
  <c r="D18" i="96"/>
  <c r="D18" i="114" s="1"/>
  <c r="D12" i="62"/>
  <c r="E12" i="62" s="1"/>
  <c r="G78" i="105"/>
  <c r="G79" i="105"/>
  <c r="G80" i="105"/>
  <c r="G81" i="105"/>
  <c r="G82" i="105"/>
  <c r="G85" i="105"/>
  <c r="G83" i="105"/>
  <c r="G84" i="105"/>
  <c r="E12" i="97"/>
  <c r="T18" i="96" s="1"/>
  <c r="E12" i="98"/>
  <c r="AH18" i="96" s="1"/>
  <c r="E12" i="25"/>
  <c r="F18" i="96" s="1"/>
  <c r="G10" i="62"/>
  <c r="AI19" i="96"/>
  <c r="S18" i="96"/>
  <c r="G19" i="96"/>
  <c r="E18" i="96"/>
  <c r="E18" i="114" s="1"/>
  <c r="AG18" i="96"/>
  <c r="F11" i="64"/>
  <c r="D13" i="62" s="1"/>
  <c r="E13" i="62" s="1"/>
  <c r="AL18" i="96" l="1"/>
  <c r="AL18" i="114" s="1"/>
  <c r="AH18" i="114"/>
  <c r="X18" i="96"/>
  <c r="X18" i="114" s="1"/>
  <c r="T18" i="114"/>
  <c r="AK18" i="96"/>
  <c r="AK18" i="114" s="1"/>
  <c r="AG18" i="114"/>
  <c r="W18" i="96"/>
  <c r="W18" i="114" s="1"/>
  <c r="S18" i="114"/>
  <c r="AM19" i="96"/>
  <c r="AM19" i="114" s="1"/>
  <c r="AI19" i="114"/>
  <c r="D15" i="97"/>
  <c r="D14" i="25"/>
  <c r="D17" i="25"/>
  <c r="I18" i="96"/>
  <c r="I18" i="114" s="1"/>
  <c r="K19" i="96"/>
  <c r="K19" i="114" s="1"/>
  <c r="G19" i="114"/>
  <c r="N16" i="96"/>
  <c r="F18" i="114"/>
  <c r="J18" i="96"/>
  <c r="J18" i="114" s="1"/>
  <c r="R19" i="114"/>
  <c r="H12" i="25"/>
  <c r="G12" i="25"/>
  <c r="G12" i="98"/>
  <c r="Q20" i="114"/>
  <c r="H12" i="97"/>
  <c r="G12" i="97"/>
  <c r="H12" i="98"/>
  <c r="Z16" i="114"/>
  <c r="V16" i="114"/>
  <c r="AJ16" i="114"/>
  <c r="AN16" i="114"/>
  <c r="AE20" i="96"/>
  <c r="AE20" i="114" s="1"/>
  <c r="Q20" i="96"/>
  <c r="AN17" i="96"/>
  <c r="AP17" i="96" s="1"/>
  <c r="AJ17" i="96"/>
  <c r="R19" i="96"/>
  <c r="AF19" i="96"/>
  <c r="AF19" i="114" s="1"/>
  <c r="Z17" i="96"/>
  <c r="AB17" i="96" s="1"/>
  <c r="V17" i="96"/>
  <c r="L17" i="96"/>
  <c r="H17" i="96"/>
  <c r="H17" i="114" s="1"/>
  <c r="D19" i="96"/>
  <c r="D19" i="114" s="1"/>
  <c r="L10" i="105"/>
  <c r="G77" i="105"/>
  <c r="I10" i="62"/>
  <c r="H10" i="62"/>
  <c r="AG19" i="96"/>
  <c r="S19" i="96"/>
  <c r="G11" i="62"/>
  <c r="U20" i="96"/>
  <c r="D17" i="98"/>
  <c r="E19" i="96"/>
  <c r="E19" i="114" s="1"/>
  <c r="G20" i="96"/>
  <c r="D18" i="98"/>
  <c r="AK19" i="96" l="1"/>
  <c r="AK19" i="114" s="1"/>
  <c r="AG19" i="114"/>
  <c r="W19" i="96"/>
  <c r="W19" i="114" s="1"/>
  <c r="S19" i="114"/>
  <c r="Y20" i="96"/>
  <c r="Y20" i="114" s="1"/>
  <c r="U20" i="114"/>
  <c r="AN17" i="114"/>
  <c r="D16" i="97"/>
  <c r="D15" i="25"/>
  <c r="N17" i="96"/>
  <c r="L17" i="114"/>
  <c r="K20" i="96"/>
  <c r="K20" i="114" s="1"/>
  <c r="G20" i="114"/>
  <c r="I19" i="96"/>
  <c r="I19" i="114" s="1"/>
  <c r="R20" i="114"/>
  <c r="Q21" i="114"/>
  <c r="G13" i="98"/>
  <c r="G13" i="25"/>
  <c r="G13" i="97"/>
  <c r="AN18" i="96"/>
  <c r="AP18" i="96" s="1"/>
  <c r="AJ17" i="114"/>
  <c r="AE22" i="96"/>
  <c r="AE22" i="114" s="1"/>
  <c r="AF20" i="96"/>
  <c r="AF20" i="114" s="1"/>
  <c r="AE21" i="96"/>
  <c r="AE21" i="114" s="1"/>
  <c r="Q21" i="96"/>
  <c r="R20" i="96"/>
  <c r="AJ18" i="96"/>
  <c r="V17" i="114"/>
  <c r="Z17" i="114"/>
  <c r="Z18" i="96"/>
  <c r="AB18" i="96" s="1"/>
  <c r="V18" i="96"/>
  <c r="L18" i="96"/>
  <c r="H18" i="96"/>
  <c r="H18" i="114" s="1"/>
  <c r="I11" i="62"/>
  <c r="H11" i="62"/>
  <c r="E13" i="97"/>
  <c r="T19" i="96" s="1"/>
  <c r="E13" i="98"/>
  <c r="AH19" i="96" s="1"/>
  <c r="E13" i="25"/>
  <c r="F19" i="96" s="1"/>
  <c r="U21" i="96"/>
  <c r="G12" i="62"/>
  <c r="AG20" i="96"/>
  <c r="S20" i="96"/>
  <c r="G21" i="96"/>
  <c r="D19" i="98"/>
  <c r="U22" i="96"/>
  <c r="D20" i="98"/>
  <c r="X19" i="96" l="1"/>
  <c r="X19" i="114" s="1"/>
  <c r="T19" i="114"/>
  <c r="Y22" i="96"/>
  <c r="Y22" i="114" s="1"/>
  <c r="U22" i="114"/>
  <c r="W20" i="96"/>
  <c r="W20" i="114" s="1"/>
  <c r="S20" i="114"/>
  <c r="AK20" i="96"/>
  <c r="AK20" i="114" s="1"/>
  <c r="AG20" i="114"/>
  <c r="Y21" i="96"/>
  <c r="Y21" i="114" s="1"/>
  <c r="U21" i="114"/>
  <c r="AL19" i="96"/>
  <c r="AL19" i="114" s="1"/>
  <c r="AH19" i="114"/>
  <c r="D17" i="97"/>
  <c r="D16" i="25"/>
  <c r="J19" i="96"/>
  <c r="J19" i="114" s="1"/>
  <c r="F19" i="114"/>
  <c r="N18" i="96"/>
  <c r="L18" i="114"/>
  <c r="AN18" i="114"/>
  <c r="G21" i="114"/>
  <c r="K21" i="96"/>
  <c r="K21" i="114" s="1"/>
  <c r="R21" i="114"/>
  <c r="H13" i="98"/>
  <c r="Q22" i="114"/>
  <c r="H13" i="25"/>
  <c r="AJ18" i="114"/>
  <c r="H13" i="97"/>
  <c r="G14" i="98"/>
  <c r="G14" i="97"/>
  <c r="Q22" i="96"/>
  <c r="R21" i="96"/>
  <c r="AE23" i="96"/>
  <c r="AE23" i="114" s="1"/>
  <c r="AF21" i="96"/>
  <c r="AF21" i="114" s="1"/>
  <c r="V18" i="114"/>
  <c r="D21" i="96"/>
  <c r="D21" i="114" s="1"/>
  <c r="D20" i="96"/>
  <c r="D20" i="114" s="1"/>
  <c r="Z18" i="114"/>
  <c r="I12" i="62"/>
  <c r="H12" i="62"/>
  <c r="E14" i="97"/>
  <c r="T20" i="96" s="1"/>
  <c r="E14" i="98"/>
  <c r="AH20" i="96" s="1"/>
  <c r="E14" i="25"/>
  <c r="F20" i="96" s="1"/>
  <c r="S21" i="96"/>
  <c r="E20" i="96"/>
  <c r="E20" i="114" s="1"/>
  <c r="G13" i="62"/>
  <c r="E21" i="96"/>
  <c r="E21" i="114" s="1"/>
  <c r="AG22" i="96"/>
  <c r="AG21" i="96"/>
  <c r="G22" i="96"/>
  <c r="D21" i="98"/>
  <c r="AK21" i="96" l="1"/>
  <c r="AK21" i="114" s="1"/>
  <c r="AG21" i="114"/>
  <c r="AK22" i="96"/>
  <c r="AK22" i="114" s="1"/>
  <c r="AG22" i="114"/>
  <c r="W21" i="96"/>
  <c r="W21" i="114" s="1"/>
  <c r="S21" i="114"/>
  <c r="AL20" i="96"/>
  <c r="AL20" i="114" s="1"/>
  <c r="AH20" i="114"/>
  <c r="X20" i="96"/>
  <c r="X20" i="114" s="1"/>
  <c r="T20" i="114"/>
  <c r="D18" i="97"/>
  <c r="D20" i="25"/>
  <c r="I20" i="96"/>
  <c r="I20" i="114" s="1"/>
  <c r="G22" i="114"/>
  <c r="K22" i="96"/>
  <c r="K22" i="114" s="1"/>
  <c r="J20" i="96"/>
  <c r="J20" i="114" s="1"/>
  <c r="F20" i="114"/>
  <c r="I21" i="96"/>
  <c r="I21" i="114" s="1"/>
  <c r="G15" i="98"/>
  <c r="Q23" i="114"/>
  <c r="H14" i="25"/>
  <c r="G16" i="98"/>
  <c r="R22" i="114"/>
  <c r="H14" i="97"/>
  <c r="G15" i="25"/>
  <c r="G14" i="25"/>
  <c r="G15" i="97"/>
  <c r="H14" i="98"/>
  <c r="V19" i="96"/>
  <c r="Z19" i="96"/>
  <c r="AB19" i="96" s="1"/>
  <c r="AN19" i="96"/>
  <c r="AP19" i="96" s="1"/>
  <c r="H19" i="96"/>
  <c r="H19" i="114" s="1"/>
  <c r="AJ19" i="96"/>
  <c r="L19" i="96"/>
  <c r="Q23" i="96"/>
  <c r="AF22" i="96"/>
  <c r="AF22" i="114" s="1"/>
  <c r="AF23" i="96"/>
  <c r="AF23" i="114" s="1"/>
  <c r="R22" i="96"/>
  <c r="D23" i="96"/>
  <c r="D23" i="114" s="1"/>
  <c r="D22" i="96"/>
  <c r="D22" i="114" s="1"/>
  <c r="Z19" i="114"/>
  <c r="V19" i="114"/>
  <c r="E15" i="25"/>
  <c r="F21" i="96" s="1"/>
  <c r="E15" i="97"/>
  <c r="T21" i="96" s="1"/>
  <c r="E15" i="98"/>
  <c r="AH21" i="96" s="1"/>
  <c r="I13" i="62"/>
  <c r="H13" i="62"/>
  <c r="S22" i="96"/>
  <c r="E22" i="96"/>
  <c r="E22" i="114" s="1"/>
  <c r="U23" i="96"/>
  <c r="D22" i="98"/>
  <c r="G24" i="96"/>
  <c r="AL21" i="96" l="1"/>
  <c r="AL21" i="114" s="1"/>
  <c r="AH21" i="114"/>
  <c r="W22" i="96"/>
  <c r="W22" i="114" s="1"/>
  <c r="S22" i="114"/>
  <c r="X21" i="96"/>
  <c r="X21" i="114" s="1"/>
  <c r="T21" i="114"/>
  <c r="Y23" i="96"/>
  <c r="Y23" i="114" s="1"/>
  <c r="U23" i="114"/>
  <c r="D19" i="97"/>
  <c r="D18" i="25"/>
  <c r="N19" i="96"/>
  <c r="L19" i="114"/>
  <c r="I22" i="96"/>
  <c r="I22" i="114" s="1"/>
  <c r="G24" i="114"/>
  <c r="K24" i="96"/>
  <c r="K24" i="114" s="1"/>
  <c r="F21" i="114"/>
  <c r="J21" i="96"/>
  <c r="J21" i="114" s="1"/>
  <c r="H15" i="97"/>
  <c r="Q24" i="114"/>
  <c r="H15" i="25"/>
  <c r="AN20" i="96"/>
  <c r="AP20" i="96" s="1"/>
  <c r="R23" i="114"/>
  <c r="AJ20" i="96"/>
  <c r="G16" i="25"/>
  <c r="G16" i="97"/>
  <c r="H15" i="98"/>
  <c r="V20" i="96"/>
  <c r="Z20" i="96"/>
  <c r="AB20" i="96" s="1"/>
  <c r="AN19" i="114"/>
  <c r="AJ19" i="114"/>
  <c r="R23" i="96"/>
  <c r="Q24" i="96"/>
  <c r="V20" i="114"/>
  <c r="L20" i="96"/>
  <c r="H20" i="96"/>
  <c r="H20" i="114" s="1"/>
  <c r="Z20" i="114"/>
  <c r="E16" i="25"/>
  <c r="F22" i="96" s="1"/>
  <c r="E16" i="97"/>
  <c r="T22" i="96" s="1"/>
  <c r="E16" i="98"/>
  <c r="AH22" i="96" s="1"/>
  <c r="E23" i="96"/>
  <c r="E23" i="114" s="1"/>
  <c r="AG23" i="96"/>
  <c r="S23" i="96"/>
  <c r="G25" i="96"/>
  <c r="D23" i="98"/>
  <c r="U24" i="96"/>
  <c r="AN21" i="96" l="1"/>
  <c r="AP21" i="96" s="1"/>
  <c r="Y24" i="96"/>
  <c r="Y24" i="114" s="1"/>
  <c r="U24" i="114"/>
  <c r="W23" i="96"/>
  <c r="W23" i="114" s="1"/>
  <c r="S23" i="114"/>
  <c r="AK23" i="96"/>
  <c r="AK23" i="114" s="1"/>
  <c r="AG23" i="114"/>
  <c r="AL22" i="96"/>
  <c r="AL22" i="114" s="1"/>
  <c r="AH22" i="114"/>
  <c r="X22" i="96"/>
  <c r="X22" i="114" s="1"/>
  <c r="T22" i="114"/>
  <c r="AN20" i="114"/>
  <c r="D20" i="97"/>
  <c r="D19" i="25"/>
  <c r="E25" i="96" s="1"/>
  <c r="E25" i="114" s="1"/>
  <c r="F22" i="114"/>
  <c r="J22" i="96"/>
  <c r="J22" i="114" s="1"/>
  <c r="N20" i="96"/>
  <c r="L20" i="114"/>
  <c r="I23" i="96"/>
  <c r="I23" i="114" s="1"/>
  <c r="K25" i="96"/>
  <c r="K25" i="114" s="1"/>
  <c r="G25" i="114"/>
  <c r="Q25" i="114"/>
  <c r="G17" i="98"/>
  <c r="H16" i="25"/>
  <c r="H16" i="98"/>
  <c r="H16" i="97"/>
  <c r="R24" i="114"/>
  <c r="AJ20" i="114"/>
  <c r="G17" i="25"/>
  <c r="G17" i="97"/>
  <c r="AJ21" i="96"/>
  <c r="L21" i="96"/>
  <c r="H21" i="96"/>
  <c r="H21" i="114" s="1"/>
  <c r="V21" i="96"/>
  <c r="Z21" i="96"/>
  <c r="AB21" i="96" s="1"/>
  <c r="AE24" i="96"/>
  <c r="AE24" i="114" s="1"/>
  <c r="R24" i="96"/>
  <c r="Q25" i="96"/>
  <c r="D25" i="96"/>
  <c r="D25" i="114" s="1"/>
  <c r="D24" i="96"/>
  <c r="D24" i="114" s="1"/>
  <c r="V21" i="114"/>
  <c r="Z21" i="114"/>
  <c r="E24" i="96"/>
  <c r="E24" i="114" s="1"/>
  <c r="U25" i="96"/>
  <c r="S24" i="96"/>
  <c r="D24" i="98"/>
  <c r="G26" i="96"/>
  <c r="Y25" i="96" l="1"/>
  <c r="Y25" i="114" s="1"/>
  <c r="U25" i="114"/>
  <c r="W24" i="96"/>
  <c r="W24" i="114" s="1"/>
  <c r="S24" i="114"/>
  <c r="AN21" i="114"/>
  <c r="D21" i="97"/>
  <c r="N21" i="96"/>
  <c r="L21" i="114"/>
  <c r="I25" i="96"/>
  <c r="I25" i="114" s="1"/>
  <c r="K26" i="96"/>
  <c r="K26" i="114" s="1"/>
  <c r="G26" i="114"/>
  <c r="I24" i="96"/>
  <c r="I24" i="114" s="1"/>
  <c r="R25" i="114"/>
  <c r="AJ21" i="114"/>
  <c r="Q26" i="114"/>
  <c r="G19" i="25"/>
  <c r="G18" i="25"/>
  <c r="G18" i="97"/>
  <c r="AN22" i="96"/>
  <c r="AP22" i="96" s="1"/>
  <c r="L22" i="96"/>
  <c r="H22" i="96"/>
  <c r="H22" i="114" s="1"/>
  <c r="V22" i="96"/>
  <c r="Z22" i="96"/>
  <c r="AB22" i="96" s="1"/>
  <c r="AJ22" i="96"/>
  <c r="R25" i="96"/>
  <c r="AE25" i="96"/>
  <c r="AE25" i="114" s="1"/>
  <c r="Q26" i="96"/>
  <c r="AF24" i="96"/>
  <c r="AF24" i="114" s="1"/>
  <c r="AG24" i="96"/>
  <c r="U26" i="96"/>
  <c r="G27" i="96"/>
  <c r="U27" i="96"/>
  <c r="D25" i="98"/>
  <c r="S25" i="96"/>
  <c r="W25" i="96" l="1"/>
  <c r="W25" i="114" s="1"/>
  <c r="S25" i="114"/>
  <c r="AK24" i="96"/>
  <c r="AK24" i="114" s="1"/>
  <c r="AG24" i="114"/>
  <c r="Y27" i="96"/>
  <c r="Y27" i="114" s="1"/>
  <c r="U27" i="114"/>
  <c r="Y26" i="96"/>
  <c r="Y26" i="114" s="1"/>
  <c r="U26" i="114"/>
  <c r="AJ22" i="114"/>
  <c r="AN22" i="114"/>
  <c r="Z22" i="114"/>
  <c r="D22" i="97"/>
  <c r="D21" i="25"/>
  <c r="N22" i="96"/>
  <c r="L22" i="114"/>
  <c r="G27" i="114"/>
  <c r="K27" i="96"/>
  <c r="K27" i="114" s="1"/>
  <c r="Q27" i="114"/>
  <c r="G18" i="98"/>
  <c r="V22" i="114"/>
  <c r="R26" i="114"/>
  <c r="G19" i="97"/>
  <c r="R26" i="96"/>
  <c r="Q27" i="96"/>
  <c r="AF25" i="96"/>
  <c r="AF25" i="114" s="1"/>
  <c r="AE26" i="96"/>
  <c r="AE26" i="114" s="1"/>
  <c r="D27" i="96"/>
  <c r="D27" i="114" s="1"/>
  <c r="D26" i="96"/>
  <c r="D26" i="114" s="1"/>
  <c r="E26" i="96"/>
  <c r="E26" i="114" s="1"/>
  <c r="AG25" i="96"/>
  <c r="D26" i="98"/>
  <c r="S26" i="96"/>
  <c r="G28" i="96"/>
  <c r="W26" i="96" l="1"/>
  <c r="W26" i="114" s="1"/>
  <c r="S26" i="114"/>
  <c r="AK25" i="96"/>
  <c r="AK25" i="114" s="1"/>
  <c r="AG25" i="114"/>
  <c r="D23" i="97"/>
  <c r="D22" i="25"/>
  <c r="G28" i="114"/>
  <c r="K28" i="96"/>
  <c r="K28" i="114" s="1"/>
  <c r="I26" i="96"/>
  <c r="I26" i="114" s="1"/>
  <c r="R27" i="114"/>
  <c r="Q28" i="114"/>
  <c r="G19" i="98"/>
  <c r="G20" i="25"/>
  <c r="G20" i="97"/>
  <c r="AE27" i="96"/>
  <c r="AE27" i="114" s="1"/>
  <c r="Q28" i="96"/>
  <c r="AF26" i="96"/>
  <c r="AF26" i="114" s="1"/>
  <c r="R27" i="96"/>
  <c r="E27" i="96"/>
  <c r="E27" i="114" s="1"/>
  <c r="AG26" i="96"/>
  <c r="S27" i="96"/>
  <c r="AI28" i="96"/>
  <c r="D28" i="98"/>
  <c r="D27" i="98"/>
  <c r="U28" i="96"/>
  <c r="G29" i="96"/>
  <c r="W27" i="96" l="1"/>
  <c r="W27" i="114" s="1"/>
  <c r="S27" i="114"/>
  <c r="AK26" i="96"/>
  <c r="AK26" i="114" s="1"/>
  <c r="AG26" i="114"/>
  <c r="AM28" i="96"/>
  <c r="AM28" i="114" s="1"/>
  <c r="AI28" i="114"/>
  <c r="Y28" i="96"/>
  <c r="Y28" i="114" s="1"/>
  <c r="U28" i="114"/>
  <c r="D24" i="97"/>
  <c r="D23" i="25"/>
  <c r="K29" i="96"/>
  <c r="K29" i="114" s="1"/>
  <c r="G29" i="114"/>
  <c r="I27" i="96"/>
  <c r="I27" i="114" s="1"/>
  <c r="G20" i="98"/>
  <c r="G21" i="97"/>
  <c r="G21" i="25"/>
  <c r="AF27" i="96"/>
  <c r="AF27" i="114" s="1"/>
  <c r="AE28" i="96"/>
  <c r="AE28" i="114" s="1"/>
  <c r="D28" i="96"/>
  <c r="D28" i="114" s="1"/>
  <c r="D29" i="96"/>
  <c r="D29" i="114" s="1"/>
  <c r="E28" i="96"/>
  <c r="E28" i="114" s="1"/>
  <c r="AG27" i="96"/>
  <c r="AI29" i="96"/>
  <c r="U29" i="96"/>
  <c r="G30" i="96"/>
  <c r="Y29" i="96" l="1"/>
  <c r="Y29" i="114" s="1"/>
  <c r="U29" i="114"/>
  <c r="AM29" i="96"/>
  <c r="AM29" i="114" s="1"/>
  <c r="AI29" i="114"/>
  <c r="AK27" i="96"/>
  <c r="AK27" i="114" s="1"/>
  <c r="AG27" i="114"/>
  <c r="D25" i="97"/>
  <c r="D24" i="25"/>
  <c r="I28" i="96"/>
  <c r="I28" i="114" s="1"/>
  <c r="G30" i="114"/>
  <c r="K30" i="96"/>
  <c r="K30" i="114" s="1"/>
  <c r="R28" i="114"/>
  <c r="G21" i="98"/>
  <c r="G22" i="25"/>
  <c r="AE29" i="96"/>
  <c r="AE29" i="114" s="1"/>
  <c r="R28" i="96"/>
  <c r="AF28" i="96"/>
  <c r="AF28" i="114" s="1"/>
  <c r="S28" i="96"/>
  <c r="E29" i="96"/>
  <c r="E29" i="114" s="1"/>
  <c r="AG28" i="96"/>
  <c r="AI30" i="96"/>
  <c r="U32" i="96"/>
  <c r="U30" i="96"/>
  <c r="U31" i="96"/>
  <c r="G31" i="96"/>
  <c r="D29" i="98"/>
  <c r="Y31" i="96" l="1"/>
  <c r="Y31" i="114" s="1"/>
  <c r="U31" i="114"/>
  <c r="Y30" i="96"/>
  <c r="Y30" i="114" s="1"/>
  <c r="U30" i="114"/>
  <c r="Y32" i="96"/>
  <c r="Y32" i="114" s="1"/>
  <c r="U32" i="114"/>
  <c r="AM30" i="96"/>
  <c r="AM30" i="114" s="1"/>
  <c r="AI30" i="114"/>
  <c r="AK28" i="96"/>
  <c r="AK28" i="114" s="1"/>
  <c r="AG28" i="114"/>
  <c r="W28" i="96"/>
  <c r="W28" i="114" s="1"/>
  <c r="S28" i="114"/>
  <c r="D26" i="97"/>
  <c r="D25" i="25"/>
  <c r="K31" i="96"/>
  <c r="K31" i="114" s="1"/>
  <c r="G31" i="114"/>
  <c r="I29" i="96"/>
  <c r="I29" i="114" s="1"/>
  <c r="R32" i="114"/>
  <c r="D78" i="98"/>
  <c r="G22" i="98"/>
  <c r="R29" i="114"/>
  <c r="Q30" i="114"/>
  <c r="D78" i="25"/>
  <c r="H78" i="25"/>
  <c r="Q31" i="114"/>
  <c r="Q32" i="114"/>
  <c r="G22" i="97"/>
  <c r="G23" i="25"/>
  <c r="AE30" i="96"/>
  <c r="AE30" i="114" s="1"/>
  <c r="R29" i="96"/>
  <c r="R32" i="96"/>
  <c r="Q31" i="96"/>
  <c r="Q30" i="96"/>
  <c r="Q32" i="96"/>
  <c r="AF29" i="96"/>
  <c r="AF29" i="114" s="1"/>
  <c r="D30" i="96"/>
  <c r="D30" i="114" s="1"/>
  <c r="D31" i="96"/>
  <c r="D31" i="114" s="1"/>
  <c r="S29" i="96"/>
  <c r="E30" i="96"/>
  <c r="E30" i="114" s="1"/>
  <c r="AG29" i="96"/>
  <c r="AI31" i="96"/>
  <c r="U34" i="96"/>
  <c r="U33" i="96"/>
  <c r="G32" i="96"/>
  <c r="Y33" i="96" l="1"/>
  <c r="Y33" i="114" s="1"/>
  <c r="U33" i="114"/>
  <c r="Y34" i="96"/>
  <c r="Y34" i="114" s="1"/>
  <c r="U34" i="114"/>
  <c r="AK29" i="96"/>
  <c r="AK29" i="114" s="1"/>
  <c r="AG29" i="114"/>
  <c r="AM31" i="96"/>
  <c r="AM31" i="114" s="1"/>
  <c r="AI31" i="114"/>
  <c r="W29" i="96"/>
  <c r="W29" i="114" s="1"/>
  <c r="S29" i="114"/>
  <c r="D27" i="97"/>
  <c r="D26" i="25"/>
  <c r="K32" i="96"/>
  <c r="K32" i="114" s="1"/>
  <c r="G32" i="114"/>
  <c r="I30" i="96"/>
  <c r="I30" i="114" s="1"/>
  <c r="J4" i="96"/>
  <c r="D4" i="114" s="1"/>
  <c r="R31" i="114"/>
  <c r="R33" i="114"/>
  <c r="Q33" i="114"/>
  <c r="R30" i="114"/>
  <c r="J6" i="96"/>
  <c r="D6" i="114" s="1"/>
  <c r="G23" i="98"/>
  <c r="G24" i="25"/>
  <c r="G23" i="97"/>
  <c r="M4" i="96"/>
  <c r="G4" i="114" s="1"/>
  <c r="AE31" i="96"/>
  <c r="AE31" i="114" s="1"/>
  <c r="R31" i="96"/>
  <c r="R33" i="96"/>
  <c r="R30" i="96"/>
  <c r="Q33" i="96"/>
  <c r="AF30" i="96"/>
  <c r="AF30" i="114" s="1"/>
  <c r="D32" i="96"/>
  <c r="D32" i="114" s="1"/>
  <c r="D115" i="97"/>
  <c r="H78" i="98"/>
  <c r="I44" i="98" s="1"/>
  <c r="S31" i="96"/>
  <c r="S32" i="96"/>
  <c r="E31" i="96"/>
  <c r="E31" i="114" s="1"/>
  <c r="S30" i="96"/>
  <c r="AG30" i="96"/>
  <c r="AI32" i="96"/>
  <c r="G33" i="96"/>
  <c r="W32" i="96" l="1"/>
  <c r="W32" i="114" s="1"/>
  <c r="S32" i="114"/>
  <c r="W31" i="96"/>
  <c r="W31" i="114" s="1"/>
  <c r="S31" i="114"/>
  <c r="W30" i="96"/>
  <c r="W30" i="114" s="1"/>
  <c r="S30" i="114"/>
  <c r="AM32" i="96"/>
  <c r="AM32" i="114" s="1"/>
  <c r="AI32" i="114"/>
  <c r="AK30" i="96"/>
  <c r="AK30" i="114" s="1"/>
  <c r="AG30" i="114"/>
  <c r="D28" i="97"/>
  <c r="D27" i="25"/>
  <c r="I31" i="96"/>
  <c r="I31" i="114" s="1"/>
  <c r="G33" i="114"/>
  <c r="K33" i="96"/>
  <c r="K33" i="114" s="1"/>
  <c r="G24" i="98"/>
  <c r="Q34" i="114"/>
  <c r="G25" i="97"/>
  <c r="G25" i="25"/>
  <c r="G24" i="97"/>
  <c r="G26" i="97"/>
  <c r="M6" i="96"/>
  <c r="G6" i="114" s="1"/>
  <c r="K5" i="96"/>
  <c r="E5" i="114" s="1"/>
  <c r="AE32" i="96"/>
  <c r="AE32" i="114" s="1"/>
  <c r="Q34" i="96"/>
  <c r="AF31" i="96"/>
  <c r="AF31" i="114" s="1"/>
  <c r="D33" i="96"/>
  <c r="D33" i="114" s="1"/>
  <c r="H115" i="97"/>
  <c r="S33" i="96"/>
  <c r="AG31" i="96"/>
  <c r="E32" i="96"/>
  <c r="E32" i="114" s="1"/>
  <c r="AI33" i="96"/>
  <c r="G34" i="96"/>
  <c r="U35" i="96"/>
  <c r="D29" i="97"/>
  <c r="AK31" i="96" l="1"/>
  <c r="AK31" i="114" s="1"/>
  <c r="AG31" i="114"/>
  <c r="Y35" i="96"/>
  <c r="Y35" i="114" s="1"/>
  <c r="U35" i="114"/>
  <c r="AM33" i="96"/>
  <c r="AM33" i="114" s="1"/>
  <c r="AI33" i="114"/>
  <c r="W33" i="96"/>
  <c r="W33" i="114" s="1"/>
  <c r="S33" i="114"/>
  <c r="D28" i="25"/>
  <c r="I32" i="96"/>
  <c r="I32" i="114" s="1"/>
  <c r="G34" i="114"/>
  <c r="K34" i="96"/>
  <c r="K34" i="114" s="1"/>
  <c r="Q35" i="114"/>
  <c r="D78" i="97"/>
  <c r="R35" i="114"/>
  <c r="G25" i="98"/>
  <c r="R34" i="114"/>
  <c r="G27" i="97"/>
  <c r="G26" i="25"/>
  <c r="R34" i="96"/>
  <c r="AF32" i="96"/>
  <c r="AF32" i="114" s="1"/>
  <c r="AE33" i="96"/>
  <c r="AE33" i="114" s="1"/>
  <c r="Q35" i="96"/>
  <c r="R35" i="96"/>
  <c r="N5" i="96"/>
  <c r="H5" i="114" s="1"/>
  <c r="F41" i="97"/>
  <c r="E33" i="96"/>
  <c r="E33" i="114" s="1"/>
  <c r="AG32" i="96"/>
  <c r="S34" i="96"/>
  <c r="AI34" i="96"/>
  <c r="D29" i="25"/>
  <c r="G35" i="96"/>
  <c r="AM34" i="96" l="1"/>
  <c r="AM34" i="114" s="1"/>
  <c r="AI34" i="114"/>
  <c r="W34" i="96"/>
  <c r="W34" i="114" s="1"/>
  <c r="S34" i="114"/>
  <c r="AK32" i="96"/>
  <c r="AK32" i="114" s="1"/>
  <c r="AG32" i="114"/>
  <c r="I33" i="96"/>
  <c r="I33" i="114" s="1"/>
  <c r="K35" i="96"/>
  <c r="K35" i="114" s="1"/>
  <c r="G35" i="114"/>
  <c r="J5" i="96"/>
  <c r="D5" i="114" s="1"/>
  <c r="G26" i="98"/>
  <c r="D115" i="25"/>
  <c r="G28" i="97"/>
  <c r="G27" i="25"/>
  <c r="U47" i="96"/>
  <c r="U47" i="114" s="1"/>
  <c r="AF33" i="96"/>
  <c r="AF33" i="114" s="1"/>
  <c r="AE34" i="96"/>
  <c r="AE34" i="114" s="1"/>
  <c r="D34" i="96"/>
  <c r="D34" i="114" s="1"/>
  <c r="F41" i="25"/>
  <c r="H78" i="97"/>
  <c r="I44" i="97" s="1"/>
  <c r="E34" i="96"/>
  <c r="E34" i="114" s="1"/>
  <c r="AG33" i="96"/>
  <c r="S35" i="96"/>
  <c r="AI35" i="96"/>
  <c r="AK33" i="96" l="1"/>
  <c r="AK33" i="114" s="1"/>
  <c r="AG33" i="114"/>
  <c r="W35" i="96"/>
  <c r="W35" i="114" s="1"/>
  <c r="S35" i="114"/>
  <c r="AM35" i="96"/>
  <c r="AM35" i="114" s="1"/>
  <c r="AI35" i="114"/>
  <c r="J7" i="96"/>
  <c r="D7" i="114" s="1"/>
  <c r="I34" i="96"/>
  <c r="I34" i="114" s="1"/>
  <c r="G27" i="98"/>
  <c r="K4" i="96"/>
  <c r="E4" i="114" s="1"/>
  <c r="G28" i="25"/>
  <c r="G29" i="97"/>
  <c r="G41" i="97" s="1"/>
  <c r="M5" i="96"/>
  <c r="AE35" i="96"/>
  <c r="AE35" i="114" s="1"/>
  <c r="AF34" i="96"/>
  <c r="AF34" i="114" s="1"/>
  <c r="D35" i="96"/>
  <c r="D35" i="114" s="1"/>
  <c r="F41" i="98"/>
  <c r="D41" i="97"/>
  <c r="Y47" i="96"/>
  <c r="Y47" i="114" s="1"/>
  <c r="K47" i="96"/>
  <c r="K47" i="114" s="1"/>
  <c r="G47" i="96"/>
  <c r="G47" i="114" s="1"/>
  <c r="H115" i="25"/>
  <c r="AG34" i="96"/>
  <c r="E35" i="96"/>
  <c r="E35" i="114" s="1"/>
  <c r="I7" i="62"/>
  <c r="I8" i="62"/>
  <c r="M7" i="96" l="1"/>
  <c r="G7" i="114" s="1"/>
  <c r="G5" i="114"/>
  <c r="I44" i="25"/>
  <c r="AK34" i="96"/>
  <c r="AK34" i="114" s="1"/>
  <c r="AG34" i="114"/>
  <c r="I35" i="96"/>
  <c r="I35" i="114" s="1"/>
  <c r="G28" i="98"/>
  <c r="K7" i="96"/>
  <c r="E7" i="114" s="1"/>
  <c r="G29" i="25"/>
  <c r="G41" i="25" s="1"/>
  <c r="AI47" i="96"/>
  <c r="AI47" i="114" s="1"/>
  <c r="N4" i="96"/>
  <c r="AF35" i="96"/>
  <c r="AF35" i="114" s="1"/>
  <c r="D41" i="25"/>
  <c r="S47" i="96"/>
  <c r="S47" i="114" s="1"/>
  <c r="AM47" i="96"/>
  <c r="AM47" i="114" s="1"/>
  <c r="I9" i="62"/>
  <c r="AG35" i="96"/>
  <c r="J6" i="62"/>
  <c r="N7" i="96" l="1"/>
  <c r="H7" i="114" s="1"/>
  <c r="H4" i="114"/>
  <c r="AK35" i="96"/>
  <c r="AK35" i="114" s="1"/>
  <c r="AG35" i="114"/>
  <c r="G29" i="98"/>
  <c r="D41" i="98"/>
  <c r="E47" i="96"/>
  <c r="E47" i="114" s="1"/>
  <c r="W47" i="96"/>
  <c r="W47" i="114" s="1"/>
  <c r="I9" i="98"/>
  <c r="I9" i="25"/>
  <c r="I9" i="97"/>
  <c r="J7" i="62"/>
  <c r="AG47" i="96" l="1"/>
  <c r="AG47" i="114" s="1"/>
  <c r="I47" i="96"/>
  <c r="I47" i="114" s="1"/>
  <c r="G41" i="98"/>
  <c r="K9" i="97"/>
  <c r="K9" i="25"/>
  <c r="K9" i="98"/>
  <c r="J8" i="62"/>
  <c r="AK47" i="96" l="1"/>
  <c r="AK47" i="114" s="1"/>
  <c r="J9" i="62"/>
  <c r="J10" i="62" l="1"/>
  <c r="J11" i="62" l="1"/>
  <c r="J12" i="62" l="1"/>
  <c r="J13" i="62" s="1"/>
  <c r="I13" i="25" l="1"/>
  <c r="K13" i="25" s="1"/>
  <c r="I14" i="98"/>
  <c r="K14" i="98" s="1"/>
  <c r="I14" i="97"/>
  <c r="K14" i="97" s="1"/>
  <c r="I12" i="97"/>
  <c r="K12" i="97" s="1"/>
  <c r="I11" i="25"/>
  <c r="K11" i="25" s="1"/>
  <c r="I16" i="97"/>
  <c r="K16" i="97" s="1"/>
  <c r="I14" i="25"/>
  <c r="K14" i="25" s="1"/>
  <c r="I16" i="25"/>
  <c r="K16" i="25" s="1"/>
  <c r="I15" i="98"/>
  <c r="K15" i="98" s="1"/>
  <c r="I15" i="25"/>
  <c r="K15" i="25" s="1"/>
  <c r="I15" i="97"/>
  <c r="K15" i="97" s="1"/>
  <c r="I12" i="98"/>
  <c r="K12" i="98" s="1"/>
  <c r="I13" i="97"/>
  <c r="K13" i="97" s="1"/>
  <c r="I16" i="98"/>
  <c r="K16" i="98" s="1"/>
  <c r="I11" i="98"/>
  <c r="K11" i="98" s="1"/>
  <c r="I12" i="25"/>
  <c r="K12" i="25" s="1"/>
  <c r="I11" i="97"/>
  <c r="K11" i="97" s="1"/>
  <c r="I13" i="98"/>
  <c r="K13" i="98" s="1"/>
  <c r="I8" i="97" l="1"/>
  <c r="I8" i="98"/>
  <c r="I8" i="25"/>
  <c r="I10" i="97"/>
  <c r="I10" i="25"/>
  <c r="I10" i="98"/>
  <c r="K8" i="97" l="1"/>
  <c r="K8" i="98"/>
  <c r="K8" i="25"/>
  <c r="K10" i="98"/>
  <c r="K10" i="25"/>
  <c r="K10" i="97"/>
  <c r="DL20" i="107" l="1"/>
  <c r="DL23" i="107" s="1"/>
  <c r="DL24" i="107" s="1"/>
  <c r="DK20" i="107"/>
  <c r="DK23" i="107" s="1"/>
  <c r="DK24" i="107" s="1"/>
  <c r="DJ20" i="107"/>
  <c r="DJ23" i="107" s="1"/>
  <c r="DJ24" i="107" s="1"/>
  <c r="DN20" i="107" l="1"/>
  <c r="DN23" i="107" s="1"/>
  <c r="DN24" i="107" s="1"/>
  <c r="DM20" i="107"/>
  <c r="DM23" i="107" s="1"/>
  <c r="DM24" i="107" s="1"/>
  <c r="DO20" i="107"/>
  <c r="DO23" i="107" s="1"/>
  <c r="DO24" i="107" s="1"/>
  <c r="DP20" i="107" l="1"/>
  <c r="DP23" i="107" s="1"/>
  <c r="DP24" i="107" s="1"/>
  <c r="DQ20" i="107" l="1"/>
  <c r="DQ23" i="107" s="1"/>
  <c r="DQ24" i="107" s="1"/>
  <c r="DR20" i="107" l="1"/>
  <c r="DR23" i="107" s="1"/>
  <c r="DR24" i="107" s="1"/>
  <c r="DS20" i="107" l="1"/>
  <c r="DS23" i="107" s="1"/>
  <c r="DS24" i="107" s="1"/>
  <c r="DT20" i="107" l="1"/>
  <c r="DT23" i="107" s="1"/>
  <c r="DT24" i="107" s="1"/>
  <c r="DU20" i="107" l="1"/>
  <c r="DU23" i="107" s="1"/>
  <c r="DU24" i="107" s="1"/>
  <c r="DV20" i="107" l="1"/>
  <c r="DV23" i="107" s="1"/>
  <c r="DV24" i="107" s="1"/>
  <c r="DW20" i="107" l="1"/>
  <c r="DW23" i="107" s="1"/>
  <c r="DW24" i="107" s="1"/>
  <c r="DX20" i="107" l="1"/>
  <c r="DX23" i="107" s="1"/>
  <c r="DX24" i="107" s="1"/>
  <c r="DY20" i="107" l="1"/>
  <c r="DY23" i="107" s="1"/>
  <c r="DY24" i="107" s="1"/>
  <c r="DZ20" i="107" l="1"/>
  <c r="DZ23" i="107" s="1"/>
  <c r="DZ24" i="107" s="1"/>
  <c r="EA20" i="107" l="1"/>
  <c r="EA23" i="107" s="1"/>
  <c r="EA24" i="107" s="1"/>
  <c r="EB20" i="107" l="1"/>
  <c r="EB23" i="107" s="1"/>
  <c r="EB24" i="107" s="1"/>
  <c r="EC20" i="107" l="1"/>
  <c r="EC23" i="107" s="1"/>
  <c r="EC24" i="107" s="1"/>
  <c r="ED20" i="107" l="1"/>
  <c r="ED23" i="107" s="1"/>
  <c r="ED24" i="107" s="1"/>
  <c r="EE20" i="107" l="1"/>
  <c r="EE23" i="107" s="1"/>
  <c r="EE24" i="107" s="1"/>
  <c r="EG20" i="107" l="1"/>
  <c r="EG23" i="107" s="1"/>
  <c r="EG24" i="107" s="1"/>
  <c r="EF20" i="107"/>
  <c r="EF23" i="107" s="1"/>
  <c r="EF24" i="107" s="1"/>
  <c r="B50" i="107" l="1" a="1"/>
  <c r="C32" i="64" l="1"/>
  <c r="F32" i="64" s="1"/>
  <c r="D34" i="62" s="1"/>
  <c r="E34" i="62" s="1"/>
  <c r="G34" i="62" s="1"/>
  <c r="C33" i="64"/>
  <c r="F33" i="64" s="1"/>
  <c r="D35" i="62" s="1"/>
  <c r="E35" i="62" s="1"/>
  <c r="G35" i="62" s="1"/>
  <c r="C34" i="64"/>
  <c r="F34" i="64" s="1"/>
  <c r="D36" i="62" s="1"/>
  <c r="E36" i="62" s="1"/>
  <c r="G36" i="62" s="1"/>
  <c r="C27" i="64"/>
  <c r="F27" i="64" s="1"/>
  <c r="D29" i="62" s="1"/>
  <c r="E29" i="62" s="1"/>
  <c r="G29" i="62" s="1"/>
  <c r="C25" i="64"/>
  <c r="F25" i="64" s="1"/>
  <c r="D27" i="62" s="1"/>
  <c r="E27" i="62" s="1"/>
  <c r="G27" i="62" s="1"/>
  <c r="C31" i="64"/>
  <c r="F31" i="64" s="1"/>
  <c r="D33" i="62" s="1"/>
  <c r="E33" i="62" s="1"/>
  <c r="G33" i="62" s="1"/>
  <c r="C35" i="64"/>
  <c r="F35" i="64" s="1"/>
  <c r="D37" i="62" s="1"/>
  <c r="E37" i="62" s="1"/>
  <c r="G37" i="62" s="1"/>
  <c r="C29" i="64"/>
  <c r="F29" i="64" s="1"/>
  <c r="D31" i="62" s="1"/>
  <c r="E31" i="62" s="1"/>
  <c r="G31" i="62" s="1"/>
  <c r="C28" i="64"/>
  <c r="F28" i="64" s="1"/>
  <c r="D30" i="62" s="1"/>
  <c r="E30" i="62" s="1"/>
  <c r="G30" i="62" s="1"/>
  <c r="C26" i="64"/>
  <c r="F26" i="64" s="1"/>
  <c r="D28" i="62" s="1"/>
  <c r="E28" i="62" s="1"/>
  <c r="G28" i="62" s="1"/>
  <c r="C30" i="64"/>
  <c r="F30" i="64" s="1"/>
  <c r="D32" i="62" s="1"/>
  <c r="E32" i="62" s="1"/>
  <c r="G32" i="62" s="1"/>
  <c r="C13" i="64"/>
  <c r="F13" i="64" s="1"/>
  <c r="D15" i="62" s="1"/>
  <c r="E15" i="62" s="1"/>
  <c r="C14" i="64"/>
  <c r="F14" i="64" s="1"/>
  <c r="D16" i="62" s="1"/>
  <c r="E16" i="62" s="1"/>
  <c r="C15" i="64"/>
  <c r="F15" i="64" s="1"/>
  <c r="D17" i="62" s="1"/>
  <c r="E17" i="62" s="1"/>
  <c r="C16" i="64"/>
  <c r="F16" i="64" s="1"/>
  <c r="D18" i="62" s="1"/>
  <c r="E18" i="62" s="1"/>
  <c r="C17" i="64"/>
  <c r="F17" i="64" s="1"/>
  <c r="D19" i="62" s="1"/>
  <c r="E19" i="62" s="1"/>
  <c r="C18" i="64"/>
  <c r="F18" i="64" s="1"/>
  <c r="D20" i="62" s="1"/>
  <c r="E20" i="62" s="1"/>
  <c r="G20" i="62" s="1"/>
  <c r="H20" i="62" s="1"/>
  <c r="C19" i="64"/>
  <c r="F19" i="64" s="1"/>
  <c r="D21" i="62" s="1"/>
  <c r="E21" i="62" s="1"/>
  <c r="G21" i="62" s="1"/>
  <c r="H21" i="62" s="1"/>
  <c r="C20" i="64"/>
  <c r="F20" i="64" s="1"/>
  <c r="D22" i="62" s="1"/>
  <c r="E22" i="62" s="1"/>
  <c r="G22" i="62" s="1"/>
  <c r="H22" i="62" s="1"/>
  <c r="C21" i="64"/>
  <c r="F21" i="64" s="1"/>
  <c r="D23" i="62" s="1"/>
  <c r="E23" i="62" s="1"/>
  <c r="G23" i="62" s="1"/>
  <c r="H23" i="62" s="1"/>
  <c r="C22" i="64"/>
  <c r="F22" i="64" s="1"/>
  <c r="D24" i="62" s="1"/>
  <c r="E24" i="62" s="1"/>
  <c r="G24" i="62" s="1"/>
  <c r="H24" i="62" s="1"/>
  <c r="C23" i="64"/>
  <c r="F23" i="64" s="1"/>
  <c r="D25" i="62" s="1"/>
  <c r="E25" i="62" s="1"/>
  <c r="G25" i="62" s="1"/>
  <c r="H25" i="62" s="1"/>
  <c r="C24" i="64"/>
  <c r="F24" i="64" s="1"/>
  <c r="D26" i="62" s="1"/>
  <c r="E26" i="62" s="1"/>
  <c r="G26" i="62" s="1"/>
  <c r="B50" i="107"/>
  <c r="E73" i="107"/>
  <c r="E72" i="107"/>
  <c r="E71" i="107"/>
  <c r="E70" i="107"/>
  <c r="E69" i="107"/>
  <c r="E68" i="107"/>
  <c r="E67" i="107"/>
  <c r="E66" i="107"/>
  <c r="E65" i="107"/>
  <c r="E64" i="107"/>
  <c r="E63" i="107"/>
  <c r="E62" i="107"/>
  <c r="E61" i="107"/>
  <c r="E60" i="107"/>
  <c r="E59" i="107"/>
  <c r="E58" i="107"/>
  <c r="E57" i="107"/>
  <c r="E56" i="107"/>
  <c r="E55" i="107"/>
  <c r="E54" i="107"/>
  <c r="E53" i="107"/>
  <c r="E52" i="107"/>
  <c r="E51" i="107"/>
  <c r="I26" i="62" l="1"/>
  <c r="H26" i="62"/>
  <c r="I32" i="62"/>
  <c r="H32" i="62"/>
  <c r="I28" i="62"/>
  <c r="H28" i="62"/>
  <c r="I35" i="62"/>
  <c r="H35" i="62"/>
  <c r="I30" i="62"/>
  <c r="H30" i="62"/>
  <c r="I31" i="62"/>
  <c r="H31" i="62"/>
  <c r="I34" i="62"/>
  <c r="H34" i="62"/>
  <c r="E28" i="25"/>
  <c r="F34" i="96" s="1"/>
  <c r="E28" i="97"/>
  <c r="T34" i="96" s="1"/>
  <c r="E28" i="98"/>
  <c r="AH34" i="96" s="1"/>
  <c r="I37" i="62"/>
  <c r="H37" i="62"/>
  <c r="E24" i="97"/>
  <c r="T30" i="96" s="1"/>
  <c r="E24" i="98"/>
  <c r="AH30" i="96" s="1"/>
  <c r="E24" i="25"/>
  <c r="F30" i="96" s="1"/>
  <c r="I33" i="62"/>
  <c r="H33" i="62"/>
  <c r="E25" i="97"/>
  <c r="T31" i="96" s="1"/>
  <c r="E25" i="98"/>
  <c r="AH31" i="96" s="1"/>
  <c r="E25" i="25"/>
  <c r="F31" i="96" s="1"/>
  <c r="I27" i="62"/>
  <c r="H27" i="62"/>
  <c r="E26" i="97"/>
  <c r="T32" i="96" s="1"/>
  <c r="E26" i="98"/>
  <c r="AH32" i="96" s="1"/>
  <c r="E26" i="25"/>
  <c r="F32" i="96" s="1"/>
  <c r="I29" i="62"/>
  <c r="H29" i="62"/>
  <c r="E27" i="25"/>
  <c r="F33" i="96" s="1"/>
  <c r="E27" i="97"/>
  <c r="T33" i="96" s="1"/>
  <c r="E27" i="98"/>
  <c r="AH33" i="96" s="1"/>
  <c r="E23" i="98"/>
  <c r="AH29" i="96" s="1"/>
  <c r="E23" i="25"/>
  <c r="F29" i="96" s="1"/>
  <c r="E23" i="97"/>
  <c r="T29" i="96" s="1"/>
  <c r="I36" i="62"/>
  <c r="H36" i="62"/>
  <c r="E50" i="107"/>
  <c r="C12" i="64"/>
  <c r="F12" i="64" s="1"/>
  <c r="D14" i="62" s="1"/>
  <c r="E14" i="62" s="1"/>
  <c r="I25" i="62"/>
  <c r="I24" i="62"/>
  <c r="I23" i="62"/>
  <c r="I22" i="62"/>
  <c r="I21" i="62"/>
  <c r="I20" i="62"/>
  <c r="G19" i="62"/>
  <c r="G18" i="62"/>
  <c r="G17" i="62"/>
  <c r="G16" i="62"/>
  <c r="G15" i="62"/>
  <c r="X29" i="96" l="1"/>
  <c r="X29" i="114" s="1"/>
  <c r="T29" i="114"/>
  <c r="X33" i="96"/>
  <c r="X33" i="114" s="1"/>
  <c r="T33" i="114"/>
  <c r="AL30" i="96"/>
  <c r="AL30" i="114" s="1"/>
  <c r="AH30" i="114"/>
  <c r="X30" i="96"/>
  <c r="X30" i="114" s="1"/>
  <c r="T30" i="114"/>
  <c r="AL32" i="96"/>
  <c r="AL32" i="114" s="1"/>
  <c r="AH32" i="114"/>
  <c r="X32" i="96"/>
  <c r="X32" i="114" s="1"/>
  <c r="T32" i="114"/>
  <c r="AL34" i="96"/>
  <c r="AL34" i="114" s="1"/>
  <c r="AH34" i="114"/>
  <c r="X34" i="96"/>
  <c r="X34" i="114" s="1"/>
  <c r="T34" i="114"/>
  <c r="AL29" i="96"/>
  <c r="AL29" i="114" s="1"/>
  <c r="AH29" i="114"/>
  <c r="AL31" i="96"/>
  <c r="AL31" i="114" s="1"/>
  <c r="AH31" i="114"/>
  <c r="AL33" i="96"/>
  <c r="AL33" i="114" s="1"/>
  <c r="AH33" i="114"/>
  <c r="X31" i="96"/>
  <c r="X31" i="114" s="1"/>
  <c r="T31" i="114"/>
  <c r="F30" i="114"/>
  <c r="J30" i="96"/>
  <c r="J30" i="114" s="1"/>
  <c r="J32" i="96"/>
  <c r="J32" i="114" s="1"/>
  <c r="F32" i="114"/>
  <c r="F33" i="114"/>
  <c r="J33" i="96"/>
  <c r="J33" i="114" s="1"/>
  <c r="J29" i="96"/>
  <c r="J29" i="114" s="1"/>
  <c r="F29" i="114"/>
  <c r="J31" i="96"/>
  <c r="J31" i="114" s="1"/>
  <c r="F31" i="114"/>
  <c r="F34" i="114"/>
  <c r="J34" i="96"/>
  <c r="J34" i="114" s="1"/>
  <c r="H24" i="98"/>
  <c r="H28" i="98"/>
  <c r="H23" i="98"/>
  <c r="H26" i="98"/>
  <c r="H25" i="98"/>
  <c r="H27" i="98"/>
  <c r="H27" i="97"/>
  <c r="H27" i="25"/>
  <c r="H24" i="25"/>
  <c r="H26" i="25"/>
  <c r="H26" i="97"/>
  <c r="H24" i="97"/>
  <c r="H28" i="25"/>
  <c r="H23" i="97"/>
  <c r="H28" i="97"/>
  <c r="H23" i="25"/>
  <c r="H25" i="25"/>
  <c r="H25" i="97"/>
  <c r="E36" i="97"/>
  <c r="T42" i="96" s="1"/>
  <c r="E36" i="98"/>
  <c r="AH42" i="96" s="1"/>
  <c r="E36" i="25"/>
  <c r="F42" i="96" s="1"/>
  <c r="E34" i="98"/>
  <c r="AH40" i="96" s="1"/>
  <c r="E34" i="25"/>
  <c r="F40" i="96" s="1"/>
  <c r="E34" i="97"/>
  <c r="T40" i="96" s="1"/>
  <c r="E33" i="98"/>
  <c r="AH39" i="96" s="1"/>
  <c r="E33" i="25"/>
  <c r="F39" i="96" s="1"/>
  <c r="E33" i="97"/>
  <c r="T39" i="96" s="1"/>
  <c r="E38" i="97"/>
  <c r="T44" i="96" s="1"/>
  <c r="E38" i="25"/>
  <c r="F44" i="96" s="1"/>
  <c r="E38" i="98"/>
  <c r="AH44" i="96" s="1"/>
  <c r="E40" i="25"/>
  <c r="F46" i="96" s="1"/>
  <c r="E40" i="97"/>
  <c r="T46" i="96" s="1"/>
  <c r="E40" i="98"/>
  <c r="AH46" i="96" s="1"/>
  <c r="E31" i="25"/>
  <c r="F37" i="96" s="1"/>
  <c r="E31" i="97"/>
  <c r="T37" i="96" s="1"/>
  <c r="E31" i="98"/>
  <c r="AH37" i="96" s="1"/>
  <c r="E32" i="25"/>
  <c r="F38" i="96" s="1"/>
  <c r="E32" i="97"/>
  <c r="T38" i="96" s="1"/>
  <c r="E32" i="98"/>
  <c r="AH38" i="96" s="1"/>
  <c r="E30" i="25"/>
  <c r="F36" i="96" s="1"/>
  <c r="E30" i="97"/>
  <c r="T36" i="96" s="1"/>
  <c r="E30" i="98"/>
  <c r="AH36" i="96" s="1"/>
  <c r="E35" i="98"/>
  <c r="AH41" i="96" s="1"/>
  <c r="E35" i="97"/>
  <c r="T41" i="96" s="1"/>
  <c r="E35" i="25"/>
  <c r="F41" i="96" s="1"/>
  <c r="I18" i="62"/>
  <c r="H18" i="62"/>
  <c r="I19" i="62"/>
  <c r="H19" i="62"/>
  <c r="I15" i="62"/>
  <c r="H15" i="62"/>
  <c r="I16" i="62"/>
  <c r="H16" i="62"/>
  <c r="E39" i="25"/>
  <c r="F45" i="96" s="1"/>
  <c r="E39" i="97"/>
  <c r="T45" i="96" s="1"/>
  <c r="E39" i="98"/>
  <c r="AH45" i="96" s="1"/>
  <c r="I17" i="62"/>
  <c r="H17" i="62"/>
  <c r="E37" i="97"/>
  <c r="T43" i="96" s="1"/>
  <c r="E37" i="98"/>
  <c r="AH43" i="96" s="1"/>
  <c r="E37" i="25"/>
  <c r="F43" i="96" s="1"/>
  <c r="E29" i="25"/>
  <c r="F35" i="96" s="1"/>
  <c r="E29" i="97"/>
  <c r="T35" i="96" s="1"/>
  <c r="E29" i="98"/>
  <c r="AH35" i="96" s="1"/>
  <c r="G14" i="62"/>
  <c r="AL40" i="96" l="1"/>
  <c r="AL40" i="114" s="1"/>
  <c r="AH40" i="114"/>
  <c r="AL42" i="96"/>
  <c r="AL42" i="114" s="1"/>
  <c r="AH42" i="114"/>
  <c r="AL43" i="96"/>
  <c r="AL43" i="114" s="1"/>
  <c r="AH43" i="114"/>
  <c r="X43" i="96"/>
  <c r="X43" i="114" s="1"/>
  <c r="T43" i="114"/>
  <c r="AL45" i="96"/>
  <c r="AL45" i="114" s="1"/>
  <c r="AH45" i="114"/>
  <c r="X41" i="96"/>
  <c r="X41" i="114" s="1"/>
  <c r="T41" i="114"/>
  <c r="X45" i="96"/>
  <c r="X45" i="114" s="1"/>
  <c r="T45" i="114"/>
  <c r="AL41" i="96"/>
  <c r="AL41" i="114" s="1"/>
  <c r="AH41" i="114"/>
  <c r="X42" i="96"/>
  <c r="X42" i="114" s="1"/>
  <c r="T42" i="114"/>
  <c r="AL36" i="96"/>
  <c r="AL36" i="114" s="1"/>
  <c r="AH36" i="114"/>
  <c r="AL44" i="96"/>
  <c r="AL44" i="114" s="1"/>
  <c r="AH44" i="114"/>
  <c r="AL37" i="96"/>
  <c r="AL37" i="114" s="1"/>
  <c r="AH37" i="114"/>
  <c r="AL46" i="96"/>
  <c r="AL46" i="114" s="1"/>
  <c r="AH46" i="114"/>
  <c r="X46" i="96"/>
  <c r="X46" i="114" s="1"/>
  <c r="T46" i="114"/>
  <c r="X36" i="96"/>
  <c r="X36" i="114" s="1"/>
  <c r="T36" i="114"/>
  <c r="X37" i="96"/>
  <c r="X37" i="114" s="1"/>
  <c r="T37" i="114"/>
  <c r="AL35" i="96"/>
  <c r="AL35" i="114" s="1"/>
  <c r="AH35" i="114"/>
  <c r="X44" i="96"/>
  <c r="X44" i="114" s="1"/>
  <c r="T44" i="114"/>
  <c r="AL38" i="96"/>
  <c r="AL38" i="114" s="1"/>
  <c r="AH38" i="114"/>
  <c r="X40" i="96"/>
  <c r="X40" i="114" s="1"/>
  <c r="T40" i="114"/>
  <c r="X35" i="96"/>
  <c r="X35" i="114" s="1"/>
  <c r="T35" i="114"/>
  <c r="X39" i="96"/>
  <c r="X39" i="114" s="1"/>
  <c r="T39" i="114"/>
  <c r="X38" i="96"/>
  <c r="X38" i="114" s="1"/>
  <c r="T38" i="114"/>
  <c r="AL39" i="96"/>
  <c r="AL39" i="114" s="1"/>
  <c r="AH39" i="114"/>
  <c r="J44" i="96"/>
  <c r="J44" i="114" s="1"/>
  <c r="F44" i="114"/>
  <c r="F36" i="114"/>
  <c r="J36" i="96"/>
  <c r="J36" i="114" s="1"/>
  <c r="J43" i="96"/>
  <c r="J43" i="114" s="1"/>
  <c r="F43" i="114"/>
  <c r="F40" i="114"/>
  <c r="J40" i="96"/>
  <c r="J40" i="114" s="1"/>
  <c r="J38" i="96"/>
  <c r="J38" i="114" s="1"/>
  <c r="F38" i="114"/>
  <c r="J37" i="96"/>
  <c r="J37" i="114" s="1"/>
  <c r="F37" i="114"/>
  <c r="F45" i="114"/>
  <c r="J45" i="96"/>
  <c r="J45" i="114" s="1"/>
  <c r="F42" i="114"/>
  <c r="J42" i="96"/>
  <c r="J42" i="114" s="1"/>
  <c r="F39" i="114"/>
  <c r="J39" i="96"/>
  <c r="J39" i="114" s="1"/>
  <c r="J35" i="96"/>
  <c r="J35" i="114" s="1"/>
  <c r="F35" i="114"/>
  <c r="J41" i="96"/>
  <c r="J41" i="114" s="1"/>
  <c r="F41" i="114"/>
  <c r="F46" i="114"/>
  <c r="J46" i="96"/>
  <c r="J46" i="114" s="1"/>
  <c r="H35" i="98"/>
  <c r="I35" i="98" s="1"/>
  <c r="K35" i="98" s="1"/>
  <c r="H39" i="98"/>
  <c r="I39" i="98" s="1"/>
  <c r="K39" i="98" s="1"/>
  <c r="H36" i="98"/>
  <c r="I36" i="98" s="1"/>
  <c r="K36" i="98" s="1"/>
  <c r="H30" i="98"/>
  <c r="I30" i="98" s="1"/>
  <c r="K30" i="98" s="1"/>
  <c r="H38" i="98"/>
  <c r="I38" i="98" s="1"/>
  <c r="K38" i="98" s="1"/>
  <c r="H40" i="98"/>
  <c r="I40" i="98" s="1"/>
  <c r="K40" i="98" s="1"/>
  <c r="H32" i="98"/>
  <c r="I32" i="98" s="1"/>
  <c r="K32" i="98" s="1"/>
  <c r="H34" i="98"/>
  <c r="I34" i="98" s="1"/>
  <c r="K34" i="98" s="1"/>
  <c r="H33" i="98"/>
  <c r="I33" i="98" s="1"/>
  <c r="K33" i="98" s="1"/>
  <c r="H29" i="98"/>
  <c r="I29" i="98" s="1"/>
  <c r="K29" i="98" s="1"/>
  <c r="H37" i="98"/>
  <c r="I37" i="98" s="1"/>
  <c r="K37" i="98" s="1"/>
  <c r="H31" i="98"/>
  <c r="I31" i="98" s="1"/>
  <c r="K31" i="98" s="1"/>
  <c r="H34" i="97"/>
  <c r="I34" i="97" s="1"/>
  <c r="K34" i="97" s="1"/>
  <c r="H34" i="25"/>
  <c r="I34" i="25" s="1"/>
  <c r="K34" i="25" s="1"/>
  <c r="H37" i="97"/>
  <c r="I37" i="97" s="1"/>
  <c r="K37" i="97" s="1"/>
  <c r="H31" i="97"/>
  <c r="I31" i="97" s="1"/>
  <c r="K31" i="97" s="1"/>
  <c r="H31" i="25"/>
  <c r="I31" i="25" s="1"/>
  <c r="K31" i="25" s="1"/>
  <c r="H35" i="97"/>
  <c r="I35" i="97" s="1"/>
  <c r="K35" i="97" s="1"/>
  <c r="H40" i="25"/>
  <c r="I40" i="25" s="1"/>
  <c r="K40" i="25" s="1"/>
  <c r="H36" i="97"/>
  <c r="I36" i="97" s="1"/>
  <c r="K36" i="97" s="1"/>
  <c r="H38" i="25"/>
  <c r="I38" i="25" s="1"/>
  <c r="K38" i="25" s="1"/>
  <c r="AN33" i="96"/>
  <c r="AP33" i="96" s="1"/>
  <c r="H35" i="25"/>
  <c r="I35" i="25" s="1"/>
  <c r="K35" i="25" s="1"/>
  <c r="H38" i="97"/>
  <c r="I38" i="97" s="1"/>
  <c r="K38" i="97" s="1"/>
  <c r="H36" i="25"/>
  <c r="I36" i="25" s="1"/>
  <c r="K36" i="25" s="1"/>
  <c r="H40" i="97"/>
  <c r="I40" i="97" s="1"/>
  <c r="K40" i="97" s="1"/>
  <c r="H39" i="25"/>
  <c r="I39" i="25" s="1"/>
  <c r="K39" i="25" s="1"/>
  <c r="H30" i="97"/>
  <c r="I30" i="97" s="1"/>
  <c r="K30" i="97" s="1"/>
  <c r="H29" i="97"/>
  <c r="I29" i="97" s="1"/>
  <c r="K29" i="97" s="1"/>
  <c r="H33" i="97"/>
  <c r="I33" i="97" s="1"/>
  <c r="K33" i="97" s="1"/>
  <c r="H39" i="97"/>
  <c r="I39" i="97" s="1"/>
  <c r="K39" i="97" s="1"/>
  <c r="H30" i="25"/>
  <c r="I30" i="25" s="1"/>
  <c r="K30" i="25" s="1"/>
  <c r="H29" i="25"/>
  <c r="I29" i="25" s="1"/>
  <c r="K29" i="25" s="1"/>
  <c r="H32" i="97"/>
  <c r="I32" i="97" s="1"/>
  <c r="K32" i="97" s="1"/>
  <c r="H33" i="25"/>
  <c r="I33" i="25" s="1"/>
  <c r="K33" i="25" s="1"/>
  <c r="H37" i="25"/>
  <c r="I37" i="25" s="1"/>
  <c r="K37" i="25" s="1"/>
  <c r="H32" i="25"/>
  <c r="I32" i="25" s="1"/>
  <c r="K32" i="25" s="1"/>
  <c r="Z32" i="114"/>
  <c r="V32" i="114"/>
  <c r="Z31" i="96"/>
  <c r="AB31" i="96" s="1"/>
  <c r="V31" i="96"/>
  <c r="AJ33" i="96"/>
  <c r="L29" i="96"/>
  <c r="H29" i="96"/>
  <c r="H29" i="114" s="1"/>
  <c r="L33" i="96"/>
  <c r="H33" i="96"/>
  <c r="H33" i="114" s="1"/>
  <c r="L34" i="96"/>
  <c r="H34" i="96"/>
  <c r="H34" i="114" s="1"/>
  <c r="L31" i="96"/>
  <c r="H31" i="96"/>
  <c r="H31" i="114" s="1"/>
  <c r="Z30" i="96"/>
  <c r="AB30" i="96" s="1"/>
  <c r="V30" i="96"/>
  <c r="AN32" i="96"/>
  <c r="AP32" i="96" s="1"/>
  <c r="AJ32" i="96"/>
  <c r="AN31" i="96"/>
  <c r="AP31" i="96" s="1"/>
  <c r="AJ31" i="96"/>
  <c r="Z34" i="96"/>
  <c r="AB34" i="96" s="1"/>
  <c r="V34" i="96"/>
  <c r="AN30" i="96"/>
  <c r="AP30" i="96" s="1"/>
  <c r="AJ30" i="96"/>
  <c r="AN29" i="96"/>
  <c r="AP29" i="96" s="1"/>
  <c r="AJ29" i="96"/>
  <c r="L32" i="96"/>
  <c r="H32" i="96"/>
  <c r="H32" i="114" s="1"/>
  <c r="Z33" i="96"/>
  <c r="AB33" i="96" s="1"/>
  <c r="V33" i="96"/>
  <c r="Z32" i="96"/>
  <c r="AB32" i="96" s="1"/>
  <c r="V32" i="96"/>
  <c r="Z29" i="96"/>
  <c r="AB29" i="96" s="1"/>
  <c r="V29" i="96"/>
  <c r="AN34" i="96"/>
  <c r="AP34" i="96" s="1"/>
  <c r="AJ34" i="96"/>
  <c r="L30" i="96"/>
  <c r="H30" i="96"/>
  <c r="H30" i="114" s="1"/>
  <c r="E18" i="25"/>
  <c r="F24" i="96" s="1"/>
  <c r="E18" i="97"/>
  <c r="T24" i="96" s="1"/>
  <c r="E18" i="98"/>
  <c r="AH24" i="96" s="1"/>
  <c r="E22" i="98"/>
  <c r="AH28" i="96" s="1"/>
  <c r="E22" i="25"/>
  <c r="F28" i="96" s="1"/>
  <c r="E22" i="97"/>
  <c r="T28" i="96" s="1"/>
  <c r="E21" i="98"/>
  <c r="AH27" i="96" s="1"/>
  <c r="E21" i="25"/>
  <c r="F27" i="96" s="1"/>
  <c r="E21" i="97"/>
  <c r="T27" i="96" s="1"/>
  <c r="E20" i="25"/>
  <c r="F26" i="96" s="1"/>
  <c r="E20" i="97"/>
  <c r="T26" i="96" s="1"/>
  <c r="E20" i="98"/>
  <c r="AH26" i="96" s="1"/>
  <c r="E19" i="25"/>
  <c r="F25" i="96" s="1"/>
  <c r="E19" i="97"/>
  <c r="T25" i="96" s="1"/>
  <c r="E19" i="98"/>
  <c r="AH25" i="96" s="1"/>
  <c r="I14" i="62"/>
  <c r="J14" i="62" s="1"/>
  <c r="J15" i="62" s="1"/>
  <c r="J16" i="62" s="1"/>
  <c r="J17" i="62" s="1"/>
  <c r="J18" i="62" s="1"/>
  <c r="J19" i="62" s="1"/>
  <c r="J20" i="62" s="1"/>
  <c r="J21" i="62" s="1"/>
  <c r="J22" i="62" s="1"/>
  <c r="J23" i="62" s="1"/>
  <c r="J24" i="62" s="1"/>
  <c r="J25" i="62" s="1"/>
  <c r="J26" i="62" s="1"/>
  <c r="J27" i="62" s="1"/>
  <c r="J28" i="62" s="1"/>
  <c r="J29" i="62" s="1"/>
  <c r="J30" i="62" s="1"/>
  <c r="J31" i="62" s="1"/>
  <c r="J32" i="62" s="1"/>
  <c r="J33" i="62" s="1"/>
  <c r="J34" i="62" s="1"/>
  <c r="J35" i="62" s="1"/>
  <c r="J36" i="62" s="1"/>
  <c r="J37" i="62" s="1"/>
  <c r="H14" i="62"/>
  <c r="I28" i="25"/>
  <c r="K28" i="25" s="1"/>
  <c r="I28" i="97"/>
  <c r="K28" i="97" s="1"/>
  <c r="I28" i="98"/>
  <c r="K28" i="98" s="1"/>
  <c r="I27" i="98"/>
  <c r="K27" i="98" s="1"/>
  <c r="I27" i="97"/>
  <c r="K27" i="97" s="1"/>
  <c r="I27" i="25"/>
  <c r="K27" i="25" s="1"/>
  <c r="I26" i="97"/>
  <c r="K26" i="97" s="1"/>
  <c r="I26" i="98"/>
  <c r="K26" i="98" s="1"/>
  <c r="I26" i="25"/>
  <c r="K26" i="25" s="1"/>
  <c r="I25" i="98"/>
  <c r="K25" i="98" s="1"/>
  <c r="I25" i="97"/>
  <c r="K25" i="97" s="1"/>
  <c r="I25" i="25"/>
  <c r="K25" i="25" s="1"/>
  <c r="I24" i="97"/>
  <c r="K24" i="97" s="1"/>
  <c r="I24" i="98"/>
  <c r="K24" i="98" s="1"/>
  <c r="I24" i="25"/>
  <c r="K24" i="25" s="1"/>
  <c r="I23" i="98"/>
  <c r="K23" i="98" s="1"/>
  <c r="I23" i="97"/>
  <c r="K23" i="97" s="1"/>
  <c r="I23" i="25"/>
  <c r="K23" i="25" s="1"/>
  <c r="X27" i="96" l="1"/>
  <c r="X27" i="114" s="1"/>
  <c r="T27" i="114"/>
  <c r="AL27" i="96"/>
  <c r="AL27" i="114" s="1"/>
  <c r="AH27" i="114"/>
  <c r="X28" i="96"/>
  <c r="X28" i="114" s="1"/>
  <c r="T28" i="114"/>
  <c r="AL28" i="96"/>
  <c r="AL28" i="114" s="1"/>
  <c r="AH28" i="114"/>
  <c r="AL25" i="96"/>
  <c r="AL25" i="114" s="1"/>
  <c r="AH25" i="114"/>
  <c r="AL24" i="96"/>
  <c r="AL24" i="114" s="1"/>
  <c r="AH24" i="114"/>
  <c r="X25" i="96"/>
  <c r="X25" i="114" s="1"/>
  <c r="T25" i="114"/>
  <c r="X24" i="96"/>
  <c r="X24" i="114" s="1"/>
  <c r="T24" i="114"/>
  <c r="AL26" i="96"/>
  <c r="AL26" i="114" s="1"/>
  <c r="AH26" i="114"/>
  <c r="X26" i="96"/>
  <c r="X26" i="114" s="1"/>
  <c r="T26" i="114"/>
  <c r="AN33" i="114"/>
  <c r="Z38" i="114"/>
  <c r="Z42" i="114"/>
  <c r="Z39" i="114"/>
  <c r="Z43" i="114"/>
  <c r="Z35" i="114"/>
  <c r="J25" i="96"/>
  <c r="J25" i="114" s="1"/>
  <c r="F25" i="114"/>
  <c r="N29" i="96"/>
  <c r="L29" i="114"/>
  <c r="F24" i="114"/>
  <c r="J24" i="96"/>
  <c r="J24" i="114" s="1"/>
  <c r="N33" i="96"/>
  <c r="L33" i="114"/>
  <c r="J26" i="96"/>
  <c r="J26" i="114" s="1"/>
  <c r="F26" i="114"/>
  <c r="N32" i="96"/>
  <c r="L32" i="114"/>
  <c r="F27" i="114"/>
  <c r="J27" i="96"/>
  <c r="J27" i="114" s="1"/>
  <c r="N30" i="96"/>
  <c r="L30" i="114"/>
  <c r="N34" i="96"/>
  <c r="L34" i="114"/>
  <c r="N31" i="96"/>
  <c r="L31" i="114"/>
  <c r="F28" i="114"/>
  <c r="J28" i="96"/>
  <c r="J28" i="114" s="1"/>
  <c r="H19" i="98"/>
  <c r="I19" i="98" s="1"/>
  <c r="K19" i="98" s="1"/>
  <c r="H18" i="98"/>
  <c r="I18" i="98" s="1"/>
  <c r="K18" i="98" s="1"/>
  <c r="H22" i="98"/>
  <c r="I22" i="98" s="1"/>
  <c r="K22" i="98" s="1"/>
  <c r="H20" i="98"/>
  <c r="I20" i="98" s="1"/>
  <c r="K20" i="98" s="1"/>
  <c r="H21" i="98"/>
  <c r="I21" i="98" s="1"/>
  <c r="K21" i="98" s="1"/>
  <c r="V43" i="114"/>
  <c r="V38" i="114"/>
  <c r="H21" i="25"/>
  <c r="I21" i="25" s="1"/>
  <c r="K21" i="25" s="1"/>
  <c r="H22" i="25"/>
  <c r="I22" i="25" s="1"/>
  <c r="K22" i="25" s="1"/>
  <c r="AN44" i="96"/>
  <c r="AP44" i="96" s="1"/>
  <c r="AN39" i="96"/>
  <c r="AP39" i="96" s="1"/>
  <c r="AN37" i="96"/>
  <c r="AP37" i="96" s="1"/>
  <c r="H20" i="97"/>
  <c r="I20" i="97" s="1"/>
  <c r="K20" i="97" s="1"/>
  <c r="H21" i="97"/>
  <c r="I21" i="97" s="1"/>
  <c r="K21" i="97" s="1"/>
  <c r="H20" i="25"/>
  <c r="I20" i="25" s="1"/>
  <c r="K20" i="25" s="1"/>
  <c r="H18" i="97"/>
  <c r="I18" i="97" s="1"/>
  <c r="K18" i="97" s="1"/>
  <c r="AN40" i="96"/>
  <c r="AP40" i="96" s="1"/>
  <c r="AJ33" i="114"/>
  <c r="H18" i="25"/>
  <c r="I18" i="25" s="1"/>
  <c r="K18" i="25" s="1"/>
  <c r="H19" i="97"/>
  <c r="I19" i="97" s="1"/>
  <c r="K19" i="97" s="1"/>
  <c r="AN43" i="96"/>
  <c r="AP43" i="96" s="1"/>
  <c r="H19" i="25"/>
  <c r="I19" i="25" s="1"/>
  <c r="K19" i="25" s="1"/>
  <c r="H22" i="97"/>
  <c r="I22" i="97" s="1"/>
  <c r="K22" i="97" s="1"/>
  <c r="V39" i="114"/>
  <c r="Z37" i="114"/>
  <c r="V37" i="114"/>
  <c r="AJ43" i="96"/>
  <c r="Z43" i="96"/>
  <c r="AB43" i="96" s="1"/>
  <c r="V43" i="96"/>
  <c r="Z30" i="114"/>
  <c r="V30" i="114"/>
  <c r="V31" i="114"/>
  <c r="Z31" i="114"/>
  <c r="AN41" i="96"/>
  <c r="AJ41" i="96"/>
  <c r="AN42" i="96"/>
  <c r="AP42" i="96" s="1"/>
  <c r="AJ42" i="96"/>
  <c r="Z45" i="96"/>
  <c r="AB45" i="96" s="1"/>
  <c r="V45" i="96"/>
  <c r="Z46" i="96"/>
  <c r="AB46" i="96" s="1"/>
  <c r="V46" i="96"/>
  <c r="Z33" i="114"/>
  <c r="V33" i="114"/>
  <c r="L44" i="96"/>
  <c r="H44" i="96"/>
  <c r="H44" i="114" s="1"/>
  <c r="Z35" i="96"/>
  <c r="AB35" i="96" s="1"/>
  <c r="V35" i="96"/>
  <c r="AJ32" i="114"/>
  <c r="AN32" i="114"/>
  <c r="V35" i="114"/>
  <c r="L35" i="96"/>
  <c r="H35" i="96"/>
  <c r="H35" i="114" s="1"/>
  <c r="AJ39" i="96"/>
  <c r="L39" i="96"/>
  <c r="H39" i="96"/>
  <c r="H39" i="114" s="1"/>
  <c r="Z41" i="96"/>
  <c r="AB41" i="96" s="1"/>
  <c r="V41" i="96"/>
  <c r="AN29" i="114"/>
  <c r="AJ29" i="114"/>
  <c r="Z36" i="96"/>
  <c r="AB36" i="96" s="1"/>
  <c r="V36" i="96"/>
  <c r="V42" i="114"/>
  <c r="L42" i="96"/>
  <c r="H42" i="96"/>
  <c r="H42" i="114" s="1"/>
  <c r="Z39" i="96"/>
  <c r="AB39" i="96" s="1"/>
  <c r="V39" i="96"/>
  <c r="L38" i="96"/>
  <c r="H38" i="96"/>
  <c r="H38" i="114" s="1"/>
  <c r="Z38" i="96"/>
  <c r="AB38" i="96" s="1"/>
  <c r="V38" i="96"/>
  <c r="Z37" i="96"/>
  <c r="AB37" i="96" s="1"/>
  <c r="V37" i="96"/>
  <c r="AN34" i="114"/>
  <c r="AJ34" i="114"/>
  <c r="AN45" i="96"/>
  <c r="AP45" i="96" s="1"/>
  <c r="AJ45" i="96"/>
  <c r="V29" i="114"/>
  <c r="Z29" i="114"/>
  <c r="AN46" i="96"/>
  <c r="AP46" i="96" s="1"/>
  <c r="AJ46" i="96"/>
  <c r="AN30" i="114"/>
  <c r="AJ30" i="114"/>
  <c r="L43" i="96"/>
  <c r="H43" i="96"/>
  <c r="H43" i="114" s="1"/>
  <c r="AN35" i="96"/>
  <c r="AP35" i="96" s="1"/>
  <c r="AJ35" i="96"/>
  <c r="Z44" i="96"/>
  <c r="AB44" i="96" s="1"/>
  <c r="V44" i="96"/>
  <c r="Z42" i="96"/>
  <c r="AB42" i="96" s="1"/>
  <c r="V42" i="96"/>
  <c r="AJ37" i="96"/>
  <c r="Z34" i="114"/>
  <c r="V34" i="114"/>
  <c r="Z40" i="96"/>
  <c r="AB40" i="96" s="1"/>
  <c r="V40" i="96"/>
  <c r="AN31" i="114"/>
  <c r="AJ31" i="114"/>
  <c r="L36" i="96"/>
  <c r="H36" i="96"/>
  <c r="H36" i="114" s="1"/>
  <c r="L46" i="96"/>
  <c r="H46" i="96"/>
  <c r="H46" i="114" s="1"/>
  <c r="AN38" i="96"/>
  <c r="AP38" i="96" s="1"/>
  <c r="AJ38" i="96"/>
  <c r="L40" i="96"/>
  <c r="H40" i="96"/>
  <c r="H40" i="114" s="1"/>
  <c r="AN36" i="96"/>
  <c r="AP36" i="96" s="1"/>
  <c r="AJ36" i="96"/>
  <c r="L41" i="96"/>
  <c r="H41" i="96"/>
  <c r="H41" i="114" s="1"/>
  <c r="L37" i="96"/>
  <c r="H37" i="96"/>
  <c r="H37" i="114" s="1"/>
  <c r="AJ40" i="96"/>
  <c r="L45" i="96"/>
  <c r="H45" i="96"/>
  <c r="H45" i="114" s="1"/>
  <c r="AJ44" i="96"/>
  <c r="E17" i="25"/>
  <c r="F23" i="96" s="1"/>
  <c r="E17" i="97"/>
  <c r="T23" i="96" s="1"/>
  <c r="E17" i="98"/>
  <c r="AH23" i="96" s="1"/>
  <c r="X23" i="96" l="1"/>
  <c r="X23" i="114" s="1"/>
  <c r="T23" i="114"/>
  <c r="AL23" i="96"/>
  <c r="AL23" i="114" s="1"/>
  <c r="AH23" i="114"/>
  <c r="AN37" i="114"/>
  <c r="AN39" i="114"/>
  <c r="AJ40" i="114"/>
  <c r="AN40" i="114"/>
  <c r="AN44" i="114"/>
  <c r="AN43" i="114"/>
  <c r="N43" i="96"/>
  <c r="L43" i="114"/>
  <c r="N45" i="96"/>
  <c r="L45" i="114"/>
  <c r="N40" i="96"/>
  <c r="L40" i="114"/>
  <c r="J23" i="96"/>
  <c r="J23" i="114" s="1"/>
  <c r="F23" i="114"/>
  <c r="N44" i="96"/>
  <c r="L44" i="114"/>
  <c r="N46" i="96"/>
  <c r="L46" i="114"/>
  <c r="N38" i="96"/>
  <c r="L38" i="114"/>
  <c r="N37" i="96"/>
  <c r="L37" i="114"/>
  <c r="N39" i="96"/>
  <c r="L39" i="114"/>
  <c r="N36" i="96"/>
  <c r="L36" i="114"/>
  <c r="N41" i="96"/>
  <c r="L41" i="114"/>
  <c r="N42" i="96"/>
  <c r="L42" i="114"/>
  <c r="N35" i="96"/>
  <c r="L35" i="114"/>
  <c r="H17" i="98"/>
  <c r="H41" i="98" s="1"/>
  <c r="AJ44" i="114"/>
  <c r="AJ43" i="114"/>
  <c r="AN24" i="96"/>
  <c r="AP24" i="96" s="1"/>
  <c r="H17" i="97"/>
  <c r="H41" i="97" s="1"/>
  <c r="AN28" i="96"/>
  <c r="AP28" i="96" s="1"/>
  <c r="H17" i="25"/>
  <c r="H41" i="25" s="1"/>
  <c r="AJ39" i="114"/>
  <c r="AJ37" i="114"/>
  <c r="Z25" i="96"/>
  <c r="AB25" i="96" s="1"/>
  <c r="V25" i="96"/>
  <c r="AN45" i="114"/>
  <c r="AJ45" i="114"/>
  <c r="Z41" i="114"/>
  <c r="V41" i="114"/>
  <c r="Z26" i="96"/>
  <c r="AB26" i="96" s="1"/>
  <c r="V26" i="96"/>
  <c r="AJ42" i="114"/>
  <c r="AN42" i="114"/>
  <c r="AN41" i="114"/>
  <c r="AJ41" i="114"/>
  <c r="AN26" i="96"/>
  <c r="AP26" i="96" s="1"/>
  <c r="AJ26" i="96"/>
  <c r="Z27" i="96"/>
  <c r="AB27" i="96" s="1"/>
  <c r="V27" i="96"/>
  <c r="Z36" i="114"/>
  <c r="V36" i="114"/>
  <c r="Z40" i="114"/>
  <c r="V40" i="114"/>
  <c r="V44" i="114"/>
  <c r="Z44" i="114"/>
  <c r="L26" i="96"/>
  <c r="H26" i="96"/>
  <c r="H26" i="114" s="1"/>
  <c r="L28" i="96"/>
  <c r="H28" i="96"/>
  <c r="H28" i="114" s="1"/>
  <c r="L27" i="96"/>
  <c r="H27" i="96"/>
  <c r="H27" i="114" s="1"/>
  <c r="AN25" i="96"/>
  <c r="AP25" i="96" s="1"/>
  <c r="AJ25" i="96"/>
  <c r="AP41" i="96"/>
  <c r="AN35" i="114"/>
  <c r="AJ35" i="114"/>
  <c r="Z28" i="96"/>
  <c r="AB28" i="96" s="1"/>
  <c r="V28" i="96"/>
  <c r="L24" i="96"/>
  <c r="H24" i="96"/>
  <c r="H24" i="114" s="1"/>
  <c r="Z28" i="114"/>
  <c r="Z45" i="114"/>
  <c r="V45" i="114"/>
  <c r="AJ24" i="96"/>
  <c r="AJ36" i="114"/>
  <c r="AN36" i="114"/>
  <c r="AN46" i="114"/>
  <c r="AJ46" i="114"/>
  <c r="AN27" i="96"/>
  <c r="AP27" i="96" s="1"/>
  <c r="AJ27" i="96"/>
  <c r="AN38" i="114"/>
  <c r="AJ38" i="114"/>
  <c r="Z24" i="96"/>
  <c r="AB24" i="96" s="1"/>
  <c r="V24" i="96"/>
  <c r="Z46" i="114"/>
  <c r="V46" i="114"/>
  <c r="L25" i="96"/>
  <c r="H25" i="96"/>
  <c r="H25" i="114" s="1"/>
  <c r="AJ28" i="96"/>
  <c r="E41" i="98"/>
  <c r="E41" i="25"/>
  <c r="Z25" i="114"/>
  <c r="V25" i="114"/>
  <c r="Z26" i="114"/>
  <c r="V26" i="114"/>
  <c r="E41" i="97"/>
  <c r="Z24" i="114"/>
  <c r="V24" i="114"/>
  <c r="Z27" i="114"/>
  <c r="V27" i="114"/>
  <c r="AN25" i="114" l="1"/>
  <c r="AN26" i="114"/>
  <c r="AN28" i="114"/>
  <c r="AN24" i="114"/>
  <c r="N25" i="96"/>
  <c r="L25" i="114"/>
  <c r="N27" i="96"/>
  <c r="L27" i="114"/>
  <c r="N24" i="96"/>
  <c r="L24" i="114"/>
  <c r="N26" i="96"/>
  <c r="L26" i="114"/>
  <c r="N28" i="96"/>
  <c r="L28" i="114"/>
  <c r="AJ24" i="114"/>
  <c r="AJ25" i="114"/>
  <c r="AJ26" i="114"/>
  <c r="AL47" i="96"/>
  <c r="AL47" i="114" s="1"/>
  <c r="AJ28" i="114"/>
  <c r="AN27" i="114"/>
  <c r="Z23" i="96"/>
  <c r="AB23" i="96" s="1"/>
  <c r="V23" i="96"/>
  <c r="V47" i="96" s="1"/>
  <c r="AJ23" i="96"/>
  <c r="AJ47" i="96" s="1"/>
  <c r="AJ27" i="114"/>
  <c r="V28" i="114"/>
  <c r="L23" i="96"/>
  <c r="H23" i="96"/>
  <c r="V23" i="114"/>
  <c r="F47" i="96"/>
  <c r="F47" i="114" s="1"/>
  <c r="T47" i="96"/>
  <c r="T47" i="114" s="1"/>
  <c r="AH47" i="96"/>
  <c r="AH47" i="114" s="1"/>
  <c r="I17" i="25"/>
  <c r="I41" i="25" s="1"/>
  <c r="K41" i="25" s="1"/>
  <c r="I17" i="98"/>
  <c r="I41" i="98" s="1"/>
  <c r="K41" i="98" s="1"/>
  <c r="I17" i="97"/>
  <c r="I41" i="97" s="1"/>
  <c r="K41" i="97" s="1"/>
  <c r="I6" i="96" l="1"/>
  <c r="C6" i="114" s="1"/>
  <c r="AJ47" i="114"/>
  <c r="I5" i="96"/>
  <c r="C5" i="114" s="1"/>
  <c r="V47" i="114"/>
  <c r="N23" i="96"/>
  <c r="L23" i="114"/>
  <c r="H47" i="96"/>
  <c r="H23" i="114"/>
  <c r="AN23" i="96"/>
  <c r="AP23" i="96" s="1"/>
  <c r="AJ23" i="114"/>
  <c r="AN23" i="114"/>
  <c r="Z23" i="114"/>
  <c r="J47" i="96"/>
  <c r="J47" i="114" s="1"/>
  <c r="X47" i="96"/>
  <c r="X47" i="114" s="1"/>
  <c r="L47" i="96"/>
  <c r="L47" i="114" s="1"/>
  <c r="K17" i="25"/>
  <c r="K17" i="98"/>
  <c r="Z47" i="96"/>
  <c r="Z47" i="114" s="1"/>
  <c r="K17" i="97"/>
  <c r="I4" i="96" l="1"/>
  <c r="C4" i="114" s="1"/>
  <c r="H47" i="114"/>
  <c r="AN47" i="96"/>
  <c r="C7" i="114"/>
  <c r="L4" i="96"/>
  <c r="F4" i="114" s="1"/>
  <c r="L5" i="96"/>
  <c r="F5" i="114" s="1"/>
  <c r="I7" i="96"/>
  <c r="AB47" i="96"/>
  <c r="N47" i="96"/>
  <c r="AP47" i="96" l="1"/>
  <c r="AN47" i="114"/>
  <c r="L6" i="96"/>
  <c r="F6" i="114" s="1"/>
  <c r="L7" i="96" l="1"/>
  <c r="F7" i="1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tc={31AED2D3-BF3F-4A30-8D7D-410EC9D2DACD}</author>
  </authors>
  <commentList>
    <comment ref="D18" authorId="0" shapeId="0" xr:uid="{31AED2D3-BF3F-4A30-8D7D-410EC9D2DACD}">
      <text>
        <t>[Threaded comment]
Your version of Excel allows you to read this threaded comment; however, any edits to it will get removed if the file is opened in a newer version of Excel. Learn more: https://go.microsoft.com/fwlink/?linkid=870924
Comment:
    QA check to ensure capacity allocated below equals unallocated above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tc={D020C453-C69B-41F5-8CE1-F8A5F6D8615E}</author>
    <author>tc={CE2A815C-8C97-45FB-9DC2-136CB9DF716D}</author>
    <author>tc={6B6CEB9A-5508-480A-873E-C93443C7B6F7}</author>
    <author>tc={26173356-A8E7-428B-A790-B5C1D9D10E19}</author>
    <author>tc={72DF8A09-42B5-4523-9BD0-03BC4A585A7A}</author>
    <author>tc={C39E9806-F0CF-4148-A64A-E0A9D637C7CD}</author>
  </authors>
  <commentList>
    <comment ref="D6" authorId="0" shapeId="0" xr:uid="{D020C453-C69B-41F5-8CE1-F8A5F6D8615E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Assumes 10% for entire program. If future tranches change this any dependent equations will need to be adjusted.</t>
      </text>
    </comment>
    <comment ref="D14" authorId="1" shapeId="0" xr:uid="{CE2A815C-8C97-45FB-9DC2-136CB9DF716D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from 90% to 95% per OPUC 9/4</t>
      </text>
    </comment>
    <comment ref="F21" authorId="2" shapeId="0" xr:uid="{6B6CEB9A-5508-480A-873E-C93443C7B6F7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Assumes 95% allocated capacity across all projects</t>
      </text>
    </comment>
    <comment ref="H42" authorId="3" shapeId="0" xr:uid="{26173356-A8E7-428B-A790-B5C1D9D10E19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per OPUC email 9/4</t>
      </text>
    </comment>
    <comment ref="E43" authorId="4" shapeId="0" xr:uid="{72DF8A09-42B5-4523-9BD0-03BC4A585A7A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number was 1885037000 for all OR - from OPUC
Reply:
    Orig was also from 2018</t>
      </text>
    </comment>
    <comment ref="D50" authorId="5" shapeId="0" xr:uid="{C39E9806-F0CF-4148-A64A-E0A9D637C7CD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from 1.99% per OPUC 9/11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tc={E1448ACE-3C3F-472F-B2E0-F901302776DF}</author>
    <author>tc={025210AF-1544-4E63-80F2-A3483768BA4A}</author>
    <author>tc={657207F6-DC7C-480A-BBE0-0078CF54EB25}</author>
  </authors>
  <commentList>
    <comment ref="D50" authorId="0" shapeId="0" xr:uid="{E1448ACE-3C3F-472F-B2E0-F901302776DF}">
      <text>
        <t>[Threaded comment]
Your version of Excel allows you to read this threaded comment; however, any edits to it will get removed if the file is opened in a newer version of Excel. Learn more: https://go.microsoft.com/fwlink/?linkid=870924
Comment:
    1.8MW become operational on 7/1/25. The entire 2.565MW of nameplate capacity is not anticipated to become operational until some point in 2026.</t>
      </text>
    </comment>
    <comment ref="N50" authorId="1" shapeId="0" xr:uid="{025210AF-1544-4E63-80F2-A3483768BA4A}">
      <text>
        <t>[Threaded comment]
Your version of Excel allows you to read this threaded comment; however, any edits to it will get removed if the file is opened in a newer version of Excel. Learn more: https://go.microsoft.com/fwlink/?linkid=870924
Comment:
    Hardcoded. Waterford became partially operational on 7/1/25 at 1.8MW. An additional .765 is expected to become operational in 2026. Total Capacity is 2.565 MW-AC.</t>
      </text>
    </comment>
    <comment ref="O50" authorId="2" shapeId="0" xr:uid="{657207F6-DC7C-480A-BBE0-0078CF54EB25}">
      <text>
        <t>[Threaded comment]
Your version of Excel allows you to read this threaded comment; however, any edits to it will get removed if the file is opened in a newer version of Excel. Learn more: https://go.microsoft.com/fwlink/?linkid=870924
Comment:
    Hardcoded. 1.8MW will be operational for entire year and additional capacity anticipated at start of Q3 ‘26 for additional .3825 (half of year =half of capacity)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tc={FE0F7BC1-8B91-4A9B-9EFF-3BC3EA9053E1}</author>
  </authors>
  <commentList>
    <comment ref="H3" authorId="0" shapeId="0" xr:uid="{FE0F7BC1-8B91-4A9B-9EFF-3BC3EA9053E1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Assumes 95% allocated capacity per utility throughout program lifetime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tc={95C80077-1935-42F7-9746-A95054DCD1BF}</author>
    <author>tc={59AD2327-4C30-4580-A45A-E1344C8BF466}</author>
  </authors>
  <commentList>
    <comment ref="B1" authorId="0" shapeId="0" xr:uid="{95C80077-1935-42F7-9746-A95054DCD1BF}">
      <text>
        <t>[Threaded comment]
Your version of Excel allows you to read this threaded comment; however, any edits to it will get removed if the file is opened in a newer version of Excel. Learn more: https://go.microsoft.com/fwlink/?linkid=870924
Comment:
    Same number of projects between monthly report and listed in csp pa fees worksheet</t>
      </text>
    </comment>
    <comment ref="B6" authorId="1" shapeId="0" xr:uid="{59AD2327-4C30-4580-A45A-E1344C8BF466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Project exists in CSP PA Fees Worksheet?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tc={57DABACF-C534-4595-A678-FFF76B15A2F7}</author>
  </authors>
  <commentList>
    <comment ref="F12" authorId="0" shapeId="0" xr:uid="{57DABACF-C534-4595-A678-FFF76B15A2F7}">
      <text>
        <t>[Threaded comment]
Your version of Excel allows you to read this threaded comment; however, any edits to it will get removed if the file is opened in a newer version of Excel. Learn more: https://go.microsoft.com/fwlink/?linkid=870924
Comment:
    Combination of actuals and forecasted for current year (2025)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tc={A73F134D-ED07-4D85-8EE2-3389BE3D0533}</author>
  </authors>
  <commentList>
    <comment ref="D77" authorId="0" shapeId="0" xr:uid="{A73F134D-ED07-4D85-8EE2-3389BE3D0533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Projections based on monthly averages from Year 7 funded contract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tc={4A89FDEB-A0AB-4B8D-B7AC-2F0D5D91A0EA}</author>
  </authors>
  <commentList>
    <comment ref="C46" authorId="0" shapeId="0" xr:uid="{4A89FDEB-A0AB-4B8D-B7AC-2F0D5D91A0EA}">
      <text>
        <t>[Threaded comment]
Your version of Excel allows you to read this threaded comment; however, any edits to it will get removed if the file is opened in a newer version of Excel. Learn more: https://go.microsoft.com/fwlink/?linkid=870924
Comment:
    Actuals for Jan -June 25 + forecasted ‘25 from CSP fees worksheet + unallocated scenarios forecast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tc={0575D2A9-9844-44E7-AB58-215077EDBF70}</author>
    <author>tc={057D88D7-587A-49B9-90D8-EC9798F1CC8E}</author>
    <author>tc={1BD3D5CA-E28D-421C-A6C5-EB2A80A80E54}</author>
    <author>tc={16558C1F-4D12-44FD-B023-0F4B2A18AE2C}</author>
  </authors>
  <commentList>
    <comment ref="B2" authorId="0" shapeId="0" xr:uid="{0575D2A9-9844-44E7-AB58-215077EDBF70}">
      <text>
        <t>[Threaded comment]
Your version of Excel allows you to read this threaded comment; however, any edits to it will get removed if the file is opened in a newer version of Excel. Learn more: https://go.microsoft.com/fwlink/?linkid=870924
Comment:
    Reflects last month/year in which actual PA fees are reflected in table.</t>
      </text>
    </comment>
    <comment ref="DP8" authorId="1" shapeId="0" xr:uid="{057D88D7-587A-49B9-90D8-EC9798F1CC8E}">
      <text>
        <t>[Threaded comment]
Your version of Excel allows you to read this threaded comment; however, any edits to it will get removed if the file is opened in a newer version of Excel. Learn more: https://go.microsoft.com/fwlink/?linkid=870924
Comment:
    Match total PA fees shown in Row 1 by annual period</t>
      </text>
    </comment>
    <comment ref="CD51" authorId="2" shapeId="0" xr:uid="{1BD3D5CA-E28D-421C-A6C5-EB2A80A80E54}">
      <text>
        <t>[Threaded comment]
Your version of Excel allows you to read this threaded comment; however, any edits to it will get removed if the file is opened in a newer version of Excel. Learn more: https://go.microsoft.com/fwlink/?linkid=870924
Comment:
    September 25 - December 25: Hardcoded to forecast fees at partial energization capacity of 1.8MW-AC</t>
      </text>
    </comment>
    <comment ref="CN51" authorId="3" shapeId="0" xr:uid="{16558C1F-4D12-44FD-B023-0F4B2A18AE2C}">
      <text>
        <t>[Threaded comment]
Your version of Excel allows you to read this threaded comment; however, any edits to it will get removed if the file is opened in a newer version of Excel. Learn more: https://go.microsoft.com/fwlink/?linkid=870924
Comment:
    Hardcoded - Assumes 1.8MW operational entire year and additional .765 is operational partial year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tc={ABA79306-8647-4D88-B5AB-DC290D7CEBC6}</author>
    <author>tc={1AE86B26-941D-4CC6-8E17-0A934E8AA77A}</author>
  </authors>
  <commentList>
    <comment ref="D673" authorId="0" shapeId="0" xr:uid="{ABA79306-8647-4D88-B5AB-DC290D7CEBC6}">
      <text>
        <t>[Threaded comment]
Your version of Excel allows you to read this threaded comment; however, any edits to it will get removed if the file is opened in a newer version of Excel. Learn more: https://go.microsoft.com/fwlink/?linkid=870924
Comment:
    Subscription fees incorrectly calculated in previous collection period for 2 participants</t>
      </text>
    </comment>
    <comment ref="D705" authorId="1" shapeId="0" xr:uid="{1AE86B26-941D-4CC6-8E17-0A934E8AA77A}">
      <text>
        <t>[Threaded comment]
Your version of Excel allows you to read this threaded comment; however, any edits to it will get removed if the file is opened in a newer version of Excel. Learn more: https://go.microsoft.com/fwlink/?linkid=870924
Comment:
    Subscription fee incorrectly calculated for participant 5236 in previous collection period.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<sst xmlns="http://schemas.openxmlformats.org/spreadsheetml/2006/main" count="4918" uniqueCount="761">
  <si>
    <t>Capacity Available</t>
  </si>
  <si>
    <t>Bill Credit Rate</t>
  </si>
  <si>
    <t>Nominal Program Costs</t>
  </si>
  <si>
    <t>Nominal Rate Costs</t>
  </si>
  <si>
    <t>Real 2024$ Program Costs</t>
  </si>
  <si>
    <t>Real 2024$ Rate Costs</t>
  </si>
  <si>
    <t>Tier 1</t>
  </si>
  <si>
    <t>Tier 2</t>
  </si>
  <si>
    <t>Tier 2 Residential</t>
  </si>
  <si>
    <t>Tier 2 Non-Residential</t>
  </si>
  <si>
    <t>Total</t>
  </si>
  <si>
    <t>PGE</t>
  </si>
  <si>
    <t>PAC</t>
  </si>
  <si>
    <t>IP</t>
  </si>
  <si>
    <t>Inflation:</t>
  </si>
  <si>
    <t>PGE Costs</t>
  </si>
  <si>
    <t>PAC Costs</t>
  </si>
  <si>
    <t>IP Costs</t>
  </si>
  <si>
    <t>MW C.S. Capacity</t>
  </si>
  <si>
    <t>C.S. MWh per month (adj per subscription)</t>
  </si>
  <si>
    <t>Nominal$ Rate Costs</t>
  </si>
  <si>
    <t>Nominal$ PA Costs</t>
  </si>
  <si>
    <t>Nominal$ Utility Costs</t>
  </si>
  <si>
    <t>Nominal$ Program Costs</t>
  </si>
  <si>
    <t>Real 2024$ PA Costs</t>
  </si>
  <si>
    <t>Real 2024$ Utility Costs</t>
  </si>
  <si>
    <t>Real 2018$ OR Rev Req*</t>
  </si>
  <si>
    <t>Percent of Rev Req</t>
  </si>
  <si>
    <t>Nominal$ PA costs</t>
  </si>
  <si>
    <t>Nominal $ Program Costs</t>
  </si>
  <si>
    <t>Program Costs</t>
  </si>
  <si>
    <t>N/A</t>
  </si>
  <si>
    <t>IPC Costs</t>
  </si>
  <si>
    <t>Tier</t>
  </si>
  <si>
    <t>kWh/kW</t>
  </si>
  <si>
    <t>Utility</t>
  </si>
  <si>
    <t>Nominal Rate</t>
  </si>
  <si>
    <t>Inflation</t>
  </si>
  <si>
    <t>Rev Req escalation rate</t>
  </si>
  <si>
    <t>Utility Fee</t>
  </si>
  <si>
    <t>Annual Utility Costs</t>
  </si>
  <si>
    <t>% of System</t>
  </si>
  <si>
    <t>Utility Costs</t>
  </si>
  <si>
    <t>Real 2024$ PA &amp; Utility Costs</t>
  </si>
  <si>
    <t>TABLE 3a</t>
  </si>
  <si>
    <t>TABLE 3b</t>
  </si>
  <si>
    <t>TABLE 3c</t>
  </si>
  <si>
    <t>Avoided Costs
Standard Fixed Price Option for Solar QF</t>
  </si>
  <si>
    <t>Weighted Avoided Costs for 1/7 off-peak Sunday gen
Standard Fixed Price Option for Solar QF</t>
  </si>
  <si>
    <t>Table 1 - Difference between AC and adj vol rate (Tier 1) - $/MWH</t>
  </si>
  <si>
    <t>Tabel 2 - PGE adj vol rate (Tier 1) - $/MWH</t>
  </si>
  <si>
    <t>On-Peak Forecast ($/MWH)</t>
  </si>
  <si>
    <t>Off-Peak Forecast ($/MWH)</t>
  </si>
  <si>
    <t>PA Costs</t>
  </si>
  <si>
    <t>Utility Fees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</si>
  <si>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</si>
  <si>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</si>
  <si>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</si>
  <si>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</si>
  <si>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</si>
  <si>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</si>
  <si>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</si>
  <si>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</si>
  <si>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</si>
  <si>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</si>
  <si>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</si>
  <si>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</si>
  <si>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</si>
  <si>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Table 1 - Difference between AC and adj vol rate (Tier 2) - $/MWH</t>
  </si>
  <si>
    <t>Table 2 - PGE adj vol rate (Tier 2) - $/MWH</t>
  </si>
  <si>
    <t>Table 2 - PGE adj vol rate (Tier 1) - $/MWH</t>
  </si>
  <si>
    <t>Table 2- IP adj vol rate (Tier 1) - $/MWH</t>
  </si>
  <si>
    <t>CAPACITY</t>
  </si>
  <si>
    <t>SCENARIO</t>
  </si>
  <si>
    <t>General</t>
  </si>
  <si>
    <t>Carve Out</t>
  </si>
  <si>
    <t>Aggressive (2 year)</t>
  </si>
  <si>
    <t>controlled by summary page</t>
  </si>
  <si>
    <t>ALLOCATED</t>
  </si>
  <si>
    <t xml:space="preserve">Utility Service Area </t>
  </si>
  <si>
    <t>Carve-out Eligible?</t>
  </si>
  <si>
    <t>Pre-Certification Estimate Scenarios</t>
  </si>
  <si>
    <t>Grand Total</t>
  </si>
  <si>
    <t>No</t>
  </si>
  <si>
    <t>Yes</t>
  </si>
  <si>
    <t>Medium (3 year)</t>
  </si>
  <si>
    <t>Slow (4 year)</t>
  </si>
  <si>
    <t>Certification = Pre-Certified + 18 months</t>
  </si>
  <si>
    <t>UNALLOCATED</t>
  </si>
  <si>
    <t>Operational = Certification + 6 months</t>
  </si>
  <si>
    <t>PA Fee = Operational + 2 months</t>
  </si>
  <si>
    <t>Difference:</t>
  </si>
  <si>
    <t>Capacity Tier</t>
  </si>
  <si>
    <t>Total Capacity (kW-AC)</t>
  </si>
  <si>
    <t>Planned Pre-Certified</t>
  </si>
  <si>
    <t>Planned Certified</t>
  </si>
  <si>
    <t>Planned COD</t>
  </si>
  <si>
    <t>Planned PA Fees Begin</t>
  </si>
  <si>
    <t>PA Fee Estimate (Monthly)</t>
  </si>
  <si>
    <t>Non-Carve Out</t>
  </si>
  <si>
    <t>Total:</t>
  </si>
  <si>
    <t>This table populates PA fees table in PA + Project App Fees Worksheet B5:F35</t>
  </si>
  <si>
    <t>TOTAL</t>
  </si>
  <si>
    <t>Allocated &amp; Unallocated Scenarios Capacity Totals</t>
  </si>
  <si>
    <t>Match</t>
  </si>
  <si>
    <t>CSP Project ID</t>
  </si>
  <si>
    <t>Category</t>
  </si>
  <si>
    <t>CSP Project Status</t>
  </si>
  <si>
    <t>Operational Date 
(Operational Projects)</t>
  </si>
  <si>
    <t>PGE-2020-56</t>
  </si>
  <si>
    <t>PP-2021-116</t>
  </si>
  <si>
    <t>PGE-2020-34</t>
  </si>
  <si>
    <t>PGE-2020-51</t>
  </si>
  <si>
    <t>PGE-2020-41</t>
  </si>
  <si>
    <t>PP-2021-110</t>
  </si>
  <si>
    <t>PGE-2020-70</t>
  </si>
  <si>
    <t>PGE-2020-42</t>
  </si>
  <si>
    <t>PP-2020-80</t>
  </si>
  <si>
    <t>PGE-2020-52</t>
  </si>
  <si>
    <t>PP-2020-78</t>
  </si>
  <si>
    <t>PGE-2020-40</t>
  </si>
  <si>
    <t>PGE-2020-1</t>
  </si>
  <si>
    <t>PGE-2020-38</t>
  </si>
  <si>
    <t>This table populates the operational capacity totals shown in PGE, PAC, and IP Ratepayer Costs Worksheets</t>
  </si>
  <si>
    <t>PGE-2020-45</t>
  </si>
  <si>
    <t>PGE-2020-22</t>
  </si>
  <si>
    <t>PGE-2022-148</t>
  </si>
  <si>
    <t>Total Operational Capacity (kW-AC)</t>
  </si>
  <si>
    <t>YOY Change in Capacity (kW-AC)</t>
  </si>
  <si>
    <t>PP-2020-35</t>
  </si>
  <si>
    <t>PP-2021-92</t>
  </si>
  <si>
    <t>PGE-2020-48</t>
  </si>
  <si>
    <t>PP-2020-85</t>
  </si>
  <si>
    <t>PP-2021-109</t>
  </si>
  <si>
    <t>PP-2020-84</t>
  </si>
  <si>
    <t>PP-2020-86</t>
  </si>
  <si>
    <t>IP-2020-72</t>
  </si>
  <si>
    <t>PGE-2024-177</t>
  </si>
  <si>
    <t>PP-2021-103</t>
  </si>
  <si>
    <t>PP-2020-13</t>
  </si>
  <si>
    <t>PP-2020-71</t>
  </si>
  <si>
    <t>PP-2021-104</t>
  </si>
  <si>
    <t>PGE-2023-167</t>
  </si>
  <si>
    <t>PGE-2023-161</t>
  </si>
  <si>
    <t>PGE-2023-157</t>
  </si>
  <si>
    <t>PGE-2020-21</t>
  </si>
  <si>
    <t>PP-2021-97</t>
  </si>
  <si>
    <t>PP-2020-81</t>
  </si>
  <si>
    <t>PGE-2020-37</t>
  </si>
  <si>
    <t>PGE-2020-53</t>
  </si>
  <si>
    <t>PGE-2021-115</t>
  </si>
  <si>
    <t>PP-2021-113</t>
  </si>
  <si>
    <t>PP-2021-95</t>
  </si>
  <si>
    <t>PP-2020-76</t>
  </si>
  <si>
    <t>PP-2022-142</t>
  </si>
  <si>
    <t>PP-2021-94</t>
  </si>
  <si>
    <t>PP-2021-111</t>
  </si>
  <si>
    <t>PP-2020-63</t>
  </si>
  <si>
    <t>PGE-2020-11</t>
  </si>
  <si>
    <t>PGE-2020-18</t>
  </si>
  <si>
    <t>PGE-2020-19</t>
  </si>
  <si>
    <t>PGE-2020-15</t>
  </si>
  <si>
    <t>PGE-2020-75</t>
  </si>
  <si>
    <t>PP-2020-88</t>
  </si>
  <si>
    <t>PP-2020-82</t>
  </si>
  <si>
    <t>PGE-2020-77</t>
  </si>
  <si>
    <t>PGE-2020-55</t>
  </si>
  <si>
    <t>PGE-2020-17</t>
  </si>
  <si>
    <t>PP-2021-126</t>
  </si>
  <si>
    <t>PP-2021-99</t>
  </si>
  <si>
    <t>PP-2021-112</t>
  </si>
  <si>
    <t>PP-2021-93</t>
  </si>
  <si>
    <t>PP-2021-125</t>
  </si>
  <si>
    <t>PP-2021-121</t>
  </si>
  <si>
    <t>PGE-2020-10</t>
  </si>
  <si>
    <t>PP-2024-185</t>
  </si>
  <si>
    <t>PP-2025-199</t>
  </si>
  <si>
    <t>PP-2022-138</t>
  </si>
  <si>
    <t>PGE-2024-180</t>
  </si>
  <si>
    <t>PGE-2024-183</t>
  </si>
  <si>
    <t>PP-2025-197</t>
  </si>
  <si>
    <t>PGE-2024-192</t>
  </si>
  <si>
    <t>PP-2025195</t>
  </si>
  <si>
    <t>PP-2025-198</t>
  </si>
  <si>
    <t>PP-2024-179</t>
  </si>
  <si>
    <t>PP-2024-189</t>
  </si>
  <si>
    <t>PP-2024-184</t>
  </si>
  <si>
    <t>PGE-2024-171</t>
  </si>
  <si>
    <t>PGE-2025-201</t>
  </si>
  <si>
    <t>PGE-2024-186</t>
  </si>
  <si>
    <t>PP-2024-188</t>
  </si>
  <si>
    <t>PGE-2025-200</t>
  </si>
  <si>
    <t>Blended Bill Credit Rates by Utility and Tier ($/MWh)</t>
  </si>
  <si>
    <t>Customer %</t>
  </si>
  <si>
    <t>Blended Rate</t>
  </si>
  <si>
    <t>Residential Market Rate</t>
  </si>
  <si>
    <t>Residential Low Income</t>
  </si>
  <si>
    <t>Non-Residential</t>
  </si>
  <si>
    <t>All Customers</t>
  </si>
  <si>
    <t>Escalator</t>
  </si>
  <si>
    <t>Project Match:</t>
  </si>
  <si>
    <t>any c</t>
  </si>
  <si>
    <t xml:space="preserve">    CSP Project Data</t>
  </si>
  <si>
    <t>Match w/Operational Timelines Worksheet</t>
  </si>
  <si>
    <t>Match w/CSP PA Fees Worksheet</t>
  </si>
  <si>
    <t>Utility Queue Number</t>
  </si>
  <si>
    <t>Project Name</t>
  </si>
  <si>
    <t>Initial Project Manager entity/parent owner entity</t>
  </si>
  <si>
    <t>Current Project Manager entity/parent owner entity</t>
  </si>
  <si>
    <t>Total Capacity 
(kW-AC)</t>
  </si>
  <si>
    <t>Pre-Certification Date</t>
  </si>
  <si>
    <t>Prior Certification Deadlines</t>
  </si>
  <si>
    <t>Current Certification Deadline (Pre-Certified projects)</t>
  </si>
  <si>
    <t>Date Certified (Certified and Operational Projects)</t>
  </si>
  <si>
    <t>Months Since Pre-Certification (Pre-certified &amp; Certified Projects Only)</t>
  </si>
  <si>
    <t>Operational Date</t>
  </si>
  <si>
    <t>Months from Pre-Certification to  Certification (Operational Projects Only)</t>
  </si>
  <si>
    <t>Prior Commercial Operating Date(s) (COD) - Utility Provided</t>
  </si>
  <si>
    <t>Current COD - Utility Provided</t>
  </si>
  <si>
    <t>Months from Pre-Certification to Current COD - Utility Provided</t>
  </si>
  <si>
    <t>Is the applicant currently engaged in negotiating a revised COD with the Utility? - Utility Provided</t>
  </si>
  <si>
    <t>History of Parent Entity Ownership transfers?</t>
  </si>
  <si>
    <t>History of Project Development Delays? (Based Only on Project Reporting)</t>
  </si>
  <si>
    <t>History of Interconnection Delays? (Based Only on Project Reporting)</t>
  </si>
  <si>
    <t>Most Recent Project Recommendation Posted to Docket No. UM 1930</t>
  </si>
  <si>
    <t>Updates since last report</t>
  </si>
  <si>
    <t>OCS038</t>
  </si>
  <si>
    <t>7 Mile Solar</t>
  </si>
  <si>
    <t>Certified</t>
  </si>
  <si>
    <t>TLS Capital</t>
  </si>
  <si>
    <t>Luminace</t>
  </si>
  <si>
    <t>10/15/2023, 12/14/2023, 6/11/2024</t>
  </si>
  <si>
    <t>Not Yet Operational</t>
  </si>
  <si>
    <t>8/15/2022, 12/9/2022, 7/21/2023, 9/27/2024</t>
  </si>
  <si>
    <t>Yes; construction delays</t>
  </si>
  <si>
    <t xml:space="preserve">Yes; IX work incomplete-  fiber optic material not ordered; IX design incomplete; IX redesign, IX study incomplete, IX work incomplete; order IX materials </t>
  </si>
  <si>
    <t>7/24/2024 - Cert Extension Request</t>
  </si>
  <si>
    <t>None</t>
  </si>
  <si>
    <t>OCS071</t>
  </si>
  <si>
    <t>Almon Solar</t>
  </si>
  <si>
    <t>Pre-Certified</t>
  </si>
  <si>
    <t>Hawthorne Renewables LLC</t>
  </si>
  <si>
    <t>Evergreen</t>
  </si>
  <si>
    <t>NA</t>
  </si>
  <si>
    <t>Not Yet Certified</t>
  </si>
  <si>
    <t>Not Applicable</t>
  </si>
  <si>
    <t>7/15/2025 - Project Transfer</t>
  </si>
  <si>
    <t>Project Transfer</t>
  </si>
  <si>
    <t>OCS046</t>
  </si>
  <si>
    <t>Antelope Creek Solar</t>
  </si>
  <si>
    <t>Operational</t>
  </si>
  <si>
    <t>10/15/2023, 1/15/2024</t>
  </si>
  <si>
    <t>8/15/2022, 12/16/2022, 7/28/2023</t>
  </si>
  <si>
    <t>Yes; low-income enrollment incomplete</t>
  </si>
  <si>
    <t>Yes; IX work incomplete</t>
  </si>
  <si>
    <t>6/12/2024 - Certification</t>
  </si>
  <si>
    <t>SPQ0266</t>
  </si>
  <si>
    <t>Apricus Solar LLC</t>
  </si>
  <si>
    <t>Conifer Energy Partners</t>
  </si>
  <si>
    <t>Kendall Sustainable Infrastructure</t>
  </si>
  <si>
    <t>1/15/2025, 4/16/2025</t>
  </si>
  <si>
    <t>6/16/2025, 7/15/2025</t>
  </si>
  <si>
    <t>Yes; switchgear design selection</t>
  </si>
  <si>
    <t>5/1/2025 - Cert Extension Request</t>
  </si>
  <si>
    <t>SPQ0250</t>
  </si>
  <si>
    <t>Auburn Solar</t>
  </si>
  <si>
    <t>Sulus</t>
  </si>
  <si>
    <t>SolRiver Capital</t>
  </si>
  <si>
    <t>10/15/2023, 4/15/2024</t>
  </si>
  <si>
    <t xml:space="preserve">Yes; equipment procurement </t>
  </si>
  <si>
    <t>Yes; unspecified</t>
  </si>
  <si>
    <t>6/25/2024 - Certification</t>
  </si>
  <si>
    <t>SPQ0186</t>
  </si>
  <si>
    <t>Belvedere Solar</t>
  </si>
  <si>
    <t>SPI</t>
  </si>
  <si>
    <t>2/7/2022, 8/7/2022, 2/7/2023, 8/7/2023, 8/19/2024</t>
  </si>
  <si>
    <t>6/21/2021, 9/15/2023</t>
  </si>
  <si>
    <t>Yes; COVID-19, US Dept of Commerce investigation;</t>
  </si>
  <si>
    <t>Yes; IX construction delays</t>
  </si>
  <si>
    <t>12/11/2024 - Certification</t>
  </si>
  <si>
    <t>OCS055</t>
  </si>
  <si>
    <t>Blackwell Creek Solar</t>
  </si>
  <si>
    <t>7/10/2024- Certification</t>
  </si>
  <si>
    <t>CSQ0015</t>
  </si>
  <si>
    <t>Bradley Solar 2</t>
  </si>
  <si>
    <t>Yes; revised interconnection schedule</t>
  </si>
  <si>
    <t xml:space="preserve">6/20/2025 - Cert Extnsion Request </t>
  </si>
  <si>
    <t>Certification Extension, and negotiating a new COD</t>
  </si>
  <si>
    <t>OCS062</t>
  </si>
  <si>
    <t>Buckaroo Solar 1 LLC</t>
  </si>
  <si>
    <t>Sunthurst</t>
  </si>
  <si>
    <t>7/21/2023, 6/28/2024</t>
  </si>
  <si>
    <t>Yes; COVID-19, US Dept of Commerce investigation; construction delays;</t>
  </si>
  <si>
    <t>4/5/2024- Cert Extension Request</t>
  </si>
  <si>
    <t>OCS063</t>
  </si>
  <si>
    <t>Buckaroo Solar 2</t>
  </si>
  <si>
    <t>SPQ0191</t>
  </si>
  <si>
    <t>Buckner Creek Solar LLC</t>
  </si>
  <si>
    <t>11/30/2020, 11/15/2023</t>
  </si>
  <si>
    <t xml:space="preserve">Yes; contractor schedule constraints; inability to construct during winter </t>
  </si>
  <si>
    <t>OCS101</t>
  </si>
  <si>
    <t>Bunker Hill</t>
  </si>
  <si>
    <t>SolaRay Farms, Inc</t>
  </si>
  <si>
    <t>Data Not Available</t>
  </si>
  <si>
    <t>3/17/2025 - Pre-certification</t>
  </si>
  <si>
    <t>OCS041</t>
  </si>
  <si>
    <t>Burg Solar</t>
  </si>
  <si>
    <t>10/15/2023, 9/30/2024</t>
  </si>
  <si>
    <t>9/23/2022</t>
  </si>
  <si>
    <t>Yes, delayed utility feedback on the pole lineup and access road</t>
  </si>
  <si>
    <t>3/29/2025 - Certification Extension</t>
  </si>
  <si>
    <t>OCS008</t>
  </si>
  <si>
    <t>Burlingame Solar LLC</t>
  </si>
  <si>
    <t>GreenKey Solar</t>
  </si>
  <si>
    <t>12/29/2023, 6/29/2022, 6/30/2023, 9/30/2024</t>
  </si>
  <si>
    <t>5/17/2022, 3/17/2022, 9/30/2023</t>
  </si>
  <si>
    <t>Yes; US Dept of Commerce investigation; uncertainty of Tier 2 capacity release</t>
  </si>
  <si>
    <t>OCS050</t>
  </si>
  <si>
    <t>Canyonville Solar 1</t>
  </si>
  <si>
    <t>11/11/2023, 9/11/2024</t>
  </si>
  <si>
    <t>11/4/2022, 6/23/2023</t>
  </si>
  <si>
    <t>Yes; supply chain delays</t>
  </si>
  <si>
    <t>Yes; waiting for revised IX timeline from PAC</t>
  </si>
  <si>
    <t>11/9/2024 - Cert Extension Request</t>
  </si>
  <si>
    <t>OCS051</t>
  </si>
  <si>
    <t>Canyonville Solar 2</t>
  </si>
  <si>
    <t>11/12/2023, 9/11/2024</t>
  </si>
  <si>
    <t>SPQ0158</t>
  </si>
  <si>
    <t>Carnes Creek Solar LLC</t>
  </si>
  <si>
    <t>Arcadia</t>
  </si>
  <si>
    <t>12/12/2021, 6/12/2022</t>
  </si>
  <si>
    <t>1/25/2021, 3/31/2021</t>
  </si>
  <si>
    <t>Yes; COVID-19, US Dept of Commerce investigation</t>
  </si>
  <si>
    <t>11/30/2022 - Certification</t>
  </si>
  <si>
    <t>OCS049</t>
  </si>
  <si>
    <t>Chapman Creek Solar</t>
  </si>
  <si>
    <t>10/15/2023, 10/15/2024</t>
  </si>
  <si>
    <t>11/30/2022, 10/31/2023</t>
  </si>
  <si>
    <t>OCS044</t>
  </si>
  <si>
    <t>Cherry Creek Solar</t>
  </si>
  <si>
    <t>12/14/2022 - Certification</t>
  </si>
  <si>
    <t>SPQ0180</t>
  </si>
  <si>
    <t>Clayfield Solar LLC</t>
  </si>
  <si>
    <t>Solar Town</t>
  </si>
  <si>
    <t>1/17/2023, 7/17/2023, 6/30/2024</t>
  </si>
  <si>
    <t>3/26/2021, 2/15/2022</t>
  </si>
  <si>
    <t>Yes; COVID-19, US Dept of Commerce investigation, timeline changes due to federal ITC</t>
  </si>
  <si>
    <t>10/30/2024 - Certification</t>
  </si>
  <si>
    <t>OCS058</t>
  </si>
  <si>
    <t>Coker Solar</t>
  </si>
  <si>
    <t>6/1/2024, 8/30/2025</t>
  </si>
  <si>
    <t>3/24/2023, 3/22/2024, 5/30/2025</t>
  </si>
  <si>
    <t>Yes; project financing delays</t>
  </si>
  <si>
    <t>OCS067</t>
  </si>
  <si>
    <t>Colfax Solar</t>
  </si>
  <si>
    <t>11/23/2024 - Pre-certification</t>
  </si>
  <si>
    <t>CSQ0019</t>
  </si>
  <si>
    <t>Columbia Community Solar</t>
  </si>
  <si>
    <t>Bonneville Enironmental Foundation</t>
  </si>
  <si>
    <t>Bonneville Environmental Foundation</t>
  </si>
  <si>
    <t>4/24/2025 - Pre-certification</t>
  </si>
  <si>
    <t>SPQ0220</t>
  </si>
  <si>
    <t>Cork Solar LLC</t>
  </si>
  <si>
    <t>10/30/2023, 8/30/2024</t>
  </si>
  <si>
    <t>6/4/2021, 10/23/2023</t>
  </si>
  <si>
    <t>SPQ0152</t>
  </si>
  <si>
    <t>Cosper Creek Solar LLC</t>
  </si>
  <si>
    <t>12/12/2021, 6/12/2022, 12/12/2022</t>
  </si>
  <si>
    <t>CSQ0014</t>
  </si>
  <si>
    <t>CP Sheridan</t>
  </si>
  <si>
    <t>ClearPath</t>
  </si>
  <si>
    <t>5/31/2024 - Pre-certification</t>
  </si>
  <si>
    <t>SPQ0262</t>
  </si>
  <si>
    <t xml:space="preserve">Crawford Solar </t>
  </si>
  <si>
    <t>10/23/2024 - Pre-Certification</t>
  </si>
  <si>
    <t>SPQ0274</t>
  </si>
  <si>
    <t>Dolphin Solar LLC</t>
  </si>
  <si>
    <t>Community Energy Cooperative</t>
  </si>
  <si>
    <t>4/5/2025 - Pre-certification</t>
  </si>
  <si>
    <t>SPQ0193</t>
  </si>
  <si>
    <t>Dover Solar</t>
  </si>
  <si>
    <t>2/1/2022, 8/1/2022, 7/1/2023, 2/29/2024, 8/27/2024</t>
  </si>
  <si>
    <t>11/6/2020, 9/23/2023, 8/7/2024</t>
  </si>
  <si>
    <t>Yes; COVID-19, US Dept of Commerce investigation; construction delays; customer enrollment</t>
  </si>
  <si>
    <t>SPQ0070</t>
  </si>
  <si>
    <t>Dunn Rd</t>
  </si>
  <si>
    <t>Neighborhood Power</t>
  </si>
  <si>
    <t>2/17/2020, 9/11/2020</t>
  </si>
  <si>
    <t>2/11/2021 - Certification</t>
  </si>
  <si>
    <t>OCS103</t>
  </si>
  <si>
    <t>East Side</t>
  </si>
  <si>
    <t>CSQ0018</t>
  </si>
  <si>
    <t>Ehlen Road Solar</t>
  </si>
  <si>
    <t>DHD Solar</t>
  </si>
  <si>
    <t>SPQ0164</t>
  </si>
  <si>
    <t>Fruitland Creek Solar</t>
  </si>
  <si>
    <t>12/12/2021, 12/12/2022</t>
  </si>
  <si>
    <t>9/27/2019, 9/11/2020</t>
  </si>
  <si>
    <t>OCS012</t>
  </si>
  <si>
    <t>Goodling Annex</t>
  </si>
  <si>
    <t>10/21/2021, 4/1/2023, 2/28/2024</t>
  </si>
  <si>
    <t>Yes; waiting for grant funding</t>
  </si>
  <si>
    <t>6/21/2025 - Operational Extension</t>
  </si>
  <si>
    <t>Operational Extension</t>
  </si>
  <si>
    <t>OCS045</t>
  </si>
  <si>
    <t>Green Solar</t>
  </si>
  <si>
    <t>Greenkey Solar</t>
  </si>
  <si>
    <t>SPQ0157</t>
  </si>
  <si>
    <t>Gun Club Solar LLC</t>
  </si>
  <si>
    <t>10/15/2023, 10/31/2024</t>
  </si>
  <si>
    <t>12/1/2019, 11/15/2023</t>
  </si>
  <si>
    <t>OCS018</t>
  </si>
  <si>
    <t>Hay Creek Solar</t>
  </si>
  <si>
    <t>10/9/2021, 8/15/2022</t>
  </si>
  <si>
    <t>6/30/2023 - Operation Extension</t>
  </si>
  <si>
    <t>OCS098</t>
  </si>
  <si>
    <t>Henley Road</t>
  </si>
  <si>
    <t>OCS095</t>
  </si>
  <si>
    <t>Homedale Road</t>
  </si>
  <si>
    <t>CSQ0002</t>
  </si>
  <si>
    <t>Jim and Salle's Place Apartments</t>
  </si>
  <si>
    <t>Rose CDC</t>
  </si>
  <si>
    <t>10/21/2021, 4/21/2022</t>
  </si>
  <si>
    <t>Yes; PPA delay</t>
  </si>
  <si>
    <t>5/18/2022 - Certification</t>
  </si>
  <si>
    <t>SPQ0094</t>
  </si>
  <si>
    <t>Kaiser Creek Solar LLC</t>
  </si>
  <si>
    <t>HEP</t>
  </si>
  <si>
    <t>12/18/2021, 6/12/2022, 12/18/2022</t>
  </si>
  <si>
    <t>6/19/2020, 1/27/2021</t>
  </si>
  <si>
    <t>OCS039</t>
  </si>
  <si>
    <t>Kelly Creek Solar</t>
  </si>
  <si>
    <t>Coast Energy, LLC</t>
  </si>
  <si>
    <t>10/15/2023, 10/30/2024, 12/6/2024, 4/30/2025, 7/1/2025</t>
  </si>
  <si>
    <t>11/18/2022, 9/30/2023, 12/6/2024</t>
  </si>
  <si>
    <t>Yes; contractor schedule constraints; inability to construct during winter</t>
  </si>
  <si>
    <t>Yes; utility upgrades delayed</t>
  </si>
  <si>
    <t>Certification Extension and Revised COD</t>
  </si>
  <si>
    <t>SPQ0272</t>
  </si>
  <si>
    <t>Lincoln Solar LLC</t>
  </si>
  <si>
    <t>Project is still under the  study process</t>
  </si>
  <si>
    <t>7/15/2025 - Certification Extension</t>
  </si>
  <si>
    <t>Certification Extension</t>
  </si>
  <si>
    <t>OCS025</t>
  </si>
  <si>
    <t>Linkville Solar</t>
  </si>
  <si>
    <t>5/17/2022, 11/17/2022, 5/17/2023, 11/17/2023</t>
  </si>
  <si>
    <t>10/29/2021</t>
  </si>
  <si>
    <t>Yes; fiber work delayed</t>
  </si>
  <si>
    <t>6/10/2023- Cert Extension Request</t>
  </si>
  <si>
    <t>OCS078</t>
  </si>
  <si>
    <t xml:space="preserve">Lomaside Solar </t>
  </si>
  <si>
    <t>OCS027</t>
  </si>
  <si>
    <t>Marble Solar</t>
  </si>
  <si>
    <t>12/29/2021, 6/29/2022, 9/30/2023, 7/30/2024</t>
  </si>
  <si>
    <t xml:space="preserve">10/29/2021, 4/29/2022, </t>
  </si>
  <si>
    <t>Yes; US Dept of Commerce investigation; uncertainty of Tier 2 capacity release; wetland permitting delays; enrollment</t>
  </si>
  <si>
    <t>Yes; awaiting updated IX agreement</t>
  </si>
  <si>
    <t>12/12/2024 - Cert Extension Request</t>
  </si>
  <si>
    <t>SPQ0093</t>
  </si>
  <si>
    <t>Marquam Creek Solar LLC</t>
  </si>
  <si>
    <t>10/14/2023, 10/14/2024</t>
  </si>
  <si>
    <t>2/28/2020, 10/2/2023</t>
  </si>
  <si>
    <t>OCS086</t>
  </si>
  <si>
    <t>Medford Irrigation District</t>
  </si>
  <si>
    <t xml:space="preserve"> CSQ0004</t>
  </si>
  <si>
    <t>Mompano Solar</t>
  </si>
  <si>
    <t>10/15/2023, 10/30/2024</t>
  </si>
  <si>
    <t>12/9/2022, 9/13/2024</t>
  </si>
  <si>
    <t>Yes; contractor schedule constraints; inability to construct during winter; enrollment</t>
  </si>
  <si>
    <t>12/4/2024 - Certification Extension</t>
  </si>
  <si>
    <t>SPQ0124</t>
  </si>
  <si>
    <t>Mt Hope Solar</t>
  </si>
  <si>
    <t>5/8/2020, 9/11/2020</t>
  </si>
  <si>
    <t>OCS035</t>
  </si>
  <si>
    <t>Orchard Knob Solar</t>
  </si>
  <si>
    <t>10/15/2023, 1/15/2024, 9/11/2024, 11/11/2024</t>
  </si>
  <si>
    <t>8/19/2022, 11/21/2022, 3/24/2023, 2/23/2024</t>
  </si>
  <si>
    <t>Yes; time to provide relevant certification documents</t>
  </si>
  <si>
    <t>Yes; IX work incomplete - material not ordered, waiting for revised IX timeline, confirm outstanding easements</t>
  </si>
  <si>
    <t>OCS042</t>
  </si>
  <si>
    <t>Oregon Shakespeare Festival Community Solar Project</t>
  </si>
  <si>
    <t xml:space="preserve">Oregon Clean Power Cooperative </t>
  </si>
  <si>
    <t>Oregon Clean Power Cooperative</t>
  </si>
  <si>
    <t>9/21/2021 - Certification</t>
  </si>
  <si>
    <t>OCS057</t>
  </si>
  <si>
    <t>Perrydale Solar</t>
  </si>
  <si>
    <t>Sulus; SolRiver Capital</t>
  </si>
  <si>
    <t>10/15/2023, 12/31/2023, 8/5/2024, 12/18/2024</t>
  </si>
  <si>
    <t>3/3/2023, 7/21/2023, 8/9/2024, 10/4/2024</t>
  </si>
  <si>
    <t>Yes; equipment lead times and crew availability</t>
  </si>
  <si>
    <t>Q0666</t>
  </si>
  <si>
    <t>Pilot Rock Solar 1</t>
  </si>
  <si>
    <t>10/11/2021, 3/15/2023</t>
  </si>
  <si>
    <t>5/15/2017, 9/15/2017, 9/30/2018, 6/30/2019, 
12/31/2019, 12/31/2022, 5/25/2023</t>
  </si>
  <si>
    <t>Yes; COVID-19, lingering impacts of the US commerce investigation</t>
  </si>
  <si>
    <t>Yes; delays in securing a utility PPA and IX agreement</t>
  </si>
  <si>
    <t>4/29/2025 - Certificaiton</t>
  </si>
  <si>
    <t>Q1045</t>
  </si>
  <si>
    <t>Pilot Rock Solar 2</t>
  </si>
  <si>
    <t>10/21/2021, 3/15/2023</t>
  </si>
  <si>
    <t>12/31/2022, 5/25/2023</t>
  </si>
  <si>
    <t>Yes; delays in securing a utility PPA and interconnection agreement</t>
  </si>
  <si>
    <t>OCS036</t>
  </si>
  <si>
    <t>Pine Grove Solar</t>
  </si>
  <si>
    <t>6/29/2022, 12/29/2022, 8/25/2023</t>
  </si>
  <si>
    <t>8/5/2022, 11/14/2022, 8/21/2023, 2/16/2024</t>
  </si>
  <si>
    <t>Yes; delayed utility timeline</t>
  </si>
  <si>
    <t>7/6/2024 - Operation Extension</t>
  </si>
  <si>
    <t>SPQ0058</t>
  </si>
  <si>
    <t>Red Prairie Solar</t>
  </si>
  <si>
    <t>11/16/2019, 2/26/2021</t>
  </si>
  <si>
    <t>10/6/2021 - Certification</t>
  </si>
  <si>
    <t>OCS061</t>
  </si>
  <si>
    <t>Reservoir Solar LLC</t>
  </si>
  <si>
    <t>SPQ0125</t>
  </si>
  <si>
    <t>River Valley</t>
  </si>
  <si>
    <t>SPQ0261</t>
  </si>
  <si>
    <t>Rodeo Solar</t>
  </si>
  <si>
    <t>CSQ0013</t>
  </si>
  <si>
    <t>Rosa Community Solar</t>
  </si>
  <si>
    <t>9/24/2024  - Pre-Certification</t>
  </si>
  <si>
    <t>OCS034</t>
  </si>
  <si>
    <t>Round Lake Solar</t>
  </si>
  <si>
    <t>12/30/2021, 6/15/2022, 8/15/2022, 8/11/2023, 3/29/2024</t>
  </si>
  <si>
    <t xml:space="preserve">Yes; COVID-19, US Dept of Commerce investigation; </t>
  </si>
  <si>
    <t>SPQ0071</t>
  </si>
  <si>
    <t>Sandy River Solar</t>
  </si>
  <si>
    <t>12/20/2021, 6/12/2022, 12/12/2022</t>
  </si>
  <si>
    <t>3/2/2020, 12/1/2020</t>
  </si>
  <si>
    <t>SPQ0181</t>
  </si>
  <si>
    <t>Sesqui-C Solar LLC</t>
  </si>
  <si>
    <t>3/12/2021, 5/21/2021</t>
  </si>
  <si>
    <t>Yes; COVID-19, US Dept of Commerce investigation; participant enrollment</t>
  </si>
  <si>
    <t xml:space="preserve">CSQ0001 </t>
  </si>
  <si>
    <t>Sheridan Solar</t>
  </si>
  <si>
    <t>Pacific Northwest Solar LLC</t>
  </si>
  <si>
    <t>OCS087</t>
  </si>
  <si>
    <t>Shoestring Solar, LLC</t>
  </si>
  <si>
    <t>SPQ0067</t>
  </si>
  <si>
    <t>Skyward Solar</t>
  </si>
  <si>
    <t>Nautilus Solar</t>
  </si>
  <si>
    <t>Standard Solar</t>
  </si>
  <si>
    <t>9/1/2021, 7/1/2022, 1/1/2023</t>
  </si>
  <si>
    <t>1/8/2020, 11/22/2022</t>
  </si>
  <si>
    <t>CSQ0010</t>
  </si>
  <si>
    <t>Solar Harvest</t>
  </si>
  <si>
    <t>5/17/2024 - Certification</t>
  </si>
  <si>
    <t>OCS047</t>
  </si>
  <si>
    <t>Sunset Ridge Solar</t>
  </si>
  <si>
    <t>10/22/2022, 4/20/2023, 6/20/2023, 10/20/2023, 12/14/2023, 6/11/2024, 8/11/2024; 8/22/2024</t>
  </si>
  <si>
    <t>12/15/2022, 9/22/2023</t>
  </si>
  <si>
    <t>Yes; awaiting PPA; fiber optic material not ordered; IX design incomplete; incomplete IX work; finalizing inspections</t>
  </si>
  <si>
    <t>Operational Extension, Operational</t>
  </si>
  <si>
    <t>OCS024</t>
  </si>
  <si>
    <t>Tutuilla Solar</t>
  </si>
  <si>
    <t>5/17/2022, 5/17/2023, 11/17/2024</t>
  </si>
  <si>
    <t>12/30/2022, 5/25/2023</t>
  </si>
  <si>
    <t>Yes; land lease delays</t>
  </si>
  <si>
    <t>6/23/2022- Cert Extension Request</t>
  </si>
  <si>
    <t>SPQ0277</t>
  </si>
  <si>
    <t>Vanport Community Solar</t>
  </si>
  <si>
    <t xml:space="preserve">3/26/2025 - Pre-certification </t>
  </si>
  <si>
    <t>Verde Light Community Solar</t>
  </si>
  <si>
    <t>Fleet Development</t>
  </si>
  <si>
    <t>6/16/2023, 3/16/2024</t>
  </si>
  <si>
    <t>Yes; Dept of Commerce investigation, waiting for grant funding; completing enrollment</t>
  </si>
  <si>
    <t>SPQ0240</t>
  </si>
  <si>
    <t>Wallace Solar LLC</t>
  </si>
  <si>
    <t>10/15/2023, 7/30/2024</t>
  </si>
  <si>
    <t>5/31/2023, 7/1/2024</t>
  </si>
  <si>
    <t>Yes; supply chain delays; permitting delays</t>
  </si>
  <si>
    <t>OCS005</t>
  </si>
  <si>
    <t>Wallowa County Community Solar</t>
  </si>
  <si>
    <t>6/4/2021</t>
  </si>
  <si>
    <t>2/9/2022 - Certification</t>
  </si>
  <si>
    <t>SPQ0179</t>
  </si>
  <si>
    <t>Waterford Solar</t>
  </si>
  <si>
    <t>11/2/2023, 8/31/2024</t>
  </si>
  <si>
    <t>7/17/2020, 5/31/2022</t>
  </si>
  <si>
    <t>2/8/2025- Cert Extension Request</t>
  </si>
  <si>
    <t>Partially Operational</t>
  </si>
  <si>
    <t>OCS020</t>
  </si>
  <si>
    <t>Whisky Creek Solar</t>
  </si>
  <si>
    <t>10/20/2022, 6/12/2022, 12/12/2022</t>
  </si>
  <si>
    <t>SPQ0166</t>
  </si>
  <si>
    <t>Williams Acres</t>
  </si>
  <si>
    <t>7/6/2020, 8/13/2020</t>
  </si>
  <si>
    <t>OCS019</t>
  </si>
  <si>
    <t>Wocus Marsh Solar</t>
  </si>
  <si>
    <t>10/20/2022, 4/20/2023</t>
  </si>
  <si>
    <t>11/5/2021</t>
  </si>
  <si>
    <t>Yes; US commerce investigation</t>
  </si>
  <si>
    <t>OCS074</t>
  </si>
  <si>
    <t>Wood River Solar</t>
  </si>
  <si>
    <t xml:space="preserve">6/28/2023, 12/31/2023, 8/5/2024 </t>
  </si>
  <si>
    <t>Yes; equipment procurement, contractor schedule constraints</t>
  </si>
  <si>
    <t>SPQ0163</t>
  </si>
  <si>
    <t>Zena Solar LLC</t>
  </si>
  <si>
    <t>UGEI</t>
  </si>
  <si>
    <t>10/15/2023, 7/26/2024</t>
  </si>
  <si>
    <t>3/4/2022, 2/2/2024</t>
  </si>
  <si>
    <t>COST TABLE</t>
  </si>
  <si>
    <t>Period</t>
  </si>
  <si>
    <t>Costs - Total</t>
  </si>
  <si>
    <t>Revenue - Total</t>
  </si>
  <si>
    <t>PA Revenue - Shortfall</t>
  </si>
  <si>
    <t>Program Financials</t>
  </si>
  <si>
    <t>Application Fees</t>
  </si>
  <si>
    <t>PA Fees</t>
  </si>
  <si>
    <t>Cash Flow</t>
  </si>
  <si>
    <t>Account Balance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</si>
  <si>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</si>
  <si>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</si>
  <si>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</si>
  <si>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</si>
  <si>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</si>
  <si>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</si>
  <si>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</si>
  <si>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</si>
  <si>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</si>
  <si>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</si>
  <si>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</si>
  <si>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</si>
  <si>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</si>
  <si>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</si>
  <si>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</si>
  <si>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</si>
  <si>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</si>
  <si>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</si>
  <si>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</si>
  <si>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</si>
  <si>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</si>
  <si>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</si>
  <si>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</si>
  <si>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</si>
  <si>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</si>
  <si>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</si>
  <si>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</si>
  <si>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</si>
  <si>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</si>
  <si>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</si>
  <si>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</si>
  <si>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</si>
  <si>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Program Administration Team Monthly Invoice Actuals (BOT - June 2025) &amp; Forecasted (July 2025-December 2025)</t>
  </si>
  <si>
    <t>Month</t>
  </si>
  <si>
    <t>Program Year</t>
  </si>
  <si>
    <t>Calendar Year</t>
  </si>
  <si>
    <t>Program Expenses (Gross)</t>
  </si>
  <si>
    <t>App Fees</t>
  </si>
  <si>
    <t>Program Expenses (Net)</t>
  </si>
  <si>
    <t>PY1</t>
  </si>
  <si>
    <t>PY2</t>
  </si>
  <si>
    <t>PY3</t>
  </si>
  <si>
    <t>PY4</t>
  </si>
  <si>
    <t>PY5</t>
  </si>
  <si>
    <t>PY6</t>
  </si>
  <si>
    <t>PY7</t>
  </si>
  <si>
    <t>PROGRAM ADMINISTRATION FEES CALCULATION</t>
  </si>
  <si>
    <t>This table populates PA fee totals in PA Costs 2019-2050 Worksheet (Column D)</t>
  </si>
  <si>
    <t>PROJECT APPLICATION FEE CALCULATION</t>
  </si>
  <si>
    <t>This table populates Application fee totals in PA Costs 2019-2050 Worksheet (Column C)</t>
  </si>
  <si>
    <t>Project ID</t>
  </si>
  <si>
    <t>Application Fee Revenue</t>
  </si>
  <si>
    <t>Subtask</t>
  </si>
  <si>
    <t>Date Processed</t>
  </si>
  <si>
    <t>Notes</t>
  </si>
  <si>
    <t>January</t>
  </si>
  <si>
    <t>PP-2020-12</t>
  </si>
  <si>
    <t>Application Fee (Revenue)</t>
  </si>
  <si>
    <t>Cancelled project and issued 50% refund. Remaining 50% retained as revenue</t>
  </si>
  <si>
    <t>February</t>
  </si>
  <si>
    <t xml:space="preserve">Project reached certification in Feb. 2021. Application Fee is non-refundable. </t>
  </si>
  <si>
    <t>March</t>
  </si>
  <si>
    <t>~None~</t>
  </si>
  <si>
    <t>April</t>
  </si>
  <si>
    <t>June</t>
  </si>
  <si>
    <t>July</t>
  </si>
  <si>
    <t>August</t>
  </si>
  <si>
    <t>September</t>
  </si>
  <si>
    <t>October</t>
  </si>
  <si>
    <t xml:space="preserve">Project reached certification in Oct. 2021. Application Fee is non-refundable. </t>
  </si>
  <si>
    <t xml:space="preserve">Project reached certification in Sep. 2021. Application Fee is non-refundable. </t>
  </si>
  <si>
    <t>November</t>
  </si>
  <si>
    <t>December</t>
  </si>
  <si>
    <t xml:space="preserve">Project reached certification in May 2022. Application Fee is non-refundable. </t>
  </si>
  <si>
    <t xml:space="preserve">Project reached certification in Feb. 2022. Application Fee is non-refundable. </t>
  </si>
  <si>
    <t xml:space="preserve">Project reached certification in Nov. 2022. Application Fee is non-refundable. </t>
  </si>
  <si>
    <t>Totals ($)</t>
  </si>
  <si>
    <t>PP-2020-87</t>
  </si>
  <si>
    <t>PP-2021-91</t>
  </si>
  <si>
    <t xml:space="preserve">Project reached certification in Dec. 2022. Application Fee is non-refundable. </t>
  </si>
  <si>
    <t xml:space="preserve">August </t>
  </si>
  <si>
    <t xml:space="preserve">Project reached certification in Oct. 2023. Application Fee is non-refundable. </t>
  </si>
  <si>
    <t xml:space="preserve">Project reached certification in Dec. 2023. Application Fee is non-refundable. </t>
  </si>
  <si>
    <t>PGE-2020-16</t>
  </si>
  <si>
    <t xml:space="preserve">Project reached certification in May 2024. Application Fee is non-refundable. </t>
  </si>
  <si>
    <t xml:space="preserve">Project reached certification in June 2024. Application Fee is non-refundable. </t>
  </si>
  <si>
    <t>Project reached certification in July 2024. Application Fee is non-refundable.</t>
  </si>
  <si>
    <t xml:space="preserve">September </t>
  </si>
  <si>
    <t>PP-2020-89</t>
  </si>
  <si>
    <t>Project reached certification in October 2024. Application Fee is non-refundable.</t>
  </si>
  <si>
    <t>Project reached certification in December 2024. Application Fee is non-refundable.</t>
  </si>
  <si>
    <t>Project reached certification in January 2025. Application Fee is non-refundable.</t>
  </si>
  <si>
    <t xml:space="preserve">January </t>
  </si>
  <si>
    <t>PP-2024-175</t>
  </si>
  <si>
    <t>PP-2024-176</t>
  </si>
  <si>
    <t>PP-2021-122</t>
  </si>
  <si>
    <t>Project reached certification in March 2025. Application Fee is non-refundable.</t>
  </si>
  <si>
    <t>Project reached certification in April 2025. Application Fee is non-refundable.</t>
  </si>
  <si>
    <t>Project reached certification in June 2025. Application Fee is non-refundable.</t>
  </si>
  <si>
    <t>Last Day Actual PA Fees</t>
  </si>
  <si>
    <t>Per Pending Extension Request</t>
  </si>
  <si>
    <t>In Operational Timeline</t>
  </si>
  <si>
    <t>Initial owner entity/parent owner entity</t>
  </si>
  <si>
    <t>Current owner entity/parent owner entity</t>
  </si>
  <si>
    <t>Current Certification Deadline 
(Pre-Certified projects)</t>
  </si>
  <si>
    <t>QA Check</t>
  </si>
  <si>
    <t>Certification Date 
(Certified and Operational Projects)</t>
  </si>
  <si>
    <t>Compare Anticipated Operational Date for Pre-Certified Projects and Utility COD</t>
  </si>
  <si>
    <t>This table populates PA + Project App Fees Worksheet B5:F35</t>
  </si>
  <si>
    <t>Program Administration Fees Collected Actuals (BOT - June 2025)</t>
  </si>
  <si>
    <t>Record Date</t>
  </si>
  <si>
    <t>Payment Type</t>
  </si>
  <si>
    <t>Payment Amount</t>
  </si>
  <si>
    <t>PA Fee</t>
  </si>
  <si>
    <t>PROGRAM VARIABLES</t>
  </si>
  <si>
    <t>Program Launch Year</t>
  </si>
  <si>
    <t>Capacity (MW)</t>
  </si>
  <si>
    <t>Launch Year</t>
  </si>
  <si>
    <t>PA Fee ($/kW-AC/mo)</t>
  </si>
  <si>
    <t>Application Fee ($/kW)</t>
  </si>
  <si>
    <t>Pct of Market Rate Residential</t>
  </si>
  <si>
    <t>Pct of Low Income Residential</t>
  </si>
  <si>
    <t>Pct of Non-Residential</t>
  </si>
  <si>
    <t>Small Project Carveout</t>
  </si>
  <si>
    <t>Labor Model</t>
  </si>
  <si>
    <t>Slow Adoption</t>
  </si>
  <si>
    <t>LI Requirement</t>
  </si>
  <si>
    <t>LI Carve-Out Requirement</t>
  </si>
  <si>
    <t>LI PA Fee Discount</t>
  </si>
  <si>
    <t>PA Fee Annual Step-Down</t>
  </si>
  <si>
    <t>PROJECT UPTAKE VARIABLES</t>
  </si>
  <si>
    <t>Subscribership Level</t>
  </si>
  <si>
    <t>BILL CREDIT VARIABLES</t>
  </si>
  <si>
    <t>Pct. Of Customers</t>
  </si>
  <si>
    <t>Bill Credit Rate Type</t>
  </si>
  <si>
    <t>Bill Credit Rate Adder (%)</t>
  </si>
  <si>
    <t>Total Bill Credit Rate</t>
  </si>
  <si>
    <t>Retail</t>
  </si>
  <si>
    <t>All</t>
  </si>
  <si>
    <t>Residential</t>
  </si>
  <si>
    <t>UTILITY VARIABLES</t>
  </si>
  <si>
    <t>2016 Oregon System Peak (MW-AC)</t>
  </si>
  <si>
    <t>Retail Rate</t>
  </si>
  <si>
    <t>RVOS Rate</t>
  </si>
  <si>
    <t>Utility Fee ($/kW-AC/mo)</t>
  </si>
  <si>
    <t>Retail Rate Escalator</t>
  </si>
  <si>
    <t>Nominal Rate**</t>
  </si>
  <si>
    <t>* TIPS 20-yr Inflation Forecast</t>
  </si>
  <si>
    <t>Inflation*</t>
  </si>
  <si>
    <t>** Staff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</si>
</sst>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%"/>
    <numFmt numFmtId="166" formatCode="_(&quot;$&quot;* #,##0.0000_);_(&quot;$&quot;* \(#,##0.0000\);_(&quot;$&quot;* &quot;-&quot;??_);_(@_)"/>
    <numFmt numFmtId="167" formatCode="&quot;$&quot;#,##0"/>
    <numFmt numFmtId="168" formatCode="_(&quot;$&quot;* #,##0_);_(&quot;$&quot;* \(#,##0\);_(&quot;$&quot;* &quot;-&quot;??_);_(@_)"/>
    <numFmt numFmtId="169" formatCode="_(* #,##0_);_(* \(#,##0\);_(* &quot;-&quot;??_);_(@_)"/>
    <numFmt numFmtId="170" formatCode="0.0000"/>
    <numFmt numFmtId="171" formatCode="0.0"/>
    <numFmt numFmtId="172" formatCode="&quot;$&quot;#,##0.00"/>
    <numFmt numFmtId="173" formatCode="[$-409]mmm\-yy;@"/>
    <numFmt numFmtId="174" formatCode="_([$$-409]* #,##0.00_);_([$$-409]* \(#,##0.00\);_([$$-409]* &quot;-&quot;??_);_(@_)"/>
    <numFmt numFmtId="175" formatCode="yyyy"/>
    <numFmt numFmtId="176" formatCode="0.000"/>
    <numFmt numFmtId="177" formatCode="0.00000"/>
    <numFmt numFmtId="178" formatCode="_(&quot;$&quot;* #,##0.000000_);_(&quot;$&quot;* \(#,##0.000000\);_(&quot;$&quot;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484A4F"/>
      <name val="Franklin Gothic"/>
    </font>
    <font>
      <sz val="11"/>
      <color rgb="FF484A4F"/>
      <name val="Franklin Gothic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rgb="FF484A4F"/>
      <name val="Calibri"/>
      <family val="2"/>
      <scheme val="minor"/>
    </font>
    <font>
      <b/>
      <sz val="18"/>
      <color rgb="FF484A4F"/>
      <name val="Georgia"/>
      <family val="1"/>
    </font>
    <font>
      <u/>
      <sz val="11"/>
      <color rgb="FF2FA7CC"/>
      <name val="Franklin Gothic"/>
    </font>
    <font>
      <sz val="11"/>
      <name val="Franklin Gothic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484A4F"/>
      <name val="Georgia"/>
      <family val="1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E4E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8ACB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8D52"/>
        <bgColor indexed="64"/>
      </patternFill>
    </fill>
    <fill>
      <patternFill patternType="solid">
        <fgColor rgb="FFFFFF00"/>
        <bgColor rgb="FF000000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484A4F"/>
      </left>
      <right style="thin">
        <color rgb="FF484A4F"/>
      </right>
      <top/>
      <bottom/>
      <diagonal/>
    </border>
    <border>
      <left/>
      <right style="thin">
        <color rgb="FF484A4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484A4F"/>
      </left>
      <right style="thin">
        <color rgb="FF484A4F"/>
      </right>
      <top style="thin">
        <color rgb="FF484A4F"/>
      </top>
      <bottom style="thin">
        <color rgb="FF484A4F"/>
      </bottom>
      <diagonal/>
    </border>
    <border>
      <left style="thin">
        <color rgb="FF484A4F"/>
      </left>
      <right style="thin">
        <color rgb="FF484A4F"/>
      </right>
      <top/>
      <bottom style="thin">
        <color rgb="FF484A4F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8D52"/>
      </right>
      <top/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8" borderId="18" applyNumberFormat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</cellStyleXfs>
  <cellXfs count="399">
    <xf numFmtId="0" fontId="0" fillId="0" borderId="0" xfId="0"/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44" fontId="0" fillId="0" borderId="5" xfId="1" applyFont="1" applyBorder="1"/>
    <xf numFmtId="0" fontId="2" fillId="0" borderId="5" xfId="0" applyFont="1" applyBorder="1"/>
    <xf numFmtId="0" fontId="2" fillId="0" borderId="0" xfId="0" applyFont="1"/>
    <xf numFmtId="44" fontId="2" fillId="0" borderId="5" xfId="0" applyNumberFormat="1" applyFont="1" applyBorder="1"/>
    <xf numFmtId="164" fontId="0" fillId="0" borderId="5" xfId="2" applyNumberFormat="1" applyFont="1" applyFill="1" applyBorder="1"/>
    <xf numFmtId="165" fontId="2" fillId="7" borderId="5" xfId="2" applyNumberFormat="1" applyFont="1" applyFill="1" applyBorder="1"/>
    <xf numFmtId="0" fontId="0" fillId="0" borderId="0" xfId="0" applyAlignment="1">
      <alignment wrapText="1"/>
    </xf>
    <xf numFmtId="44" fontId="0" fillId="0" borderId="0" xfId="0" applyNumberFormat="1"/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1"/>
    </xf>
    <xf numFmtId="2" fontId="6" fillId="0" borderId="0" xfId="0" applyNumberFormat="1" applyFont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1" fontId="4" fillId="0" borderId="0" xfId="0" applyNumberFormat="1" applyFont="1" applyAlignment="1">
      <alignment horizontal="center" vertical="top" shrinkToFit="1"/>
    </xf>
    <xf numFmtId="2" fontId="6" fillId="0" borderId="0" xfId="0" applyNumberFormat="1" applyFont="1" applyAlignment="1">
      <alignment horizontal="left" vertical="top" indent="1" shrinkToFit="1"/>
    </xf>
    <xf numFmtId="2" fontId="5" fillId="0" borderId="5" xfId="0" applyNumberFormat="1" applyFont="1" applyBorder="1" applyAlignment="1">
      <alignment horizontal="left" wrapText="1"/>
    </xf>
    <xf numFmtId="44" fontId="0" fillId="0" borderId="5" xfId="0" applyNumberFormat="1" applyBorder="1"/>
    <xf numFmtId="2" fontId="0" fillId="0" borderId="0" xfId="0" applyNumberFormat="1"/>
    <xf numFmtId="165" fontId="2" fillId="0" borderId="5" xfId="2" applyNumberFormat="1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1"/>
    </xf>
    <xf numFmtId="0" fontId="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 indent="1"/>
    </xf>
    <xf numFmtId="3" fontId="0" fillId="0" borderId="5" xfId="0" applyNumberFormat="1" applyBorder="1"/>
    <xf numFmtId="165" fontId="0" fillId="0" borderId="5" xfId="2" applyNumberFormat="1" applyFont="1" applyBorder="1"/>
    <xf numFmtId="168" fontId="0" fillId="0" borderId="0" xfId="0" applyNumberFormat="1"/>
    <xf numFmtId="2" fontId="0" fillId="0" borderId="5" xfId="0" applyNumberFormat="1" applyBorder="1"/>
    <xf numFmtId="1" fontId="0" fillId="0" borderId="0" xfId="0" applyNumberFormat="1"/>
    <xf numFmtId="9" fontId="0" fillId="0" borderId="5" xfId="2" applyFont="1" applyBorder="1"/>
    <xf numFmtId="44" fontId="0" fillId="0" borderId="0" xfId="1" applyFont="1"/>
    <xf numFmtId="14" fontId="0" fillId="0" borderId="0" xfId="0" applyNumberFormat="1"/>
    <xf numFmtId="168" fontId="0" fillId="0" borderId="14" xfId="0" applyNumberFormat="1" applyBorder="1"/>
    <xf numFmtId="0" fontId="8" fillId="15" borderId="12" xfId="0" applyFont="1" applyFill="1" applyBorder="1" applyAlignment="1">
      <alignment horizontal="right"/>
    </xf>
    <xf numFmtId="168" fontId="0" fillId="0" borderId="20" xfId="0" applyNumberFormat="1" applyBorder="1"/>
    <xf numFmtId="0" fontId="8" fillId="15" borderId="20" xfId="0" applyFont="1" applyFill="1" applyBorder="1" applyAlignment="1">
      <alignment horizontal="right"/>
    </xf>
    <xf numFmtId="0" fontId="0" fillId="0" borderId="20" xfId="0" applyBorder="1"/>
    <xf numFmtId="169" fontId="0" fillId="0" borderId="0" xfId="0" applyNumberFormat="1"/>
    <xf numFmtId="43" fontId="0" fillId="0" borderId="0" xfId="0" applyNumberFormat="1"/>
    <xf numFmtId="0" fontId="2" fillId="0" borderId="0" xfId="0" quotePrefix="1" applyFont="1"/>
    <xf numFmtId="6" fontId="0" fillId="0" borderId="0" xfId="0" applyNumberFormat="1"/>
    <xf numFmtId="168" fontId="0" fillId="0" borderId="12" xfId="0" applyNumberFormat="1" applyBorder="1"/>
    <xf numFmtId="0" fontId="0" fillId="0" borderId="11" xfId="0" applyBorder="1"/>
    <xf numFmtId="170" fontId="0" fillId="0" borderId="0" xfId="0" applyNumberFormat="1"/>
    <xf numFmtId="0" fontId="0" fillId="0" borderId="5" xfId="0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" fontId="4" fillId="0" borderId="5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9" fontId="0" fillId="0" borderId="0" xfId="0" applyNumberFormat="1"/>
    <xf numFmtId="0" fontId="0" fillId="3" borderId="5" xfId="0" applyFill="1" applyBorder="1"/>
    <xf numFmtId="9" fontId="0" fillId="3" borderId="5" xfId="0" applyNumberFormat="1" applyFill="1" applyBorder="1"/>
    <xf numFmtId="165" fontId="1" fillId="3" borderId="5" xfId="2" applyNumberFormat="1" applyFont="1" applyFill="1" applyBorder="1"/>
    <xf numFmtId="0" fontId="10" fillId="0" borderId="5" xfId="0" applyFont="1" applyBorder="1" applyAlignment="1">
      <alignment wrapText="1"/>
    </xf>
    <xf numFmtId="168" fontId="1" fillId="3" borderId="5" xfId="1" applyNumberFormat="1" applyFont="1" applyFill="1" applyBorder="1"/>
    <xf numFmtId="0" fontId="0" fillId="13" borderId="5" xfId="0" applyFill="1" applyBorder="1"/>
    <xf numFmtId="0" fontId="10" fillId="0" borderId="5" xfId="0" applyFont="1" applyBorder="1"/>
    <xf numFmtId="1" fontId="4" fillId="0" borderId="2" xfId="0" applyNumberFormat="1" applyFont="1" applyBorder="1" applyAlignment="1">
      <alignment horizontal="center" vertical="top" shrinkToFit="1"/>
    </xf>
    <xf numFmtId="0" fontId="9" fillId="0" borderId="0" xfId="0" applyFont="1"/>
    <xf numFmtId="0" fontId="0" fillId="0" borderId="19" xfId="0" applyBorder="1"/>
    <xf numFmtId="9" fontId="0" fillId="0" borderId="5" xfId="2" applyFont="1" applyFill="1" applyBorder="1"/>
    <xf numFmtId="14" fontId="0" fillId="0" borderId="5" xfId="0" applyNumberFormat="1" applyBorder="1"/>
    <xf numFmtId="10" fontId="0" fillId="0" borderId="0" xfId="0" applyNumberFormat="1"/>
    <xf numFmtId="44" fontId="0" fillId="0" borderId="0" xfId="1" applyFont="1" applyFill="1" applyBorder="1"/>
    <xf numFmtId="44" fontId="0" fillId="0" borderId="0" xfId="1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0" fontId="2" fillId="0" borderId="0" xfId="2" applyNumberFormat="1" applyFont="1" applyFill="1" applyBorder="1"/>
    <xf numFmtId="10" fontId="0" fillId="0" borderId="0" xfId="2" applyNumberFormat="1" applyFont="1" applyFill="1" applyBorder="1"/>
    <xf numFmtId="0" fontId="0" fillId="0" borderId="0" xfId="2" applyNumberFormat="1" applyFont="1" applyFill="1" applyBorder="1"/>
    <xf numFmtId="8" fontId="0" fillId="0" borderId="0" xfId="0" applyNumberFormat="1"/>
    <xf numFmtId="10" fontId="0" fillId="0" borderId="0" xfId="2" applyNumberFormat="1" applyFont="1"/>
    <xf numFmtId="0" fontId="0" fillId="2" borderId="0" xfId="0" applyFill="1"/>
    <xf numFmtId="0" fontId="0" fillId="0" borderId="0" xfId="1" applyNumberFormat="1" applyFont="1" applyFill="1" applyBorder="1"/>
    <xf numFmtId="0" fontId="0" fillId="10" borderId="5" xfId="0" applyFill="1" applyBorder="1"/>
    <xf numFmtId="164" fontId="0" fillId="0" borderId="0" xfId="2" applyNumberFormat="1" applyFont="1"/>
    <xf numFmtId="0" fontId="16" fillId="0" borderId="0" xfId="0" applyFont="1"/>
    <xf numFmtId="2" fontId="10" fillId="0" borderId="5" xfId="0" applyNumberFormat="1" applyFont="1" applyBorder="1"/>
    <xf numFmtId="1" fontId="0" fillId="0" borderId="5" xfId="0" applyNumberFormat="1" applyBorder="1"/>
    <xf numFmtId="44" fontId="9" fillId="18" borderId="5" xfId="4" applyNumberFormat="1" applyFont="1" applyFill="1" applyBorder="1"/>
    <xf numFmtId="44" fontId="9" fillId="18" borderId="5" xfId="1" applyFont="1" applyFill="1" applyBorder="1"/>
    <xf numFmtId="0" fontId="10" fillId="3" borderId="5" xfId="4" applyNumberFormat="1" applyFont="1" applyFill="1" applyBorder="1" applyAlignment="1">
      <alignment horizontal="right"/>
    </xf>
    <xf numFmtId="9" fontId="0" fillId="0" borderId="5" xfId="0" applyNumberFormat="1" applyBorder="1"/>
    <xf numFmtId="168" fontId="0" fillId="0" borderId="5" xfId="1" applyNumberFormat="1" applyFont="1" applyBorder="1"/>
    <xf numFmtId="0" fontId="0" fillId="4" borderId="22" xfId="0" applyFill="1" applyBorder="1"/>
    <xf numFmtId="0" fontId="0" fillId="4" borderId="13" xfId="0" applyFill="1" applyBorder="1"/>
    <xf numFmtId="168" fontId="9" fillId="0" borderId="0" xfId="0" applyNumberFormat="1" applyFont="1"/>
    <xf numFmtId="2" fontId="1" fillId="3" borderId="5" xfId="1" applyNumberFormat="1" applyFont="1" applyFill="1" applyBorder="1"/>
    <xf numFmtId="172" fontId="0" fillId="0" borderId="0" xfId="0" applyNumberFormat="1"/>
    <xf numFmtId="2" fontId="1" fillId="0" borderId="0" xfId="1" applyNumberFormat="1" applyFont="1" applyFill="1" applyBorder="1"/>
    <xf numFmtId="171" fontId="0" fillId="0" borderId="5" xfId="0" applyNumberFormat="1" applyBorder="1"/>
    <xf numFmtId="9" fontId="9" fillId="0" borderId="0" xfId="2" applyFont="1" applyBorder="1"/>
    <xf numFmtId="44" fontId="9" fillId="0" borderId="0" xfId="1" applyFont="1" applyFill="1" applyBorder="1"/>
    <xf numFmtId="0" fontId="2" fillId="11" borderId="7" xfId="0" applyFont="1" applyFill="1" applyBorder="1"/>
    <xf numFmtId="0" fontId="2" fillId="11" borderId="17" xfId="0" applyFont="1" applyFill="1" applyBorder="1"/>
    <xf numFmtId="0" fontId="2" fillId="10" borderId="7" xfId="0" applyFont="1" applyFill="1" applyBorder="1"/>
    <xf numFmtId="0" fontId="2" fillId="10" borderId="17" xfId="0" applyFont="1" applyFill="1" applyBorder="1"/>
    <xf numFmtId="0" fontId="3" fillId="0" borderId="0" xfId="0" applyFont="1" applyAlignment="1">
      <alignment wrapText="1"/>
    </xf>
    <xf numFmtId="164" fontId="0" fillId="0" borderId="0" xfId="2" applyNumberFormat="1" applyFont="1" applyFill="1" applyBorder="1"/>
    <xf numFmtId="44" fontId="2" fillId="0" borderId="0" xfId="0" applyNumberFormat="1" applyFont="1"/>
    <xf numFmtId="0" fontId="4" fillId="0" borderId="0" xfId="0" applyFont="1" applyAlignment="1">
      <alignment horizontal="center" vertical="top"/>
    </xf>
    <xf numFmtId="0" fontId="14" fillId="0" borderId="5" xfId="0" applyFont="1" applyBorder="1"/>
    <xf numFmtId="2" fontId="2" fillId="0" borderId="5" xfId="0" applyNumberFormat="1" applyFont="1" applyBorder="1"/>
    <xf numFmtId="0" fontId="0" fillId="17" borderId="5" xfId="0" applyFill="1" applyBorder="1"/>
    <xf numFmtId="0" fontId="0" fillId="22" borderId="15" xfId="0" applyFill="1" applyBorder="1"/>
    <xf numFmtId="44" fontId="0" fillId="22" borderId="5" xfId="0" applyNumberFormat="1" applyFill="1" applyBorder="1"/>
    <xf numFmtId="0" fontId="0" fillId="14" borderId="5" xfId="0" applyFill="1" applyBorder="1"/>
    <xf numFmtId="0" fontId="0" fillId="11" borderId="5" xfId="0" applyFill="1" applyBorder="1"/>
    <xf numFmtId="44" fontId="0" fillId="11" borderId="5" xfId="0" applyNumberFormat="1" applyFill="1" applyBorder="1"/>
    <xf numFmtId="0" fontId="14" fillId="13" borderId="5" xfId="0" applyFont="1" applyFill="1" applyBorder="1" applyAlignment="1">
      <alignment wrapText="1"/>
    </xf>
    <xf numFmtId="166" fontId="0" fillId="0" borderId="5" xfId="1" applyNumberFormat="1" applyFont="1" applyBorder="1" applyAlignment="1">
      <alignment horizontal="right" wrapText="1"/>
    </xf>
    <xf numFmtId="0" fontId="10" fillId="0" borderId="0" xfId="0" applyFont="1"/>
    <xf numFmtId="9" fontId="10" fillId="3" borderId="5" xfId="0" applyNumberFormat="1" applyFont="1" applyFill="1" applyBorder="1"/>
    <xf numFmtId="0" fontId="0" fillId="0" borderId="5" xfId="0" applyBorder="1" applyAlignment="1">
      <alignment horizontal="center" vertical="center"/>
    </xf>
    <xf numFmtId="0" fontId="14" fillId="0" borderId="0" xfId="0" applyFont="1" applyAlignment="1">
      <alignment horizontal="center"/>
    </xf>
    <xf numFmtId="168" fontId="0" fillId="0" borderId="5" xfId="0" applyNumberFormat="1" applyBorder="1"/>
    <xf numFmtId="0" fontId="9" fillId="12" borderId="0" xfId="0" applyFont="1" applyFill="1"/>
    <xf numFmtId="0" fontId="8" fillId="12" borderId="0" xfId="0" applyFont="1" applyFill="1"/>
    <xf numFmtId="9" fontId="0" fillId="3" borderId="5" xfId="2" applyFont="1" applyFill="1" applyBorder="1"/>
    <xf numFmtId="0" fontId="0" fillId="3" borderId="5" xfId="0" applyFill="1" applyBorder="1" applyAlignment="1">
      <alignment vertical="center"/>
    </xf>
    <xf numFmtId="44" fontId="2" fillId="0" borderId="0" xfId="1" applyFont="1" applyFill="1" applyBorder="1"/>
    <xf numFmtId="0" fontId="0" fillId="0" borderId="0" xfId="0" applyAlignment="1">
      <alignment vertical="center"/>
    </xf>
    <xf numFmtId="9" fontId="1" fillId="3" borderId="5" xfId="2" applyFont="1" applyFill="1" applyBorder="1"/>
    <xf numFmtId="10" fontId="10" fillId="0" borderId="0" xfId="0" applyNumberFormat="1" applyFont="1"/>
    <xf numFmtId="0" fontId="0" fillId="0" borderId="0" xfId="0" applyAlignment="1">
      <alignment horizontal="center" vertical="center"/>
    </xf>
    <xf numFmtId="169" fontId="0" fillId="0" borderId="0" xfId="3" applyNumberFormat="1" applyFont="1"/>
    <xf numFmtId="0" fontId="2" fillId="0" borderId="8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0" fillId="6" borderId="5" xfId="0" applyFill="1" applyBorder="1"/>
    <xf numFmtId="1" fontId="4" fillId="0" borderId="27" xfId="0" applyNumberFormat="1" applyFont="1" applyBorder="1" applyAlignment="1">
      <alignment horizontal="center" vertical="top" shrinkToFit="1"/>
    </xf>
    <xf numFmtId="44" fontId="4" fillId="0" borderId="0" xfId="0" applyNumberFormat="1" applyFont="1" applyAlignment="1">
      <alignment vertical="top" wrapText="1"/>
    </xf>
    <xf numFmtId="1" fontId="4" fillId="0" borderId="28" xfId="0" applyNumberFormat="1" applyFont="1" applyBorder="1" applyAlignment="1">
      <alignment horizontal="center" vertical="top" shrinkToFit="1"/>
    </xf>
    <xf numFmtId="1" fontId="4" fillId="0" borderId="29" xfId="0" applyNumberFormat="1" applyFont="1" applyBorder="1" applyAlignment="1">
      <alignment horizontal="center" vertical="top" shrinkToFit="1"/>
    </xf>
    <xf numFmtId="10" fontId="0" fillId="3" borderId="5" xfId="2" applyNumberFormat="1" applyFont="1" applyFill="1" applyBorder="1" applyAlignment="1">
      <alignment wrapText="1"/>
    </xf>
    <xf numFmtId="0" fontId="0" fillId="9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167" fontId="0" fillId="0" borderId="5" xfId="0" applyNumberFormat="1" applyBorder="1"/>
    <xf numFmtId="167" fontId="0" fillId="0" borderId="0" xfId="0" applyNumberFormat="1"/>
    <xf numFmtId="167" fontId="8" fillId="24" borderId="0" xfId="0" applyNumberFormat="1" applyFont="1" applyFill="1"/>
    <xf numFmtId="0" fontId="8" fillId="24" borderId="0" xfId="0" applyFont="1" applyFill="1" applyAlignment="1">
      <alignment horizontal="center" vertical="center"/>
    </xf>
    <xf numFmtId="17" fontId="2" fillId="23" borderId="5" xfId="0" applyNumberFormat="1" applyFont="1" applyFill="1" applyBorder="1" applyAlignment="1">
      <alignment horizontal="center" vertical="center"/>
    </xf>
    <xf numFmtId="1" fontId="2" fillId="23" borderId="5" xfId="0" applyNumberFormat="1" applyFont="1" applyFill="1" applyBorder="1" applyAlignment="1">
      <alignment horizontal="center" vertical="center"/>
    </xf>
    <xf numFmtId="0" fontId="18" fillId="0" borderId="0" xfId="0" applyFont="1"/>
    <xf numFmtId="44" fontId="18" fillId="0" borderId="0" xfId="0" applyNumberFormat="1" applyFont="1"/>
    <xf numFmtId="167" fontId="18" fillId="0" borderId="0" xfId="0" applyNumberFormat="1" applyFont="1"/>
    <xf numFmtId="0" fontId="0" fillId="0" borderId="30" xfId="0" applyBorder="1"/>
    <xf numFmtId="0" fontId="0" fillId="0" borderId="31" xfId="0" applyBorder="1"/>
    <xf numFmtId="0" fontId="0" fillId="0" borderId="22" xfId="0" applyBorder="1"/>
    <xf numFmtId="0" fontId="20" fillId="0" borderId="1" xfId="0" applyFont="1" applyBorder="1"/>
    <xf numFmtId="14" fontId="20" fillId="10" borderId="1" xfId="0" applyNumberFormat="1" applyFont="1" applyFill="1" applyBorder="1"/>
    <xf numFmtId="167" fontId="20" fillId="10" borderId="1" xfId="0" applyNumberFormat="1" applyFont="1" applyFill="1" applyBorder="1"/>
    <xf numFmtId="167" fontId="0" fillId="0" borderId="1" xfId="0" applyNumberFormat="1" applyBorder="1"/>
    <xf numFmtId="167" fontId="0" fillId="19" borderId="1" xfId="0" applyNumberFormat="1" applyFill="1" applyBorder="1"/>
    <xf numFmtId="0" fontId="19" fillId="25" borderId="32" xfId="0" applyFont="1" applyFill="1" applyBorder="1"/>
    <xf numFmtId="0" fontId="19" fillId="25" borderId="33" xfId="0" applyFont="1" applyFill="1" applyBorder="1"/>
    <xf numFmtId="167" fontId="19" fillId="25" borderId="33" xfId="0" applyNumberFormat="1" applyFont="1" applyFill="1" applyBorder="1"/>
    <xf numFmtId="173" fontId="19" fillId="25" borderId="33" xfId="0" applyNumberFormat="1" applyFont="1" applyFill="1" applyBorder="1"/>
    <xf numFmtId="167" fontId="11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0" fontId="2" fillId="19" borderId="1" xfId="0" applyFont="1" applyFill="1" applyBorder="1"/>
    <xf numFmtId="0" fontId="0" fillId="19" borderId="1" xfId="0" applyFill="1" applyBorder="1"/>
    <xf numFmtId="0" fontId="0" fillId="0" borderId="0" xfId="0" pivotButton="1"/>
    <xf numFmtId="0" fontId="2" fillId="26" borderId="1" xfId="0" applyFont="1" applyFill="1" applyBorder="1"/>
    <xf numFmtId="3" fontId="0" fillId="0" borderId="1" xfId="0" applyNumberFormat="1" applyBorder="1"/>
    <xf numFmtId="0" fontId="0" fillId="0" borderId="1" xfId="0" pivotButton="1" applyBorder="1"/>
    <xf numFmtId="0" fontId="19" fillId="25" borderId="33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3" fontId="20" fillId="0" borderId="1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19" fillId="25" borderId="1" xfId="0" applyFont="1" applyFill="1" applyBorder="1"/>
    <xf numFmtId="0" fontId="19" fillId="25" borderId="1" xfId="0" applyFont="1" applyFill="1" applyBorder="1" applyAlignment="1">
      <alignment horizontal="center"/>
    </xf>
    <xf numFmtId="167" fontId="19" fillId="25" borderId="1" xfId="0" applyNumberFormat="1" applyFont="1" applyFill="1" applyBorder="1"/>
    <xf numFmtId="173" fontId="19" fillId="25" borderId="1" xfId="0" applyNumberFormat="1" applyFont="1" applyFill="1" applyBorder="1"/>
    <xf numFmtId="1" fontId="0" fillId="0" borderId="1" xfId="0" applyNumberFormat="1" applyBorder="1"/>
    <xf numFmtId="17" fontId="0" fillId="0" borderId="1" xfId="0" applyNumberFormat="1" applyBorder="1"/>
    <xf numFmtId="14" fontId="0" fillId="0" borderId="1" xfId="0" applyNumberFormat="1" applyBorder="1"/>
    <xf numFmtId="9" fontId="0" fillId="0" borderId="1" xfId="0" applyNumberFormat="1" applyBorder="1"/>
    <xf numFmtId="0" fontId="11" fillId="0" borderId="0" xfId="0" applyFont="1"/>
    <xf numFmtId="0" fontId="0" fillId="0" borderId="6" xfId="0" applyBorder="1"/>
    <xf numFmtId="0" fontId="2" fillId="0" borderId="6" xfId="0" applyFont="1" applyBorder="1"/>
    <xf numFmtId="0" fontId="2" fillId="19" borderId="0" xfId="0" applyFont="1" applyFill="1"/>
    <xf numFmtId="167" fontId="0" fillId="19" borderId="0" xfId="0" applyNumberFormat="1" applyFill="1"/>
    <xf numFmtId="0" fontId="19" fillId="25" borderId="33" xfId="0" applyFont="1" applyFill="1" applyBorder="1" applyAlignment="1">
      <alignment horizontal="center" wrapText="1"/>
    </xf>
    <xf numFmtId="14" fontId="19" fillId="25" borderId="33" xfId="0" applyNumberFormat="1" applyFont="1" applyFill="1" applyBorder="1" applyAlignment="1">
      <alignment horizontal="center" vertical="center" wrapText="1"/>
    </xf>
    <xf numFmtId="0" fontId="8" fillId="27" borderId="5" xfId="0" applyFont="1" applyFill="1" applyBorder="1"/>
    <xf numFmtId="14" fontId="0" fillId="28" borderId="5" xfId="0" applyNumberFormat="1" applyFill="1" applyBorder="1"/>
    <xf numFmtId="0" fontId="0" fillId="28" borderId="5" xfId="0" applyFill="1" applyBorder="1"/>
    <xf numFmtId="44" fontId="0" fillId="28" borderId="5" xfId="1" applyFont="1" applyFill="1" applyBorder="1"/>
    <xf numFmtId="174" fontId="0" fillId="28" borderId="5" xfId="0" applyNumberFormat="1" applyFill="1" applyBorder="1"/>
    <xf numFmtId="44" fontId="10" fillId="28" borderId="5" xfId="1" applyFont="1" applyFill="1" applyBorder="1"/>
    <xf numFmtId="44" fontId="18" fillId="28" borderId="5" xfId="1" applyFont="1" applyFill="1" applyBorder="1"/>
    <xf numFmtId="44" fontId="0" fillId="28" borderId="5" xfId="0" applyNumberFormat="1" applyFill="1" applyBorder="1"/>
    <xf numFmtId="44" fontId="0" fillId="28" borderId="5" xfId="1" applyFont="1" applyFill="1" applyBorder="1" applyAlignment="1">
      <alignment horizontal="right"/>
    </xf>
    <xf numFmtId="172" fontId="11" fillId="0" borderId="1" xfId="0" applyNumberFormat="1" applyFont="1" applyBorder="1"/>
    <xf numFmtId="0" fontId="2" fillId="19" borderId="1" xfId="0" applyFont="1" applyFill="1" applyBorder="1" applyAlignment="1">
      <alignment horizontal="center"/>
    </xf>
    <xf numFmtId="1" fontId="19" fillId="25" borderId="1" xfId="0" applyNumberFormat="1" applyFont="1" applyFill="1" applyBorder="1" applyAlignment="1">
      <alignment horizontal="center"/>
    </xf>
    <xf numFmtId="0" fontId="0" fillId="22" borderId="0" xfId="0" applyFill="1" applyAlignment="1">
      <alignment horizontal="center"/>
    </xf>
    <xf numFmtId="0" fontId="18" fillId="29" borderId="5" xfId="0" applyFont="1" applyFill="1" applyBorder="1"/>
    <xf numFmtId="0" fontId="18" fillId="29" borderId="5" xfId="0" applyFont="1" applyFill="1" applyBorder="1" applyAlignment="1">
      <alignment horizontal="center"/>
    </xf>
    <xf numFmtId="0" fontId="18" fillId="0" borderId="5" xfId="0" applyFont="1" applyBorder="1"/>
    <xf numFmtId="6" fontId="18" fillId="0" borderId="5" xfId="0" applyNumberFormat="1" applyFont="1" applyBorder="1"/>
    <xf numFmtId="14" fontId="18" fillId="0" borderId="5" xfId="0" applyNumberFormat="1" applyFont="1" applyBorder="1"/>
    <xf numFmtId="8" fontId="18" fillId="0" borderId="5" xfId="0" applyNumberFormat="1" applyFont="1" applyBorder="1"/>
    <xf numFmtId="0" fontId="18" fillId="30" borderId="5" xfId="0" applyFont="1" applyFill="1" applyBorder="1"/>
    <xf numFmtId="14" fontId="18" fillId="30" borderId="5" xfId="0" applyNumberFormat="1" applyFont="1" applyFill="1" applyBorder="1"/>
    <xf numFmtId="8" fontId="18" fillId="30" borderId="5" xfId="0" applyNumberFormat="1" applyFont="1" applyFill="1" applyBorder="1"/>
    <xf numFmtId="44" fontId="0" fillId="19" borderId="0" xfId="1" applyFont="1" applyFill="1"/>
    <xf numFmtId="168" fontId="0" fillId="0" borderId="34" xfId="0" applyNumberFormat="1" applyBorder="1"/>
    <xf numFmtId="168" fontId="0" fillId="0" borderId="35" xfId="0" applyNumberFormat="1" applyBorder="1"/>
    <xf numFmtId="168" fontId="0" fillId="0" borderId="36" xfId="0" applyNumberFormat="1" applyBorder="1"/>
    <xf numFmtId="168" fontId="0" fillId="0" borderId="22" xfId="0" applyNumberFormat="1" applyBorder="1"/>
    <xf numFmtId="168" fontId="0" fillId="0" borderId="21" xfId="0" applyNumberFormat="1" applyBorder="1"/>
    <xf numFmtId="0" fontId="0" fillId="14" borderId="10" xfId="0" applyFill="1" applyBorder="1" applyAlignment="1">
      <alignment horizontal="center"/>
    </xf>
    <xf numFmtId="0" fontId="21" fillId="0" borderId="0" xfId="0" applyFont="1"/>
    <xf numFmtId="0" fontId="0" fillId="31" borderId="0" xfId="0" applyFill="1"/>
    <xf numFmtId="0" fontId="0" fillId="7" borderId="0" xfId="0" applyFill="1"/>
    <xf numFmtId="14" fontId="23" fillId="0" borderId="5" xfId="0" applyNumberFormat="1" applyFont="1" applyBorder="1" applyAlignment="1">
      <alignment wrapText="1"/>
    </xf>
    <xf numFmtId="0" fontId="9" fillId="7" borderId="0" xfId="0" applyFont="1" applyFill="1"/>
    <xf numFmtId="0" fontId="0" fillId="0" borderId="0" xfId="0" applyAlignment="1">
      <alignment horizontal="right" wrapText="1"/>
    </xf>
    <xf numFmtId="0" fontId="2" fillId="7" borderId="0" xfId="0" applyFont="1" applyFill="1" applyAlignment="1">
      <alignment horizontal="left"/>
    </xf>
    <xf numFmtId="0" fontId="24" fillId="7" borderId="0" xfId="0" applyFont="1" applyFill="1" applyAlignment="1">
      <alignment horizontal="left" vertical="center"/>
    </xf>
    <xf numFmtId="0" fontId="0" fillId="7" borderId="0" xfId="0" applyFill="1" applyAlignment="1">
      <alignment horizontal="right"/>
    </xf>
    <xf numFmtId="0" fontId="20" fillId="0" borderId="37" xfId="0" applyFont="1" applyBorder="1"/>
    <xf numFmtId="0" fontId="0" fillId="32" borderId="5" xfId="0" applyFill="1" applyBorder="1" applyAlignment="1">
      <alignment horizontal="right"/>
    </xf>
    <xf numFmtId="0" fontId="0" fillId="32" borderId="5" xfId="0" applyFill="1" applyBorder="1"/>
    <xf numFmtId="0" fontId="22" fillId="32" borderId="5" xfId="0" applyFont="1" applyFill="1" applyBorder="1" applyAlignment="1">
      <alignment horizontal="left" vertical="center" wrapText="1"/>
    </xf>
    <xf numFmtId="0" fontId="24" fillId="32" borderId="5" xfId="0" applyFont="1" applyFill="1" applyBorder="1" applyAlignment="1">
      <alignment horizontal="center" vertical="center" wrapText="1"/>
    </xf>
    <xf numFmtId="0" fontId="24" fillId="32" borderId="5" xfId="0" applyFont="1" applyFill="1" applyBorder="1" applyAlignment="1">
      <alignment horizontal="left" vertical="center"/>
    </xf>
    <xf numFmtId="0" fontId="2" fillId="32" borderId="5" xfId="0" applyFont="1" applyFill="1" applyBorder="1" applyAlignment="1">
      <alignment horizontal="left"/>
    </xf>
    <xf numFmtId="0" fontId="9" fillId="32" borderId="5" xfId="0" applyFont="1" applyFill="1" applyBorder="1"/>
    <xf numFmtId="0" fontId="19" fillId="6" borderId="38" xfId="0" applyFont="1" applyFill="1" applyBorder="1" applyAlignment="1">
      <alignment horizontal="left" vertical="top" wrapText="1"/>
    </xf>
    <xf numFmtId="0" fontId="19" fillId="6" borderId="38" xfId="0" applyFont="1" applyFill="1" applyBorder="1" applyAlignment="1">
      <alignment vertical="top" wrapText="1"/>
    </xf>
    <xf numFmtId="0" fontId="19" fillId="6" borderId="38" xfId="0" applyFont="1" applyFill="1" applyBorder="1" applyAlignment="1">
      <alignment vertical="top"/>
    </xf>
    <xf numFmtId="0" fontId="25" fillId="7" borderId="0" xfId="0" applyFont="1" applyFill="1" applyAlignment="1">
      <alignment horizontal="center" vertical="center" wrapText="1"/>
    </xf>
    <xf numFmtId="169" fontId="20" fillId="0" borderId="37" xfId="3" applyNumberFormat="1" applyFont="1" applyFill="1" applyBorder="1" applyAlignment="1">
      <alignment wrapText="1"/>
    </xf>
    <xf numFmtId="0" fontId="27" fillId="0" borderId="37" xfId="10" applyFont="1" applyFill="1" applyBorder="1" applyAlignment="1">
      <alignment wrapText="1"/>
    </xf>
    <xf numFmtId="0" fontId="20" fillId="0" borderId="37" xfId="0" applyFont="1" applyBorder="1" applyAlignment="1">
      <alignment wrapText="1"/>
    </xf>
    <xf numFmtId="0" fontId="20" fillId="0" borderId="37" xfId="0" applyFont="1" applyBorder="1" applyAlignment="1">
      <alignment horizontal="left" wrapText="1"/>
    </xf>
    <xf numFmtId="0" fontId="20" fillId="0" borderId="37" xfId="0" applyFont="1" applyBorder="1" applyAlignment="1">
      <alignment horizontal="right" wrapText="1"/>
    </xf>
    <xf numFmtId="14" fontId="20" fillId="0" borderId="37" xfId="0" applyNumberFormat="1" applyFont="1" applyBorder="1" applyAlignment="1">
      <alignment wrapText="1"/>
    </xf>
    <xf numFmtId="14" fontId="20" fillId="0" borderId="37" xfId="0" applyNumberFormat="1" applyFont="1" applyBorder="1" applyAlignment="1">
      <alignment horizontal="right" wrapText="1"/>
    </xf>
    <xf numFmtId="1" fontId="20" fillId="0" borderId="37" xfId="0" applyNumberFormat="1" applyFont="1" applyBorder="1" applyAlignment="1">
      <alignment horizontal="right"/>
    </xf>
    <xf numFmtId="14" fontId="20" fillId="0" borderId="37" xfId="0" applyNumberFormat="1" applyFont="1" applyBorder="1" applyAlignment="1">
      <alignment horizontal="right"/>
    </xf>
    <xf numFmtId="1" fontId="20" fillId="0" borderId="37" xfId="0" applyNumberFormat="1" applyFont="1" applyBorder="1"/>
    <xf numFmtId="171" fontId="20" fillId="0" borderId="37" xfId="0" applyNumberFormat="1" applyFont="1" applyBorder="1" applyAlignment="1">
      <alignment horizontal="left"/>
    </xf>
    <xf numFmtId="14" fontId="20" fillId="0" borderId="37" xfId="0" applyNumberFormat="1" applyFont="1" applyBorder="1" applyAlignment="1">
      <alignment horizontal="left" wrapText="1"/>
    </xf>
    <xf numFmtId="0" fontId="20" fillId="0" borderId="37" xfId="0" applyFont="1" applyBorder="1" applyAlignment="1">
      <alignment horizontal="left"/>
    </xf>
    <xf numFmtId="1" fontId="20" fillId="0" borderId="37" xfId="0" applyNumberFormat="1" applyFont="1" applyBorder="1" applyAlignment="1">
      <alignment wrapText="1"/>
    </xf>
    <xf numFmtId="14" fontId="20" fillId="0" borderId="37" xfId="0" applyNumberFormat="1" applyFont="1" applyBorder="1"/>
    <xf numFmtId="14" fontId="28" fillId="0" borderId="37" xfId="0" applyNumberFormat="1" applyFont="1" applyBorder="1" applyAlignment="1">
      <alignment horizontal="right"/>
    </xf>
    <xf numFmtId="14" fontId="2" fillId="7" borderId="0" xfId="0" applyNumberFormat="1" applyFont="1" applyFill="1" applyAlignment="1">
      <alignment horizontal="left"/>
    </xf>
    <xf numFmtId="14" fontId="28" fillId="0" borderId="37" xfId="0" applyNumberFormat="1" applyFont="1" applyBorder="1" applyAlignment="1">
      <alignment horizontal="right" wrapText="1"/>
    </xf>
    <xf numFmtId="0" fontId="0" fillId="23" borderId="5" xfId="0" applyFill="1" applyBorder="1"/>
    <xf numFmtId="14" fontId="0" fillId="23" borderId="5" xfId="0" applyNumberFormat="1" applyFill="1" applyBorder="1"/>
    <xf numFmtId="0" fontId="0" fillId="13" borderId="0" xfId="0" applyFill="1"/>
    <xf numFmtId="0" fontId="0" fillId="13" borderId="0" xfId="0" applyFill="1" applyAlignment="1">
      <alignment wrapText="1"/>
    </xf>
    <xf numFmtId="0" fontId="18" fillId="0" borderId="19" xfId="0" applyFont="1" applyBorder="1"/>
    <xf numFmtId="3" fontId="0" fillId="2" borderId="0" xfId="0" applyNumberFormat="1" applyFill="1"/>
    <xf numFmtId="6" fontId="9" fillId="0" borderId="0" xfId="0" applyNumberFormat="1" applyFont="1"/>
    <xf numFmtId="44" fontId="0" fillId="2" borderId="5" xfId="0" applyNumberFormat="1" applyFill="1" applyBorder="1"/>
    <xf numFmtId="168" fontId="18" fillId="2" borderId="5" xfId="0" applyNumberFormat="1" applyFont="1" applyFill="1" applyBorder="1"/>
    <xf numFmtId="14" fontId="0" fillId="2" borderId="0" xfId="0" applyNumberFormat="1" applyFill="1"/>
    <xf numFmtId="167" fontId="0" fillId="0" borderId="28" xfId="0" applyNumberFormat="1" applyBorder="1"/>
    <xf numFmtId="176" fontId="0" fillId="0" borderId="0" xfId="0" applyNumberFormat="1"/>
    <xf numFmtId="1" fontId="20" fillId="0" borderId="1" xfId="0" applyNumberFormat="1" applyFont="1" applyBorder="1" applyAlignment="1">
      <alignment horizontal="center"/>
    </xf>
    <xf numFmtId="0" fontId="2" fillId="21" borderId="7" xfId="0" applyFont="1" applyFill="1" applyBorder="1" applyAlignment="1">
      <alignment horizontal="centerContinuous"/>
    </xf>
    <xf numFmtId="0" fontId="2" fillId="21" borderId="17" xfId="0" applyFont="1" applyFill="1" applyBorder="1" applyAlignment="1">
      <alignment horizontal="centerContinuous"/>
    </xf>
    <xf numFmtId="0" fontId="2" fillId="20" borderId="7" xfId="0" applyFont="1" applyFill="1" applyBorder="1" applyAlignment="1">
      <alignment horizontal="centerContinuous"/>
    </xf>
    <xf numFmtId="0" fontId="2" fillId="20" borderId="17" xfId="0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2" fillId="4" borderId="17" xfId="0" applyFont="1" applyFill="1" applyBorder="1" applyAlignment="1">
      <alignment horizontal="centerContinuous"/>
    </xf>
    <xf numFmtId="2" fontId="29" fillId="33" borderId="1" xfId="0" applyNumberFormat="1" applyFont="1" applyFill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top" shrinkToFit="1"/>
    </xf>
    <xf numFmtId="2" fontId="6" fillId="2" borderId="23" xfId="0" applyNumberFormat="1" applyFont="1" applyFill="1" applyBorder="1" applyAlignment="1">
      <alignment horizontal="center" vertical="top" shrinkToFit="1"/>
    </xf>
    <xf numFmtId="2" fontId="6" fillId="2" borderId="39" xfId="0" applyNumberFormat="1" applyFont="1" applyFill="1" applyBorder="1" applyAlignment="1">
      <alignment horizontal="center" vertical="top" shrinkToFit="1"/>
    </xf>
    <xf numFmtId="2" fontId="6" fillId="2" borderId="40" xfId="0" applyNumberFormat="1" applyFont="1" applyFill="1" applyBorder="1" applyAlignment="1">
      <alignment horizontal="center" vertical="top" shrinkToFit="1"/>
    </xf>
    <xf numFmtId="2" fontId="30" fillId="2" borderId="5" xfId="0" applyNumberFormat="1" applyFont="1" applyFill="1" applyBorder="1" applyAlignment="1">
      <alignment horizontal="center" wrapText="1"/>
    </xf>
    <xf numFmtId="2" fontId="31" fillId="2" borderId="5" xfId="0" applyNumberFormat="1" applyFont="1" applyFill="1" applyBorder="1" applyAlignment="1">
      <alignment horizontal="center"/>
    </xf>
    <xf numFmtId="2" fontId="31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vertical="top" shrinkToFit="1"/>
    </xf>
    <xf numFmtId="9" fontId="4" fillId="0" borderId="0" xfId="2" applyFont="1" applyAlignment="1">
      <alignment vertical="top" wrapText="1"/>
    </xf>
    <xf numFmtId="44" fontId="4" fillId="0" borderId="0" xfId="1" applyFont="1" applyAlignment="1">
      <alignment vertical="top" wrapText="1"/>
    </xf>
    <xf numFmtId="2" fontId="6" fillId="2" borderId="1" xfId="0" applyNumberFormat="1" applyFont="1" applyFill="1" applyBorder="1" applyAlignment="1">
      <alignment horizontal="left" vertical="top" indent="1" shrinkToFit="1"/>
    </xf>
    <xf numFmtId="2" fontId="6" fillId="2" borderId="23" xfId="0" applyNumberFormat="1" applyFont="1" applyFill="1" applyBorder="1" applyAlignment="1">
      <alignment horizontal="left" vertical="top" indent="1" shrinkToFit="1"/>
    </xf>
    <xf numFmtId="2" fontId="6" fillId="2" borderId="5" xfId="0" applyNumberFormat="1" applyFont="1" applyFill="1" applyBorder="1" applyAlignment="1">
      <alignment horizontal="left" vertical="top" indent="1" shrinkToFit="1"/>
    </xf>
    <xf numFmtId="0" fontId="0" fillId="17" borderId="7" xfId="0" applyFill="1" applyBorder="1" applyAlignment="1">
      <alignment horizontal="centerContinuous"/>
    </xf>
    <xf numFmtId="0" fontId="0" fillId="17" borderId="17" xfId="0" applyFill="1" applyBorder="1" applyAlignment="1">
      <alignment horizontal="centerContinuous"/>
    </xf>
    <xf numFmtId="0" fontId="0" fillId="14" borderId="7" xfId="0" applyFill="1" applyBorder="1" applyAlignment="1">
      <alignment horizontal="centerContinuous"/>
    </xf>
    <xf numFmtId="0" fontId="0" fillId="14" borderId="5" xfId="0" applyFill="1" applyBorder="1" applyAlignment="1">
      <alignment horizontal="centerContinuous"/>
    </xf>
    <xf numFmtId="0" fontId="0" fillId="6" borderId="7" xfId="0" applyFill="1" applyBorder="1" applyAlignment="1">
      <alignment horizontal="centerContinuous"/>
    </xf>
    <xf numFmtId="0" fontId="0" fillId="6" borderId="5" xfId="0" applyFill="1" applyBorder="1" applyAlignment="1">
      <alignment horizontal="centerContinuous"/>
    </xf>
    <xf numFmtId="177" fontId="0" fillId="0" borderId="5" xfId="0" applyNumberFormat="1" applyBorder="1"/>
    <xf numFmtId="178" fontId="0" fillId="0" borderId="5" xfId="1" applyNumberFormat="1" applyFont="1" applyBorder="1"/>
    <xf numFmtId="0" fontId="0" fillId="0" borderId="8" xfId="0" applyBorder="1" applyAlignment="1">
      <alignment vertical="center"/>
    </xf>
    <xf numFmtId="165" fontId="0" fillId="0" borderId="5" xfId="0" applyNumberFormat="1" applyBorder="1"/>
    <xf numFmtId="0" fontId="0" fillId="0" borderId="8" xfId="0" applyBorder="1"/>
    <xf numFmtId="0" fontId="0" fillId="14" borderId="17" xfId="0" applyFill="1" applyBorder="1" applyAlignment="1">
      <alignment horizontal="centerContinuous"/>
    </xf>
    <xf numFmtId="0" fontId="0" fillId="10" borderId="15" xfId="0" applyFill="1" applyBorder="1" applyAlignment="1">
      <alignment horizontal="centerContinuous"/>
    </xf>
    <xf numFmtId="0" fontId="0" fillId="10" borderId="5" xfId="0" applyFill="1" applyBorder="1" applyAlignment="1">
      <alignment horizontal="centerContinuous"/>
    </xf>
    <xf numFmtId="0" fontId="2" fillId="0" borderId="19" xfId="0" applyFont="1" applyBorder="1"/>
    <xf numFmtId="2" fontId="0" fillId="0" borderId="0" xfId="2" applyNumberFormat="1" applyFont="1" applyFill="1" applyBorder="1"/>
    <xf numFmtId="44" fontId="0" fillId="0" borderId="5" xfId="1" applyFont="1" applyBorder="1" applyAlignment="1">
      <alignment horizontal="right" wrapText="1"/>
    </xf>
    <xf numFmtId="44" fontId="14" fillId="13" borderId="5" xfId="0" applyNumberFormat="1" applyFont="1" applyFill="1" applyBorder="1" applyAlignment="1">
      <alignment wrapText="1"/>
    </xf>
    <xf numFmtId="175" fontId="19" fillId="25" borderId="15" xfId="0" applyNumberFormat="1" applyFont="1" applyFill="1" applyBorder="1" applyAlignment="1">
      <alignment horizontal="center"/>
    </xf>
    <xf numFmtId="175" fontId="19" fillId="25" borderId="5" xfId="0" applyNumberFormat="1" applyFont="1" applyFill="1" applyBorder="1" applyAlignment="1">
      <alignment horizontal="center"/>
    </xf>
    <xf numFmtId="0" fontId="26" fillId="7" borderId="0" xfId="0" applyFont="1" applyFill="1" applyAlignment="1">
      <alignment horizontal="centerContinuous" vertical="center" wrapText="1"/>
    </xf>
    <xf numFmtId="0" fontId="9" fillId="7" borderId="0" xfId="0" applyFont="1" applyFill="1" applyAlignment="1">
      <alignment horizontal="centerContinuous" vertical="center"/>
    </xf>
    <xf numFmtId="0" fontId="2" fillId="7" borderId="0" xfId="0" applyFont="1" applyFill="1" applyAlignment="1">
      <alignment horizontal="centerContinuous" vertical="center"/>
    </xf>
    <xf numFmtId="14" fontId="2" fillId="32" borderId="5" xfId="0" applyNumberFormat="1" applyFont="1" applyFill="1" applyBorder="1" applyAlignment="1">
      <alignment horizontal="left"/>
    </xf>
    <xf numFmtId="14" fontId="19" fillId="6" borderId="38" xfId="0" applyNumberFormat="1" applyFont="1" applyFill="1" applyBorder="1" applyAlignment="1">
      <alignment vertical="top" wrapText="1"/>
    </xf>
    <xf numFmtId="3" fontId="20" fillId="0" borderId="37" xfId="0" applyNumberFormat="1" applyFont="1" applyBorder="1" applyAlignment="1">
      <alignment wrapText="1"/>
    </xf>
    <xf numFmtId="14" fontId="0" fillId="0" borderId="0" xfId="0" applyNumberFormat="1" applyAlignment="1">
      <alignment wrapText="1"/>
    </xf>
    <xf numFmtId="14" fontId="20" fillId="22" borderId="1" xfId="0" applyNumberFormat="1" applyFont="1" applyFill="1" applyBorder="1" applyAlignment="1">
      <alignment horizontal="center"/>
    </xf>
    <xf numFmtId="1" fontId="2" fillId="0" borderId="5" xfId="0" applyNumberFormat="1" applyFont="1" applyBorder="1"/>
    <xf numFmtId="168" fontId="0" fillId="0" borderId="5" xfId="0" applyNumberFormat="1" applyBorder="1" applyAlignment="1">
      <alignment wrapText="1"/>
    </xf>
    <xf numFmtId="168" fontId="14" fillId="0" borderId="5" xfId="0" applyNumberFormat="1" applyFont="1" applyBorder="1"/>
    <xf numFmtId="168" fontId="14" fillId="0" borderId="5" xfId="1" applyNumberFormat="1" applyFont="1" applyBorder="1"/>
    <xf numFmtId="168" fontId="2" fillId="0" borderId="5" xfId="1" applyNumberFormat="1" applyFont="1" applyBorder="1"/>
    <xf numFmtId="168" fontId="2" fillId="0" borderId="5" xfId="0" applyNumberFormat="1" applyFont="1" applyBorder="1"/>
    <xf numFmtId="168" fontId="0" fillId="0" borderId="5" xfId="1" applyNumberFormat="1" applyFont="1" applyFill="1" applyBorder="1"/>
    <xf numFmtId="168" fontId="2" fillId="0" borderId="0" xfId="0" applyNumberFormat="1" applyFont="1" applyAlignment="1">
      <alignment wrapText="1"/>
    </xf>
    <xf numFmtId="1" fontId="0" fillId="0" borderId="5" xfId="1" applyNumberFormat="1" applyFont="1" applyBorder="1"/>
    <xf numFmtId="1" fontId="2" fillId="0" borderId="0" xfId="0" applyNumberFormat="1" applyFont="1"/>
    <xf numFmtId="1" fontId="2" fillId="11" borderId="17" xfId="0" applyNumberFormat="1" applyFont="1" applyFill="1" applyBorder="1"/>
    <xf numFmtId="1" fontId="2" fillId="0" borderId="5" xfId="0" applyNumberFormat="1" applyFont="1" applyBorder="1" applyAlignment="1">
      <alignment wrapText="1"/>
    </xf>
    <xf numFmtId="1" fontId="2" fillId="10" borderId="17" xfId="0" applyNumberFormat="1" applyFont="1" applyFill="1" applyBorder="1"/>
    <xf numFmtId="168" fontId="0" fillId="0" borderId="0" xfId="1" applyNumberFormat="1" applyFont="1" applyFill="1" applyBorder="1"/>
    <xf numFmtId="168" fontId="2" fillId="0" borderId="0" xfId="0" applyNumberFormat="1" applyFont="1"/>
    <xf numFmtId="0" fontId="32" fillId="7" borderId="0" xfId="0" applyFont="1" applyFill="1" applyAlignment="1">
      <alignment vertical="center"/>
    </xf>
    <xf numFmtId="0" fontId="33" fillId="7" borderId="0" xfId="0" applyFont="1" applyFill="1" applyAlignment="1">
      <alignment horizontal="left" vertical="center"/>
    </xf>
    <xf numFmtId="0" fontId="8" fillId="7" borderId="44" xfId="0" applyFont="1" applyFill="1" applyBorder="1"/>
    <xf numFmtId="0" fontId="0" fillId="7" borderId="44" xfId="0" applyFill="1" applyBorder="1" applyAlignment="1">
      <alignment horizontal="left"/>
    </xf>
    <xf numFmtId="0" fontId="0" fillId="7" borderId="0" xfId="0" applyFill="1" applyAlignment="1">
      <alignment horizontal="left"/>
    </xf>
    <xf numFmtId="0" fontId="8" fillId="7" borderId="0" xfId="0" applyFont="1" applyFill="1" applyAlignment="1">
      <alignment horizontal="left" vertical="center"/>
    </xf>
    <xf numFmtId="0" fontId="0" fillId="7" borderId="0" xfId="0" applyFill="1" applyAlignment="1">
      <alignment wrapText="1"/>
    </xf>
    <xf numFmtId="0" fontId="9" fillId="7" borderId="0" xfId="0" applyFont="1" applyFill="1" applyAlignment="1">
      <alignment wrapText="1"/>
    </xf>
    <xf numFmtId="0" fontId="8" fillId="7" borderId="0" xfId="0" applyFont="1" applyFill="1"/>
    <xf numFmtId="0" fontId="9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horizontal="left"/>
    </xf>
    <xf numFmtId="0" fontId="2" fillId="20" borderId="7" xfId="0" applyFont="1" applyFill="1" applyBorder="1" applyAlignment="1">
      <alignment horizontal="center"/>
    </xf>
    <xf numFmtId="0" fontId="2" fillId="20" borderId="17" xfId="0" applyFont="1" applyFill="1" applyBorder="1" applyAlignment="1">
      <alignment horizontal="center"/>
    </xf>
    <xf numFmtId="0" fontId="2" fillId="20" borderId="8" xfId="0" applyFont="1" applyFill="1" applyBorder="1" applyAlignment="1">
      <alignment horizontal="center"/>
    </xf>
    <xf numFmtId="0" fontId="2" fillId="21" borderId="7" xfId="0" applyFont="1" applyFill="1" applyBorder="1" applyAlignment="1">
      <alignment horizontal="center"/>
    </xf>
    <xf numFmtId="0" fontId="2" fillId="21" borderId="17" xfId="0" applyFont="1" applyFill="1" applyBorder="1" applyAlignment="1">
      <alignment horizontal="center"/>
    </xf>
    <xf numFmtId="0" fontId="2" fillId="21" borderId="8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10" borderId="5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top"/>
    </xf>
    <xf numFmtId="0" fontId="4" fillId="5" borderId="25" xfId="0" applyFont="1" applyFill="1" applyBorder="1" applyAlignment="1">
      <alignment horizontal="center" vertical="top"/>
    </xf>
    <xf numFmtId="0" fontId="4" fillId="5" borderId="26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11" borderId="5" xfId="0" applyFont="1" applyFill="1" applyBorder="1" applyAlignment="1">
      <alignment horizontal="center" vertical="top" wrapText="1"/>
    </xf>
    <xf numFmtId="0" fontId="4" fillId="11" borderId="7" xfId="0" applyFont="1" applyFill="1" applyBorder="1" applyAlignment="1">
      <alignment horizontal="center" vertical="top" wrapText="1"/>
    </xf>
    <xf numFmtId="0" fontId="4" fillId="11" borderId="17" xfId="0" applyFont="1" applyFill="1" applyBorder="1" applyAlignment="1">
      <alignment horizontal="center" vertical="top" wrapText="1"/>
    </xf>
    <xf numFmtId="0" fontId="4" fillId="11" borderId="8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4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2" fillId="26" borderId="2" xfId="0" applyFont="1" applyFill="1" applyBorder="1" applyAlignment="1">
      <alignment horizontal="center"/>
    </xf>
    <xf numFmtId="0" fontId="2" fillId="26" borderId="3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7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2" fillId="22" borderId="41" xfId="0" applyFont="1" applyFill="1" applyBorder="1" applyAlignment="1">
      <alignment horizontal="center" wrapText="1"/>
    </xf>
    <xf numFmtId="0" fontId="2" fillId="22" borderId="42" xfId="0" applyFont="1" applyFill="1" applyBorder="1" applyAlignment="1">
      <alignment horizontal="center" wrapText="1"/>
    </xf>
    <xf numFmtId="0" fontId="2" fillId="22" borderId="43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9" fontId="10" fillId="3" borderId="5" xfId="4" applyNumberFormat="1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1">
    <cellStyle name="Comma" xfId="3" builtinId="3"/>
    <cellStyle name="Comma 2" xfId="6" xr:uid="{0844A2D3-35D2-4397-8DC8-F3C0803A1A13}"/>
    <cellStyle name="Currency" xfId="1" builtinId="4"/>
    <cellStyle name="Currency 2" xfId="8" xr:uid="{E5C6008F-EEF2-418B-A79A-8A799C11C6BF}"/>
    <cellStyle name="Hyperlink" xfId="10" builtinId="8"/>
    <cellStyle name="Input" xfId="4" builtinId="20"/>
    <cellStyle name="Normal" xfId="0" builtinId="0"/>
    <cellStyle name="Normal 2" xfId="5" xr:uid="{7664855C-33F4-4346-B603-7E8F21245E60}"/>
    <cellStyle name="Normal 2 3" xfId="9" xr:uid="{4195A85D-37C6-4D41-A3D0-D27709AD6D78}"/>
    <cellStyle name="Percent" xfId="2" builtinId="5"/>
    <cellStyle name="Percent 2" xfId="7" xr:uid="{44D845B3-203D-4FE5-8A88-9996502DDE83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00000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" formatCode="#,##0"/>
    </dxf>
  </dxfs>
  <tableStyles count="0" defaultTableStyle="TableStyleMedium2" defaultPivotStyle="PivotStyleLight16"/>
  <colors>
    <mruColors>
      <color rgb="FF008D52"/>
      <color rgb="FFFFFF99"/>
      <color rgb="FFEBF938"/>
      <color rgb="FFA6D8E4"/>
      <color rgb="FFC68891"/>
      <color rgb="FFC2E4EC"/>
      <color rgb="FFD8ACB2"/>
      <color rgb="FF83C9D9"/>
      <color rgb="FFA14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104775</xdr:rowOff>
    </xdr:from>
    <xdr:to>
      <xdr:col>10</xdr:col>
      <xdr:colOff>500520</xdr:colOff>
      <xdr:row>8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477000-8F8B-4FC9-A835-BFD29389D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975" y="104775"/>
          <a:ext cx="2262645" cy="1435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85724</xdr:colOff>
      <xdr:row>1</xdr:row>
      <xdr:rowOff>114300</xdr:rowOff>
    </xdr:from>
    <xdr:to>
      <xdr:col>4</xdr:col>
      <xdr:colOff>400049</xdr:colOff>
      <xdr:row>5</xdr:row>
      <xdr:rowOff>99574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F9B5F5-0E23-4093-9CB8-6E3AFD8AC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424" y="482600"/>
          <a:ext cx="2143125" cy="721874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286703</xdr:colOff>
      <xdr:row>8</xdr:row>
      <xdr:rowOff>52071</xdr:rowOff>
    </xdr:from>
    <xdr:to>
      <xdr:col>10</xdr:col>
      <xdr:colOff>542925</xdr:colOff>
      <xdr:row>18</xdr:row>
      <xdr:rowOff>133349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26AEDD0D-D320-43CD-92F1-9CF22B973E42}"/>
            </a:ext>
            <a:ext uri="{147F2762-F138-4A5C-976F-8EAC2B608ADB}">
              <a16:predDERef xmlns:a16="http://schemas.microsoft.com/office/drawing/2014/main" pred="{94A1DD62-6AA1-460A-B283-04C72ABA798D}"/>
            </a:ext>
          </a:extLst>
        </xdr:cNvPr>
        <xdr:cNvSpPr txBox="1"/>
      </xdr:nvSpPr>
      <xdr:spPr>
        <a:xfrm>
          <a:off x="286703" y="1760221"/>
          <a:ext cx="6136322" cy="2354578"/>
        </a:xfrm>
        <a:prstGeom prst="rect">
          <a:avLst/>
        </a:prstGeom>
        <a:solidFill>
          <a:sysClr val="window" lastClr="FFFFFF"/>
        </a:solidFill>
        <a:ln w="38100" cmpd="sng">
          <a:solidFill>
            <a:srgbClr val="008D5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>
            <a:spcBef>
              <a:spcPts val="600"/>
            </a:spcBef>
          </a:pPr>
          <a:r>
            <a:rPr lang="en-US" sz="1200" b="0" baseline="0">
              <a:solidFill>
                <a:srgbClr val="484A4F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workbook was developed for use in the Oregon Community Solar Program administered by the Oregon Public Utility Commission. For questions about this workbook, please contact OPUC Staff:</a:t>
          </a:r>
        </a:p>
        <a:p>
          <a:pPr eaLnBrk="1" fontAlgn="auto" latinLnBrk="0" hangingPunct="1">
            <a:spcBef>
              <a:spcPts val="600"/>
            </a:spcBef>
          </a:pPr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Joe Abraham, Ph.D. (he/him)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Senior Utility Analyst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Oregon Public Utility Commission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 High Street SE,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Salem, OR 97301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(503) 428-0699</a:t>
          </a:r>
        </a:p>
        <a:p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joseph.abraham@puc.oregon.gov</a:t>
          </a:r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pPr eaLnBrk="1" fontAlgn="auto" latinLnBrk="0" hangingPunct="1">
            <a:spcBef>
              <a:spcPts val="600"/>
            </a:spcBef>
          </a:pPr>
          <a:endParaRPr lang="en-US" sz="1200" b="0" baseline="0">
            <a:solidFill>
              <a:srgbClr val="484A4F"/>
            </a:solidFill>
            <a:effectLst/>
            <a:latin typeface="Franklin Gothic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142873</xdr:colOff>
      <xdr:row>1</xdr:row>
      <xdr:rowOff>76200</xdr:rowOff>
    </xdr:from>
    <xdr:to>
      <xdr:col>3</xdr:col>
      <xdr:colOff>819149</xdr:colOff>
      <xdr:row>3</xdr:row>
      <xdr:rowOff>128753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A3DBACE-BE31-487D-9D1E-E97069E5283B}"/>
            </a:ext>
            <a:ext uri="{147F2762-F138-4A5C-976F-8EAC2B608ADB}">
              <a16:predDERef xmlns:a16="http://schemas.microsoft.com/office/drawing/2014/main" pred="{2EE0BFF7-B8EB-4C47-B44D-53B7CE02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3" y="76200"/>
          <a:ext cx="1905001" cy="6431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yan Bird" id="{2A19756D-8A96-4EF2-9579-0A69931EE3C7}" userId="S::rbird@energy-solution.com::c081cb2a-037b-4fe1-a6dd-e46af71a12e5" providerId="AD"/>
  <person displayName="Sam Lauer" id="{326ECB5C-DC3B-499D-9F51-FC6E8FFCF938}" userId="S::slauer@energy-solution.com::6abcb7b4-28e6-4bc1-ab19-0fedeb159329" providerId="AD"/>
  <person displayName="Katie Freitag" id="{53826BFF-F7EB-432C-8258-9FBD22AD615D}" userId="S::kfreitag@energy-solution.com::dda29777-291c-404d-93f9-63fc556a7df0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 Lauer" refreshedDate="45845.640897453704" createdVersion="8" refreshedVersion="8" minRefreshableVersion="3" recordCount="80" xr:uid="{6B7FA10B-B182-4A60-950C-4F8F2621945E}">
  <cacheSource type="worksheet">
    <worksheetSource ref="A3:Y83" sheet="PA Fees by Project"/>
  </cacheSource>
  <cacheFields count="23">
    <cacheField name="Utility Queue Number" numFmtId="0">
      <sharedItems containsMixedTypes="1" containsNumber="1" containsInteger="1" minValue="532" maxValue="532"/>
    </cacheField>
    <cacheField name="Utility Service Area " numFmtId="0">
      <sharedItems count="3">
        <s v="PGE"/>
        <s v="PAC"/>
        <s v="IP"/>
      </sharedItems>
    </cacheField>
    <cacheField name="Match" numFmtId="0">
      <sharedItems containsBlank="1"/>
    </cacheField>
    <cacheField name="CSP Project ID" numFmtId="0">
      <sharedItems/>
    </cacheField>
    <cacheField name="Project Name" numFmtId="0">
      <sharedItems/>
    </cacheField>
    <cacheField name="CSP Project Status" numFmtId="0">
      <sharedItems/>
    </cacheField>
    <cacheField name="Initial owner entity/parent owner entity" numFmtId="0">
      <sharedItems/>
    </cacheField>
    <cacheField name="Current owner entity/parent owner entity" numFmtId="0">
      <sharedItems/>
    </cacheField>
    <cacheField name="Capacity Tier" numFmtId="0">
      <sharedItems containsSemiMixedTypes="0" containsString="0" containsNumber="1" containsInteger="1" minValue="1" maxValue="2" count="2">
        <n v="1"/>
        <n v="2"/>
      </sharedItems>
    </cacheField>
    <cacheField name="Carve-out Eligible?" numFmtId="0">
      <sharedItems count="2">
        <s v="No"/>
        <s v="Yes"/>
      </sharedItems>
    </cacheField>
    <cacheField name="Total Capacity (kW-AC)" numFmtId="0">
      <sharedItems containsSemiMixedTypes="0" containsString="0" containsNumber="1" minValue="40" maxValue="3000"/>
    </cacheField>
    <cacheField name="Pre-Certification Date" numFmtId="14">
      <sharedItems containsSemiMixedTypes="0" containsNonDate="0" containsDate="1" containsString="0" minDate="2020-03-11T00:00:00" maxDate="2025-04-25T00:00:00"/>
    </cacheField>
    <cacheField name="Current Certification Deadline _x000a_(Pre-Certified projects)" numFmtId="14">
      <sharedItems containsDate="1" containsMixedTypes="1" minDate="2024-11-17T00:00:00" maxDate="2026-10-25T00:00:00"/>
    </cacheField>
    <cacheField name="QA Check" numFmtId="0">
      <sharedItems containsBlank="1"/>
    </cacheField>
    <cacheField name="Operational Date _x000a_(Operational Projects)" numFmtId="14">
      <sharedItems containsDate="1" containsMixedTypes="1" minDate="2021-03-01T00:00:00" maxDate="2025-05-17T00:00:00"/>
    </cacheField>
    <cacheField name="Certification Date _x000a_(Certified and Operational Projects)" numFmtId="14">
      <sharedItems containsDate="1" containsMixedTypes="1" minDate="2021-02-11T00:00:00" maxDate="2025-06-12T00:00:00"/>
    </cacheField>
    <cacheField name="QA Check2" numFmtId="14">
      <sharedItems containsBlank="1"/>
    </cacheField>
    <cacheField name="Current COD - Utility Provided" numFmtId="14">
      <sharedItems containsDate="1" containsMixedTypes="1" minDate="2021-02-11T00:00:00" maxDate="2026-12-31T00:00:00"/>
    </cacheField>
    <cacheField name="Compare Anticipated Operational Date for Pre-Certified Projects and Utility COD" numFmtId="14">
      <sharedItems/>
    </cacheField>
    <cacheField name="Planned Certified" numFmtId="14">
      <sharedItems containsSemiMixedTypes="0" containsNonDate="0" containsDate="1" containsString="0" minDate="2021-02-11T00:00:00" maxDate="2026-10-25T00:00:00"/>
    </cacheField>
    <cacheField name="Planned COD" numFmtId="14">
      <sharedItems containsDate="1" containsMixedTypes="1" minDate="2021-03-01T00:00:00" maxDate="2027-04-06T00:00:00"/>
    </cacheField>
    <cacheField name="Planned PA Fees Begin" numFmtId="14">
      <sharedItems containsSemiMixedTypes="0" containsNonDate="0" containsDate="1" containsString="0" minDate="2021-05-01T00:00:00" maxDate="2027-06-25T00:00:00"/>
    </cacheField>
    <cacheField name="PA Fee Estimate (Monthly)" numFmtId="167">
      <sharedItems containsSemiMixedTypes="0" containsString="0" containsNumber="1" minValue="15.3" maxValue="2167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s v="SPQ0158"/>
    <x v="0"/>
    <s v="Present"/>
    <s v="PGE-2020-56"/>
    <s v="Carnes Creek Solar LLC"/>
    <s v="Operational"/>
    <s v="Conifer Energy Partners"/>
    <s v="Arcadia"/>
    <x v="0"/>
    <x v="0"/>
    <n v="2500"/>
    <d v="2020-04-27T00:00:00"/>
    <s v="Operational"/>
    <b v="1"/>
    <d v="2022-12-15T00:00:00"/>
    <d v="2022-11-30T00:00:00"/>
    <b v="1"/>
    <d v="2022-12-13T00:00:00"/>
    <s v="IGNORE"/>
    <d v="2022-11-30T00:00:00"/>
    <d v="2022-12-15T00:00:00"/>
    <d v="2023-02-15T00:00:00"/>
    <n v="1806.25"/>
  </r>
  <r>
    <s v="OCS044"/>
    <x v="1"/>
    <s v="Present"/>
    <s v="PP-2021-116"/>
    <s v="Cherry Creek Solar"/>
    <s v="Operational"/>
    <s v="TLS Capital"/>
    <s v="GreenKey Solar"/>
    <x v="0"/>
    <x v="1"/>
    <n v="359"/>
    <d v="2021-07-29T00:00:00"/>
    <s v="Operational"/>
    <b v="1"/>
    <d v="2023-05-17T00:00:00"/>
    <d v="2022-12-14T00:00:00"/>
    <b v="1"/>
    <d v="2022-10-18T00:00:00"/>
    <s v="IGNORE"/>
    <d v="2022-12-14T00:00:00"/>
    <d v="2023-05-17T00:00:00"/>
    <d v="2023-07-17T00:00:00"/>
    <n v="137.3175"/>
  </r>
  <r>
    <s v="SPQ0152"/>
    <x v="0"/>
    <s v="Present"/>
    <s v="PGE-2020-34"/>
    <s v="Cosper Creek Solar LLC"/>
    <s v="Operational"/>
    <s v="TLS Capital"/>
    <s v="Arcadia"/>
    <x v="0"/>
    <x v="0"/>
    <n v="2500"/>
    <d v="2020-04-27T00:00:00"/>
    <s v="Operational"/>
    <b v="1"/>
    <d v="2022-12-15T00:00:00"/>
    <d v="2022-11-30T00:00:00"/>
    <b v="1"/>
    <d v="2021-06-01T00:00:00"/>
    <s v="IGNORE"/>
    <d v="2022-11-30T00:00:00"/>
    <d v="2022-12-15T00:00:00"/>
    <d v="2023-02-15T00:00:00"/>
    <n v="1806.25"/>
  </r>
  <r>
    <s v="SPQ0070"/>
    <x v="0"/>
    <s v="Present"/>
    <s v="PGE-2020-51"/>
    <s v="Dunn Rd"/>
    <s v="Operational"/>
    <s v="Neighborhood Power"/>
    <s v="Neighborhood Power"/>
    <x v="0"/>
    <x v="0"/>
    <n v="1848"/>
    <d v="2020-05-07T00:00:00"/>
    <s v="Operational"/>
    <b v="1"/>
    <d v="2021-03-01T00:00:00"/>
    <d v="2021-02-11T00:00:00"/>
    <b v="1"/>
    <d v="2021-02-11T00:00:00"/>
    <s v="IGNORE"/>
    <d v="2021-02-11T00:00:00"/>
    <d v="2021-03-01T00:00:00"/>
    <d v="2021-05-01T00:00:00"/>
    <n v="1335.1799999999998"/>
  </r>
  <r>
    <s v="SPQ0164"/>
    <x v="0"/>
    <s v="Present"/>
    <s v="PGE-2020-41"/>
    <s v="Fruitland Creek Solar"/>
    <s v="Operational"/>
    <s v="TLS Capital"/>
    <s v="Arcadia"/>
    <x v="0"/>
    <x v="0"/>
    <n v="1750"/>
    <d v="2020-04-27T00:00:00"/>
    <s v="Operational"/>
    <b v="1"/>
    <d v="2022-12-15T00:00:00"/>
    <d v="2022-11-30T00:00:00"/>
    <b v="1"/>
    <d v="2024-05-14T00:00:00"/>
    <s v="IGNORE"/>
    <d v="2022-11-30T00:00:00"/>
    <d v="2022-12-15T00:00:00"/>
    <d v="2023-02-15T00:00:00"/>
    <n v="1264.375"/>
  </r>
  <r>
    <s v="OCS018"/>
    <x v="1"/>
    <s v="Present"/>
    <s v="PP-2021-110"/>
    <s v="Hay Creek Solar"/>
    <s v="Operational"/>
    <s v="TLS Capital"/>
    <s v="TLS Capital"/>
    <x v="1"/>
    <x v="0"/>
    <n v="567"/>
    <d v="2022-04-15T00:00:00"/>
    <s v="Operational"/>
    <b v="1"/>
    <d v="2023-08-01T00:00:00"/>
    <d v="2022-12-14T00:00:00"/>
    <b v="1"/>
    <d v="2022-11-14T00:00:00"/>
    <s v="IGNORE"/>
    <d v="2022-12-14T00:00:00"/>
    <d v="2023-08-01T00:00:00"/>
    <d v="2023-10-01T00:00:00"/>
    <n v="409.65749999999997"/>
  </r>
  <r>
    <s v="CSQ0002"/>
    <x v="0"/>
    <s v="Present"/>
    <s v="PGE-2020-70"/>
    <s v="Jim and Salle's Place Apartments"/>
    <s v="Operational"/>
    <s v="Rose CDC"/>
    <s v="Rose CDC"/>
    <x v="0"/>
    <x v="1"/>
    <n v="40"/>
    <d v="2020-04-27T00:00:00"/>
    <s v="Operational"/>
    <b v="1"/>
    <d v="2022-06-03T00:00:00"/>
    <d v="2022-05-18T00:00:00"/>
    <b v="1"/>
    <d v="2022-08-15T00:00:00"/>
    <s v="IGNORE"/>
    <d v="2022-05-18T00:00:00"/>
    <d v="2022-06-03T00:00:00"/>
    <d v="2022-08-03T00:00:00"/>
    <n v="15.3"/>
  </r>
  <r>
    <s v="SPQ0094"/>
    <x v="0"/>
    <s v="Present"/>
    <s v="PGE-2020-42"/>
    <s v="Kaiser Creek Solar LLC"/>
    <s v="Operational"/>
    <s v="HEP"/>
    <s v="HEP"/>
    <x v="0"/>
    <x v="0"/>
    <n v="2000"/>
    <d v="2020-04-27T00:00:00"/>
    <s v="Operational"/>
    <b v="1"/>
    <d v="2022-12-15T00:00:00"/>
    <d v="2022-11-30T00:00:00"/>
    <b v="1"/>
    <d v="2022-12-13T00:00:00"/>
    <s v="IGNORE"/>
    <d v="2022-11-30T00:00:00"/>
    <d v="2022-12-15T00:00:00"/>
    <d v="2023-02-15T00:00:00"/>
    <n v="1445"/>
  </r>
  <r>
    <s v="OCS025"/>
    <x v="1"/>
    <s v="Present"/>
    <s v="PP-2020-80"/>
    <s v="Linkville Solar"/>
    <s v="Operational"/>
    <s v="TLS Capital"/>
    <s v="Arcadia"/>
    <x v="0"/>
    <x v="0"/>
    <n v="2800"/>
    <d v="2020-11-17T00:00:00"/>
    <s v="Operational"/>
    <b v="1"/>
    <d v="2024-05-03T00:00:00"/>
    <d v="2023-12-29T00:00:00"/>
    <b v="1"/>
    <d v="2023-08-31T00:00:00"/>
    <s v="IGNORE"/>
    <d v="2023-12-29T00:00:00"/>
    <d v="2024-05-03T00:00:00"/>
    <d v="2024-07-03T00:00:00"/>
    <n v="2023"/>
  </r>
  <r>
    <s v="SPQ0124"/>
    <x v="0"/>
    <s v="Present"/>
    <s v="PGE-2020-52"/>
    <s v="Mt Hope Solar"/>
    <s v="Operational"/>
    <s v="Neighborhood Power"/>
    <s v="Neighborhood Power"/>
    <x v="0"/>
    <x v="0"/>
    <n v="2502"/>
    <d v="2020-05-07T00:00:00"/>
    <s v="Operational"/>
    <b v="1"/>
    <d v="2021-03-01T00:00:00"/>
    <d v="2021-02-11T00:00:00"/>
    <b v="1"/>
    <d v="2022-12-13T00:00:00"/>
    <s v="IGNORE"/>
    <d v="2021-02-11T00:00:00"/>
    <d v="2021-03-01T00:00:00"/>
    <d v="2021-05-01T00:00:00"/>
    <n v="1807.6949999999997"/>
  </r>
  <r>
    <s v="OCS042"/>
    <x v="1"/>
    <s v="Present"/>
    <s v="PP-2020-78"/>
    <s v="Oregon Shakespeare Festival Community Solar Project"/>
    <s v="Operational"/>
    <s v="Oregon Clean Power Cooperative "/>
    <s v="Oregon Clean Power Cooperative"/>
    <x v="0"/>
    <x v="1"/>
    <n v="129.6"/>
    <d v="2020-11-05T00:00:00"/>
    <s v="Operational"/>
    <b v="1"/>
    <d v="2022-03-14T00:00:00"/>
    <d v="2021-09-22T00:00:00"/>
    <b v="1"/>
    <d v="2021-07-30T00:00:00"/>
    <s v="IGNORE"/>
    <d v="2021-09-22T00:00:00"/>
    <d v="2022-03-14T00:00:00"/>
    <d v="2022-05-14T00:00:00"/>
    <n v="49.572000000000003"/>
  </r>
  <r>
    <s v="SPQ0058"/>
    <x v="0"/>
    <s v="Present"/>
    <s v="PGE-2020-40"/>
    <s v="Red Prairie Solar"/>
    <s v="Operational"/>
    <s v="TLS Capital"/>
    <s v="TLS Capital"/>
    <x v="0"/>
    <x v="0"/>
    <n v="2200"/>
    <d v="2020-03-13T00:00:00"/>
    <s v="Operational"/>
    <b v="1"/>
    <d v="2021-10-19T00:00:00"/>
    <d v="2021-10-06T00:00:00"/>
    <b v="1"/>
    <d v="2022-12-13T00:00:00"/>
    <s v="IGNORE"/>
    <d v="2021-10-06T00:00:00"/>
    <d v="2021-10-19T00:00:00"/>
    <d v="2021-12-19T00:00:00"/>
    <n v="1589.5"/>
  </r>
  <r>
    <s v="SPQ0125"/>
    <x v="0"/>
    <s v="Present"/>
    <s v="PGE-2020-1"/>
    <s v="River Valley"/>
    <s v="Operational"/>
    <s v="Neighborhood Power"/>
    <s v="Neighborhood Power"/>
    <x v="1"/>
    <x v="0"/>
    <n v="1998"/>
    <d v="2022-04-21T00:00:00"/>
    <s v="Operational"/>
    <b v="1"/>
    <d v="2023-02-01T00:00:00"/>
    <d v="2022-12-14T00:00:00"/>
    <b v="1"/>
    <d v="2022-12-13T00:00:00"/>
    <s v="IGNORE"/>
    <d v="2022-12-14T00:00:00"/>
    <d v="2023-02-01T00:00:00"/>
    <d v="2023-04-01T00:00:00"/>
    <n v="1443.5549999999998"/>
  </r>
  <r>
    <s v="SPQ0071"/>
    <x v="0"/>
    <s v="Present"/>
    <s v="PGE-2020-38"/>
    <s v="Sandy River Solar"/>
    <s v="Operational"/>
    <s v="TLS Capital"/>
    <s v="Arcadia"/>
    <x v="0"/>
    <x v="0"/>
    <n v="1850"/>
    <d v="2020-04-27T00:00:00"/>
    <s v="Operational"/>
    <b v="1"/>
    <d v="2022-12-15T00:00:00"/>
    <d v="2022-11-30T00:00:00"/>
    <b v="1"/>
    <d v="2023-02-27T00:00:00"/>
    <s v="IGNORE"/>
    <d v="2022-11-30T00:00:00"/>
    <d v="2022-12-15T00:00:00"/>
    <d v="2023-02-15T00:00:00"/>
    <n v="1336.625"/>
  </r>
  <r>
    <s v="SPQ0181"/>
    <x v="0"/>
    <s v="Present"/>
    <s v="PGE-2020-45"/>
    <s v="Sesqui-C Solar LLC"/>
    <s v="Operational"/>
    <s v="Conifer Energy Partners"/>
    <s v="Arcadia"/>
    <x v="0"/>
    <x v="0"/>
    <n v="2500"/>
    <d v="2020-04-27T00:00:00"/>
    <s v="Operational"/>
    <b v="1"/>
    <d v="2022-12-15T00:00:00"/>
    <d v="2022-11-30T00:00:00"/>
    <b v="1"/>
    <d v="2022-12-13T00:00:00"/>
    <s v="IGNORE"/>
    <d v="2022-11-30T00:00:00"/>
    <d v="2022-12-15T00:00:00"/>
    <d v="2023-02-15T00:00:00"/>
    <n v="1806.25"/>
  </r>
  <r>
    <s v="SPQ0067"/>
    <x v="0"/>
    <s v="Present"/>
    <s v="PGE-2020-22"/>
    <s v="Skyward Solar"/>
    <s v="Operational"/>
    <s v="Nautilus Solar"/>
    <s v="Standard Solar"/>
    <x v="0"/>
    <x v="0"/>
    <n v="2500"/>
    <d v="2020-03-13T00:00:00"/>
    <s v="Operational"/>
    <b v="1"/>
    <d v="2022-12-01T00:00:00"/>
    <d v="2022-11-30T00:00:00"/>
    <b v="1"/>
    <d v="2022-12-13T00:00:00"/>
    <s v="IGNORE"/>
    <d v="2022-11-30T00:00:00"/>
    <d v="2022-12-01T00:00:00"/>
    <d v="2023-02-01T00:00:00"/>
    <n v="1806.25"/>
  </r>
  <r>
    <s v="CSQ0010"/>
    <x v="0"/>
    <s v="Present"/>
    <s v="PGE-2022-148"/>
    <s v="Solar Harvest"/>
    <s v="Operational"/>
    <s v="Oregon Clean Power Cooperative"/>
    <s v="Oregon Clean Power Cooperative"/>
    <x v="1"/>
    <x v="1"/>
    <n v="300"/>
    <d v="2022-10-08T00:00:00"/>
    <s v="Operational"/>
    <b v="1"/>
    <d v="2024-05-21T00:00:00"/>
    <d v="2024-05-17T00:00:00"/>
    <b v="1"/>
    <d v="2024-09-06T00:00:00"/>
    <s v="IGNORE"/>
    <d v="2024-05-17T00:00:00"/>
    <d v="2024-05-21T00:00:00"/>
    <d v="2024-07-21T00:00:00"/>
    <n v="114.75"/>
  </r>
  <r>
    <s v="OCS005"/>
    <x v="1"/>
    <s v="Present"/>
    <s v="PP-2020-35"/>
    <s v="Wallowa County Community Solar"/>
    <s v="Operational"/>
    <s v="Fleet Development"/>
    <s v="Fleet Development"/>
    <x v="0"/>
    <x v="1"/>
    <n v="360"/>
    <d v="2020-04-27T00:00:00"/>
    <s v="Operational"/>
    <b v="1"/>
    <d v="2022-07-01T00:00:00"/>
    <d v="2022-02-09T00:00:00"/>
    <b v="1"/>
    <d v="2021-12-30T00:00:00"/>
    <s v="IGNORE"/>
    <d v="2022-02-09T00:00:00"/>
    <d v="2022-07-01T00:00:00"/>
    <d v="2022-09-01T00:00:00"/>
    <n v="137.70000000000002"/>
  </r>
  <r>
    <s v="OCS020"/>
    <x v="1"/>
    <s v="Present"/>
    <s v="PP-2021-92"/>
    <s v="Whisky Creek Solar"/>
    <s v="Operational"/>
    <s v="TLS Capital"/>
    <s v="TLS Capital"/>
    <x v="0"/>
    <x v="1"/>
    <n v="165"/>
    <d v="2021-04-20T00:00:00"/>
    <s v="Operational"/>
    <b v="1"/>
    <d v="2023-07-06T00:00:00"/>
    <d v="2022-12-14T00:00:00"/>
    <b v="1"/>
    <d v="2022-08-15T00:00:00"/>
    <s v="IGNORE"/>
    <d v="2022-12-14T00:00:00"/>
    <d v="2023-07-06T00:00:00"/>
    <d v="2023-09-06T00:00:00"/>
    <n v="63.112500000000004"/>
  </r>
  <r>
    <s v="SPQ0166"/>
    <x v="0"/>
    <s v="Present"/>
    <s v="PGE-2020-48"/>
    <s v="Williams Acres"/>
    <s v="Operational"/>
    <s v="Neighborhood Power"/>
    <s v="Neighborhood Power"/>
    <x v="0"/>
    <x v="0"/>
    <n v="2502"/>
    <d v="2020-05-07T00:00:00"/>
    <s v="Operational"/>
    <b v="1"/>
    <d v="2021-04-05T00:00:00"/>
    <d v="2021-02-11T00:00:00"/>
    <b v="1"/>
    <d v="2021-02-11T00:00:00"/>
    <s v="IGNORE"/>
    <d v="2021-02-11T00:00:00"/>
    <d v="2021-04-05T00:00:00"/>
    <d v="2021-06-05T00:00:00"/>
    <n v="1807.6949999999997"/>
  </r>
  <r>
    <s v="OCS019"/>
    <x v="1"/>
    <s v="Present"/>
    <s v="PP-2020-85"/>
    <s v="Wocus Marsh Solar"/>
    <s v="Operational"/>
    <s v="TLS Capital"/>
    <s v="TLS Capital"/>
    <x v="0"/>
    <x v="0"/>
    <n v="882"/>
    <d v="2021-04-20T00:00:00"/>
    <s v="Operational"/>
    <b v="1"/>
    <d v="2023-08-01T00:00:00"/>
    <d v="2022-12-14T00:00:00"/>
    <b v="1"/>
    <d v="2022-08-15T00:00:00"/>
    <s v="IGNORE"/>
    <d v="2022-12-14T00:00:00"/>
    <d v="2023-08-01T00:00:00"/>
    <d v="2023-10-01T00:00:00"/>
    <n v="637.24499999999989"/>
  </r>
  <r>
    <s v="OCS046"/>
    <x v="1"/>
    <s v="Present"/>
    <s v="PP-2021-109"/>
    <s v="Antelope Creek Solar"/>
    <s v="Operational"/>
    <s v="TLS Capital"/>
    <s v="Luminace"/>
    <x v="1"/>
    <x v="0"/>
    <n v="2250"/>
    <d v="2022-04-15T00:00:00"/>
    <s v="Operational"/>
    <b v="1"/>
    <d v="2024-09-20T00:00:00"/>
    <d v="2024-06-12T00:00:00"/>
    <b v="1"/>
    <d v="2024-06-21T00:00:00"/>
    <s v="IGNORE"/>
    <d v="2024-06-12T00:00:00"/>
    <d v="2024-09-20T00:00:00"/>
    <d v="2024-11-20T00:00:00"/>
    <n v="1625.625"/>
  </r>
  <r>
    <s v="OCS036"/>
    <x v="1"/>
    <s v="Present"/>
    <s v="PP-2020-84"/>
    <s v="Pine Grove Solar"/>
    <s v="Operational"/>
    <s v="TLS Capital"/>
    <s v="Luminace"/>
    <x v="0"/>
    <x v="0"/>
    <n v="1400"/>
    <d v="2020-12-29T00:00:00"/>
    <s v="Operational"/>
    <b v="1"/>
    <d v="2025-01-21T00:00:00"/>
    <d v="2023-10-18T00:00:00"/>
    <b v="1"/>
    <d v="2024-07-03T00:00:00"/>
    <s v="IGNORE"/>
    <d v="2023-10-18T00:00:00"/>
    <d v="2025-01-21T00:00:00"/>
    <d v="2025-03-21T00:00:00"/>
    <n v="1011.5"/>
  </r>
  <r>
    <s v="OCS034"/>
    <x v="1"/>
    <s v="Present"/>
    <s v="PP-2020-86"/>
    <s v="Round Lake Solar"/>
    <s v="Operational"/>
    <s v="TLS Capital"/>
    <s v="Luminace"/>
    <x v="0"/>
    <x v="0"/>
    <n v="978"/>
    <d v="2020-12-29T00:00:00"/>
    <s v="Operational"/>
    <b v="1"/>
    <d v="2024-12-19T00:00:00"/>
    <d v="2023-10-18T00:00:00"/>
    <b v="1"/>
    <d v="2024-08-28T00:00:00"/>
    <s v="IGNORE"/>
    <d v="2023-10-18T00:00:00"/>
    <d v="2024-12-19T00:00:00"/>
    <d v="2025-02-19T00:00:00"/>
    <n v="706.6049999999999"/>
  </r>
  <r>
    <n v="532"/>
    <x v="2"/>
    <s v="Present"/>
    <s v="IP-2020-72"/>
    <s v="Verde Light Community Solar"/>
    <s v="Operational"/>
    <s v="Fleet Development"/>
    <s v="Fleet Development"/>
    <x v="0"/>
    <x v="0"/>
    <n v="2950"/>
    <d v="2020-06-18T00:00:00"/>
    <s v="Operational"/>
    <b v="1"/>
    <d v="2024-06-13T00:00:00"/>
    <d v="2024-06-12T00:00:00"/>
    <b v="1"/>
    <d v="2021-10-29T00:00:00"/>
    <s v="IGNORE"/>
    <d v="2024-06-12T00:00:00"/>
    <d v="2024-06-13T00:00:00"/>
    <d v="2024-08-13T00:00:00"/>
    <n v="2131.375"/>
  </r>
  <r>
    <s v="CSQ0015"/>
    <x v="0"/>
    <s v="Present"/>
    <s v="PGE-2024-177"/>
    <s v="Bradley Solar 2"/>
    <s v="Pre-Certified"/>
    <s v="Hawthorne Renewables LLC"/>
    <s v="Hawthorne Renewables LLC"/>
    <x v="1"/>
    <x v="0"/>
    <n v="1000"/>
    <d v="2024-05-17T00:00:00"/>
    <d v="2025-11-17T00:00:00"/>
    <b v="1"/>
    <s v=""/>
    <s v="Not Yet Certified"/>
    <b v="1"/>
    <d v="2026-12-30T00:00:00"/>
    <b v="0"/>
    <d v="2025-11-17T00:00:00"/>
    <d v="2026-12-30T00:00:00"/>
    <d v="2027-02-28T00:00:00"/>
    <n v="722.5"/>
  </r>
  <r>
    <s v="OCS063"/>
    <x v="1"/>
    <s v="Present"/>
    <s v="PP-2021-103"/>
    <s v="Buckaroo Solar 2"/>
    <s v="Pre-Certified"/>
    <s v="Sunthurst"/>
    <s v="Sunthurst"/>
    <x v="1"/>
    <x v="0"/>
    <n v="2990"/>
    <d v="2022-04-30T00:00:00"/>
    <d v="2025-09-30T00:00:00"/>
    <b v="1"/>
    <s v=""/>
    <s v="Not Yet Certified"/>
    <b v="1"/>
    <d v="2025-09-30T00:00:00"/>
    <b v="1"/>
    <d v="2025-09-30T00:00:00"/>
    <d v="2026-03-30T00:00:00"/>
    <d v="2026-05-30T00:00:00"/>
    <n v="2160.2750000000001"/>
  </r>
  <r>
    <s v="Q0666"/>
    <x v="1"/>
    <s v="Present"/>
    <s v="PP-2020-13"/>
    <s v="Pilot Rock Solar 1"/>
    <s v="Certified"/>
    <s v="Sunthurst"/>
    <s v="Sunthurst"/>
    <x v="0"/>
    <x v="0"/>
    <n v="1980"/>
    <d v="2020-03-11T00:00:00"/>
    <s v="Certified"/>
    <b v="1"/>
    <s v=""/>
    <d v="2025-04-29T00:00:00"/>
    <b v="1"/>
    <d v="2025-09-30T00:00:00"/>
    <s v="IGNORE"/>
    <d v="2025-04-29T00:00:00"/>
    <d v="2025-10-29T00:00:00"/>
    <d v="2025-12-29T00:00:00"/>
    <n v="1430.55"/>
  </r>
  <r>
    <s v="Q1045"/>
    <x v="1"/>
    <s v="Present"/>
    <s v="PP-2020-71"/>
    <s v="Pilot Rock Solar 2"/>
    <s v="Certified"/>
    <s v="Sunthurst"/>
    <s v="Sunthurst"/>
    <x v="0"/>
    <x v="0"/>
    <n v="2990"/>
    <d v="2020-04-27T00:00:00"/>
    <s v="Certified"/>
    <b v="1"/>
    <s v=""/>
    <d v="2025-04-29T00:00:00"/>
    <b v="1"/>
    <d v="2025-09-30T00:00:00"/>
    <s v="IGNORE"/>
    <d v="2025-04-29T00:00:00"/>
    <d v="2025-10-29T00:00:00"/>
    <d v="2025-12-29T00:00:00"/>
    <n v="2160.2750000000001"/>
  </r>
  <r>
    <s v="OCS062"/>
    <x v="1"/>
    <s v="Present"/>
    <s v="PP-2021-104"/>
    <s v="Buckaroo Solar 1 LLC"/>
    <s v="Pre-Certified"/>
    <s v="Sunthurst"/>
    <s v="Sunthurst"/>
    <x v="1"/>
    <x v="0"/>
    <n v="2400"/>
    <d v="2022-04-30T00:00:00"/>
    <d v="2025-09-25T00:00:00"/>
    <b v="1"/>
    <s v=""/>
    <s v="Not Yet Certified"/>
    <b v="1"/>
    <d v="2025-09-30T00:00:00"/>
    <b v="1"/>
    <d v="2025-09-25T00:00:00"/>
    <d v="2026-03-25T00:00:00"/>
    <d v="2026-05-25T00:00:00"/>
    <n v="1734"/>
  </r>
  <r>
    <s v="SPQ0272"/>
    <x v="0"/>
    <s v="Present"/>
    <s v="PGE-2023-167"/>
    <s v="Lincoln Solar LLC"/>
    <s v="Pre-Certified"/>
    <s v="Conifer Energy Partners"/>
    <s v="Conifer Energy Partners"/>
    <x v="1"/>
    <x v="0"/>
    <n v="2985"/>
    <d v="2023-12-23T00:00:00"/>
    <d v="2025-06-23T00:00:00"/>
    <b v="1"/>
    <s v=""/>
    <s v="Not Yet Certified"/>
    <b v="1"/>
    <s v="Project is still under the  study process"/>
    <b v="0"/>
    <d v="2025-06-23T00:00:00"/>
    <s v="Project is still under the  study process"/>
    <d v="2026-02-23T00:00:00"/>
    <n v="2156.6624999999999"/>
  </r>
  <r>
    <s v="SPQ0261"/>
    <x v="0"/>
    <s v="Present"/>
    <s v="PGE-2023-161"/>
    <s v="Rodeo Solar"/>
    <s v="Pre-Certified"/>
    <s v="Conifer Energy Partners"/>
    <s v="Kendall Sustainable Infrastructure"/>
    <x v="1"/>
    <x v="0"/>
    <n v="2250"/>
    <d v="2023-09-21T00:00:00"/>
    <d v="2025-12-12T00:00:00"/>
    <b v="1"/>
    <s v=""/>
    <s v="Not Yet Certified"/>
    <b v="1"/>
    <d v="2025-12-12T00:00:00"/>
    <b v="1"/>
    <d v="2025-12-12T00:00:00"/>
    <d v="2026-06-12T00:00:00"/>
    <d v="2026-08-12T00:00:00"/>
    <n v="1625.625"/>
  </r>
  <r>
    <s v="SPQ0266"/>
    <x v="0"/>
    <s v="Present"/>
    <s v="PGE-2023-157"/>
    <s v="Apricus Solar LLC"/>
    <s v="Pre-Certified"/>
    <s v="Conifer Energy Partners"/>
    <s v="Kendall Sustainable Infrastructure"/>
    <x v="1"/>
    <x v="0"/>
    <n v="2500"/>
    <d v="2023-07-15T00:00:00"/>
    <d v="2025-09-25T00:00:00"/>
    <b v="1"/>
    <s v=""/>
    <s v="Not Yet Certified"/>
    <b v="1"/>
    <d v="2025-09-25T00:00:00"/>
    <b v="1"/>
    <d v="2025-09-25T00:00:00"/>
    <d v="2026-03-25T00:00:00"/>
    <d v="2026-05-25T00:00:00"/>
    <n v="1806.25"/>
  </r>
  <r>
    <s v="SPQ0191"/>
    <x v="0"/>
    <s v="Present"/>
    <s v="PGE-2020-21"/>
    <s v="Buckner Creek Solar LLC"/>
    <s v="Operational"/>
    <s v="Conifer Energy Partners"/>
    <s v="Luminace"/>
    <x v="1"/>
    <x v="0"/>
    <n v="2500"/>
    <d v="2022-04-15T00:00:00"/>
    <s v="Operational"/>
    <b v="1"/>
    <d v="2025-05-16T00:00:00"/>
    <d v="2024-12-11T00:00:00"/>
    <b v="1"/>
    <d v="2024-12-04T00:00:00"/>
    <s v="IGNORE"/>
    <d v="2024-12-11T00:00:00"/>
    <d v="2025-05-16T00:00:00"/>
    <d v="2025-07-16T00:00:00"/>
    <n v="1806.25"/>
  </r>
  <r>
    <s v="OCS039"/>
    <x v="1"/>
    <s v="Present"/>
    <s v="PP-2021-97"/>
    <s v="Kelly Creek Solar"/>
    <s v="Pre-Certified"/>
    <s v="Coast Energy, LLC"/>
    <s v="Coast Energy, LLC"/>
    <x v="1"/>
    <x v="0"/>
    <n v="2250"/>
    <d v="2022-04-15T00:00:00"/>
    <d v="2025-04-30T00:00:00"/>
    <b v="1"/>
    <s v=""/>
    <s v="Not Yet Certified"/>
    <b v="1"/>
    <d v="2024-12-06T00:00:00"/>
    <b v="1"/>
    <d v="2025-04-30T00:00:00"/>
    <d v="2025-10-30T00:00:00"/>
    <d v="2025-12-30T00:00:00"/>
    <n v="1625.625"/>
  </r>
  <r>
    <s v="OCS024"/>
    <x v="1"/>
    <s v="Present"/>
    <s v="PP-2020-81"/>
    <s v="Tutuilla Solar"/>
    <s v="Pre-Certified"/>
    <s v="Sunthurst"/>
    <s v="Sunthurst"/>
    <x v="0"/>
    <x v="0"/>
    <n v="1560"/>
    <d v="2020-11-17T00:00:00"/>
    <d v="2024-11-17T00:00:00"/>
    <b v="1"/>
    <s v=""/>
    <s v="Not Yet Certified"/>
    <b v="1"/>
    <d v="2025-09-30T00:00:00"/>
    <b v="0"/>
    <d v="2024-11-17T00:00:00"/>
    <d v="2025-09-30T00:00:00"/>
    <d v="2025-11-30T00:00:00"/>
    <n v="1127.0999999999999"/>
  </r>
  <r>
    <s v="SPQ0157"/>
    <x v="0"/>
    <s v="Present"/>
    <s v="PGE-2020-37"/>
    <s v="Gun Club Solar LLC"/>
    <s v="Operational"/>
    <s v="Conifer Energy Partners"/>
    <s v="Luminace"/>
    <x v="1"/>
    <x v="0"/>
    <n v="2500"/>
    <d v="2022-04-15T00:00:00"/>
    <s v="Operational"/>
    <b v="1"/>
    <d v="2024-12-16T00:00:00"/>
    <d v="2024-12-11T00:00:00"/>
    <b v="1"/>
    <d v="2024-10-31T00:00:00"/>
    <s v="IGNORE"/>
    <d v="2024-12-11T00:00:00"/>
    <d v="2024-12-16T00:00:00"/>
    <d v="2025-02-16T00:00:00"/>
    <n v="1806.25"/>
  </r>
  <r>
    <s v="SPQ0093"/>
    <x v="0"/>
    <s v="Present"/>
    <s v="PGE-2020-53"/>
    <s v="Marquam Creek Solar LLC"/>
    <s v="Operational"/>
    <s v="Greenkey Solar"/>
    <s v="Luminace"/>
    <x v="1"/>
    <x v="0"/>
    <n v="1900"/>
    <d v="2022-04-15T00:00:00"/>
    <s v="Operational"/>
    <b v="1"/>
    <d v="2024-12-16T00:00:00"/>
    <d v="2024-12-11T00:00:00"/>
    <b v="1"/>
    <d v="2024-08-31T00:00:00"/>
    <s v="IGNORE"/>
    <d v="2024-12-11T00:00:00"/>
    <d v="2024-12-16T00:00:00"/>
    <d v="2025-02-16T00:00:00"/>
    <n v="1372.75"/>
  </r>
  <r>
    <s v=" CSQ0004"/>
    <x v="0"/>
    <s v="Present"/>
    <s v="PGE-2021-115"/>
    <s v="Mompano Solar"/>
    <s v="Operational"/>
    <s v="Greenkey Solar"/>
    <s v="Coast Energy, LLC"/>
    <x v="1"/>
    <x v="0"/>
    <n v="2000"/>
    <d v="2022-04-15T00:00:00"/>
    <s v="Operational"/>
    <b v="1"/>
    <d v="2025-03-10T00:00:00"/>
    <d v="2025-03-04T00:00:00"/>
    <b v="1"/>
    <d v="2024-12-09T00:00:00"/>
    <s v="IGNORE"/>
    <d v="2025-03-04T00:00:00"/>
    <d v="2025-03-10T00:00:00"/>
    <d v="2025-05-10T00:00:00"/>
    <n v="1445"/>
  </r>
  <r>
    <s v="OCS049"/>
    <x v="1"/>
    <s v="Present"/>
    <s v="PP-2021-113"/>
    <s v="Chapman Creek Solar"/>
    <s v="Operational"/>
    <s v="TLS Capital"/>
    <s v="Luminace"/>
    <x v="1"/>
    <x v="0"/>
    <n v="2990"/>
    <d v="2022-04-15T00:00:00"/>
    <s v="Operational"/>
    <b v="1"/>
    <d v="2025-05-15T00:00:00"/>
    <d v="2024-12-11T00:00:00"/>
    <b v="1"/>
    <d v="2024-10-18T00:00:00"/>
    <s v="IGNORE"/>
    <d v="2024-12-11T00:00:00"/>
    <d v="2025-05-15T00:00:00"/>
    <d v="2025-07-15T00:00:00"/>
    <n v="2160.2750000000001"/>
  </r>
  <r>
    <s v="OCS041"/>
    <x v="1"/>
    <s v="Present"/>
    <s v="PP-2021-95"/>
    <s v="Burg Solar"/>
    <s v="Pre-Certified"/>
    <s v="Sulus"/>
    <s v="TLS Capital"/>
    <x v="1"/>
    <x v="0"/>
    <n v="1500"/>
    <d v="2022-04-15T00:00:00"/>
    <d v="2025-11-01T00:00:00"/>
    <b v="1"/>
    <s v=""/>
    <s v="Not Yet Certified"/>
    <b v="1"/>
    <d v="2024-12-06T00:00:00"/>
    <b v="1"/>
    <d v="2025-11-01T00:00:00"/>
    <d v="2026-05-01T00:00:00"/>
    <d v="2026-07-01T00:00:00"/>
    <n v="1083.75"/>
  </r>
  <r>
    <s v="OCS008"/>
    <x v="1"/>
    <s v="Present"/>
    <s v="PP-2020-76"/>
    <s v="Burlingame Solar LLC"/>
    <s v="Pre-Certified"/>
    <s v="Sulus"/>
    <s v="GreenKey Solar"/>
    <x v="0"/>
    <x v="0"/>
    <n v="2125"/>
    <d v="2020-12-29T00:00:00"/>
    <d v="2025-11-01T00:00:00"/>
    <b v="1"/>
    <s v=""/>
    <s v="Not Yet Certified"/>
    <b v="1"/>
    <d v="2024-09-06T00:00:00"/>
    <b v="1"/>
    <d v="2025-11-01T00:00:00"/>
    <d v="2026-05-01T00:00:00"/>
    <d v="2026-07-01T00:00:00"/>
    <n v="1535.3125"/>
  </r>
  <r>
    <s v="OCS051"/>
    <x v="1"/>
    <s v="Present"/>
    <s v="PP-2022-142"/>
    <s v="Canyonville Solar 2"/>
    <s v="Pre-Certified"/>
    <s v="Sulus"/>
    <s v="SolRiver Capital"/>
    <x v="1"/>
    <x v="0"/>
    <n v="1500"/>
    <d v="2022-05-11T00:00:00"/>
    <d v="2026-06-26T00:00:00"/>
    <b v="1"/>
    <s v=""/>
    <s v="Not Yet Certified"/>
    <b v="1"/>
    <d v="2026-05-22T00:00:00"/>
    <b v="1"/>
    <d v="2026-06-26T00:00:00"/>
    <d v="2026-12-26T00:00:00"/>
    <d v="2027-02-26T00:00:00"/>
    <n v="1083.75"/>
  </r>
  <r>
    <s v="OCS050"/>
    <x v="1"/>
    <s v="Present"/>
    <s v="PP-2021-94"/>
    <s v="Canyonville Solar 1"/>
    <s v="Pre-Certified"/>
    <s v="Sulus"/>
    <s v="SolRiver Capital"/>
    <x v="1"/>
    <x v="0"/>
    <n v="1000"/>
    <d v="2022-05-11T00:00:00"/>
    <d v="2026-06-26T00:00:00"/>
    <b v="1"/>
    <s v=""/>
    <s v="Not Yet Certified"/>
    <b v="1"/>
    <d v="2026-05-22T00:00:00"/>
    <b v="1"/>
    <d v="2026-06-26T00:00:00"/>
    <d v="2026-12-26T00:00:00"/>
    <d v="2027-02-26T00:00:00"/>
    <n v="722.5"/>
  </r>
  <r>
    <s v="OCS035"/>
    <x v="1"/>
    <s v="Present"/>
    <s v="PP-2021-111"/>
    <s v="Orchard Knob Solar"/>
    <s v="Operational"/>
    <s v="TLS Capital"/>
    <s v="Luminace"/>
    <x v="1"/>
    <x v="0"/>
    <n v="2250"/>
    <d v="2022-04-15T00:00:00"/>
    <s v="Operational"/>
    <b v="1"/>
    <d v="2025-01-24T00:00:00"/>
    <d v="2024-10-30T00:00:00"/>
    <b v="1"/>
    <d v="2024-09-13T00:00:00"/>
    <s v="IGNORE"/>
    <d v="2024-10-30T00:00:00"/>
    <d v="2025-01-24T00:00:00"/>
    <d v="2025-03-24T00:00:00"/>
    <n v="1625.625"/>
  </r>
  <r>
    <s v="OCS012"/>
    <x v="1"/>
    <s v="Present"/>
    <s v="PP-2020-63"/>
    <s v="Goodling Annex"/>
    <s v="Certified"/>
    <s v="Bonneville Environmental Foundation"/>
    <s v="Bonneville Environmental Foundation"/>
    <x v="0"/>
    <x v="1"/>
    <n v="1000"/>
    <d v="2020-04-27T00:00:00"/>
    <s v="Certified"/>
    <b v="1"/>
    <s v=""/>
    <d v="2024-10-30T00:00:00"/>
    <b v="1"/>
    <d v="2024-09-13T00:00:00"/>
    <s v="IGNORE"/>
    <d v="2024-10-30T00:00:00"/>
    <d v="2025-04-30T00:00:00"/>
    <d v="2025-06-30T00:00:00"/>
    <n v="382.5"/>
  </r>
  <r>
    <s v="SPQ0220"/>
    <x v="0"/>
    <s v="Present"/>
    <s v="PGE-2020-11"/>
    <s v="Cork Solar LLC"/>
    <s v="Operational"/>
    <s v="Solar Town"/>
    <s v="Luminace"/>
    <x v="1"/>
    <x v="0"/>
    <n v="1260"/>
    <d v="2022-04-30T00:00:00"/>
    <s v="Operational"/>
    <b v="1"/>
    <d v="2024-12-16T00:00:00"/>
    <d v="2024-12-11T00:00:00"/>
    <b v="1"/>
    <d v="2024-09-26T00:00:00"/>
    <s v="IGNORE"/>
    <d v="2024-12-11T00:00:00"/>
    <d v="2024-12-16T00:00:00"/>
    <d v="2025-02-16T00:00:00"/>
    <n v="910.35"/>
  </r>
  <r>
    <s v="SPQ0179"/>
    <x v="0"/>
    <s v="Present"/>
    <s v="PGE-2020-18"/>
    <s v="Waterford Solar"/>
    <s v="Pre-Certified"/>
    <s v="Solar Town"/>
    <s v="Luminace"/>
    <x v="1"/>
    <x v="0"/>
    <n v="2565"/>
    <d v="2022-04-30T00:00:00"/>
    <d v="2025-07-01T00:00:00"/>
    <b v="1"/>
    <s v=""/>
    <d v="2025-06-11T00:00:00"/>
    <b v="0"/>
    <d v="2024-07-26T00:00:00"/>
    <b v="1"/>
    <d v="2025-07-01T00:00:00"/>
    <d v="2026-01-01T00:00:00"/>
    <d v="2026-03-01T00:00:00"/>
    <n v="1853.2124999999999"/>
  </r>
  <r>
    <s v="SPQ0193"/>
    <x v="0"/>
    <s v="Present"/>
    <s v="PGE-2020-19"/>
    <s v="Dover Solar"/>
    <s v="Operational"/>
    <s v="Solar Town"/>
    <s v="Luminace"/>
    <x v="0"/>
    <x v="0"/>
    <n v="1980"/>
    <d v="2020-04-27T00:00:00"/>
    <s v="Operational"/>
    <b v="1"/>
    <d v="2024-12-16T00:00:00"/>
    <d v="2024-12-11T00:00:00"/>
    <b v="1"/>
    <d v="2025-02-05T00:00:00"/>
    <s v="IGNORE"/>
    <d v="2024-12-11T00:00:00"/>
    <d v="2024-12-16T00:00:00"/>
    <d v="2025-02-16T00:00:00"/>
    <n v="1430.55"/>
  </r>
  <r>
    <s v="SPQ0186"/>
    <x v="0"/>
    <s v="Present"/>
    <s v="PGE-2020-15"/>
    <s v="Belvedere Solar"/>
    <s v="Operational"/>
    <s v="SPI"/>
    <s v="Luminace"/>
    <x v="0"/>
    <x v="0"/>
    <n v="2970"/>
    <d v="2020-04-27T00:00:00"/>
    <s v="Operational"/>
    <b v="1"/>
    <d v="2024-12-16T00:00:00"/>
    <d v="2024-12-11T00:00:00"/>
    <b v="1"/>
    <d v="2024-07-26T00:00:00"/>
    <s v="IGNORE"/>
    <d v="2024-12-11T00:00:00"/>
    <d v="2024-12-16T00:00:00"/>
    <d v="2025-02-16T00:00:00"/>
    <n v="2145.8249999999998"/>
  </r>
  <r>
    <s v="SPQ0250"/>
    <x v="0"/>
    <s v="Present"/>
    <s v="PGE-2020-75"/>
    <s v="Auburn Solar"/>
    <s v="Operational"/>
    <s v="Sulus"/>
    <s v="SolRiver Capital"/>
    <x v="1"/>
    <x v="0"/>
    <n v="2970"/>
    <d v="2022-04-15T00:00:00"/>
    <s v="Operational"/>
    <b v="1"/>
    <d v="2024-07-01T00:00:00"/>
    <d v="2024-06-25T00:00:00"/>
    <b v="1"/>
    <d v="2023-12-15T00:00:00"/>
    <s v="IGNORE"/>
    <d v="2024-06-25T00:00:00"/>
    <d v="2024-07-01T00:00:00"/>
    <d v="2024-09-01T00:00:00"/>
    <n v="2145.8249999999998"/>
  </r>
  <r>
    <s v="OCS057"/>
    <x v="1"/>
    <s v="Present"/>
    <s v="PP-2020-88"/>
    <s v="Perrydale Solar"/>
    <s v="Pre-Certified"/>
    <s v="Sulus; SolRiver Capital"/>
    <s v="Evergreen Renewables"/>
    <x v="1"/>
    <x v="0"/>
    <n v="999.99"/>
    <d v="2022-04-15T00:00:00"/>
    <d v="2025-06-19T00:00:00"/>
    <b v="1"/>
    <s v=""/>
    <s v="Not Yet Certified"/>
    <b v="1"/>
    <d v="2025-05-09T00:00:00"/>
    <b v="1"/>
    <d v="2025-06-19T00:00:00"/>
    <d v="2025-12-19T00:00:00"/>
    <d v="2026-02-19T00:00:00"/>
    <n v="722.49277499999994"/>
  </r>
  <r>
    <s v="OCS027"/>
    <x v="1"/>
    <s v="Present"/>
    <s v="PP-2020-82"/>
    <s v="Marble Solar"/>
    <s v="Operational"/>
    <s v="Sulus"/>
    <s v="SolRiver Capital"/>
    <x v="0"/>
    <x v="0"/>
    <n v="2875"/>
    <d v="2020-12-29T00:00:00"/>
    <s v="Operational"/>
    <b v="1"/>
    <d v="2025-04-01T00:00:00"/>
    <d v="2025-01-22T00:00:00"/>
    <b v="1"/>
    <d v="2024-10-18T00:00:00"/>
    <s v="IGNORE"/>
    <d v="2025-01-22T00:00:00"/>
    <d v="2025-04-01T00:00:00"/>
    <d v="2025-06-01T00:00:00"/>
    <n v="2077.1875"/>
  </r>
  <r>
    <s v="SPQ0240"/>
    <x v="0"/>
    <s v="Present"/>
    <s v="PGE-2020-77"/>
    <s v="Wallace Solar LLC"/>
    <s v="Operational"/>
    <s v="Sulus"/>
    <s v="SolRiver Capital"/>
    <x v="1"/>
    <x v="0"/>
    <n v="2970"/>
    <d v="2022-04-15T00:00:00"/>
    <s v="Operational"/>
    <b v="1"/>
    <d v="2025-04-01T00:00:00"/>
    <d v="2025-01-22T00:00:00"/>
    <b v="1"/>
    <d v="2024-12-20T00:00:00"/>
    <s v="IGNORE"/>
    <d v="2025-01-22T00:00:00"/>
    <d v="2025-04-01T00:00:00"/>
    <d v="2025-06-01T00:00:00"/>
    <n v="2145.8249999999998"/>
  </r>
  <r>
    <s v="SPQ0163"/>
    <x v="0"/>
    <s v="Present"/>
    <s v="PGE-2020-55"/>
    <s v="Zena Solar LLC"/>
    <s v="Operational"/>
    <s v="Conifer Energy Partners"/>
    <s v="UGEI"/>
    <x v="1"/>
    <x v="0"/>
    <n v="2500"/>
    <d v="2022-04-15T00:00:00"/>
    <s v="Operational"/>
    <b v="1"/>
    <d v="2024-12-20T00:00:00"/>
    <d v="2024-12-11T00:00:00"/>
    <b v="1"/>
    <d v="2024-12-31T00:00:00"/>
    <s v="IGNORE"/>
    <d v="2024-12-11T00:00:00"/>
    <d v="2024-12-20T00:00:00"/>
    <d v="2025-02-20T00:00:00"/>
    <n v="1806.25"/>
  </r>
  <r>
    <s v="SPQ0180"/>
    <x v="0"/>
    <s v="Present"/>
    <s v="PGE-2020-17"/>
    <s v="Clayfield Solar LLC"/>
    <s v="Operational"/>
    <s v="Solar Town"/>
    <s v="Luminace"/>
    <x v="0"/>
    <x v="0"/>
    <n v="2565"/>
    <d v="2020-04-27T00:00:00"/>
    <s v="Operational"/>
    <b v="1"/>
    <d v="2024-11-01T00:00:00"/>
    <d v="2024-10-30T00:00:00"/>
    <b v="1"/>
    <d v="2024-07-24T00:00:00"/>
    <s v="IGNORE"/>
    <d v="2024-10-30T00:00:00"/>
    <d v="2024-11-01T00:00:00"/>
    <d v="2025-01-01T00:00:00"/>
    <n v="1853.2124999999999"/>
  </r>
  <r>
    <s v="OCS074"/>
    <x v="1"/>
    <s v="Present"/>
    <s v="PP-2021-126"/>
    <s v="Wood River Solar"/>
    <s v="Operational"/>
    <s v="TLS Capital"/>
    <s v="TLS Capital"/>
    <x v="0"/>
    <x v="1"/>
    <n v="359"/>
    <d v="2021-12-28T00:00:00"/>
    <s v="Operational"/>
    <b v="1"/>
    <d v="2025-01-08T00:00:00"/>
    <d v="2024-07-10T00:00:00"/>
    <b v="1"/>
    <d v="2024-06-28T00:00:00"/>
    <s v="IGNORE"/>
    <d v="2024-07-10T00:00:00"/>
    <d v="2025-01-08T00:00:00"/>
    <d v="2025-03-08T00:00:00"/>
    <n v="137.3175"/>
  </r>
  <r>
    <s v="OCS045"/>
    <x v="1"/>
    <s v="Present"/>
    <s v="PP-2021-99"/>
    <s v="Green Solar"/>
    <s v="Operational"/>
    <s v="Greenkey Solar"/>
    <s v="SolRiver Capital"/>
    <x v="1"/>
    <x v="0"/>
    <n v="2875"/>
    <d v="2022-04-15T00:00:00"/>
    <s v="Operational"/>
    <b v="1"/>
    <d v="2024-07-01T00:00:00"/>
    <d v="2024-06-25T00:00:00"/>
    <b v="1"/>
    <d v="2022-10-21T00:00:00"/>
    <s v="IGNORE"/>
    <d v="2024-06-25T00:00:00"/>
    <d v="2024-07-01T00:00:00"/>
    <d v="2024-09-01T00:00:00"/>
    <n v="2077.1875"/>
  </r>
  <r>
    <s v="OCS038"/>
    <x v="1"/>
    <s v="Present"/>
    <s v="PP-2021-112"/>
    <s v="7 Mile Solar"/>
    <s v="Certified"/>
    <s v="TLS Capital"/>
    <s v="Luminace"/>
    <x v="1"/>
    <x v="0"/>
    <n v="951"/>
    <d v="2022-04-15T00:00:00"/>
    <s v="Certified"/>
    <b v="1"/>
    <s v=""/>
    <d v="2025-03-04T00:00:00"/>
    <b v="1"/>
    <d v="2025-05-08T00:00:00"/>
    <s v="IGNORE"/>
    <d v="2025-03-04T00:00:00"/>
    <d v="2025-09-04T00:00:00"/>
    <d v="2025-11-04T00:00:00"/>
    <n v="687.09749999999997"/>
  </r>
  <r>
    <s v="OCS047"/>
    <x v="1"/>
    <s v="Present"/>
    <s v="PP-2021-93"/>
    <s v="Sunset Ridge Solar"/>
    <s v="Certified"/>
    <s v="Greenkey Solar"/>
    <s v="Luminace"/>
    <x v="0"/>
    <x v="0"/>
    <n v="2250"/>
    <d v="2021-04-20T00:00:00"/>
    <s v="Certified"/>
    <b v="1"/>
    <s v=""/>
    <d v="2024-10-30T00:00:00"/>
    <b v="1"/>
    <d v="2024-08-23T00:00:00"/>
    <s v="IGNORE"/>
    <d v="2024-10-30T00:00:00"/>
    <d v="2025-04-30T00:00:00"/>
    <d v="2025-06-30T00:00:00"/>
    <n v="1625.625"/>
  </r>
  <r>
    <s v="OCS055"/>
    <x v="1"/>
    <s v="Present"/>
    <s v="PP-2021-125"/>
    <s v="Blackwell Creek Solar"/>
    <s v="Operational"/>
    <s v="TLS Capital"/>
    <s v="TLS Capital"/>
    <x v="1"/>
    <x v="0"/>
    <n v="1350"/>
    <d v="2022-12-01T00:00:00"/>
    <s v="Operational"/>
    <b v="1"/>
    <d v="2025-01-08T00:00:00"/>
    <d v="2024-07-10T00:00:00"/>
    <b v="1"/>
    <d v="2024-05-22T00:00:00"/>
    <s v="IGNORE"/>
    <d v="2024-07-10T00:00:00"/>
    <d v="2025-01-08T00:00:00"/>
    <d v="2025-03-08T00:00:00"/>
    <n v="975.375"/>
  </r>
  <r>
    <s v="OCS058"/>
    <x v="1"/>
    <s v="Present"/>
    <s v="PP-2021-121"/>
    <s v="Coker Solar"/>
    <s v="Pre-Certified"/>
    <s v="Sulus"/>
    <s v="Hawthorne Renewables LLC"/>
    <x v="1"/>
    <x v="0"/>
    <n v="1250"/>
    <d v="2022-12-01T00:00:00"/>
    <d v="2026-03-02T00:00:00"/>
    <b v="1"/>
    <s v=""/>
    <s v="Not Yet Certified"/>
    <b v="1"/>
    <d v="2026-05-30T00:00:00"/>
    <b v="1"/>
    <d v="2026-03-02T00:00:00"/>
    <d v="2026-09-02T00:00:00"/>
    <d v="2026-11-02T00:00:00"/>
    <n v="903.125"/>
  </r>
  <r>
    <s v="CSQ0001 "/>
    <x v="0"/>
    <s v="Present"/>
    <s v="PGE-2020-10"/>
    <s v="Sheridan Solar"/>
    <s v="Operational"/>
    <s v="Pacific Northwest Solar LLC"/>
    <s v="SolRiver Capital"/>
    <x v="1"/>
    <x v="0"/>
    <n v="3000"/>
    <d v="2022-05-25T00:00:00"/>
    <s v="Operational"/>
    <b v="1"/>
    <d v="2024-07-01T00:00:00"/>
    <d v="2024-06-25T00:00:00"/>
    <b v="1"/>
    <d v="2023-12-30T00:00:00"/>
    <s v="IGNORE"/>
    <d v="2024-06-25T00:00:00"/>
    <d v="2024-07-01T00:00:00"/>
    <d v="2024-09-01T00:00:00"/>
    <n v="2167.5"/>
  </r>
  <r>
    <s v="OCS071"/>
    <x v="1"/>
    <s v="Present"/>
    <s v="PP-2024-185"/>
    <s v="Almon Solar"/>
    <s v="Pre-Certified"/>
    <s v="Hawthorne Renewables LLC"/>
    <s v="Evergreen"/>
    <x v="1"/>
    <x v="1"/>
    <n v="1375"/>
    <d v="2024-11-08T00:00:00"/>
    <d v="2026-05-08T00:00:00"/>
    <m/>
    <s v=""/>
    <s v="Not Yet Certified"/>
    <m/>
    <s v="Data Not Available"/>
    <b v="0"/>
    <d v="2026-05-08T00:00:00"/>
    <s v="Data Not Available"/>
    <d v="2027-01-08T00:00:00"/>
    <n v="525.9375"/>
  </r>
  <r>
    <s v="OCS101"/>
    <x v="1"/>
    <s v="Present"/>
    <s v="PP-2025-199"/>
    <s v="Bunker Hill"/>
    <s v="Pre-Certified"/>
    <s v="SolaRay Farms, Inc"/>
    <s v="SolaRay Farms, Inc"/>
    <x v="1"/>
    <x v="1"/>
    <n v="332"/>
    <d v="2025-03-17T00:00:00"/>
    <d v="2026-09-17T00:00:00"/>
    <m/>
    <s v=""/>
    <s v="Not Yet Certified"/>
    <m/>
    <s v="Data Not Available"/>
    <b v="0"/>
    <d v="2026-09-17T00:00:00"/>
    <s v="Data Not Available"/>
    <d v="2027-05-17T00:00:00"/>
    <n v="126.99"/>
  </r>
  <r>
    <s v="OCS067"/>
    <x v="1"/>
    <s v="Present"/>
    <s v="PP-2022-138"/>
    <s v="Colfax Solar"/>
    <s v="Pre-Certified"/>
    <s v="Hawthorne Renewables LLC"/>
    <s v="Hawthorne Renewables LLC"/>
    <x v="1"/>
    <x v="0"/>
    <n v="1000"/>
    <d v="2024-11-23T00:00:00"/>
    <d v="2026-05-23T00:00:00"/>
    <m/>
    <s v=""/>
    <s v="Not Yet Certified"/>
    <m/>
    <d v="2026-04-07T00:00:00"/>
    <b v="1"/>
    <d v="2026-05-23T00:00:00"/>
    <d v="2026-11-23T00:00:00"/>
    <d v="2027-01-23T00:00:00"/>
    <n v="722.5"/>
  </r>
  <r>
    <s v="CSQ0014"/>
    <x v="0"/>
    <s v="Present"/>
    <s v="PGE-2024-180"/>
    <s v="CP Sheridan"/>
    <s v="Pre-Certified"/>
    <s v="ClearPath"/>
    <s v="ClearPath"/>
    <x v="1"/>
    <x v="1"/>
    <n v="2800"/>
    <d v="2024-05-31T00:00:00"/>
    <d v="2025-12-01T00:00:00"/>
    <m/>
    <s v=""/>
    <s v="Not Yet Certified"/>
    <m/>
    <d v="2025-12-11T00:00:00"/>
    <b v="1"/>
    <d v="2025-12-01T00:00:00"/>
    <d v="2026-06-01T00:00:00"/>
    <d v="2026-08-01T00:00:00"/>
    <n v="1071"/>
  </r>
  <r>
    <s v="SPQ0262"/>
    <x v="0"/>
    <s v="Present"/>
    <s v="PGE-2024-183"/>
    <s v="Crawford Solar "/>
    <s v="Pre-Certified"/>
    <s v="Hawthorne Renewables LLC"/>
    <s v="Hawthorne Renewables LLC"/>
    <x v="1"/>
    <x v="0"/>
    <n v="2750"/>
    <d v="2024-10-24T00:00:00"/>
    <d v="2026-04-24T00:00:00"/>
    <m/>
    <s v=""/>
    <s v="Not Yet Certified"/>
    <m/>
    <s v="Data Not Available"/>
    <b v="0"/>
    <d v="2026-04-24T00:00:00"/>
    <s v="Data Not Available"/>
    <d v="2026-12-24T00:00:00"/>
    <n v="1986.875"/>
  </r>
  <r>
    <s v="OCS103"/>
    <x v="1"/>
    <s v="Present"/>
    <s v="PP-2025-197"/>
    <s v="East Side"/>
    <s v="Pre-Certified"/>
    <s v="SolaRay Farms, Inc"/>
    <s v="SolaRay Farms, Inc"/>
    <x v="1"/>
    <x v="1"/>
    <n v="332"/>
    <d v="2025-03-17T00:00:00"/>
    <d v="2026-09-17T00:00:00"/>
    <m/>
    <s v=""/>
    <s v="Not Yet Certified"/>
    <m/>
    <s v="Data Not Available"/>
    <b v="0"/>
    <d v="2026-09-17T00:00:00"/>
    <s v="Data Not Available"/>
    <d v="2027-05-17T00:00:00"/>
    <n v="126.99"/>
  </r>
  <r>
    <s v="CSQ0018"/>
    <x v="0"/>
    <s v="Present"/>
    <s v="PGE-2024-192"/>
    <s v="Ehlen Road Solar"/>
    <s v="Pre-Certified"/>
    <s v="DHD Solar"/>
    <s v="DHD Solar"/>
    <x v="1"/>
    <x v="1"/>
    <n v="3000"/>
    <d v="2025-03-17T00:00:00"/>
    <d v="2026-09-17T00:00:00"/>
    <m/>
    <s v=""/>
    <s v="Not Yet Certified"/>
    <m/>
    <s v="Data Not Available"/>
    <b v="0"/>
    <d v="2026-09-17T00:00:00"/>
    <s v="Data Not Available"/>
    <d v="2027-05-17T00:00:00"/>
    <n v="1147.5"/>
  </r>
  <r>
    <s v="OCS098"/>
    <x v="1"/>
    <s v="Present"/>
    <s v="PP-2025195"/>
    <s v="Henley Road"/>
    <s v="Pre-Certified"/>
    <s v="SolaRay Farms, Inc"/>
    <s v="SolaRay Farms, Inc"/>
    <x v="1"/>
    <x v="1"/>
    <n v="332"/>
    <d v="2025-03-17T00:00:00"/>
    <d v="2026-09-17T00:00:00"/>
    <m/>
    <s v=""/>
    <s v="Not Yet Certified"/>
    <m/>
    <s v="Data Not Available"/>
    <b v="0"/>
    <d v="2026-09-17T00:00:00"/>
    <s v="Data Not Available"/>
    <d v="2027-05-17T00:00:00"/>
    <n v="126.99"/>
  </r>
  <r>
    <s v="OCS095"/>
    <x v="1"/>
    <s v="Present"/>
    <s v="PP-2025-198"/>
    <s v="Homedale Road"/>
    <s v="Pre-Certified"/>
    <s v="SolaRay Farms, Inc"/>
    <s v="SolaRay Farms, Inc"/>
    <x v="1"/>
    <x v="1"/>
    <n v="250"/>
    <d v="2025-03-17T00:00:00"/>
    <d v="2026-09-17T00:00:00"/>
    <m/>
    <s v=""/>
    <s v="Not Yet Certified"/>
    <m/>
    <s v="Data Not Available"/>
    <b v="0"/>
    <d v="2026-09-17T00:00:00"/>
    <s v="Data Not Available"/>
    <d v="2027-05-17T00:00:00"/>
    <n v="95.625"/>
  </r>
  <r>
    <s v="OCS078"/>
    <x v="1"/>
    <s v="Present"/>
    <s v="PP-2024-179"/>
    <s v="Lomaside Solar "/>
    <s v="Pre-Certified"/>
    <s v="Hawthorne Renewables LLC"/>
    <s v="Evergreen"/>
    <x v="1"/>
    <x v="1"/>
    <n v="1100"/>
    <d v="2024-11-08T00:00:00"/>
    <d v="2026-05-08T00:00:00"/>
    <m/>
    <s v=""/>
    <s v="Not Yet Certified"/>
    <m/>
    <d v="2025-12-19T00:00:00"/>
    <b v="1"/>
    <d v="2026-05-08T00:00:00"/>
    <d v="2026-11-08T00:00:00"/>
    <d v="2027-01-08T00:00:00"/>
    <n v="420.75"/>
  </r>
  <r>
    <s v="OCS086"/>
    <x v="1"/>
    <s v="Present"/>
    <s v="PP-2024-189"/>
    <s v="Medford Irrigation District"/>
    <s v="Pre-Certified"/>
    <s v="Bonneville Environmental Foundation"/>
    <s v="Bonneville Environmental Foundation"/>
    <x v="1"/>
    <x v="1"/>
    <n v="800"/>
    <d v="2025-03-17T00:00:00"/>
    <d v="2026-09-17T00:00:00"/>
    <m/>
    <s v=""/>
    <s v="Not Yet Certified"/>
    <m/>
    <s v="Data Not Available"/>
    <b v="0"/>
    <d v="2026-09-17T00:00:00"/>
    <s v="Data Not Available"/>
    <d v="2027-05-17T00:00:00"/>
    <n v="306"/>
  </r>
  <r>
    <s v="OCS061"/>
    <x v="1"/>
    <s v="Present"/>
    <s v="PP-2024-184"/>
    <s v="Reservoir Solar LLC"/>
    <s v="Pre-Certified"/>
    <s v="Hawthorne Renewables LLC"/>
    <s v="Hawthorne Renewables LLC"/>
    <x v="1"/>
    <x v="1"/>
    <n v="875"/>
    <d v="2024-11-23T00:00:00"/>
    <d v="2026-05-23T00:00:00"/>
    <m/>
    <s v=""/>
    <s v="Not Yet Certified"/>
    <m/>
    <d v="2026-06-27T00:00:00"/>
    <b v="1"/>
    <d v="2026-05-23T00:00:00"/>
    <d v="2026-11-23T00:00:00"/>
    <d v="2027-01-23T00:00:00"/>
    <n v="334.6875"/>
  </r>
  <r>
    <s v="CSQ0013"/>
    <x v="0"/>
    <s v="Present"/>
    <s v="PGE-2024-171"/>
    <s v="Rosa Community Solar"/>
    <s v="Pre-Certified"/>
    <s v="Oregon Clean Power Cooperative"/>
    <s v="Oregon Clean Power Cooperative"/>
    <x v="1"/>
    <x v="1"/>
    <n v="720"/>
    <d v="2024-09-24T00:00:00"/>
    <d v="2026-03-24T00:00:00"/>
    <m/>
    <s v=""/>
    <s v="Not Yet Certified"/>
    <m/>
    <d v="2023-12-01T00:00:00"/>
    <b v="1"/>
    <d v="2026-03-24T00:00:00"/>
    <d v="2026-09-24T00:00:00"/>
    <d v="2026-11-24T00:00:00"/>
    <n v="275.40000000000003"/>
  </r>
  <r>
    <s v="CSQ0019"/>
    <x v="0"/>
    <m/>
    <s v="PGE-2025-201"/>
    <s v="Columbia Community Solar"/>
    <s v="Pre-Certified"/>
    <s v="Bonneville Enironmental Foundation"/>
    <s v="Bonneville Environmental Foundation"/>
    <x v="1"/>
    <x v="1"/>
    <n v="1200"/>
    <d v="2025-04-24T00:00:00"/>
    <d v="2026-10-24T00:00:00"/>
    <m/>
    <s v=""/>
    <s v="Not Yet Certified"/>
    <m/>
    <s v="Not Applicable"/>
    <b v="0"/>
    <d v="2026-10-24T00:00:00"/>
    <s v="Not Applicable"/>
    <d v="2027-06-24T00:00:00"/>
    <n v="459"/>
  </r>
  <r>
    <s v="SPQ0274"/>
    <x v="0"/>
    <m/>
    <s v="PGE-2024-186"/>
    <s v="Dolphin Solar LLC"/>
    <s v="Pre-Certified"/>
    <s v="Community Energy Cooperative"/>
    <s v="Community Energy Cooperative"/>
    <x v="1"/>
    <x v="1"/>
    <n v="2750"/>
    <d v="2025-04-05T00:00:00"/>
    <d v="2026-10-05T00:00:00"/>
    <m/>
    <s v=""/>
    <s v="Not Yet Certified"/>
    <m/>
    <d v="2026-06-30T00:00:00"/>
    <b v="1"/>
    <d v="2026-10-05T00:00:00"/>
    <d v="2027-04-05T00:00:00"/>
    <d v="2027-06-05T00:00:00"/>
    <n v="1051.875"/>
  </r>
  <r>
    <s v="OCS087"/>
    <x v="1"/>
    <m/>
    <s v="PP-2024-188"/>
    <s v="Shoestring Solar, LLC"/>
    <s v="Pre-Certified"/>
    <s v="Community Energy Cooperative"/>
    <s v="Community Energy Cooperative"/>
    <x v="1"/>
    <x v="1"/>
    <n v="2500"/>
    <d v="2025-04-05T00:00:00"/>
    <d v="2026-10-05T00:00:00"/>
    <m/>
    <s v=""/>
    <s v="Not Yet Certified"/>
    <m/>
    <d v="2026-07-01T00:00:00"/>
    <b v="1"/>
    <d v="2026-10-05T00:00:00"/>
    <d v="2027-04-05T00:00:00"/>
    <d v="2027-06-05T00:00:00"/>
    <n v="956.25"/>
  </r>
  <r>
    <s v="SPQ0277"/>
    <x v="0"/>
    <m/>
    <s v="PGE-2025-200"/>
    <s v="Vanport Community Solar"/>
    <s v="Pre-Certified"/>
    <s v="Bonneville Environmental Foundation"/>
    <s v="Bonneville Environmental Foundation"/>
    <x v="1"/>
    <x v="1"/>
    <n v="1200"/>
    <d v="2025-03-26T00:00:00"/>
    <d v="2026-09-26T00:00:00"/>
    <m/>
    <s v=""/>
    <s v="Not Yet Certified"/>
    <m/>
    <d v="2026-02-07T00:00:00"/>
    <b v="1"/>
    <d v="2026-09-26T00:00:00"/>
    <d v="2027-03-26T00:00:00"/>
    <d v="2027-05-26T00:00:00"/>
    <n v="4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79EE5F-56ED-48E1-9D46-5DB6A305DD60}" name="PivotTable1" cacheId="13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6:G11" firstHeaderRow="1" firstDataRow="3" firstDataCol="1"/>
  <pivotFields count="23">
    <pivotField compact="0" outline="0" showAll="0"/>
    <pivotField axis="axisCol" compact="0" outline="0" showAll="0" sortType="descending" defaultSubtotal="0">
      <items count="3">
        <item x="0"/>
        <item x="1"/>
        <item x="2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name="Tier" axis="axisRow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dataField="1"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14" outline="0" showAll="0"/>
    <pivotField compact="0" numFmtId="14" outline="0" showAll="0"/>
    <pivotField compact="0" numFmtId="167" outline="0" showAll="0"/>
  </pivotFields>
  <rowFields count="1">
    <field x="8"/>
  </rowFields>
  <rowItems count="3">
    <i>
      <x/>
    </i>
    <i>
      <x v="1"/>
    </i>
    <i t="grand">
      <x/>
    </i>
  </rowItems>
  <colFields count="2">
    <field x="1"/>
    <field x="9"/>
  </colFields>
  <colItems count="6">
    <i>
      <x/>
      <x/>
    </i>
    <i r="1">
      <x v="1"/>
    </i>
    <i>
      <x v="1"/>
      <x/>
    </i>
    <i r="1">
      <x v="1"/>
    </i>
    <i>
      <x v="2"/>
      <x/>
    </i>
    <i t="grand">
      <x/>
    </i>
  </colItems>
  <dataFields count="1">
    <dataField name="ALLOCATED" fld="10" baseField="0" baseItem="0"/>
  </dataFields>
  <formats count="11">
    <format dxfId="3">
      <pivotArea outline="0" collapsedLevelsAreSubtotals="1" fieldPosition="0"/>
    </format>
    <format dxfId="4">
      <pivotArea type="origin" dataOnly="0" labelOnly="1" outline="0" offset="A2" fieldPosition="0"/>
    </format>
    <format dxfId="5">
      <pivotArea field="8" type="button" dataOnly="0" labelOnly="1" outline="0" axis="axisRow" fieldPosition="0"/>
    </format>
    <format dxfId="6">
      <pivotArea dataOnly="0" labelOnly="1" outline="0" fieldPosition="0">
        <references count="1">
          <reference field="8" count="0"/>
        </references>
      </pivotArea>
    </format>
    <format dxfId="7">
      <pivotArea dataOnly="0" labelOnly="1" grandRow="1" outline="0" fieldPosition="0"/>
    </format>
    <format dxfId="8">
      <pivotArea dataOnly="0" labelOnly="1" outline="0" fieldPosition="0">
        <references count="1">
          <reference field="1" count="0"/>
        </references>
      </pivotArea>
    </format>
    <format dxfId="9">
      <pivotArea dataOnly="0" labelOnly="1" grandCol="1" outline="0" fieldPosition="0"/>
    </format>
    <format dxfId="10">
      <pivotArea dataOnly="0" labelOnly="1" outline="0" fieldPosition="0">
        <references count="2">
          <reference field="1" count="1" selected="0">
            <x v="0"/>
          </reference>
          <reference field="9" count="0"/>
        </references>
      </pivotArea>
    </format>
    <format dxfId="11">
      <pivotArea dataOnly="0" labelOnly="1" outline="0" fieldPosition="0">
        <references count="2">
          <reference field="1" count="1" selected="0">
            <x v="1"/>
          </reference>
          <reference field="9" count="0"/>
        </references>
      </pivotArea>
    </format>
    <format dxfId="12">
      <pivotArea dataOnly="0" labelOnly="1" outline="0" fieldPosition="0">
        <references count="2">
          <reference field="1" count="1" selected="0">
            <x v="2"/>
          </reference>
          <reference field="9" count="1">
            <x v="0"/>
          </reference>
        </references>
      </pivotArea>
    </format>
    <format dxfId="13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8" dT="2025-04-15T23:24:12.55" personId="{326ECB5C-DC3B-499D-9F51-FC6E8FFCF938}" id="{31AED2D3-BF3F-4A30-8D7D-410EC9D2DACD}">
    <text>QA check to ensure capacity allocated below equals unallocated above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D6" dT="2021-06-25T00:04:55.91" personId="{2A19756D-8A96-4EF2-9579-0A69931EE3C7}" id="{D020C453-C69B-41F5-8CE1-F8A5F6D8615E}">
    <text>Assumes 10% for entire program. If future tranches change this any dependent equations will need to be adjusted.</text>
  </threadedComment>
  <threadedComment ref="D14" dT="2019-10-04T17:01:44.84" personId="{2A19756D-8A96-4EF2-9579-0A69931EE3C7}" id="{CE2A815C-8C97-45FB-9DC2-136CB9DF716D}">
    <text>Changed from 90% to 95% per OPUC 9/4</text>
  </threadedComment>
  <threadedComment ref="F21" dT="2025-07-23T05:20:41.70" personId="{326ECB5C-DC3B-499D-9F51-FC6E8FFCF938}" id="{6B6CEB9A-5508-480A-873E-C93443C7B6F7}">
    <text>Assumes 95% allocated capacity across all projects</text>
  </threadedComment>
  <threadedComment ref="H42" dT="2019-09-05T03:33:27.72" personId="{2A19756D-8A96-4EF2-9579-0A69931EE3C7}" id="{26173356-A8E7-428B-A790-B5C1D9D10E19}">
    <text>Set per OPUC email 9/4</text>
  </threadedComment>
  <threadedComment ref="E43" dT="2019-09-13T03:20:00.93" personId="{2A19756D-8A96-4EF2-9579-0A69931EE3C7}" id="{72DF8A09-42B5-4523-9BD0-03BC4A585A7A}">
    <text>Original number was 1885037000 for all OR - from OPUC</text>
  </threadedComment>
  <threadedComment ref="E43" dT="2019-09-13T03:21:06.58" personId="{2A19756D-8A96-4EF2-9579-0A69931EE3C7}" id="{8FE073D0-3C8E-46E5-89E5-A501AB427749}" parentId="{72DF8A09-42B5-4523-9BD0-03BC4A585A7A}">
    <text>Orig was also from 2018</text>
  </threadedComment>
  <threadedComment ref="D50" dT="2019-10-04T17:01:30.86" personId="{2A19756D-8A96-4EF2-9579-0A69931EE3C7}" id="{C39E9806-F0CF-4148-A64A-E0A9D637C7CD}">
    <text>Changed from 1.99% per OPUC 9/11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50" dT="2025-07-30T20:07:16.76" personId="{326ECB5C-DC3B-499D-9F51-FC6E8FFCF938}" id="{E1448ACE-3C3F-472F-B2E0-F901302776DF}">
    <text>1.8MW become operational on 7/1/25. The entire 2.565MW of nameplate capacity is not anticipated to become operational until some point in 2026.</text>
  </threadedComment>
  <threadedComment ref="N50" dT="2025-07-30T18:45:41.88" personId="{326ECB5C-DC3B-499D-9F51-FC6E8FFCF938}" id="{025210AF-1544-4E63-80F2-A3483768BA4A}">
    <text>Hardcoded. Waterford became partially operational on 7/1/25 at 1.8MW. An additional .765 is expected to become operational in 2026. Total Capacity is 2.565 MW-AC.</text>
  </threadedComment>
  <threadedComment ref="O50" dT="2025-07-30T18:51:40.78" personId="{326ECB5C-DC3B-499D-9F51-FC6E8FFCF938}" id="{657207F6-DC7C-480A-BBE0-0078CF54EB25}">
    <text>Hardcoded. 1.8MW will be operational for entire year and additional capacity anticipated at start of Q3 ‘26 for additional .3825 (half of year =half of capacity)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3" dT="2025-07-25T23:39:09.52" personId="{326ECB5C-DC3B-499D-9F51-FC6E8FFCF938}" id="{FE0F7BC1-8B91-4A9B-9EFF-3BC3EA9053E1}">
    <text>Assumes 95% allocated capacity per utility throughout program lifetime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1" dT="2025-04-15T18:53:48.09" personId="{326ECB5C-DC3B-499D-9F51-FC6E8FFCF938}" id="{95C80077-1935-42F7-9746-A95054DCD1BF}">
    <text>Same number of projects between monthly report and listed in csp pa fees worksheet</text>
  </threadedComment>
  <threadedComment ref="B6" dT="2025-04-15T17:46:44.24" personId="{326ECB5C-DC3B-499D-9F51-FC6E8FFCF938}" id="{59AD2327-4C30-4580-A45A-E1344C8BF466}">
    <text>Project exists in CSP PA Fees Worksheet?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12" dT="2025-04-23T19:03:51.00" personId="{326ECB5C-DC3B-499D-9F51-FC6E8FFCF938}" id="{57DABACF-C534-4595-A678-FFF76B15A2F7}">
    <text>Combination of actuals and forecasted for current year (2025)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77" dT="2025-04-16T23:15:29.77" personId="{326ECB5C-DC3B-499D-9F51-FC6E8FFCF938}" id="{A73F134D-ED07-4D85-8EE2-3389BE3D0533}">
    <text>Projections based on monthly averages from Year 7 funded contract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C46" dT="2025-04-15T23:35:59.08" personId="{326ECB5C-DC3B-499D-9F51-FC6E8FFCF938}" id="{4A89FDEB-A0AB-4B8D-B7AC-2F0D5D91A0EA}">
    <text>Actuals for Jan -June 25 + forecasted ‘25 from CSP fees worksheet + unallocated scenarios forecast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B2" dT="2025-04-23T17:55:35.47" personId="{326ECB5C-DC3B-499D-9F51-FC6E8FFCF938}" id="{0575D2A9-9844-44E7-AB58-215077EDBF70}">
    <text>Reflects last month/year in which actual PA fees are reflected in table.</text>
  </threadedComment>
  <threadedComment ref="DP8" dT="2025-04-15T22:01:23.73" personId="{326ECB5C-DC3B-499D-9F51-FC6E8FFCF938}" id="{057D88D7-587A-49B9-90D8-EC9798F1CC8E}">
    <text>Match total PA fees shown in Row 1 by annual period</text>
  </threadedComment>
  <threadedComment ref="CD51" dT="2025-07-30T18:56:02.37" personId="{326ECB5C-DC3B-499D-9F51-FC6E8FFCF938}" id="{1BD3D5CA-E28D-421C-A6C5-EB2A80A80E54}">
    <text>September 25 - December 25: Hardcoded to forecast fees at partial energization capacity of 1.8MW-AC</text>
  </threadedComment>
  <threadedComment ref="CN51" dT="2025-07-30T18:58:45.30" personId="{326ECB5C-DC3B-499D-9F51-FC6E8FFCF938}" id="{16558C1F-4D12-44FD-B023-0F4B2A18AE2C}">
    <text>Hardcoded - Assumes 1.8MW operational entire year and additional .765 is operational partial year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D673" dT="2025-02-19T18:27:17.95" personId="{53826BFF-F7EB-432C-8258-9FBD22AD615D}" id="{ABA79306-8647-4D88-B5AB-DC290D7CEBC6}">
    <text>Subscription fees incorrectly calculated in previous collection period for 2 participants</text>
  </threadedComment>
  <threadedComment ref="D705" dT="2025-02-19T18:27:42.98" personId="{53826BFF-F7EB-432C-8258-9FBD22AD615D}" id="{1AE86B26-941D-4CC6-8E17-0A934E8AA77A}">
    <text>Subscription fee incorrectly calculated for participant 5236 in previous collection period.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edocs.puc.state.or.us/efdocs/HAH/um1930hah337336113.pdf" TargetMode="External"/><Relationship Id="rId21" Type="http://schemas.openxmlformats.org/officeDocument/2006/relationships/hyperlink" Target="https://edocs.puc.state.or.us/efdocs/HAH/um1930hah328505024.pdf" TargetMode="External"/><Relationship Id="rId42" Type="http://schemas.openxmlformats.org/officeDocument/2006/relationships/hyperlink" Target="https://apps.puc.state.or.us/orders/2024ords/24-437.pdf" TargetMode="External"/><Relationship Id="rId47" Type="http://schemas.openxmlformats.org/officeDocument/2006/relationships/hyperlink" Target="https://edocs.puc.state.or.us/efdocs/HAH/um1930hah335208026.pdf" TargetMode="External"/><Relationship Id="rId63" Type="http://schemas.openxmlformats.org/officeDocument/2006/relationships/hyperlink" Target="https://edocs.puc.state.or.us/efdocs/HAU/um1930hau1616.pdf" TargetMode="External"/><Relationship Id="rId68" Type="http://schemas.openxmlformats.org/officeDocument/2006/relationships/hyperlink" Target="https://apps.puc.state.or.us/orders/2022ords/22-481.pdf" TargetMode="External"/><Relationship Id="rId84" Type="http://schemas.microsoft.com/office/2017/10/relationships/threadedComment" Target="../threadedComments/threadedComment4.xml"/><Relationship Id="rId16" Type="http://schemas.openxmlformats.org/officeDocument/2006/relationships/hyperlink" Target="https://edocs.puc.state.or.us/efdocs/HAU/um1930hau154953.pdf" TargetMode="External"/><Relationship Id="rId11" Type="http://schemas.openxmlformats.org/officeDocument/2006/relationships/hyperlink" Target="https://edocs.puc.state.or.us/efdocs/HAH/um1930hah332422025.pdf" TargetMode="External"/><Relationship Id="rId32" Type="http://schemas.openxmlformats.org/officeDocument/2006/relationships/hyperlink" Target="https://edocs.puc.state.or.us/efdocs/HAH/um1930hah332421033.pdf" TargetMode="External"/><Relationship Id="rId37" Type="http://schemas.openxmlformats.org/officeDocument/2006/relationships/hyperlink" Target="https://edocs.puc.state.or.us/efdocs/HAH/um1930hah333061025.pdf" TargetMode="External"/><Relationship Id="rId53" Type="http://schemas.openxmlformats.org/officeDocument/2006/relationships/hyperlink" Target="https://edocs.puc.state.or.us/efdocs/HAH/um1930hah152727.pdf" TargetMode="External"/><Relationship Id="rId58" Type="http://schemas.openxmlformats.org/officeDocument/2006/relationships/hyperlink" Target="https://apps.puc.state.or.us/orders/2021ords/21-307.pdf" TargetMode="External"/><Relationship Id="rId74" Type="http://schemas.openxmlformats.org/officeDocument/2006/relationships/hyperlink" Target="https://edocs.puc.state.or.us/efdocs/HAH/um1930hah335450115.pdf" TargetMode="External"/><Relationship Id="rId79" Type="http://schemas.openxmlformats.org/officeDocument/2006/relationships/hyperlink" Target="https://edocs.puc.state.or.us/efdocs/HAH/um1930hah337336113.pdf" TargetMode="External"/><Relationship Id="rId5" Type="http://schemas.openxmlformats.org/officeDocument/2006/relationships/hyperlink" Target="https://edocs.puc.state.or.us/efdocs/HAH/um1930hah334443054.pdf" TargetMode="External"/><Relationship Id="rId61" Type="http://schemas.openxmlformats.org/officeDocument/2006/relationships/hyperlink" Target="https://apps.puc.state.or.us/orders/2021ords/21-321.pdf" TargetMode="External"/><Relationship Id="rId82" Type="http://schemas.openxmlformats.org/officeDocument/2006/relationships/vmlDrawing" Target="../drawings/vmlDrawing4.vml"/><Relationship Id="rId19" Type="http://schemas.openxmlformats.org/officeDocument/2006/relationships/hyperlink" Target="https://edocs.puc.state.or.us/efdocs/HAU/um1930hau329110055.pdf" TargetMode="External"/><Relationship Id="rId14" Type="http://schemas.openxmlformats.org/officeDocument/2006/relationships/hyperlink" Target="https://edocs.puc.state.or.us/efdocs/HAH/um1930hah327471032.pdf" TargetMode="External"/><Relationship Id="rId22" Type="http://schemas.openxmlformats.org/officeDocument/2006/relationships/hyperlink" Target="https://edocs.puc.state.or.us/efdocs/HAH/um1930hah328505024.pdf" TargetMode="External"/><Relationship Id="rId27" Type="http://schemas.openxmlformats.org/officeDocument/2006/relationships/hyperlink" Target="https://edocs.puc.state.or.us/efdocs/HAH/um1930hah331226025.pdf" TargetMode="External"/><Relationship Id="rId30" Type="http://schemas.openxmlformats.org/officeDocument/2006/relationships/hyperlink" Target="https://edocs.puc.state.or.us/efdocs/HAU/um1930hau332364025.pdf" TargetMode="External"/><Relationship Id="rId35" Type="http://schemas.openxmlformats.org/officeDocument/2006/relationships/hyperlink" Target="https://edocs.puc.state.or.us/efdocs/HAH/um1930hah332893025.pdf" TargetMode="External"/><Relationship Id="rId43" Type="http://schemas.openxmlformats.org/officeDocument/2006/relationships/hyperlink" Target="https://apps.puc.state.or.us/orders/2024ords/24-437.pdf" TargetMode="External"/><Relationship Id="rId48" Type="http://schemas.openxmlformats.org/officeDocument/2006/relationships/hyperlink" Target="https://edocs.puc.state.or.us/efdocs/HAH/um1930hah335208026.pdf" TargetMode="External"/><Relationship Id="rId56" Type="http://schemas.openxmlformats.org/officeDocument/2006/relationships/hyperlink" Target="https://edocs.puc.state.or.us/efdocs/HAU/um1930hau1616.pdf" TargetMode="External"/><Relationship Id="rId64" Type="http://schemas.openxmlformats.org/officeDocument/2006/relationships/hyperlink" Target="https://edocs.puc.state.or.us/efdocs/HAU/um1930hau1616.pdf" TargetMode="External"/><Relationship Id="rId69" Type="http://schemas.openxmlformats.org/officeDocument/2006/relationships/hyperlink" Target="https://apps.puc.state.or.us/orders/2021ords/21-042.pdf" TargetMode="External"/><Relationship Id="rId77" Type="http://schemas.openxmlformats.org/officeDocument/2006/relationships/hyperlink" Target="https://apps.puc.state.or.us/orders/2025ords/25-154.pdf" TargetMode="External"/><Relationship Id="rId8" Type="http://schemas.openxmlformats.org/officeDocument/2006/relationships/hyperlink" Target="https://apps.puc.state.or.us/orders/2024ords/24-226.pdf" TargetMode="External"/><Relationship Id="rId51" Type="http://schemas.openxmlformats.org/officeDocument/2006/relationships/hyperlink" Target="https://edocs.puc.state.or.us/efdocs/HAH/um1930hah328638113.pdf" TargetMode="External"/><Relationship Id="rId72" Type="http://schemas.openxmlformats.org/officeDocument/2006/relationships/hyperlink" Target="https://edocs.puc.state.or.us/efdocs/HAH/um1930hah335609026.pdf" TargetMode="External"/><Relationship Id="rId80" Type="http://schemas.openxmlformats.org/officeDocument/2006/relationships/hyperlink" Target="https://edocs.puc.state.or.us/efdocs/HAH/um1930hah337819056.pdf" TargetMode="External"/><Relationship Id="rId3" Type="http://schemas.openxmlformats.org/officeDocument/2006/relationships/hyperlink" Target="https://apps.puc.state.or.us/orders/2025ords/25-154.pdf" TargetMode="External"/><Relationship Id="rId12" Type="http://schemas.openxmlformats.org/officeDocument/2006/relationships/hyperlink" Target="https://edocs.puc.state.or.us/efdocs/HAH/um1930hah337809114.pdf" TargetMode="External"/><Relationship Id="rId17" Type="http://schemas.openxmlformats.org/officeDocument/2006/relationships/hyperlink" Target="https://edocs.puc.state.or.us/efdocs/HAH/um1930hah337334034.pdf" TargetMode="External"/><Relationship Id="rId25" Type="http://schemas.openxmlformats.org/officeDocument/2006/relationships/hyperlink" Target="https://edocs.puc.state.or.us/efdocs/HAH/um1930hah329983054.pdf" TargetMode="External"/><Relationship Id="rId33" Type="http://schemas.openxmlformats.org/officeDocument/2006/relationships/hyperlink" Target="https://edocs.puc.state.or.us/efdocs/HAH/um1930hah332421033.pdf" TargetMode="External"/><Relationship Id="rId38" Type="http://schemas.openxmlformats.org/officeDocument/2006/relationships/hyperlink" Target="https://apps.puc.state.or.us/orders/2024ords/24-437.pdf" TargetMode="External"/><Relationship Id="rId46" Type="http://schemas.openxmlformats.org/officeDocument/2006/relationships/hyperlink" Target="https://edocs.puc.state.or.us/efdocs/HAH/um1930hah335208026.pdf" TargetMode="External"/><Relationship Id="rId59" Type="http://schemas.openxmlformats.org/officeDocument/2006/relationships/hyperlink" Target="https://apps.puc.state.or.us/orders/2022ords/22-481.pdf" TargetMode="External"/><Relationship Id="rId67" Type="http://schemas.openxmlformats.org/officeDocument/2006/relationships/hyperlink" Target="https://edocs.puc.state.or.us/efdocs/HAU/um1930hau1616.pdf" TargetMode="External"/><Relationship Id="rId20" Type="http://schemas.openxmlformats.org/officeDocument/2006/relationships/hyperlink" Target="https://edocs.puc.state.or.us/efdocs/HAU/um1930hau154953.pdf" TargetMode="External"/><Relationship Id="rId41" Type="http://schemas.openxmlformats.org/officeDocument/2006/relationships/hyperlink" Target="https://apps.puc.state.or.us/orders/2024ords/24-437.pdf" TargetMode="External"/><Relationship Id="rId54" Type="http://schemas.openxmlformats.org/officeDocument/2006/relationships/hyperlink" Target="https://edocs.puc.state.or.us/efdocs/HAH/um1930hah152727.pdf" TargetMode="External"/><Relationship Id="rId62" Type="http://schemas.openxmlformats.org/officeDocument/2006/relationships/hyperlink" Target="https://edocs.puc.state.or.us/efdocs/HAU/um1930hau1616.pdf" TargetMode="External"/><Relationship Id="rId70" Type="http://schemas.openxmlformats.org/officeDocument/2006/relationships/hyperlink" Target="https://apps.puc.state.or.us/orders/2021ords/21-042.pdf" TargetMode="External"/><Relationship Id="rId75" Type="http://schemas.openxmlformats.org/officeDocument/2006/relationships/hyperlink" Target="https://edocs.puc.state.or.us/efdocs/HAH/um1930hah335450115.pdf" TargetMode="External"/><Relationship Id="rId83" Type="http://schemas.openxmlformats.org/officeDocument/2006/relationships/comments" Target="../comments4.xml"/><Relationship Id="rId1" Type="http://schemas.openxmlformats.org/officeDocument/2006/relationships/hyperlink" Target="https://edocs.puc.state.or.us/efdocs/HAH/um1930hah328505024.pdf" TargetMode="External"/><Relationship Id="rId6" Type="http://schemas.openxmlformats.org/officeDocument/2006/relationships/hyperlink" Target="https://edocs.puc.state.or.us/efdocs/HAH/um1930hah327471032.pdf" TargetMode="External"/><Relationship Id="rId15" Type="http://schemas.openxmlformats.org/officeDocument/2006/relationships/hyperlink" Target="https://edocs.puc.state.or.us/efdocs/HAH/um1930hah333274032.pdf" TargetMode="External"/><Relationship Id="rId23" Type="http://schemas.openxmlformats.org/officeDocument/2006/relationships/hyperlink" Target="https://apps.puc.state.or.us/orders/2024ords/24-226.pdf" TargetMode="External"/><Relationship Id="rId28" Type="http://schemas.openxmlformats.org/officeDocument/2006/relationships/hyperlink" Target="https://edocs.puc.state.or.us/efdocs/HAH/um1930hah331973025.pdf" TargetMode="External"/><Relationship Id="rId36" Type="http://schemas.openxmlformats.org/officeDocument/2006/relationships/hyperlink" Target="https://edocs.puc.state.or.us/efdocs/HAH/um1930hah332893025.pdf" TargetMode="External"/><Relationship Id="rId49" Type="http://schemas.openxmlformats.org/officeDocument/2006/relationships/hyperlink" Target="https://edocs.puc.state.or.us/efdocs/HAH/um1930hah335208026.pdf" TargetMode="External"/><Relationship Id="rId57" Type="http://schemas.openxmlformats.org/officeDocument/2006/relationships/hyperlink" Target="https://apps.puc.state.or.us/orders/2021ords/21-042.pdf" TargetMode="External"/><Relationship Id="rId10" Type="http://schemas.openxmlformats.org/officeDocument/2006/relationships/hyperlink" Target="https://edocs.puc.state.or.us/efdocs/HAH/um1930hah335450115.pdf" TargetMode="External"/><Relationship Id="rId31" Type="http://schemas.openxmlformats.org/officeDocument/2006/relationships/hyperlink" Target="https://edocs.puc.state.or.us/efdocs/HAU/um1930hau332364025.pdf" TargetMode="External"/><Relationship Id="rId44" Type="http://schemas.openxmlformats.org/officeDocument/2006/relationships/hyperlink" Target="https://apps.puc.state.or.us/orders/2024ords/24-437.pdf" TargetMode="External"/><Relationship Id="rId52" Type="http://schemas.openxmlformats.org/officeDocument/2006/relationships/hyperlink" Target="https://edocs.puc.state.or.us/efdocs/HAU/um1930hau165511.pdf" TargetMode="External"/><Relationship Id="rId60" Type="http://schemas.openxmlformats.org/officeDocument/2006/relationships/hyperlink" Target="https://edocs.puc.state.or.us/efdocs/HAU/um1930hau22453.pdf" TargetMode="External"/><Relationship Id="rId65" Type="http://schemas.openxmlformats.org/officeDocument/2006/relationships/hyperlink" Target="https://edocs.puc.state.or.us/efdocs/HAU/um1930hau1616.pdf" TargetMode="External"/><Relationship Id="rId73" Type="http://schemas.openxmlformats.org/officeDocument/2006/relationships/hyperlink" Target="https://edocs.puc.state.or.us/efdocs/HAH/um1930hah335359026.pdf" TargetMode="External"/><Relationship Id="rId78" Type="http://schemas.openxmlformats.org/officeDocument/2006/relationships/hyperlink" Target="https://edocs.puc.state.or.us/efdocs/HAH/um1930hah337334034.pdf" TargetMode="External"/><Relationship Id="rId81" Type="http://schemas.openxmlformats.org/officeDocument/2006/relationships/drawing" Target="../drawings/drawing2.xml"/><Relationship Id="rId4" Type="http://schemas.openxmlformats.org/officeDocument/2006/relationships/hyperlink" Target="https://edocs.puc.state.or.us/efdocs/HAU/um1930hau329110055.pdf" TargetMode="External"/><Relationship Id="rId9" Type="http://schemas.openxmlformats.org/officeDocument/2006/relationships/hyperlink" Target="https://edocs.puc.state.or.us/efdocs/HAH/um1930hah336200026.pdf" TargetMode="External"/><Relationship Id="rId13" Type="http://schemas.openxmlformats.org/officeDocument/2006/relationships/hyperlink" Target="https://edocs.puc.state.or.us/efdocs/HAH/um1930hah14537.pdf" TargetMode="External"/><Relationship Id="rId18" Type="http://schemas.openxmlformats.org/officeDocument/2006/relationships/hyperlink" Target="https://edocs.puc.state.or.us/efdocs/HAU/um1930hau328434054.pdf" TargetMode="External"/><Relationship Id="rId39" Type="http://schemas.openxmlformats.org/officeDocument/2006/relationships/hyperlink" Target="https://apps.puc.state.or.us/orders/2024ords/24-437.pdf" TargetMode="External"/><Relationship Id="rId34" Type="http://schemas.openxmlformats.org/officeDocument/2006/relationships/hyperlink" Target="https://edocs.puc.state.or.us/efdocs/HAH/um1930hah333274032.pdf" TargetMode="External"/><Relationship Id="rId50" Type="http://schemas.openxmlformats.org/officeDocument/2006/relationships/hyperlink" Target="https://edocs.puc.state.or.us/efdocs/HAH/um1930hah335208026.pdf" TargetMode="External"/><Relationship Id="rId55" Type="http://schemas.openxmlformats.org/officeDocument/2006/relationships/hyperlink" Target="https://edocs.puc.state.or.us/efdocs/HAH/um1930hah152727.pdf" TargetMode="External"/><Relationship Id="rId76" Type="http://schemas.openxmlformats.org/officeDocument/2006/relationships/hyperlink" Target="https://edocs.puc.state.or.us/efdocs/HAH/um1930hah335991026.pdf" TargetMode="External"/><Relationship Id="rId7" Type="http://schemas.openxmlformats.org/officeDocument/2006/relationships/hyperlink" Target="https://edocs.puc.state.or.us/efdocs/HAH/um1930hah163116.pdf" TargetMode="External"/><Relationship Id="rId71" Type="http://schemas.openxmlformats.org/officeDocument/2006/relationships/hyperlink" Target="https://edocs.puc.state.or.us/efdocs/HAH/um1930hah335609026.pdf" TargetMode="External"/><Relationship Id="rId2" Type="http://schemas.openxmlformats.org/officeDocument/2006/relationships/hyperlink" Target="https://apps.puc.state.or.us/orders/2024ords/24-437.pdf" TargetMode="External"/><Relationship Id="rId29" Type="http://schemas.openxmlformats.org/officeDocument/2006/relationships/hyperlink" Target="https://edocs.puc.state.or.us/efdocs/HAH/um1930hah337819056.pdf" TargetMode="External"/><Relationship Id="rId24" Type="http://schemas.openxmlformats.org/officeDocument/2006/relationships/hyperlink" Target="https://edocs.puc.state.or.us/efdocs/HAH/um1930hah329983054.pdf" TargetMode="External"/><Relationship Id="rId40" Type="http://schemas.openxmlformats.org/officeDocument/2006/relationships/hyperlink" Target="https://apps.puc.state.or.us/orders/2024ords/24-437.pdf" TargetMode="External"/><Relationship Id="rId45" Type="http://schemas.openxmlformats.org/officeDocument/2006/relationships/hyperlink" Target="https://edocs.puc.state.or.us/efdocs/HAH/um1930hah335208026.pdf" TargetMode="External"/><Relationship Id="rId66" Type="http://schemas.openxmlformats.org/officeDocument/2006/relationships/hyperlink" Target="https://edocs.puc.state.or.us/efdocs/HAU/um1930hau1616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A3E3-9687-4CE2-A757-758715EBF251}">
  <sheetPr>
    <tabColor theme="8"/>
  </sheetPr>
  <dimension ref="A1:K24"/>
  <sheetViews>
    <sheetView workbookViewId="0"/>
  </sheetViews>
  <sheetFormatPr defaultRowHeight="15"/>
  <sheetData>
    <row r="1" spans="1:11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</row>
    <row r="4" spans="1:11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</row>
    <row r="5" spans="1:11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</row>
    <row r="6" spans="1:11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224"/>
    </row>
    <row r="7" spans="1:1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</row>
    <row r="8" spans="1:11" ht="18.75">
      <c r="A8" s="226"/>
      <c r="B8" s="337"/>
      <c r="C8" s="226"/>
      <c r="D8" s="226"/>
      <c r="E8" s="226"/>
      <c r="F8" s="226"/>
      <c r="G8" s="226"/>
      <c r="H8" s="226"/>
      <c r="I8" s="224"/>
      <c r="J8" s="224"/>
      <c r="K8" s="224"/>
    </row>
    <row r="9" spans="1:11" ht="18">
      <c r="A9" s="226"/>
      <c r="B9" s="338"/>
      <c r="C9" s="226"/>
      <c r="D9" s="226"/>
      <c r="E9" s="226"/>
      <c r="F9" s="226"/>
      <c r="G9" s="226"/>
      <c r="H9" s="226"/>
      <c r="I9" s="224"/>
      <c r="J9" s="224"/>
      <c r="K9" s="224"/>
    </row>
    <row r="10" spans="1:11" ht="18.75">
      <c r="A10" s="226"/>
      <c r="B10" s="337"/>
      <c r="C10" s="226"/>
      <c r="D10" s="226"/>
      <c r="E10" s="226"/>
      <c r="F10" s="226"/>
      <c r="G10" s="226"/>
      <c r="H10" s="226"/>
      <c r="I10" s="224"/>
      <c r="J10" s="224"/>
      <c r="K10" s="224"/>
    </row>
    <row r="11" spans="1:11" ht="18.75">
      <c r="A11" s="226"/>
      <c r="B11" s="337"/>
      <c r="C11" s="226"/>
      <c r="D11" s="226"/>
      <c r="E11" s="226"/>
      <c r="F11" s="226"/>
      <c r="G11" s="226"/>
      <c r="H11" s="339"/>
      <c r="I11" s="224"/>
      <c r="J11" s="224"/>
      <c r="K11" s="224"/>
    </row>
    <row r="12" spans="1:11" ht="18.75">
      <c r="A12" s="226"/>
      <c r="B12" s="337"/>
      <c r="C12" s="226"/>
      <c r="D12" s="226"/>
      <c r="E12" s="226"/>
      <c r="F12" s="226"/>
      <c r="G12" s="226"/>
      <c r="H12" s="340"/>
      <c r="I12" s="224"/>
      <c r="J12" s="224"/>
      <c r="K12" s="224"/>
    </row>
    <row r="13" spans="1:11" ht="18.75">
      <c r="A13" s="226"/>
      <c r="B13" s="337"/>
      <c r="C13" s="226"/>
      <c r="D13" s="226"/>
      <c r="E13" s="226"/>
      <c r="F13" s="226"/>
      <c r="G13" s="226"/>
      <c r="H13" s="340"/>
      <c r="I13" s="224"/>
      <c r="J13" s="224"/>
      <c r="K13" s="224"/>
    </row>
    <row r="14" spans="1:11" ht="18.75">
      <c r="A14" s="226"/>
      <c r="B14" s="337"/>
      <c r="C14" s="226"/>
      <c r="D14" s="226"/>
      <c r="E14" s="226"/>
      <c r="F14" s="226"/>
      <c r="G14" s="226"/>
      <c r="H14" s="340"/>
      <c r="I14" s="224"/>
      <c r="J14" s="224"/>
      <c r="K14" s="224"/>
    </row>
    <row r="15" spans="1:11" ht="18.75">
      <c r="A15" s="226"/>
      <c r="B15" s="337"/>
      <c r="C15" s="226"/>
      <c r="D15" s="226"/>
      <c r="E15" s="226"/>
      <c r="F15" s="226"/>
      <c r="G15" s="226"/>
      <c r="H15" s="341"/>
      <c r="I15" s="224"/>
      <c r="J15" s="224"/>
      <c r="K15" s="224"/>
    </row>
    <row r="16" spans="1:11" ht="18.75">
      <c r="A16" s="226"/>
      <c r="B16" s="337"/>
      <c r="C16" s="226"/>
      <c r="D16" s="226"/>
      <c r="E16" s="226"/>
      <c r="F16" s="226"/>
      <c r="G16" s="226"/>
      <c r="H16" s="226"/>
      <c r="I16" s="224"/>
      <c r="J16" s="224"/>
      <c r="K16" s="224"/>
    </row>
    <row r="17" spans="1:11">
      <c r="A17" s="342"/>
      <c r="B17" s="342"/>
      <c r="C17" s="342"/>
      <c r="D17" s="342"/>
      <c r="E17" s="342"/>
      <c r="F17" s="342"/>
      <c r="G17" s="342"/>
      <c r="H17" s="342"/>
      <c r="I17" s="224"/>
      <c r="J17" s="224"/>
      <c r="K17" s="224"/>
    </row>
    <row r="18" spans="1:11" ht="18">
      <c r="A18" s="342"/>
      <c r="B18" s="338"/>
      <c r="C18" s="342"/>
      <c r="D18" s="342"/>
      <c r="E18" s="342"/>
      <c r="F18" s="342"/>
      <c r="G18" s="342"/>
      <c r="H18" s="342"/>
      <c r="I18" s="224"/>
      <c r="J18" s="224"/>
      <c r="K18" s="224"/>
    </row>
    <row r="19" spans="1:11">
      <c r="A19" s="343"/>
      <c r="B19" s="344"/>
      <c r="C19" s="344"/>
      <c r="D19" s="344"/>
      <c r="E19" s="344"/>
      <c r="F19" s="344"/>
      <c r="G19" s="344"/>
      <c r="H19" s="345"/>
      <c r="I19" s="224"/>
      <c r="J19" s="224"/>
      <c r="K19" s="224"/>
    </row>
    <row r="20" spans="1:11">
      <c r="A20" s="9"/>
      <c r="B20" s="346"/>
      <c r="C20" s="346"/>
      <c r="D20" s="346"/>
      <c r="E20" s="346"/>
      <c r="F20" s="346"/>
      <c r="G20" s="346"/>
      <c r="H20" s="347"/>
    </row>
    <row r="21" spans="1:11">
      <c r="H21" s="348"/>
    </row>
    <row r="22" spans="1:11">
      <c r="H22" s="348"/>
    </row>
    <row r="23" spans="1:11">
      <c r="H23" s="348"/>
    </row>
    <row r="24" spans="1:11">
      <c r="H24" s="34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EC94-83E0-467B-9AD8-37C42DBFDC77}">
  <sheetPr codeName="Sheet17">
    <tabColor theme="4" tint="0.39997558519241921"/>
  </sheetPr>
  <dimension ref="A1:Q202"/>
  <sheetViews>
    <sheetView workbookViewId="0">
      <selection activeCell="I21" sqref="I21"/>
    </sheetView>
  </sheetViews>
  <sheetFormatPr defaultRowHeight="15"/>
  <cols>
    <col min="4" max="4" width="9.42578125" customWidth="1"/>
    <col min="5" max="5" width="22.5703125" bestFit="1" customWidth="1"/>
    <col min="6" max="6" width="22.42578125" bestFit="1" customWidth="1"/>
    <col min="7" max="7" width="15.5703125" bestFit="1" customWidth="1"/>
    <col min="8" max="8" width="22.5703125" bestFit="1" customWidth="1"/>
    <col min="9" max="9" width="22.42578125" bestFit="1" customWidth="1"/>
    <col min="10" max="10" width="15.5703125" bestFit="1" customWidth="1"/>
    <col min="11" max="11" width="12.85546875" bestFit="1" customWidth="1"/>
    <col min="14" max="14" width="4.42578125" bestFit="1" customWidth="1"/>
    <col min="15" max="15" width="7.5703125" bestFit="1" customWidth="1"/>
    <col min="16" max="16" width="21.5703125" bestFit="1" customWidth="1"/>
  </cols>
  <sheetData>
    <row r="1" spans="1:17">
      <c r="A1" s="5" t="s">
        <v>192</v>
      </c>
    </row>
    <row r="2" spans="1:17" ht="26.25">
      <c r="A2" s="222"/>
    </row>
    <row r="3" spans="1:17">
      <c r="E3" s="386" t="s">
        <v>1</v>
      </c>
      <c r="F3" s="386"/>
      <c r="G3" s="386"/>
      <c r="H3" s="386" t="s">
        <v>193</v>
      </c>
      <c r="I3" s="386"/>
      <c r="J3" s="386"/>
      <c r="K3" s="48" t="s">
        <v>194</v>
      </c>
    </row>
    <row r="4" spans="1:17">
      <c r="A4" s="48" t="s">
        <v>35</v>
      </c>
      <c r="B4" s="48" t="s">
        <v>33</v>
      </c>
      <c r="C4" s="48" t="s">
        <v>55</v>
      </c>
      <c r="D4" s="48" t="s">
        <v>55</v>
      </c>
      <c r="E4" s="48" t="s">
        <v>195</v>
      </c>
      <c r="F4" s="48" t="s">
        <v>196</v>
      </c>
      <c r="G4" s="48" t="s">
        <v>197</v>
      </c>
      <c r="H4" s="48" t="s">
        <v>195</v>
      </c>
      <c r="I4" s="48" t="s">
        <v>196</v>
      </c>
      <c r="J4" s="48" t="s">
        <v>197</v>
      </c>
      <c r="K4" s="48" t="s">
        <v>198</v>
      </c>
      <c r="N4" s="48"/>
      <c r="O4" s="48" t="s">
        <v>33</v>
      </c>
      <c r="P4" s="48" t="s">
        <v>106</v>
      </c>
      <c r="Q4" s="48" t="s">
        <v>199</v>
      </c>
    </row>
    <row r="5" spans="1:17">
      <c r="A5" s="48" t="s">
        <v>11</v>
      </c>
      <c r="B5" s="48">
        <v>1</v>
      </c>
      <c r="C5" s="48">
        <v>0</v>
      </c>
      <c r="D5" s="48">
        <v>2018</v>
      </c>
      <c r="E5" s="48">
        <f>IF(OR($C5=0,AND($B5=2,$D5&lt;=2022)),SUMIFS('Program Inputs'!$I$21:$I$39,'Program Inputs'!$C$21:$C$39,'Bill Credit Rates'!$A5,'Program Inputs'!$D$21:$D$39,'Bill Credit Rates'!$B5,'Program Inputs'!$E$21:$E$39,'Bill Credit Rates'!E$4)*1000,E4*(1+SUMIFS($Q:$Q,$N:$N,$A5,$O:$O,$B5,$P:$P,E$4)))</f>
        <v>112.33999999999999</v>
      </c>
      <c r="F5" s="48">
        <f>IF(OR($C5=0,AND($B5=2,$D5&lt;=2022)),SUMIFS('Program Inputs'!$I$21:$I$39,'Program Inputs'!$C$21:$C$39,'Bill Credit Rates'!$A5,'Program Inputs'!$D$21:$D$39,'Bill Credit Rates'!$B5,'Program Inputs'!$E$21:$E$39,'Bill Credit Rates'!F$4)*1000,F4*(1+SUMIFS($Q:$Q,$N:$N,$A5,$O:$O,$B5,$P:$P,F$4)))</f>
        <v>112.33999999999999</v>
      </c>
      <c r="G5" s="48">
        <f>IF(OR($C5=0,AND($B5=2,$D5&lt;=2022)),SUMIFS('Program Inputs'!$I$21:$I$39,'Program Inputs'!$C$21:$C$39,'Bill Credit Rates'!$A5,'Program Inputs'!$D$21:$D$39,'Bill Credit Rates'!$B5,'Program Inputs'!$E$21:$E$39,'Bill Credit Rates'!G$4)*1000,G4*(1+SUMIFS($Q:$Q,$N:$N,$A5,$O:$O,$B5,$P:$P,G$4)))</f>
        <v>112.33999999999999</v>
      </c>
      <c r="H5" s="33">
        <f>SUMIFS('Program Inputs'!$F$21:$F$39,'Program Inputs'!$C$21:$C$39,'Bill Credit Rates'!$A5,'Program Inputs'!$D$21:$D$39,'Bill Credit Rates'!$B5,'Program Inputs'!$E$21:$E$39,'Bill Credit Rates'!E$4)</f>
        <v>0</v>
      </c>
      <c r="I5" s="33">
        <f>SUMIFS('Program Inputs'!$F$21:$F$39,'Program Inputs'!$C$21:$C$39,'Bill Credit Rates'!$A5,'Program Inputs'!$D$21:$D$39,'Bill Credit Rates'!$B5,'Program Inputs'!$E$21:$E$39,'Bill Credit Rates'!F$4)</f>
        <v>0.1</v>
      </c>
      <c r="J5" s="33">
        <f>SUMIFS('Program Inputs'!$F$21:$F$39,'Program Inputs'!$C$21:$C$39,'Bill Credit Rates'!$A5,'Program Inputs'!$D$21:$D$39,'Bill Credit Rates'!$B5,'Program Inputs'!$E$21:$E$39,'Bill Credit Rates'!G$4)</f>
        <v>0.85</v>
      </c>
      <c r="K5" s="48">
        <f>E5*H5+F5*I5+G5*J5</f>
        <v>106.72299999999998</v>
      </c>
      <c r="N5" s="119" t="s">
        <v>11</v>
      </c>
      <c r="O5" s="119">
        <v>1</v>
      </c>
      <c r="P5" s="48" t="s">
        <v>195</v>
      </c>
      <c r="Q5" s="88">
        <f>'Program Inputs'!J21</f>
        <v>0</v>
      </c>
    </row>
    <row r="6" spans="1:17">
      <c r="A6" s="48" t="s">
        <v>11</v>
      </c>
      <c r="B6" s="48">
        <v>1</v>
      </c>
      <c r="C6" s="48">
        <v>1</v>
      </c>
      <c r="D6" s="48">
        <v>2019</v>
      </c>
      <c r="E6" s="48">
        <f>IF(OR($C6=0,AND($B6=2,$D6&lt;=2022)),SUMIFS('Program Inputs'!$I$21:$I$39,'Program Inputs'!$C$21:$C$39,'Bill Credit Rates'!$A6,'Program Inputs'!$D$21:$D$39,'Bill Credit Rates'!$B6,'Program Inputs'!$E$21:$E$39,'Bill Credit Rates'!E$4)*1000,E5*(1+SUMIFS($Q:$Q,$N:$N,$A6,$O:$O,$B6,$P:$P,E$4)))</f>
        <v>112.33999999999999</v>
      </c>
      <c r="F6" s="48">
        <f>IF(OR($C6=0,AND($B6=2,$D6&lt;=2022)),SUMIFS('Program Inputs'!$I$21:$I$39,'Program Inputs'!$C$21:$C$39,'Bill Credit Rates'!$A6,'Program Inputs'!$D$21:$D$39,'Bill Credit Rates'!$B6,'Program Inputs'!$E$21:$E$39,'Bill Credit Rates'!F$4)*1000,F5*(1+SUMIFS($Q:$Q,$N:$N,$A6,$O:$O,$B6,$P:$P,F$4)))</f>
        <v>112.33999999999999</v>
      </c>
      <c r="G6" s="48">
        <f>IF(OR($C6=0,AND($B6=2,$D6&lt;=2022)),SUMIFS('Program Inputs'!$I$21:$I$39,'Program Inputs'!$C$21:$C$39,'Bill Credit Rates'!$A6,'Program Inputs'!$D$21:$D$39,'Bill Credit Rates'!$B6,'Program Inputs'!$E$21:$E$39,'Bill Credit Rates'!G$4)*1000,G5*(1+SUMIFS($Q:$Q,$N:$N,$A6,$O:$O,$B6,$P:$P,G$4)))</f>
        <v>112.33999999999999</v>
      </c>
      <c r="H6" s="33">
        <f>SUMIFS('Program Inputs'!$F$21:$F$39,'Program Inputs'!$C$21:$C$39,'Bill Credit Rates'!$A6,'Program Inputs'!$D$21:$D$39,'Bill Credit Rates'!$B6,'Program Inputs'!$E$21:$E$39,'Bill Credit Rates'!E$4)</f>
        <v>0</v>
      </c>
      <c r="I6" s="33">
        <f>SUMIFS('Program Inputs'!$F$21:$F$39,'Program Inputs'!$C$21:$C$39,'Bill Credit Rates'!$A6,'Program Inputs'!$D$21:$D$39,'Bill Credit Rates'!$B6,'Program Inputs'!$E$21:$E$39,'Bill Credit Rates'!F$4)</f>
        <v>0.1</v>
      </c>
      <c r="J6" s="33">
        <f>SUMIFS('Program Inputs'!$F$21:$F$39,'Program Inputs'!$C$21:$C$39,'Bill Credit Rates'!$A6,'Program Inputs'!$D$21:$D$39,'Bill Credit Rates'!$B6,'Program Inputs'!$E$21:$E$39,'Bill Credit Rates'!G$4)</f>
        <v>0.85</v>
      </c>
      <c r="K6" s="48">
        <f t="shared" ref="K6:K58" si="0">E6*H6+F6*I6+G6*J6</f>
        <v>106.72299999999998</v>
      </c>
      <c r="N6" s="119" t="s">
        <v>11</v>
      </c>
      <c r="O6" s="119">
        <v>1</v>
      </c>
      <c r="P6" s="48" t="s">
        <v>196</v>
      </c>
      <c r="Q6" s="88">
        <f>'Program Inputs'!J22</f>
        <v>0</v>
      </c>
    </row>
    <row r="7" spans="1:17">
      <c r="A7" s="48" t="s">
        <v>11</v>
      </c>
      <c r="B7" s="48">
        <v>1</v>
      </c>
      <c r="C7" s="48">
        <v>2</v>
      </c>
      <c r="D7" s="48">
        <v>2020</v>
      </c>
      <c r="E7" s="48">
        <f>IF(OR($C7=0,AND($B7=2,$D7&lt;=2022)),SUMIFS('Program Inputs'!$I$21:$I$39,'Program Inputs'!$C$21:$C$39,'Bill Credit Rates'!$A7,'Program Inputs'!$D$21:$D$39,'Bill Credit Rates'!$B7,'Program Inputs'!$E$21:$E$39,'Bill Credit Rates'!E$4)*1000,E6*(1+SUMIFS($Q:$Q,$N:$N,$A7,$O:$O,$B7,$P:$P,E$4)))</f>
        <v>112.33999999999999</v>
      </c>
      <c r="F7" s="48">
        <f>IF(OR($C7=0,AND($B7=2,$D7&lt;=2022)),SUMIFS('Program Inputs'!$I$21:$I$39,'Program Inputs'!$C$21:$C$39,'Bill Credit Rates'!$A7,'Program Inputs'!$D$21:$D$39,'Bill Credit Rates'!$B7,'Program Inputs'!$E$21:$E$39,'Bill Credit Rates'!F$4)*1000,F6*(1+SUMIFS($Q:$Q,$N:$N,$A7,$O:$O,$B7,$P:$P,F$4)))</f>
        <v>112.33999999999999</v>
      </c>
      <c r="G7" s="48">
        <f>IF(OR($C7=0,AND($B7=2,$D7&lt;=2022)),SUMIFS('Program Inputs'!$I$21:$I$39,'Program Inputs'!$C$21:$C$39,'Bill Credit Rates'!$A7,'Program Inputs'!$D$21:$D$39,'Bill Credit Rates'!$B7,'Program Inputs'!$E$21:$E$39,'Bill Credit Rates'!G$4)*1000,G6*(1+SUMIFS($Q:$Q,$N:$N,$A7,$O:$O,$B7,$P:$P,G$4)))</f>
        <v>112.33999999999999</v>
      </c>
      <c r="H7" s="33">
        <f>SUMIFS('Program Inputs'!$F$21:$F$39,'Program Inputs'!$C$21:$C$39,'Bill Credit Rates'!$A7,'Program Inputs'!$D$21:$D$39,'Bill Credit Rates'!$B7,'Program Inputs'!$E$21:$E$39,'Bill Credit Rates'!E$4)</f>
        <v>0</v>
      </c>
      <c r="I7" s="33">
        <f>SUMIFS('Program Inputs'!$F$21:$F$39,'Program Inputs'!$C$21:$C$39,'Bill Credit Rates'!$A7,'Program Inputs'!$D$21:$D$39,'Bill Credit Rates'!$B7,'Program Inputs'!$E$21:$E$39,'Bill Credit Rates'!F$4)</f>
        <v>0.1</v>
      </c>
      <c r="J7" s="33">
        <f>SUMIFS('Program Inputs'!$F$21:$F$39,'Program Inputs'!$C$21:$C$39,'Bill Credit Rates'!$A7,'Program Inputs'!$D$21:$D$39,'Bill Credit Rates'!$B7,'Program Inputs'!$E$21:$E$39,'Bill Credit Rates'!G$4)</f>
        <v>0.85</v>
      </c>
      <c r="K7" s="48">
        <f t="shared" si="0"/>
        <v>106.72299999999998</v>
      </c>
      <c r="N7" s="119" t="s">
        <v>11</v>
      </c>
      <c r="O7" s="119">
        <v>1</v>
      </c>
      <c r="P7" s="48" t="s">
        <v>197</v>
      </c>
      <c r="Q7" s="88">
        <f>'Program Inputs'!J23</f>
        <v>0</v>
      </c>
    </row>
    <row r="8" spans="1:17">
      <c r="A8" s="48" t="s">
        <v>11</v>
      </c>
      <c r="B8" s="48">
        <v>1</v>
      </c>
      <c r="C8" s="48">
        <v>3</v>
      </c>
      <c r="D8" s="48">
        <v>2021</v>
      </c>
      <c r="E8" s="48">
        <f>IF(OR($C8=0,AND($B8=2,$D8&lt;=2022)),SUMIFS('Program Inputs'!$I$21:$I$39,'Program Inputs'!$C$21:$C$39,'Bill Credit Rates'!$A8,'Program Inputs'!$D$21:$D$39,'Bill Credit Rates'!$B8,'Program Inputs'!$E$21:$E$39,'Bill Credit Rates'!E$4)*1000,E7*(1+SUMIFS($Q:$Q,$N:$N,$A8,$O:$O,$B8,$P:$P,E$4)))</f>
        <v>112.33999999999999</v>
      </c>
      <c r="F8" s="48">
        <f>IF(OR($C8=0,AND($B8=2,$D8&lt;=2022)),SUMIFS('Program Inputs'!$I$21:$I$39,'Program Inputs'!$C$21:$C$39,'Bill Credit Rates'!$A8,'Program Inputs'!$D$21:$D$39,'Bill Credit Rates'!$B8,'Program Inputs'!$E$21:$E$39,'Bill Credit Rates'!F$4)*1000,F7*(1+SUMIFS($Q:$Q,$N:$N,$A8,$O:$O,$B8,$P:$P,F$4)))</f>
        <v>112.33999999999999</v>
      </c>
      <c r="G8" s="48">
        <f>IF(OR($C8=0,AND($B8=2,$D8&lt;=2022)),SUMIFS('Program Inputs'!$I$21:$I$39,'Program Inputs'!$C$21:$C$39,'Bill Credit Rates'!$A8,'Program Inputs'!$D$21:$D$39,'Bill Credit Rates'!$B8,'Program Inputs'!$E$21:$E$39,'Bill Credit Rates'!G$4)*1000,G7*(1+SUMIFS($Q:$Q,$N:$N,$A8,$O:$O,$B8,$P:$P,G$4)))</f>
        <v>112.33999999999999</v>
      </c>
      <c r="H8" s="33">
        <f>SUMIFS('Program Inputs'!$F$21:$F$39,'Program Inputs'!$C$21:$C$39,'Bill Credit Rates'!$A8,'Program Inputs'!$D$21:$D$39,'Bill Credit Rates'!$B8,'Program Inputs'!$E$21:$E$39,'Bill Credit Rates'!E$4)</f>
        <v>0</v>
      </c>
      <c r="I8" s="33">
        <f>SUMIFS('Program Inputs'!$F$21:$F$39,'Program Inputs'!$C$21:$C$39,'Bill Credit Rates'!$A8,'Program Inputs'!$D$21:$D$39,'Bill Credit Rates'!$B8,'Program Inputs'!$E$21:$E$39,'Bill Credit Rates'!F$4)</f>
        <v>0.1</v>
      </c>
      <c r="J8" s="33">
        <f>SUMIFS('Program Inputs'!$F$21:$F$39,'Program Inputs'!$C$21:$C$39,'Bill Credit Rates'!$A8,'Program Inputs'!$D$21:$D$39,'Bill Credit Rates'!$B8,'Program Inputs'!$E$21:$E$39,'Bill Credit Rates'!G$4)</f>
        <v>0.85</v>
      </c>
      <c r="K8" s="48">
        <f t="shared" si="0"/>
        <v>106.72299999999998</v>
      </c>
      <c r="N8" s="119" t="s">
        <v>11</v>
      </c>
      <c r="O8" s="119">
        <v>2</v>
      </c>
      <c r="P8" s="48" t="s">
        <v>195</v>
      </c>
      <c r="Q8" s="88">
        <f>'Program Inputs'!J24</f>
        <v>0.02</v>
      </c>
    </row>
    <row r="9" spans="1:17">
      <c r="A9" s="48" t="s">
        <v>11</v>
      </c>
      <c r="B9" s="48">
        <v>1</v>
      </c>
      <c r="C9" s="48">
        <v>4</v>
      </c>
      <c r="D9" s="48">
        <v>2022</v>
      </c>
      <c r="E9" s="48">
        <f>IF(OR($C9=0,AND($B9=2,$D9&lt;=2022)),SUMIFS('Program Inputs'!$I$21:$I$39,'Program Inputs'!$C$21:$C$39,'Bill Credit Rates'!$A9,'Program Inputs'!$D$21:$D$39,'Bill Credit Rates'!$B9,'Program Inputs'!$E$21:$E$39,'Bill Credit Rates'!E$4)*1000,E8*(1+SUMIFS($Q:$Q,$N:$N,$A9,$O:$O,$B9,$P:$P,E$4)))</f>
        <v>112.33999999999999</v>
      </c>
      <c r="F9" s="48">
        <f>IF(OR($C9=0,AND($B9=2,$D9&lt;=2022)),SUMIFS('Program Inputs'!$I$21:$I$39,'Program Inputs'!$C$21:$C$39,'Bill Credit Rates'!$A9,'Program Inputs'!$D$21:$D$39,'Bill Credit Rates'!$B9,'Program Inputs'!$E$21:$E$39,'Bill Credit Rates'!F$4)*1000,F8*(1+SUMIFS($Q:$Q,$N:$N,$A9,$O:$O,$B9,$P:$P,F$4)))</f>
        <v>112.33999999999999</v>
      </c>
      <c r="G9" s="48">
        <f>IF(OR($C9=0,AND($B9=2,$D9&lt;=2022)),SUMIFS('Program Inputs'!$I$21:$I$39,'Program Inputs'!$C$21:$C$39,'Bill Credit Rates'!$A9,'Program Inputs'!$D$21:$D$39,'Bill Credit Rates'!$B9,'Program Inputs'!$E$21:$E$39,'Bill Credit Rates'!G$4)*1000,G8*(1+SUMIFS($Q:$Q,$N:$N,$A9,$O:$O,$B9,$P:$P,G$4)))</f>
        <v>112.33999999999999</v>
      </c>
      <c r="H9" s="33">
        <f>SUMIFS('Program Inputs'!$F$21:$F$39,'Program Inputs'!$C$21:$C$39,'Bill Credit Rates'!$A9,'Program Inputs'!$D$21:$D$39,'Bill Credit Rates'!$B9,'Program Inputs'!$E$21:$E$39,'Bill Credit Rates'!E$4)</f>
        <v>0</v>
      </c>
      <c r="I9" s="33">
        <f>SUMIFS('Program Inputs'!$F$21:$F$39,'Program Inputs'!$C$21:$C$39,'Bill Credit Rates'!$A9,'Program Inputs'!$D$21:$D$39,'Bill Credit Rates'!$B9,'Program Inputs'!$E$21:$E$39,'Bill Credit Rates'!F$4)</f>
        <v>0.1</v>
      </c>
      <c r="J9" s="33">
        <f>SUMIFS('Program Inputs'!$F$21:$F$39,'Program Inputs'!$C$21:$C$39,'Bill Credit Rates'!$A9,'Program Inputs'!$D$21:$D$39,'Bill Credit Rates'!$B9,'Program Inputs'!$E$21:$E$39,'Bill Credit Rates'!G$4)</f>
        <v>0.85</v>
      </c>
      <c r="K9" s="48">
        <f t="shared" si="0"/>
        <v>106.72299999999998</v>
      </c>
      <c r="N9" s="119" t="s">
        <v>11</v>
      </c>
      <c r="O9" s="119">
        <v>2</v>
      </c>
      <c r="P9" s="48" t="s">
        <v>196</v>
      </c>
      <c r="Q9" s="88">
        <f>'Program Inputs'!J25</f>
        <v>0.02</v>
      </c>
    </row>
    <row r="10" spans="1:17">
      <c r="A10" s="48" t="s">
        <v>11</v>
      </c>
      <c r="B10" s="48">
        <v>1</v>
      </c>
      <c r="C10" s="48">
        <v>5</v>
      </c>
      <c r="D10" s="48">
        <v>2023</v>
      </c>
      <c r="E10" s="48">
        <f>IF(OR($C10=0,AND($B10=2,$D10&lt;=2022)),SUMIFS('Program Inputs'!$I$21:$I$39,'Program Inputs'!$C$21:$C$39,'Bill Credit Rates'!$A10,'Program Inputs'!$D$21:$D$39,'Bill Credit Rates'!$B10,'Program Inputs'!$E$21:$E$39,'Bill Credit Rates'!E$4)*1000,E9*(1+SUMIFS($Q:$Q,$N:$N,$A10,$O:$O,$B10,$P:$P,E$4)))</f>
        <v>112.33999999999999</v>
      </c>
      <c r="F10" s="48">
        <f>IF(OR($C10=0,AND($B10=2,$D10&lt;=2022)),SUMIFS('Program Inputs'!$I$21:$I$39,'Program Inputs'!$C$21:$C$39,'Bill Credit Rates'!$A10,'Program Inputs'!$D$21:$D$39,'Bill Credit Rates'!$B10,'Program Inputs'!$E$21:$E$39,'Bill Credit Rates'!F$4)*1000,F9*(1+SUMIFS($Q:$Q,$N:$N,$A10,$O:$O,$B10,$P:$P,F$4)))</f>
        <v>112.33999999999999</v>
      </c>
      <c r="G10" s="48">
        <f>IF(OR($C10=0,AND($B10=2,$D10&lt;=2022)),SUMIFS('Program Inputs'!$I$21:$I$39,'Program Inputs'!$C$21:$C$39,'Bill Credit Rates'!$A10,'Program Inputs'!$D$21:$D$39,'Bill Credit Rates'!$B10,'Program Inputs'!$E$21:$E$39,'Bill Credit Rates'!G$4)*1000,G9*(1+SUMIFS($Q:$Q,$N:$N,$A10,$O:$O,$B10,$P:$P,G$4)))</f>
        <v>112.33999999999999</v>
      </c>
      <c r="H10" s="33">
        <f>SUMIFS('Program Inputs'!$F$21:$F$39,'Program Inputs'!$C$21:$C$39,'Bill Credit Rates'!$A10,'Program Inputs'!$D$21:$D$39,'Bill Credit Rates'!$B10,'Program Inputs'!$E$21:$E$39,'Bill Credit Rates'!E$4)</f>
        <v>0</v>
      </c>
      <c r="I10" s="33">
        <f>SUMIFS('Program Inputs'!$F$21:$F$39,'Program Inputs'!$C$21:$C$39,'Bill Credit Rates'!$A10,'Program Inputs'!$D$21:$D$39,'Bill Credit Rates'!$B10,'Program Inputs'!$E$21:$E$39,'Bill Credit Rates'!F$4)</f>
        <v>0.1</v>
      </c>
      <c r="J10" s="33">
        <f>SUMIFS('Program Inputs'!$F$21:$F$39,'Program Inputs'!$C$21:$C$39,'Bill Credit Rates'!$A10,'Program Inputs'!$D$21:$D$39,'Bill Credit Rates'!$B10,'Program Inputs'!$E$21:$E$39,'Bill Credit Rates'!G$4)</f>
        <v>0.85</v>
      </c>
      <c r="K10" s="48">
        <f t="shared" si="0"/>
        <v>106.72299999999998</v>
      </c>
      <c r="N10" s="119" t="s">
        <v>11</v>
      </c>
      <c r="O10" s="119">
        <v>2</v>
      </c>
      <c r="P10" s="48" t="s">
        <v>197</v>
      </c>
      <c r="Q10" s="88">
        <f>'Program Inputs'!J26</f>
        <v>0.02</v>
      </c>
    </row>
    <row r="11" spans="1:17">
      <c r="A11" s="48" t="s">
        <v>11</v>
      </c>
      <c r="B11" s="48">
        <v>1</v>
      </c>
      <c r="C11" s="48">
        <v>6</v>
      </c>
      <c r="D11" s="48">
        <v>2024</v>
      </c>
      <c r="E11" s="48">
        <f>IF(OR($C11=0,AND($B11=2,$D11&lt;=2022)),SUMIFS('Program Inputs'!$I$21:$I$39,'Program Inputs'!$C$21:$C$39,'Bill Credit Rates'!$A11,'Program Inputs'!$D$21:$D$39,'Bill Credit Rates'!$B11,'Program Inputs'!$E$21:$E$39,'Bill Credit Rates'!E$4)*1000,E10*(1+SUMIFS($Q:$Q,$N:$N,$A11,$O:$O,$B11,$P:$P,E$4)))</f>
        <v>112.33999999999999</v>
      </c>
      <c r="F11" s="48">
        <f>IF(OR($C11=0,AND($B11=2,$D11&lt;=2022)),SUMIFS('Program Inputs'!$I$21:$I$39,'Program Inputs'!$C$21:$C$39,'Bill Credit Rates'!$A11,'Program Inputs'!$D$21:$D$39,'Bill Credit Rates'!$B11,'Program Inputs'!$E$21:$E$39,'Bill Credit Rates'!F$4)*1000,F10*(1+SUMIFS($Q:$Q,$N:$N,$A11,$O:$O,$B11,$P:$P,F$4)))</f>
        <v>112.33999999999999</v>
      </c>
      <c r="G11" s="48">
        <f>IF(OR($C11=0,AND($B11=2,$D11&lt;=2022)),SUMIFS('Program Inputs'!$I$21:$I$39,'Program Inputs'!$C$21:$C$39,'Bill Credit Rates'!$A11,'Program Inputs'!$D$21:$D$39,'Bill Credit Rates'!$B11,'Program Inputs'!$E$21:$E$39,'Bill Credit Rates'!G$4)*1000,G10*(1+SUMIFS($Q:$Q,$N:$N,$A11,$O:$O,$B11,$P:$P,G$4)))</f>
        <v>112.33999999999999</v>
      </c>
      <c r="H11" s="33">
        <f>SUMIFS('Program Inputs'!$F$21:$F$39,'Program Inputs'!$C$21:$C$39,'Bill Credit Rates'!$A11,'Program Inputs'!$D$21:$D$39,'Bill Credit Rates'!$B11,'Program Inputs'!$E$21:$E$39,'Bill Credit Rates'!E$4)</f>
        <v>0</v>
      </c>
      <c r="I11" s="33">
        <f>SUMIFS('Program Inputs'!$F$21:$F$39,'Program Inputs'!$C$21:$C$39,'Bill Credit Rates'!$A11,'Program Inputs'!$D$21:$D$39,'Bill Credit Rates'!$B11,'Program Inputs'!$E$21:$E$39,'Bill Credit Rates'!F$4)</f>
        <v>0.1</v>
      </c>
      <c r="J11" s="33">
        <f>SUMIFS('Program Inputs'!$F$21:$F$39,'Program Inputs'!$C$21:$C$39,'Bill Credit Rates'!$A11,'Program Inputs'!$D$21:$D$39,'Bill Credit Rates'!$B11,'Program Inputs'!$E$21:$E$39,'Bill Credit Rates'!G$4)</f>
        <v>0.85</v>
      </c>
      <c r="K11" s="48">
        <f t="shared" si="0"/>
        <v>106.72299999999998</v>
      </c>
      <c r="N11" s="119" t="s">
        <v>12</v>
      </c>
      <c r="O11" s="119">
        <v>1</v>
      </c>
      <c r="P11" s="48" t="s">
        <v>195</v>
      </c>
      <c r="Q11" s="88">
        <f>'Program Inputs'!J27</f>
        <v>0</v>
      </c>
    </row>
    <row r="12" spans="1:17">
      <c r="A12" s="48" t="s">
        <v>11</v>
      </c>
      <c r="B12" s="48">
        <v>1</v>
      </c>
      <c r="C12" s="48">
        <v>7</v>
      </c>
      <c r="D12" s="48">
        <v>2025</v>
      </c>
      <c r="E12" s="48">
        <f>IF(OR($C12=0,AND($B12=2,$D12&lt;=2022)),SUMIFS('Program Inputs'!$I$21:$I$39,'Program Inputs'!$C$21:$C$39,'Bill Credit Rates'!$A12,'Program Inputs'!$D$21:$D$39,'Bill Credit Rates'!$B12,'Program Inputs'!$E$21:$E$39,'Bill Credit Rates'!E$4)*1000,E11*(1+SUMIFS($Q:$Q,$N:$N,$A12,$O:$O,$B12,$P:$P,E$4)))</f>
        <v>112.33999999999999</v>
      </c>
      <c r="F12" s="48">
        <f>IF(OR($C12=0,AND($B12=2,$D12&lt;=2022)),SUMIFS('Program Inputs'!$I$21:$I$39,'Program Inputs'!$C$21:$C$39,'Bill Credit Rates'!$A12,'Program Inputs'!$D$21:$D$39,'Bill Credit Rates'!$B12,'Program Inputs'!$E$21:$E$39,'Bill Credit Rates'!F$4)*1000,F11*(1+SUMIFS($Q:$Q,$N:$N,$A12,$O:$O,$B12,$P:$P,F$4)))</f>
        <v>112.33999999999999</v>
      </c>
      <c r="G12" s="48">
        <f>IF(OR($C12=0,AND($B12=2,$D12&lt;=2022)),SUMIFS('Program Inputs'!$I$21:$I$39,'Program Inputs'!$C$21:$C$39,'Bill Credit Rates'!$A12,'Program Inputs'!$D$21:$D$39,'Bill Credit Rates'!$B12,'Program Inputs'!$E$21:$E$39,'Bill Credit Rates'!G$4)*1000,G11*(1+SUMIFS($Q:$Q,$N:$N,$A12,$O:$O,$B12,$P:$P,G$4)))</f>
        <v>112.33999999999999</v>
      </c>
      <c r="H12" s="33">
        <f>SUMIFS('Program Inputs'!$F$21:$F$39,'Program Inputs'!$C$21:$C$39,'Bill Credit Rates'!$A12,'Program Inputs'!$D$21:$D$39,'Bill Credit Rates'!$B12,'Program Inputs'!$E$21:$E$39,'Bill Credit Rates'!E$4)</f>
        <v>0</v>
      </c>
      <c r="I12" s="33">
        <f>SUMIFS('Program Inputs'!$F$21:$F$39,'Program Inputs'!$C$21:$C$39,'Bill Credit Rates'!$A12,'Program Inputs'!$D$21:$D$39,'Bill Credit Rates'!$B12,'Program Inputs'!$E$21:$E$39,'Bill Credit Rates'!F$4)</f>
        <v>0.1</v>
      </c>
      <c r="J12" s="33">
        <f>SUMIFS('Program Inputs'!$F$21:$F$39,'Program Inputs'!$C$21:$C$39,'Bill Credit Rates'!$A12,'Program Inputs'!$D$21:$D$39,'Bill Credit Rates'!$B12,'Program Inputs'!$E$21:$E$39,'Bill Credit Rates'!G$4)</f>
        <v>0.85</v>
      </c>
      <c r="K12" s="48">
        <f t="shared" si="0"/>
        <v>106.72299999999998</v>
      </c>
      <c r="N12" s="119" t="s">
        <v>12</v>
      </c>
      <c r="O12" s="119">
        <v>1</v>
      </c>
      <c r="P12" s="48" t="s">
        <v>196</v>
      </c>
      <c r="Q12" s="88">
        <f>'Program Inputs'!J28</f>
        <v>0</v>
      </c>
    </row>
    <row r="13" spans="1:17">
      <c r="A13" s="48" t="s">
        <v>11</v>
      </c>
      <c r="B13" s="48">
        <v>1</v>
      </c>
      <c r="C13" s="48">
        <v>8</v>
      </c>
      <c r="D13" s="48">
        <v>2026</v>
      </c>
      <c r="E13" s="48">
        <f>IF(OR($C13=0,AND($B13=2,$D13&lt;=2022)),SUMIFS('Program Inputs'!$I$21:$I$39,'Program Inputs'!$C$21:$C$39,'Bill Credit Rates'!$A13,'Program Inputs'!$D$21:$D$39,'Bill Credit Rates'!$B13,'Program Inputs'!$E$21:$E$39,'Bill Credit Rates'!E$4)*1000,E12*(1+SUMIFS($Q:$Q,$N:$N,$A13,$O:$O,$B13,$P:$P,E$4)))</f>
        <v>112.33999999999999</v>
      </c>
      <c r="F13" s="48">
        <f>IF(OR($C13=0,AND($B13=2,$D13&lt;=2022)),SUMIFS('Program Inputs'!$I$21:$I$39,'Program Inputs'!$C$21:$C$39,'Bill Credit Rates'!$A13,'Program Inputs'!$D$21:$D$39,'Bill Credit Rates'!$B13,'Program Inputs'!$E$21:$E$39,'Bill Credit Rates'!F$4)*1000,F12*(1+SUMIFS($Q:$Q,$N:$N,$A13,$O:$O,$B13,$P:$P,F$4)))</f>
        <v>112.33999999999999</v>
      </c>
      <c r="G13" s="48">
        <f>IF(OR($C13=0,AND($B13=2,$D13&lt;=2022)),SUMIFS('Program Inputs'!$I$21:$I$39,'Program Inputs'!$C$21:$C$39,'Bill Credit Rates'!$A13,'Program Inputs'!$D$21:$D$39,'Bill Credit Rates'!$B13,'Program Inputs'!$E$21:$E$39,'Bill Credit Rates'!G$4)*1000,G12*(1+SUMIFS($Q:$Q,$N:$N,$A13,$O:$O,$B13,$P:$P,G$4)))</f>
        <v>112.33999999999999</v>
      </c>
      <c r="H13" s="33">
        <f>SUMIFS('Program Inputs'!$F$21:$F$39,'Program Inputs'!$C$21:$C$39,'Bill Credit Rates'!$A13,'Program Inputs'!$D$21:$D$39,'Bill Credit Rates'!$B13,'Program Inputs'!$E$21:$E$39,'Bill Credit Rates'!E$4)</f>
        <v>0</v>
      </c>
      <c r="I13" s="33">
        <f>SUMIFS('Program Inputs'!$F$21:$F$39,'Program Inputs'!$C$21:$C$39,'Bill Credit Rates'!$A13,'Program Inputs'!$D$21:$D$39,'Bill Credit Rates'!$B13,'Program Inputs'!$E$21:$E$39,'Bill Credit Rates'!F$4)</f>
        <v>0.1</v>
      </c>
      <c r="J13" s="33">
        <f>SUMIFS('Program Inputs'!$F$21:$F$39,'Program Inputs'!$C$21:$C$39,'Bill Credit Rates'!$A13,'Program Inputs'!$D$21:$D$39,'Bill Credit Rates'!$B13,'Program Inputs'!$E$21:$E$39,'Bill Credit Rates'!G$4)</f>
        <v>0.85</v>
      </c>
      <c r="K13" s="48">
        <f t="shared" si="0"/>
        <v>106.72299999999998</v>
      </c>
      <c r="N13" s="119" t="s">
        <v>12</v>
      </c>
      <c r="O13" s="119">
        <v>1</v>
      </c>
      <c r="P13" s="48" t="s">
        <v>197</v>
      </c>
      <c r="Q13" s="88">
        <f>'Program Inputs'!J29</f>
        <v>0</v>
      </c>
    </row>
    <row r="14" spans="1:17">
      <c r="A14" s="48" t="s">
        <v>11</v>
      </c>
      <c r="B14" s="48">
        <v>1</v>
      </c>
      <c r="C14" s="48">
        <v>9</v>
      </c>
      <c r="D14" s="48">
        <v>2027</v>
      </c>
      <c r="E14" s="48">
        <f>IF(OR($C14=0,AND($B14=2,$D14&lt;=2022)),SUMIFS('Program Inputs'!$I$21:$I$39,'Program Inputs'!$C$21:$C$39,'Bill Credit Rates'!$A14,'Program Inputs'!$D$21:$D$39,'Bill Credit Rates'!$B14,'Program Inputs'!$E$21:$E$39,'Bill Credit Rates'!E$4)*1000,E13*(1+SUMIFS($Q:$Q,$N:$N,$A14,$O:$O,$B14,$P:$P,E$4)))</f>
        <v>112.33999999999999</v>
      </c>
      <c r="F14" s="48">
        <f>IF(OR($C14=0,AND($B14=2,$D14&lt;=2022)),SUMIFS('Program Inputs'!$I$21:$I$39,'Program Inputs'!$C$21:$C$39,'Bill Credit Rates'!$A14,'Program Inputs'!$D$21:$D$39,'Bill Credit Rates'!$B14,'Program Inputs'!$E$21:$E$39,'Bill Credit Rates'!F$4)*1000,F13*(1+SUMIFS($Q:$Q,$N:$N,$A14,$O:$O,$B14,$P:$P,F$4)))</f>
        <v>112.33999999999999</v>
      </c>
      <c r="G14" s="48">
        <f>IF(OR($C14=0,AND($B14=2,$D14&lt;=2022)),SUMIFS('Program Inputs'!$I$21:$I$39,'Program Inputs'!$C$21:$C$39,'Bill Credit Rates'!$A14,'Program Inputs'!$D$21:$D$39,'Bill Credit Rates'!$B14,'Program Inputs'!$E$21:$E$39,'Bill Credit Rates'!G$4)*1000,G13*(1+SUMIFS($Q:$Q,$N:$N,$A14,$O:$O,$B14,$P:$P,G$4)))</f>
        <v>112.33999999999999</v>
      </c>
      <c r="H14" s="33">
        <f>SUMIFS('Program Inputs'!$F$21:$F$39,'Program Inputs'!$C$21:$C$39,'Bill Credit Rates'!$A14,'Program Inputs'!$D$21:$D$39,'Bill Credit Rates'!$B14,'Program Inputs'!$E$21:$E$39,'Bill Credit Rates'!E$4)</f>
        <v>0</v>
      </c>
      <c r="I14" s="33">
        <f>SUMIFS('Program Inputs'!$F$21:$F$39,'Program Inputs'!$C$21:$C$39,'Bill Credit Rates'!$A14,'Program Inputs'!$D$21:$D$39,'Bill Credit Rates'!$B14,'Program Inputs'!$E$21:$E$39,'Bill Credit Rates'!F$4)</f>
        <v>0.1</v>
      </c>
      <c r="J14" s="33">
        <f>SUMIFS('Program Inputs'!$F$21:$F$39,'Program Inputs'!$C$21:$C$39,'Bill Credit Rates'!$A14,'Program Inputs'!$D$21:$D$39,'Bill Credit Rates'!$B14,'Program Inputs'!$E$21:$E$39,'Bill Credit Rates'!G$4)</f>
        <v>0.85</v>
      </c>
      <c r="K14" s="48">
        <f t="shared" si="0"/>
        <v>106.72299999999998</v>
      </c>
      <c r="N14" s="119" t="s">
        <v>12</v>
      </c>
      <c r="O14" s="119">
        <v>2</v>
      </c>
      <c r="P14" s="48" t="s">
        <v>195</v>
      </c>
      <c r="Q14" s="88">
        <f>'Program Inputs'!J30</f>
        <v>0.02</v>
      </c>
    </row>
    <row r="15" spans="1:17">
      <c r="A15" s="48" t="s">
        <v>11</v>
      </c>
      <c r="B15" s="48">
        <v>1</v>
      </c>
      <c r="C15" s="48">
        <v>10</v>
      </c>
      <c r="D15" s="48">
        <v>2028</v>
      </c>
      <c r="E15" s="48">
        <f>IF(OR($C15=0,AND($B15=2,$D15&lt;=2022)),SUMIFS('Program Inputs'!$I$21:$I$39,'Program Inputs'!$C$21:$C$39,'Bill Credit Rates'!$A15,'Program Inputs'!$D$21:$D$39,'Bill Credit Rates'!$B15,'Program Inputs'!$E$21:$E$39,'Bill Credit Rates'!E$4)*1000,E14*(1+SUMIFS($Q:$Q,$N:$N,$A15,$O:$O,$B15,$P:$P,E$4)))</f>
        <v>112.33999999999999</v>
      </c>
      <c r="F15" s="48">
        <f>IF(OR($C15=0,AND($B15=2,$D15&lt;=2022)),SUMIFS('Program Inputs'!$I$21:$I$39,'Program Inputs'!$C$21:$C$39,'Bill Credit Rates'!$A15,'Program Inputs'!$D$21:$D$39,'Bill Credit Rates'!$B15,'Program Inputs'!$E$21:$E$39,'Bill Credit Rates'!F$4)*1000,F14*(1+SUMIFS($Q:$Q,$N:$N,$A15,$O:$O,$B15,$P:$P,F$4)))</f>
        <v>112.33999999999999</v>
      </c>
      <c r="G15" s="48">
        <f>IF(OR($C15=0,AND($B15=2,$D15&lt;=2022)),SUMIFS('Program Inputs'!$I$21:$I$39,'Program Inputs'!$C$21:$C$39,'Bill Credit Rates'!$A15,'Program Inputs'!$D$21:$D$39,'Bill Credit Rates'!$B15,'Program Inputs'!$E$21:$E$39,'Bill Credit Rates'!G$4)*1000,G14*(1+SUMIFS($Q:$Q,$N:$N,$A15,$O:$O,$B15,$P:$P,G$4)))</f>
        <v>112.33999999999999</v>
      </c>
      <c r="H15" s="33">
        <f>SUMIFS('Program Inputs'!$F$21:$F$39,'Program Inputs'!$C$21:$C$39,'Bill Credit Rates'!$A15,'Program Inputs'!$D$21:$D$39,'Bill Credit Rates'!$B15,'Program Inputs'!$E$21:$E$39,'Bill Credit Rates'!E$4)</f>
        <v>0</v>
      </c>
      <c r="I15" s="33">
        <f>SUMIFS('Program Inputs'!$F$21:$F$39,'Program Inputs'!$C$21:$C$39,'Bill Credit Rates'!$A15,'Program Inputs'!$D$21:$D$39,'Bill Credit Rates'!$B15,'Program Inputs'!$E$21:$E$39,'Bill Credit Rates'!F$4)</f>
        <v>0.1</v>
      </c>
      <c r="J15" s="33">
        <f>SUMIFS('Program Inputs'!$F$21:$F$39,'Program Inputs'!$C$21:$C$39,'Bill Credit Rates'!$A15,'Program Inputs'!$D$21:$D$39,'Bill Credit Rates'!$B15,'Program Inputs'!$E$21:$E$39,'Bill Credit Rates'!G$4)</f>
        <v>0.85</v>
      </c>
      <c r="K15" s="48">
        <f t="shared" si="0"/>
        <v>106.72299999999998</v>
      </c>
      <c r="N15" s="119" t="s">
        <v>12</v>
      </c>
      <c r="O15" s="119">
        <v>2</v>
      </c>
      <c r="P15" s="48" t="s">
        <v>196</v>
      </c>
      <c r="Q15" s="88">
        <f>'Program Inputs'!J31</f>
        <v>0.02</v>
      </c>
    </row>
    <row r="16" spans="1:17">
      <c r="A16" s="48" t="s">
        <v>11</v>
      </c>
      <c r="B16" s="48">
        <v>1</v>
      </c>
      <c r="C16" s="48">
        <v>11</v>
      </c>
      <c r="D16" s="48">
        <v>2029</v>
      </c>
      <c r="E16" s="48">
        <f>IF(OR($C16=0,AND($B16=2,$D16&lt;=2022)),SUMIFS('Program Inputs'!$I$21:$I$39,'Program Inputs'!$C$21:$C$39,'Bill Credit Rates'!$A16,'Program Inputs'!$D$21:$D$39,'Bill Credit Rates'!$B16,'Program Inputs'!$E$21:$E$39,'Bill Credit Rates'!E$4)*1000,E15*(1+SUMIFS($Q:$Q,$N:$N,$A16,$O:$O,$B16,$P:$P,E$4)))</f>
        <v>112.33999999999999</v>
      </c>
      <c r="F16" s="48">
        <f>IF(OR($C16=0,AND($B16=2,$D16&lt;=2022)),SUMIFS('Program Inputs'!$I$21:$I$39,'Program Inputs'!$C$21:$C$39,'Bill Credit Rates'!$A16,'Program Inputs'!$D$21:$D$39,'Bill Credit Rates'!$B16,'Program Inputs'!$E$21:$E$39,'Bill Credit Rates'!F$4)*1000,F15*(1+SUMIFS($Q:$Q,$N:$N,$A16,$O:$O,$B16,$P:$P,F$4)))</f>
        <v>112.33999999999999</v>
      </c>
      <c r="G16" s="48">
        <f>IF(OR($C16=0,AND($B16=2,$D16&lt;=2022)),SUMIFS('Program Inputs'!$I$21:$I$39,'Program Inputs'!$C$21:$C$39,'Bill Credit Rates'!$A16,'Program Inputs'!$D$21:$D$39,'Bill Credit Rates'!$B16,'Program Inputs'!$E$21:$E$39,'Bill Credit Rates'!G$4)*1000,G15*(1+SUMIFS($Q:$Q,$N:$N,$A16,$O:$O,$B16,$P:$P,G$4)))</f>
        <v>112.33999999999999</v>
      </c>
      <c r="H16" s="33">
        <f>SUMIFS('Program Inputs'!$F$21:$F$39,'Program Inputs'!$C$21:$C$39,'Bill Credit Rates'!$A16,'Program Inputs'!$D$21:$D$39,'Bill Credit Rates'!$B16,'Program Inputs'!$E$21:$E$39,'Bill Credit Rates'!E$4)</f>
        <v>0</v>
      </c>
      <c r="I16" s="33">
        <f>SUMIFS('Program Inputs'!$F$21:$F$39,'Program Inputs'!$C$21:$C$39,'Bill Credit Rates'!$A16,'Program Inputs'!$D$21:$D$39,'Bill Credit Rates'!$B16,'Program Inputs'!$E$21:$E$39,'Bill Credit Rates'!F$4)</f>
        <v>0.1</v>
      </c>
      <c r="J16" s="33">
        <f>SUMIFS('Program Inputs'!$F$21:$F$39,'Program Inputs'!$C$21:$C$39,'Bill Credit Rates'!$A16,'Program Inputs'!$D$21:$D$39,'Bill Credit Rates'!$B16,'Program Inputs'!$E$21:$E$39,'Bill Credit Rates'!G$4)</f>
        <v>0.85</v>
      </c>
      <c r="K16" s="48">
        <f t="shared" si="0"/>
        <v>106.72299999999998</v>
      </c>
      <c r="N16" s="119" t="s">
        <v>12</v>
      </c>
      <c r="O16" s="119">
        <v>2</v>
      </c>
      <c r="P16" s="48" t="s">
        <v>197</v>
      </c>
      <c r="Q16" s="88">
        <f>'Program Inputs'!J32</f>
        <v>0.02</v>
      </c>
    </row>
    <row r="17" spans="1:17">
      <c r="A17" s="48" t="s">
        <v>11</v>
      </c>
      <c r="B17" s="48">
        <v>1</v>
      </c>
      <c r="C17" s="48">
        <v>12</v>
      </c>
      <c r="D17" s="48">
        <v>2030</v>
      </c>
      <c r="E17" s="48">
        <f>IF(OR($C17=0,AND($B17=2,$D17&lt;=2022)),SUMIFS('Program Inputs'!$I$21:$I$39,'Program Inputs'!$C$21:$C$39,'Bill Credit Rates'!$A17,'Program Inputs'!$D$21:$D$39,'Bill Credit Rates'!$B17,'Program Inputs'!$E$21:$E$39,'Bill Credit Rates'!E$4)*1000,E16*(1+SUMIFS($Q:$Q,$N:$N,$A17,$O:$O,$B17,$P:$P,E$4)))</f>
        <v>112.33999999999999</v>
      </c>
      <c r="F17" s="48">
        <f>IF(OR($C17=0,AND($B17=2,$D17&lt;=2022)),SUMIFS('Program Inputs'!$I$21:$I$39,'Program Inputs'!$C$21:$C$39,'Bill Credit Rates'!$A17,'Program Inputs'!$D$21:$D$39,'Bill Credit Rates'!$B17,'Program Inputs'!$E$21:$E$39,'Bill Credit Rates'!F$4)*1000,F16*(1+SUMIFS($Q:$Q,$N:$N,$A17,$O:$O,$B17,$P:$P,F$4)))</f>
        <v>112.33999999999999</v>
      </c>
      <c r="G17" s="48">
        <f>IF(OR($C17=0,AND($B17=2,$D17&lt;=2022)),SUMIFS('Program Inputs'!$I$21:$I$39,'Program Inputs'!$C$21:$C$39,'Bill Credit Rates'!$A17,'Program Inputs'!$D$21:$D$39,'Bill Credit Rates'!$B17,'Program Inputs'!$E$21:$E$39,'Bill Credit Rates'!G$4)*1000,G16*(1+SUMIFS($Q:$Q,$N:$N,$A17,$O:$O,$B17,$P:$P,G$4)))</f>
        <v>112.33999999999999</v>
      </c>
      <c r="H17" s="33">
        <f>SUMIFS('Program Inputs'!$F$21:$F$39,'Program Inputs'!$C$21:$C$39,'Bill Credit Rates'!$A17,'Program Inputs'!$D$21:$D$39,'Bill Credit Rates'!$B17,'Program Inputs'!$E$21:$E$39,'Bill Credit Rates'!E$4)</f>
        <v>0</v>
      </c>
      <c r="I17" s="33">
        <f>SUMIFS('Program Inputs'!$F$21:$F$39,'Program Inputs'!$C$21:$C$39,'Bill Credit Rates'!$A17,'Program Inputs'!$D$21:$D$39,'Bill Credit Rates'!$B17,'Program Inputs'!$E$21:$E$39,'Bill Credit Rates'!F$4)</f>
        <v>0.1</v>
      </c>
      <c r="J17" s="33">
        <f>SUMIFS('Program Inputs'!$F$21:$F$39,'Program Inputs'!$C$21:$C$39,'Bill Credit Rates'!$A17,'Program Inputs'!$D$21:$D$39,'Bill Credit Rates'!$B17,'Program Inputs'!$E$21:$E$39,'Bill Credit Rates'!G$4)</f>
        <v>0.85</v>
      </c>
      <c r="K17" s="48">
        <f t="shared" si="0"/>
        <v>106.72299999999998</v>
      </c>
      <c r="N17" s="119" t="s">
        <v>13</v>
      </c>
      <c r="O17" s="119">
        <v>1</v>
      </c>
      <c r="P17" s="48" t="s">
        <v>195</v>
      </c>
      <c r="Q17" s="88">
        <f>'Program Inputs'!J33</f>
        <v>0</v>
      </c>
    </row>
    <row r="18" spans="1:17">
      <c r="A18" s="48" t="s">
        <v>11</v>
      </c>
      <c r="B18" s="48">
        <v>1</v>
      </c>
      <c r="C18" s="48">
        <v>13</v>
      </c>
      <c r="D18" s="48">
        <v>2031</v>
      </c>
      <c r="E18" s="48">
        <f>IF(OR($C18=0,AND($B18=2,$D18&lt;=2022)),SUMIFS('Program Inputs'!$I$21:$I$39,'Program Inputs'!$C$21:$C$39,'Bill Credit Rates'!$A18,'Program Inputs'!$D$21:$D$39,'Bill Credit Rates'!$B18,'Program Inputs'!$E$21:$E$39,'Bill Credit Rates'!E$4)*1000,E17*(1+SUMIFS($Q:$Q,$N:$N,$A18,$O:$O,$B18,$P:$P,E$4)))</f>
        <v>112.33999999999999</v>
      </c>
      <c r="F18" s="48">
        <f>IF(OR($C18=0,AND($B18=2,$D18&lt;=2022)),SUMIFS('Program Inputs'!$I$21:$I$39,'Program Inputs'!$C$21:$C$39,'Bill Credit Rates'!$A18,'Program Inputs'!$D$21:$D$39,'Bill Credit Rates'!$B18,'Program Inputs'!$E$21:$E$39,'Bill Credit Rates'!F$4)*1000,F17*(1+SUMIFS($Q:$Q,$N:$N,$A18,$O:$O,$B18,$P:$P,F$4)))</f>
        <v>112.33999999999999</v>
      </c>
      <c r="G18" s="48">
        <f>IF(OR($C18=0,AND($B18=2,$D18&lt;=2022)),SUMIFS('Program Inputs'!$I$21:$I$39,'Program Inputs'!$C$21:$C$39,'Bill Credit Rates'!$A18,'Program Inputs'!$D$21:$D$39,'Bill Credit Rates'!$B18,'Program Inputs'!$E$21:$E$39,'Bill Credit Rates'!G$4)*1000,G17*(1+SUMIFS($Q:$Q,$N:$N,$A18,$O:$O,$B18,$P:$P,G$4)))</f>
        <v>112.33999999999999</v>
      </c>
      <c r="H18" s="33">
        <f>SUMIFS('Program Inputs'!$F$21:$F$39,'Program Inputs'!$C$21:$C$39,'Bill Credit Rates'!$A18,'Program Inputs'!$D$21:$D$39,'Bill Credit Rates'!$B18,'Program Inputs'!$E$21:$E$39,'Bill Credit Rates'!E$4)</f>
        <v>0</v>
      </c>
      <c r="I18" s="33">
        <f>SUMIFS('Program Inputs'!$F$21:$F$39,'Program Inputs'!$C$21:$C$39,'Bill Credit Rates'!$A18,'Program Inputs'!$D$21:$D$39,'Bill Credit Rates'!$B18,'Program Inputs'!$E$21:$E$39,'Bill Credit Rates'!F$4)</f>
        <v>0.1</v>
      </c>
      <c r="J18" s="33">
        <f>SUMIFS('Program Inputs'!$F$21:$F$39,'Program Inputs'!$C$21:$C$39,'Bill Credit Rates'!$A18,'Program Inputs'!$D$21:$D$39,'Bill Credit Rates'!$B18,'Program Inputs'!$E$21:$E$39,'Bill Credit Rates'!G$4)</f>
        <v>0.85</v>
      </c>
      <c r="K18" s="48">
        <f t="shared" si="0"/>
        <v>106.72299999999998</v>
      </c>
      <c r="N18" s="119" t="s">
        <v>13</v>
      </c>
      <c r="O18" s="119">
        <v>1</v>
      </c>
      <c r="P18" s="48" t="s">
        <v>196</v>
      </c>
      <c r="Q18" s="88">
        <f>'Program Inputs'!J34</f>
        <v>0</v>
      </c>
    </row>
    <row r="19" spans="1:17">
      <c r="A19" s="48" t="s">
        <v>11</v>
      </c>
      <c r="B19" s="48">
        <v>1</v>
      </c>
      <c r="C19" s="48">
        <v>14</v>
      </c>
      <c r="D19" s="48">
        <v>2032</v>
      </c>
      <c r="E19" s="48">
        <f>IF(OR($C19=0,AND($B19=2,$D19&lt;=2022)),SUMIFS('Program Inputs'!$I$21:$I$39,'Program Inputs'!$C$21:$C$39,'Bill Credit Rates'!$A19,'Program Inputs'!$D$21:$D$39,'Bill Credit Rates'!$B19,'Program Inputs'!$E$21:$E$39,'Bill Credit Rates'!E$4)*1000,E18*(1+SUMIFS($Q:$Q,$N:$N,$A19,$O:$O,$B19,$P:$P,E$4)))</f>
        <v>112.33999999999999</v>
      </c>
      <c r="F19" s="48">
        <f>IF(OR($C19=0,AND($B19=2,$D19&lt;=2022)),SUMIFS('Program Inputs'!$I$21:$I$39,'Program Inputs'!$C$21:$C$39,'Bill Credit Rates'!$A19,'Program Inputs'!$D$21:$D$39,'Bill Credit Rates'!$B19,'Program Inputs'!$E$21:$E$39,'Bill Credit Rates'!F$4)*1000,F18*(1+SUMIFS($Q:$Q,$N:$N,$A19,$O:$O,$B19,$P:$P,F$4)))</f>
        <v>112.33999999999999</v>
      </c>
      <c r="G19" s="48">
        <f>IF(OR($C19=0,AND($B19=2,$D19&lt;=2022)),SUMIFS('Program Inputs'!$I$21:$I$39,'Program Inputs'!$C$21:$C$39,'Bill Credit Rates'!$A19,'Program Inputs'!$D$21:$D$39,'Bill Credit Rates'!$B19,'Program Inputs'!$E$21:$E$39,'Bill Credit Rates'!G$4)*1000,G18*(1+SUMIFS($Q:$Q,$N:$N,$A19,$O:$O,$B19,$P:$P,G$4)))</f>
        <v>112.33999999999999</v>
      </c>
      <c r="H19" s="33">
        <f>SUMIFS('Program Inputs'!$F$21:$F$39,'Program Inputs'!$C$21:$C$39,'Bill Credit Rates'!$A19,'Program Inputs'!$D$21:$D$39,'Bill Credit Rates'!$B19,'Program Inputs'!$E$21:$E$39,'Bill Credit Rates'!E$4)</f>
        <v>0</v>
      </c>
      <c r="I19" s="33">
        <f>SUMIFS('Program Inputs'!$F$21:$F$39,'Program Inputs'!$C$21:$C$39,'Bill Credit Rates'!$A19,'Program Inputs'!$D$21:$D$39,'Bill Credit Rates'!$B19,'Program Inputs'!$E$21:$E$39,'Bill Credit Rates'!F$4)</f>
        <v>0.1</v>
      </c>
      <c r="J19" s="33">
        <f>SUMIFS('Program Inputs'!$F$21:$F$39,'Program Inputs'!$C$21:$C$39,'Bill Credit Rates'!$A19,'Program Inputs'!$D$21:$D$39,'Bill Credit Rates'!$B19,'Program Inputs'!$E$21:$E$39,'Bill Credit Rates'!G$4)</f>
        <v>0.85</v>
      </c>
      <c r="K19" s="48">
        <f t="shared" si="0"/>
        <v>106.72299999999998</v>
      </c>
      <c r="N19" s="119" t="s">
        <v>13</v>
      </c>
      <c r="O19" s="119">
        <v>1</v>
      </c>
      <c r="P19" s="48" t="s">
        <v>197</v>
      </c>
      <c r="Q19" s="88">
        <f>'Program Inputs'!J35</f>
        <v>0</v>
      </c>
    </row>
    <row r="20" spans="1:17">
      <c r="A20" s="48" t="s">
        <v>11</v>
      </c>
      <c r="B20" s="48">
        <v>1</v>
      </c>
      <c r="C20" s="48">
        <v>15</v>
      </c>
      <c r="D20" s="48">
        <v>2033</v>
      </c>
      <c r="E20" s="48">
        <f>IF(OR($C20=0,AND($B20=2,$D20&lt;=2022)),SUMIFS('Program Inputs'!$I$21:$I$39,'Program Inputs'!$C$21:$C$39,'Bill Credit Rates'!$A20,'Program Inputs'!$D$21:$D$39,'Bill Credit Rates'!$B20,'Program Inputs'!$E$21:$E$39,'Bill Credit Rates'!E$4)*1000,E19*(1+SUMIFS($Q:$Q,$N:$N,$A20,$O:$O,$B20,$P:$P,E$4)))</f>
        <v>112.33999999999999</v>
      </c>
      <c r="F20" s="48">
        <f>IF(OR($C20=0,AND($B20=2,$D20&lt;=2022)),SUMIFS('Program Inputs'!$I$21:$I$39,'Program Inputs'!$C$21:$C$39,'Bill Credit Rates'!$A20,'Program Inputs'!$D$21:$D$39,'Bill Credit Rates'!$B20,'Program Inputs'!$E$21:$E$39,'Bill Credit Rates'!F$4)*1000,F19*(1+SUMIFS($Q:$Q,$N:$N,$A20,$O:$O,$B20,$P:$P,F$4)))</f>
        <v>112.33999999999999</v>
      </c>
      <c r="G20" s="48">
        <f>IF(OR($C20=0,AND($B20=2,$D20&lt;=2022)),SUMIFS('Program Inputs'!$I$21:$I$39,'Program Inputs'!$C$21:$C$39,'Bill Credit Rates'!$A20,'Program Inputs'!$D$21:$D$39,'Bill Credit Rates'!$B20,'Program Inputs'!$E$21:$E$39,'Bill Credit Rates'!G$4)*1000,G19*(1+SUMIFS($Q:$Q,$N:$N,$A20,$O:$O,$B20,$P:$P,G$4)))</f>
        <v>112.33999999999999</v>
      </c>
      <c r="H20" s="33">
        <f>SUMIFS('Program Inputs'!$F$21:$F$39,'Program Inputs'!$C$21:$C$39,'Bill Credit Rates'!$A20,'Program Inputs'!$D$21:$D$39,'Bill Credit Rates'!$B20,'Program Inputs'!$E$21:$E$39,'Bill Credit Rates'!E$4)</f>
        <v>0</v>
      </c>
      <c r="I20" s="33">
        <f>SUMIFS('Program Inputs'!$F$21:$F$39,'Program Inputs'!$C$21:$C$39,'Bill Credit Rates'!$A20,'Program Inputs'!$D$21:$D$39,'Bill Credit Rates'!$B20,'Program Inputs'!$E$21:$E$39,'Bill Credit Rates'!F$4)</f>
        <v>0.1</v>
      </c>
      <c r="J20" s="33">
        <f>SUMIFS('Program Inputs'!$F$21:$F$39,'Program Inputs'!$C$21:$C$39,'Bill Credit Rates'!$A20,'Program Inputs'!$D$21:$D$39,'Bill Credit Rates'!$B20,'Program Inputs'!$E$21:$E$39,'Bill Credit Rates'!G$4)</f>
        <v>0.85</v>
      </c>
      <c r="K20" s="48">
        <f t="shared" si="0"/>
        <v>106.72299999999998</v>
      </c>
      <c r="N20" s="119" t="s">
        <v>13</v>
      </c>
      <c r="O20" s="119">
        <v>2</v>
      </c>
      <c r="P20" s="48" t="s">
        <v>195</v>
      </c>
      <c r="Q20" s="88">
        <f>'Program Inputs'!J36</f>
        <v>0.02</v>
      </c>
    </row>
    <row r="21" spans="1:17">
      <c r="A21" s="48" t="s">
        <v>11</v>
      </c>
      <c r="B21" s="48">
        <v>1</v>
      </c>
      <c r="C21" s="48">
        <v>16</v>
      </c>
      <c r="D21" s="48">
        <v>2034</v>
      </c>
      <c r="E21" s="48">
        <f>IF(OR($C21=0,AND($B21=2,$D21&lt;=2022)),SUMIFS('Program Inputs'!$I$21:$I$39,'Program Inputs'!$C$21:$C$39,'Bill Credit Rates'!$A21,'Program Inputs'!$D$21:$D$39,'Bill Credit Rates'!$B21,'Program Inputs'!$E$21:$E$39,'Bill Credit Rates'!E$4)*1000,E20*(1+SUMIFS($Q:$Q,$N:$N,$A21,$O:$O,$B21,$P:$P,E$4)))</f>
        <v>112.33999999999999</v>
      </c>
      <c r="F21" s="48">
        <f>IF(OR($C21=0,AND($B21=2,$D21&lt;=2022)),SUMIFS('Program Inputs'!$I$21:$I$39,'Program Inputs'!$C$21:$C$39,'Bill Credit Rates'!$A21,'Program Inputs'!$D$21:$D$39,'Bill Credit Rates'!$B21,'Program Inputs'!$E$21:$E$39,'Bill Credit Rates'!F$4)*1000,F20*(1+SUMIFS($Q:$Q,$N:$N,$A21,$O:$O,$B21,$P:$P,F$4)))</f>
        <v>112.33999999999999</v>
      </c>
      <c r="G21" s="48">
        <f>IF(OR($C21=0,AND($B21=2,$D21&lt;=2022)),SUMIFS('Program Inputs'!$I$21:$I$39,'Program Inputs'!$C$21:$C$39,'Bill Credit Rates'!$A21,'Program Inputs'!$D$21:$D$39,'Bill Credit Rates'!$B21,'Program Inputs'!$E$21:$E$39,'Bill Credit Rates'!G$4)*1000,G20*(1+SUMIFS($Q:$Q,$N:$N,$A21,$O:$O,$B21,$P:$P,G$4)))</f>
        <v>112.33999999999999</v>
      </c>
      <c r="H21" s="33">
        <f>SUMIFS('Program Inputs'!$F$21:$F$39,'Program Inputs'!$C$21:$C$39,'Bill Credit Rates'!$A21,'Program Inputs'!$D$21:$D$39,'Bill Credit Rates'!$B21,'Program Inputs'!$E$21:$E$39,'Bill Credit Rates'!E$4)</f>
        <v>0</v>
      </c>
      <c r="I21" s="33">
        <f>SUMIFS('Program Inputs'!$F$21:$F$39,'Program Inputs'!$C$21:$C$39,'Bill Credit Rates'!$A21,'Program Inputs'!$D$21:$D$39,'Bill Credit Rates'!$B21,'Program Inputs'!$E$21:$E$39,'Bill Credit Rates'!F$4)</f>
        <v>0.1</v>
      </c>
      <c r="J21" s="33">
        <f>SUMIFS('Program Inputs'!$F$21:$F$39,'Program Inputs'!$C$21:$C$39,'Bill Credit Rates'!$A21,'Program Inputs'!$D$21:$D$39,'Bill Credit Rates'!$B21,'Program Inputs'!$E$21:$E$39,'Bill Credit Rates'!G$4)</f>
        <v>0.85</v>
      </c>
      <c r="K21" s="48">
        <f t="shared" si="0"/>
        <v>106.72299999999998</v>
      </c>
      <c r="N21" s="119" t="s">
        <v>13</v>
      </c>
      <c r="O21" s="119">
        <v>2</v>
      </c>
      <c r="P21" s="48" t="s">
        <v>196</v>
      </c>
      <c r="Q21" s="88">
        <f>'Program Inputs'!J37</f>
        <v>0.02</v>
      </c>
    </row>
    <row r="22" spans="1:17">
      <c r="A22" s="48" t="s">
        <v>11</v>
      </c>
      <c r="B22" s="48">
        <v>1</v>
      </c>
      <c r="C22" s="48">
        <v>17</v>
      </c>
      <c r="D22" s="48">
        <v>2035</v>
      </c>
      <c r="E22" s="48">
        <f>IF(OR($C22=0,AND($B22=2,$D22&lt;=2022)),SUMIFS('Program Inputs'!$I$21:$I$39,'Program Inputs'!$C$21:$C$39,'Bill Credit Rates'!$A22,'Program Inputs'!$D$21:$D$39,'Bill Credit Rates'!$B22,'Program Inputs'!$E$21:$E$39,'Bill Credit Rates'!E$4)*1000,E21*(1+SUMIFS($Q:$Q,$N:$N,$A22,$O:$O,$B22,$P:$P,E$4)))</f>
        <v>112.33999999999999</v>
      </c>
      <c r="F22" s="48">
        <f>IF(OR($C22=0,AND($B22=2,$D22&lt;=2022)),SUMIFS('Program Inputs'!$I$21:$I$39,'Program Inputs'!$C$21:$C$39,'Bill Credit Rates'!$A22,'Program Inputs'!$D$21:$D$39,'Bill Credit Rates'!$B22,'Program Inputs'!$E$21:$E$39,'Bill Credit Rates'!F$4)*1000,F21*(1+SUMIFS($Q:$Q,$N:$N,$A22,$O:$O,$B22,$P:$P,F$4)))</f>
        <v>112.33999999999999</v>
      </c>
      <c r="G22" s="48">
        <f>IF(OR($C22=0,AND($B22=2,$D22&lt;=2022)),SUMIFS('Program Inputs'!$I$21:$I$39,'Program Inputs'!$C$21:$C$39,'Bill Credit Rates'!$A22,'Program Inputs'!$D$21:$D$39,'Bill Credit Rates'!$B22,'Program Inputs'!$E$21:$E$39,'Bill Credit Rates'!G$4)*1000,G21*(1+SUMIFS($Q:$Q,$N:$N,$A22,$O:$O,$B22,$P:$P,G$4)))</f>
        <v>112.33999999999999</v>
      </c>
      <c r="H22" s="33">
        <f>SUMIFS('Program Inputs'!$F$21:$F$39,'Program Inputs'!$C$21:$C$39,'Bill Credit Rates'!$A22,'Program Inputs'!$D$21:$D$39,'Bill Credit Rates'!$B22,'Program Inputs'!$E$21:$E$39,'Bill Credit Rates'!E$4)</f>
        <v>0</v>
      </c>
      <c r="I22" s="33">
        <f>SUMIFS('Program Inputs'!$F$21:$F$39,'Program Inputs'!$C$21:$C$39,'Bill Credit Rates'!$A22,'Program Inputs'!$D$21:$D$39,'Bill Credit Rates'!$B22,'Program Inputs'!$E$21:$E$39,'Bill Credit Rates'!F$4)</f>
        <v>0.1</v>
      </c>
      <c r="J22" s="33">
        <f>SUMIFS('Program Inputs'!$F$21:$F$39,'Program Inputs'!$C$21:$C$39,'Bill Credit Rates'!$A22,'Program Inputs'!$D$21:$D$39,'Bill Credit Rates'!$B22,'Program Inputs'!$E$21:$E$39,'Bill Credit Rates'!G$4)</f>
        <v>0.85</v>
      </c>
      <c r="K22" s="48">
        <f t="shared" si="0"/>
        <v>106.72299999999998</v>
      </c>
      <c r="N22" s="119" t="s">
        <v>13</v>
      </c>
      <c r="O22" s="119">
        <v>2</v>
      </c>
      <c r="P22" s="48" t="s">
        <v>197</v>
      </c>
      <c r="Q22" s="88">
        <f>'Program Inputs'!J38</f>
        <v>0.02</v>
      </c>
    </row>
    <row r="23" spans="1:17">
      <c r="A23" s="48" t="s">
        <v>11</v>
      </c>
      <c r="B23" s="48">
        <v>1</v>
      </c>
      <c r="C23" s="48">
        <v>18</v>
      </c>
      <c r="D23" s="48">
        <v>2036</v>
      </c>
      <c r="E23" s="48">
        <f>IF(OR($C23=0,AND($B23=2,$D23&lt;=2022)),SUMIFS('Program Inputs'!$I$21:$I$39,'Program Inputs'!$C$21:$C$39,'Bill Credit Rates'!$A23,'Program Inputs'!$D$21:$D$39,'Bill Credit Rates'!$B23,'Program Inputs'!$E$21:$E$39,'Bill Credit Rates'!E$4)*1000,E22*(1+SUMIFS($Q:$Q,$N:$N,$A23,$O:$O,$B23,$P:$P,E$4)))</f>
        <v>112.33999999999999</v>
      </c>
      <c r="F23" s="48">
        <f>IF(OR($C23=0,AND($B23=2,$D23&lt;=2022)),SUMIFS('Program Inputs'!$I$21:$I$39,'Program Inputs'!$C$21:$C$39,'Bill Credit Rates'!$A23,'Program Inputs'!$D$21:$D$39,'Bill Credit Rates'!$B23,'Program Inputs'!$E$21:$E$39,'Bill Credit Rates'!F$4)*1000,F22*(1+SUMIFS($Q:$Q,$N:$N,$A23,$O:$O,$B23,$P:$P,F$4)))</f>
        <v>112.33999999999999</v>
      </c>
      <c r="G23" s="48">
        <f>IF(OR($C23=0,AND($B23=2,$D23&lt;=2022)),SUMIFS('Program Inputs'!$I$21:$I$39,'Program Inputs'!$C$21:$C$39,'Bill Credit Rates'!$A23,'Program Inputs'!$D$21:$D$39,'Bill Credit Rates'!$B23,'Program Inputs'!$E$21:$E$39,'Bill Credit Rates'!G$4)*1000,G22*(1+SUMIFS($Q:$Q,$N:$N,$A23,$O:$O,$B23,$P:$P,G$4)))</f>
        <v>112.33999999999999</v>
      </c>
      <c r="H23" s="33">
        <f>SUMIFS('Program Inputs'!$F$21:$F$39,'Program Inputs'!$C$21:$C$39,'Bill Credit Rates'!$A23,'Program Inputs'!$D$21:$D$39,'Bill Credit Rates'!$B23,'Program Inputs'!$E$21:$E$39,'Bill Credit Rates'!E$4)</f>
        <v>0</v>
      </c>
      <c r="I23" s="33">
        <f>SUMIFS('Program Inputs'!$F$21:$F$39,'Program Inputs'!$C$21:$C$39,'Bill Credit Rates'!$A23,'Program Inputs'!$D$21:$D$39,'Bill Credit Rates'!$B23,'Program Inputs'!$E$21:$E$39,'Bill Credit Rates'!F$4)</f>
        <v>0.1</v>
      </c>
      <c r="J23" s="33">
        <f>SUMIFS('Program Inputs'!$F$21:$F$39,'Program Inputs'!$C$21:$C$39,'Bill Credit Rates'!$A23,'Program Inputs'!$D$21:$D$39,'Bill Credit Rates'!$B23,'Program Inputs'!$E$21:$E$39,'Bill Credit Rates'!G$4)</f>
        <v>0.85</v>
      </c>
      <c r="K23" s="48">
        <f t="shared" si="0"/>
        <v>106.72299999999998</v>
      </c>
    </row>
    <row r="24" spans="1:17">
      <c r="A24" s="48" t="s">
        <v>11</v>
      </c>
      <c r="B24" s="48">
        <v>1</v>
      </c>
      <c r="C24" s="48">
        <v>19</v>
      </c>
      <c r="D24" s="48">
        <v>2037</v>
      </c>
      <c r="E24" s="48">
        <f>IF(OR($C24=0,AND($B24=2,$D24&lt;=2022)),SUMIFS('Program Inputs'!$I$21:$I$39,'Program Inputs'!$C$21:$C$39,'Bill Credit Rates'!$A24,'Program Inputs'!$D$21:$D$39,'Bill Credit Rates'!$B24,'Program Inputs'!$E$21:$E$39,'Bill Credit Rates'!E$4)*1000,E23*(1+SUMIFS($Q:$Q,$N:$N,$A24,$O:$O,$B24,$P:$P,E$4)))</f>
        <v>112.33999999999999</v>
      </c>
      <c r="F24" s="48">
        <f>IF(OR($C24=0,AND($B24=2,$D24&lt;=2022)),SUMIFS('Program Inputs'!$I$21:$I$39,'Program Inputs'!$C$21:$C$39,'Bill Credit Rates'!$A24,'Program Inputs'!$D$21:$D$39,'Bill Credit Rates'!$B24,'Program Inputs'!$E$21:$E$39,'Bill Credit Rates'!F$4)*1000,F23*(1+SUMIFS($Q:$Q,$N:$N,$A24,$O:$O,$B24,$P:$P,F$4)))</f>
        <v>112.33999999999999</v>
      </c>
      <c r="G24" s="48">
        <f>IF(OR($C24=0,AND($B24=2,$D24&lt;=2022)),SUMIFS('Program Inputs'!$I$21:$I$39,'Program Inputs'!$C$21:$C$39,'Bill Credit Rates'!$A24,'Program Inputs'!$D$21:$D$39,'Bill Credit Rates'!$B24,'Program Inputs'!$E$21:$E$39,'Bill Credit Rates'!G$4)*1000,G23*(1+SUMIFS($Q:$Q,$N:$N,$A24,$O:$O,$B24,$P:$P,G$4)))</f>
        <v>112.33999999999999</v>
      </c>
      <c r="H24" s="33">
        <f>SUMIFS('Program Inputs'!$F$21:$F$39,'Program Inputs'!$C$21:$C$39,'Bill Credit Rates'!$A24,'Program Inputs'!$D$21:$D$39,'Bill Credit Rates'!$B24,'Program Inputs'!$E$21:$E$39,'Bill Credit Rates'!E$4)</f>
        <v>0</v>
      </c>
      <c r="I24" s="33">
        <f>SUMIFS('Program Inputs'!$F$21:$F$39,'Program Inputs'!$C$21:$C$39,'Bill Credit Rates'!$A24,'Program Inputs'!$D$21:$D$39,'Bill Credit Rates'!$B24,'Program Inputs'!$E$21:$E$39,'Bill Credit Rates'!F$4)</f>
        <v>0.1</v>
      </c>
      <c r="J24" s="33">
        <f>SUMIFS('Program Inputs'!$F$21:$F$39,'Program Inputs'!$C$21:$C$39,'Bill Credit Rates'!$A24,'Program Inputs'!$D$21:$D$39,'Bill Credit Rates'!$B24,'Program Inputs'!$E$21:$E$39,'Bill Credit Rates'!G$4)</f>
        <v>0.85</v>
      </c>
      <c r="K24" s="48">
        <f t="shared" si="0"/>
        <v>106.72299999999998</v>
      </c>
    </row>
    <row r="25" spans="1:17">
      <c r="A25" s="48" t="s">
        <v>11</v>
      </c>
      <c r="B25" s="48">
        <v>1</v>
      </c>
      <c r="C25" s="48">
        <v>20</v>
      </c>
      <c r="D25" s="48">
        <v>2038</v>
      </c>
      <c r="E25" s="48">
        <f>IF(OR($C25=0,AND($B25=2,$D25&lt;=2022)),SUMIFS('Program Inputs'!$I$21:$I$39,'Program Inputs'!$C$21:$C$39,'Bill Credit Rates'!$A25,'Program Inputs'!$D$21:$D$39,'Bill Credit Rates'!$B25,'Program Inputs'!$E$21:$E$39,'Bill Credit Rates'!E$4)*1000,E24*(1+SUMIFS($Q:$Q,$N:$N,$A25,$O:$O,$B25,$P:$P,E$4)))</f>
        <v>112.33999999999999</v>
      </c>
      <c r="F25" s="48">
        <f>IF(OR($C25=0,AND($B25=2,$D25&lt;=2022)),SUMIFS('Program Inputs'!$I$21:$I$39,'Program Inputs'!$C$21:$C$39,'Bill Credit Rates'!$A25,'Program Inputs'!$D$21:$D$39,'Bill Credit Rates'!$B25,'Program Inputs'!$E$21:$E$39,'Bill Credit Rates'!F$4)*1000,F24*(1+SUMIFS($Q:$Q,$N:$N,$A25,$O:$O,$B25,$P:$P,F$4)))</f>
        <v>112.33999999999999</v>
      </c>
      <c r="G25" s="48">
        <f>IF(OR($C25=0,AND($B25=2,$D25&lt;=2022)),SUMIFS('Program Inputs'!$I$21:$I$39,'Program Inputs'!$C$21:$C$39,'Bill Credit Rates'!$A25,'Program Inputs'!$D$21:$D$39,'Bill Credit Rates'!$B25,'Program Inputs'!$E$21:$E$39,'Bill Credit Rates'!G$4)*1000,G24*(1+SUMIFS($Q:$Q,$N:$N,$A25,$O:$O,$B25,$P:$P,G$4)))</f>
        <v>112.33999999999999</v>
      </c>
      <c r="H25" s="33">
        <f>SUMIFS('Program Inputs'!$F$21:$F$39,'Program Inputs'!$C$21:$C$39,'Bill Credit Rates'!$A25,'Program Inputs'!$D$21:$D$39,'Bill Credit Rates'!$B25,'Program Inputs'!$E$21:$E$39,'Bill Credit Rates'!E$4)</f>
        <v>0</v>
      </c>
      <c r="I25" s="33">
        <f>SUMIFS('Program Inputs'!$F$21:$F$39,'Program Inputs'!$C$21:$C$39,'Bill Credit Rates'!$A25,'Program Inputs'!$D$21:$D$39,'Bill Credit Rates'!$B25,'Program Inputs'!$E$21:$E$39,'Bill Credit Rates'!F$4)</f>
        <v>0.1</v>
      </c>
      <c r="J25" s="33">
        <f>SUMIFS('Program Inputs'!$F$21:$F$39,'Program Inputs'!$C$21:$C$39,'Bill Credit Rates'!$A25,'Program Inputs'!$D$21:$D$39,'Bill Credit Rates'!$B25,'Program Inputs'!$E$21:$E$39,'Bill Credit Rates'!G$4)</f>
        <v>0.85</v>
      </c>
      <c r="K25" s="48">
        <f t="shared" si="0"/>
        <v>106.72299999999998</v>
      </c>
    </row>
    <row r="26" spans="1:17">
      <c r="A26" s="48" t="s">
        <v>11</v>
      </c>
      <c r="B26" s="48">
        <v>1</v>
      </c>
      <c r="C26" s="48">
        <v>21</v>
      </c>
      <c r="D26" s="48">
        <v>2039</v>
      </c>
      <c r="E26" s="48">
        <f>IF(OR($C26=0,AND($B26=2,$D26&lt;=2022)),SUMIFS('Program Inputs'!$I$21:$I$39,'Program Inputs'!$C$21:$C$39,'Bill Credit Rates'!$A26,'Program Inputs'!$D$21:$D$39,'Bill Credit Rates'!$B26,'Program Inputs'!$E$21:$E$39,'Bill Credit Rates'!E$4)*1000,E25*(1+SUMIFS($Q:$Q,$N:$N,$A26,$O:$O,$B26,$P:$P,E$4)))</f>
        <v>112.33999999999999</v>
      </c>
      <c r="F26" s="48">
        <f>IF(OR($C26=0,AND($B26=2,$D26&lt;=2022)),SUMIFS('Program Inputs'!$I$21:$I$39,'Program Inputs'!$C$21:$C$39,'Bill Credit Rates'!$A26,'Program Inputs'!$D$21:$D$39,'Bill Credit Rates'!$B26,'Program Inputs'!$E$21:$E$39,'Bill Credit Rates'!F$4)*1000,F25*(1+SUMIFS($Q:$Q,$N:$N,$A26,$O:$O,$B26,$P:$P,F$4)))</f>
        <v>112.33999999999999</v>
      </c>
      <c r="G26" s="48">
        <f>IF(OR($C26=0,AND($B26=2,$D26&lt;=2022)),SUMIFS('Program Inputs'!$I$21:$I$39,'Program Inputs'!$C$21:$C$39,'Bill Credit Rates'!$A26,'Program Inputs'!$D$21:$D$39,'Bill Credit Rates'!$B26,'Program Inputs'!$E$21:$E$39,'Bill Credit Rates'!G$4)*1000,G25*(1+SUMIFS($Q:$Q,$N:$N,$A26,$O:$O,$B26,$P:$P,G$4)))</f>
        <v>112.33999999999999</v>
      </c>
      <c r="H26" s="33">
        <f>SUMIFS('Program Inputs'!$F$21:$F$39,'Program Inputs'!$C$21:$C$39,'Bill Credit Rates'!$A26,'Program Inputs'!$D$21:$D$39,'Bill Credit Rates'!$B26,'Program Inputs'!$E$21:$E$39,'Bill Credit Rates'!E$4)</f>
        <v>0</v>
      </c>
      <c r="I26" s="33">
        <f>SUMIFS('Program Inputs'!$F$21:$F$39,'Program Inputs'!$C$21:$C$39,'Bill Credit Rates'!$A26,'Program Inputs'!$D$21:$D$39,'Bill Credit Rates'!$B26,'Program Inputs'!$E$21:$E$39,'Bill Credit Rates'!F$4)</f>
        <v>0.1</v>
      </c>
      <c r="J26" s="33">
        <f>SUMIFS('Program Inputs'!$F$21:$F$39,'Program Inputs'!$C$21:$C$39,'Bill Credit Rates'!$A26,'Program Inputs'!$D$21:$D$39,'Bill Credit Rates'!$B26,'Program Inputs'!$E$21:$E$39,'Bill Credit Rates'!G$4)</f>
        <v>0.85</v>
      </c>
      <c r="K26" s="48">
        <f t="shared" ref="K26:K30" si="1">E26*H26+F26*I26+G26*J26</f>
        <v>106.72299999999998</v>
      </c>
    </row>
    <row r="27" spans="1:17">
      <c r="A27" s="48" t="s">
        <v>11</v>
      </c>
      <c r="B27" s="48">
        <v>1</v>
      </c>
      <c r="C27" s="48">
        <v>22</v>
      </c>
      <c r="D27" s="48">
        <v>2040</v>
      </c>
      <c r="E27" s="48">
        <f>IF(OR($C27=0,AND($B27=2,$D27&lt;=2022)),SUMIFS('Program Inputs'!$I$21:$I$39,'Program Inputs'!$C$21:$C$39,'Bill Credit Rates'!$A27,'Program Inputs'!$D$21:$D$39,'Bill Credit Rates'!$B27,'Program Inputs'!$E$21:$E$39,'Bill Credit Rates'!E$4)*1000,E26*(1+SUMIFS($Q:$Q,$N:$N,$A27,$O:$O,$B27,$P:$P,E$4)))</f>
        <v>112.33999999999999</v>
      </c>
      <c r="F27" s="48">
        <f>IF(OR($C27=0,AND($B27=2,$D27&lt;=2022)),SUMIFS('Program Inputs'!$I$21:$I$39,'Program Inputs'!$C$21:$C$39,'Bill Credit Rates'!$A27,'Program Inputs'!$D$21:$D$39,'Bill Credit Rates'!$B27,'Program Inputs'!$E$21:$E$39,'Bill Credit Rates'!F$4)*1000,F26*(1+SUMIFS($Q:$Q,$N:$N,$A27,$O:$O,$B27,$P:$P,F$4)))</f>
        <v>112.33999999999999</v>
      </c>
      <c r="G27" s="48">
        <f>IF(OR($C27=0,AND($B27=2,$D27&lt;=2022)),SUMIFS('Program Inputs'!$I$21:$I$39,'Program Inputs'!$C$21:$C$39,'Bill Credit Rates'!$A27,'Program Inputs'!$D$21:$D$39,'Bill Credit Rates'!$B27,'Program Inputs'!$E$21:$E$39,'Bill Credit Rates'!G$4)*1000,G26*(1+SUMIFS($Q:$Q,$N:$N,$A27,$O:$O,$B27,$P:$P,G$4)))</f>
        <v>112.33999999999999</v>
      </c>
      <c r="H27" s="33">
        <f>SUMIFS('Program Inputs'!$F$21:$F$39,'Program Inputs'!$C$21:$C$39,'Bill Credit Rates'!$A27,'Program Inputs'!$D$21:$D$39,'Bill Credit Rates'!$B27,'Program Inputs'!$E$21:$E$39,'Bill Credit Rates'!E$4)</f>
        <v>0</v>
      </c>
      <c r="I27" s="33">
        <f>SUMIFS('Program Inputs'!$F$21:$F$39,'Program Inputs'!$C$21:$C$39,'Bill Credit Rates'!$A27,'Program Inputs'!$D$21:$D$39,'Bill Credit Rates'!$B27,'Program Inputs'!$E$21:$E$39,'Bill Credit Rates'!F$4)</f>
        <v>0.1</v>
      </c>
      <c r="J27" s="33">
        <f>SUMIFS('Program Inputs'!$F$21:$F$39,'Program Inputs'!$C$21:$C$39,'Bill Credit Rates'!$A27,'Program Inputs'!$D$21:$D$39,'Bill Credit Rates'!$B27,'Program Inputs'!$E$21:$E$39,'Bill Credit Rates'!G$4)</f>
        <v>0.85</v>
      </c>
      <c r="K27" s="48">
        <f t="shared" si="1"/>
        <v>106.72299999999998</v>
      </c>
    </row>
    <row r="28" spans="1:17">
      <c r="A28" s="48" t="s">
        <v>11</v>
      </c>
      <c r="B28" s="48">
        <v>1</v>
      </c>
      <c r="C28" s="48">
        <v>23</v>
      </c>
      <c r="D28" s="48">
        <v>2041</v>
      </c>
      <c r="E28" s="48">
        <f>IF(OR($C28=0,AND($B28=2,$D28&lt;=2022)),SUMIFS('Program Inputs'!$I$21:$I$39,'Program Inputs'!$C$21:$C$39,'Bill Credit Rates'!$A28,'Program Inputs'!$D$21:$D$39,'Bill Credit Rates'!$B28,'Program Inputs'!$E$21:$E$39,'Bill Credit Rates'!E$4)*1000,E27*(1+SUMIFS($Q:$Q,$N:$N,$A28,$O:$O,$B28,$P:$P,E$4)))</f>
        <v>112.33999999999999</v>
      </c>
      <c r="F28" s="48">
        <f>IF(OR($C28=0,AND($B28=2,$D28&lt;=2022)),SUMIFS('Program Inputs'!$I$21:$I$39,'Program Inputs'!$C$21:$C$39,'Bill Credit Rates'!$A28,'Program Inputs'!$D$21:$D$39,'Bill Credit Rates'!$B28,'Program Inputs'!$E$21:$E$39,'Bill Credit Rates'!F$4)*1000,F27*(1+SUMIFS($Q:$Q,$N:$N,$A28,$O:$O,$B28,$P:$P,F$4)))</f>
        <v>112.33999999999999</v>
      </c>
      <c r="G28" s="48">
        <f>IF(OR($C28=0,AND($B28=2,$D28&lt;=2022)),SUMIFS('Program Inputs'!$I$21:$I$39,'Program Inputs'!$C$21:$C$39,'Bill Credit Rates'!$A28,'Program Inputs'!$D$21:$D$39,'Bill Credit Rates'!$B28,'Program Inputs'!$E$21:$E$39,'Bill Credit Rates'!G$4)*1000,G27*(1+SUMIFS($Q:$Q,$N:$N,$A28,$O:$O,$B28,$P:$P,G$4)))</f>
        <v>112.33999999999999</v>
      </c>
      <c r="H28" s="33">
        <f>SUMIFS('Program Inputs'!$F$21:$F$39,'Program Inputs'!$C$21:$C$39,'Bill Credit Rates'!$A28,'Program Inputs'!$D$21:$D$39,'Bill Credit Rates'!$B28,'Program Inputs'!$E$21:$E$39,'Bill Credit Rates'!E$4)</f>
        <v>0</v>
      </c>
      <c r="I28" s="33">
        <f>SUMIFS('Program Inputs'!$F$21:$F$39,'Program Inputs'!$C$21:$C$39,'Bill Credit Rates'!$A28,'Program Inputs'!$D$21:$D$39,'Bill Credit Rates'!$B28,'Program Inputs'!$E$21:$E$39,'Bill Credit Rates'!F$4)</f>
        <v>0.1</v>
      </c>
      <c r="J28" s="33">
        <f>SUMIFS('Program Inputs'!$F$21:$F$39,'Program Inputs'!$C$21:$C$39,'Bill Credit Rates'!$A28,'Program Inputs'!$D$21:$D$39,'Bill Credit Rates'!$B28,'Program Inputs'!$E$21:$E$39,'Bill Credit Rates'!G$4)</f>
        <v>0.85</v>
      </c>
      <c r="K28" s="48">
        <f t="shared" si="1"/>
        <v>106.72299999999998</v>
      </c>
    </row>
    <row r="29" spans="1:17">
      <c r="A29" s="48" t="s">
        <v>11</v>
      </c>
      <c r="B29" s="48">
        <v>1</v>
      </c>
      <c r="C29" s="48">
        <v>24</v>
      </c>
      <c r="D29" s="48">
        <v>2042</v>
      </c>
      <c r="E29" s="48">
        <f>IF(OR($C29=0,AND($B29=2,$D29&lt;=2022)),SUMIFS('Program Inputs'!$I$21:$I$39,'Program Inputs'!$C$21:$C$39,'Bill Credit Rates'!$A29,'Program Inputs'!$D$21:$D$39,'Bill Credit Rates'!$B29,'Program Inputs'!$E$21:$E$39,'Bill Credit Rates'!E$4)*1000,E28*(1+SUMIFS($Q:$Q,$N:$N,$A29,$O:$O,$B29,$P:$P,E$4)))</f>
        <v>112.33999999999999</v>
      </c>
      <c r="F29" s="48">
        <f>IF(OR($C29=0,AND($B29=2,$D29&lt;=2022)),SUMIFS('Program Inputs'!$I$21:$I$39,'Program Inputs'!$C$21:$C$39,'Bill Credit Rates'!$A29,'Program Inputs'!$D$21:$D$39,'Bill Credit Rates'!$B29,'Program Inputs'!$E$21:$E$39,'Bill Credit Rates'!F$4)*1000,F28*(1+SUMIFS($Q:$Q,$N:$N,$A29,$O:$O,$B29,$P:$P,F$4)))</f>
        <v>112.33999999999999</v>
      </c>
      <c r="G29" s="48">
        <f>IF(OR($C29=0,AND($B29=2,$D29&lt;=2022)),SUMIFS('Program Inputs'!$I$21:$I$39,'Program Inputs'!$C$21:$C$39,'Bill Credit Rates'!$A29,'Program Inputs'!$D$21:$D$39,'Bill Credit Rates'!$B29,'Program Inputs'!$E$21:$E$39,'Bill Credit Rates'!G$4)*1000,G28*(1+SUMIFS($Q:$Q,$N:$N,$A29,$O:$O,$B29,$P:$P,G$4)))</f>
        <v>112.33999999999999</v>
      </c>
      <c r="H29" s="33">
        <f>SUMIFS('Program Inputs'!$F$21:$F$39,'Program Inputs'!$C$21:$C$39,'Bill Credit Rates'!$A29,'Program Inputs'!$D$21:$D$39,'Bill Credit Rates'!$B29,'Program Inputs'!$E$21:$E$39,'Bill Credit Rates'!E$4)</f>
        <v>0</v>
      </c>
      <c r="I29" s="33">
        <f>SUMIFS('Program Inputs'!$F$21:$F$39,'Program Inputs'!$C$21:$C$39,'Bill Credit Rates'!$A29,'Program Inputs'!$D$21:$D$39,'Bill Credit Rates'!$B29,'Program Inputs'!$E$21:$E$39,'Bill Credit Rates'!F$4)</f>
        <v>0.1</v>
      </c>
      <c r="J29" s="33">
        <f>SUMIFS('Program Inputs'!$F$21:$F$39,'Program Inputs'!$C$21:$C$39,'Bill Credit Rates'!$A29,'Program Inputs'!$D$21:$D$39,'Bill Credit Rates'!$B29,'Program Inputs'!$E$21:$E$39,'Bill Credit Rates'!G$4)</f>
        <v>0.85</v>
      </c>
      <c r="K29" s="48">
        <f t="shared" si="1"/>
        <v>106.72299999999998</v>
      </c>
    </row>
    <row r="30" spans="1:17">
      <c r="A30" s="48" t="s">
        <v>11</v>
      </c>
      <c r="B30" s="48">
        <v>1</v>
      </c>
      <c r="C30" s="48">
        <v>25</v>
      </c>
      <c r="D30" s="48">
        <v>2043</v>
      </c>
      <c r="E30" s="48">
        <f>IF(OR($C30=0,AND($B30=2,$D30&lt;=2022)),SUMIFS('Program Inputs'!$I$21:$I$39,'Program Inputs'!$C$21:$C$39,'Bill Credit Rates'!$A30,'Program Inputs'!$D$21:$D$39,'Bill Credit Rates'!$B30,'Program Inputs'!$E$21:$E$39,'Bill Credit Rates'!E$4)*1000,E29*(1+SUMIFS($Q:$Q,$N:$N,$A30,$O:$O,$B30,$P:$P,E$4)))</f>
        <v>112.33999999999999</v>
      </c>
      <c r="F30" s="48">
        <f>IF(OR($C30=0,AND($B30=2,$D30&lt;=2022)),SUMIFS('Program Inputs'!$I$21:$I$39,'Program Inputs'!$C$21:$C$39,'Bill Credit Rates'!$A30,'Program Inputs'!$D$21:$D$39,'Bill Credit Rates'!$B30,'Program Inputs'!$E$21:$E$39,'Bill Credit Rates'!F$4)*1000,F29*(1+SUMIFS($Q:$Q,$N:$N,$A30,$O:$O,$B30,$P:$P,F$4)))</f>
        <v>112.33999999999999</v>
      </c>
      <c r="G30" s="48">
        <f>IF(OR($C30=0,AND($B30=2,$D30&lt;=2022)),SUMIFS('Program Inputs'!$I$21:$I$39,'Program Inputs'!$C$21:$C$39,'Bill Credit Rates'!$A30,'Program Inputs'!$D$21:$D$39,'Bill Credit Rates'!$B30,'Program Inputs'!$E$21:$E$39,'Bill Credit Rates'!G$4)*1000,G29*(1+SUMIFS($Q:$Q,$N:$N,$A30,$O:$O,$B30,$P:$P,G$4)))</f>
        <v>112.33999999999999</v>
      </c>
      <c r="H30" s="33">
        <f>SUMIFS('Program Inputs'!$F$21:$F$39,'Program Inputs'!$C$21:$C$39,'Bill Credit Rates'!$A30,'Program Inputs'!$D$21:$D$39,'Bill Credit Rates'!$B30,'Program Inputs'!$E$21:$E$39,'Bill Credit Rates'!E$4)</f>
        <v>0</v>
      </c>
      <c r="I30" s="33">
        <f>SUMIFS('Program Inputs'!$F$21:$F$39,'Program Inputs'!$C$21:$C$39,'Bill Credit Rates'!$A30,'Program Inputs'!$D$21:$D$39,'Bill Credit Rates'!$B30,'Program Inputs'!$E$21:$E$39,'Bill Credit Rates'!F$4)</f>
        <v>0.1</v>
      </c>
      <c r="J30" s="33">
        <f>SUMIFS('Program Inputs'!$F$21:$F$39,'Program Inputs'!$C$21:$C$39,'Bill Credit Rates'!$A30,'Program Inputs'!$D$21:$D$39,'Bill Credit Rates'!$B30,'Program Inputs'!$E$21:$E$39,'Bill Credit Rates'!G$4)</f>
        <v>0.85</v>
      </c>
      <c r="K30" s="48">
        <f t="shared" si="1"/>
        <v>106.72299999999998</v>
      </c>
    </row>
    <row r="31" spans="1:17">
      <c r="A31" s="48" t="s">
        <v>11</v>
      </c>
      <c r="B31" s="48">
        <v>1</v>
      </c>
      <c r="C31" s="48">
        <v>26</v>
      </c>
      <c r="D31" s="48">
        <v>2044</v>
      </c>
      <c r="E31" s="48">
        <f>IF(OR($C31=0,AND($B31=2,$D31&lt;=2022)),SUMIFS('Program Inputs'!$I$21:$I$39,'Program Inputs'!$C$21:$C$39,'Bill Credit Rates'!$A31,'Program Inputs'!$D$21:$D$39,'Bill Credit Rates'!$B31,'Program Inputs'!$E$21:$E$39,'Bill Credit Rates'!E$4)*1000,E30*(1+SUMIFS($Q:$Q,$N:$N,$A31,$O:$O,$B31,$P:$P,E$4)))</f>
        <v>112.33999999999999</v>
      </c>
      <c r="F31" s="48">
        <f>IF(OR($C31=0,AND($B31=2,$D31&lt;=2022)),SUMIFS('Program Inputs'!$I$21:$I$39,'Program Inputs'!$C$21:$C$39,'Bill Credit Rates'!$A31,'Program Inputs'!$D$21:$D$39,'Bill Credit Rates'!$B31,'Program Inputs'!$E$21:$E$39,'Bill Credit Rates'!F$4)*1000,F30*(1+SUMIFS($Q:$Q,$N:$N,$A31,$O:$O,$B31,$P:$P,F$4)))</f>
        <v>112.33999999999999</v>
      </c>
      <c r="G31" s="48">
        <f>IF(OR($C31=0,AND($B31=2,$D31&lt;=2022)),SUMIFS('Program Inputs'!$I$21:$I$39,'Program Inputs'!$C$21:$C$39,'Bill Credit Rates'!$A31,'Program Inputs'!$D$21:$D$39,'Bill Credit Rates'!$B31,'Program Inputs'!$E$21:$E$39,'Bill Credit Rates'!G$4)*1000,G30*(1+SUMIFS($Q:$Q,$N:$N,$A31,$O:$O,$B31,$P:$P,G$4)))</f>
        <v>112.33999999999999</v>
      </c>
      <c r="H31" s="33">
        <f>SUMIFS('Program Inputs'!$F$21:$F$39,'Program Inputs'!$C$21:$C$39,'Bill Credit Rates'!$A31,'Program Inputs'!$D$21:$D$39,'Bill Credit Rates'!$B31,'Program Inputs'!$E$21:$E$39,'Bill Credit Rates'!E$4)</f>
        <v>0</v>
      </c>
      <c r="I31" s="33">
        <f>SUMIFS('Program Inputs'!$F$21:$F$39,'Program Inputs'!$C$21:$C$39,'Bill Credit Rates'!$A31,'Program Inputs'!$D$21:$D$39,'Bill Credit Rates'!$B31,'Program Inputs'!$E$21:$E$39,'Bill Credit Rates'!F$4)</f>
        <v>0.1</v>
      </c>
      <c r="J31" s="33">
        <f>SUMIFS('Program Inputs'!$F$21:$F$39,'Program Inputs'!$C$21:$C$39,'Bill Credit Rates'!$A31,'Program Inputs'!$D$21:$D$39,'Bill Credit Rates'!$B31,'Program Inputs'!$E$21:$E$39,'Bill Credit Rates'!G$4)</f>
        <v>0.85</v>
      </c>
      <c r="K31" s="48">
        <f t="shared" ref="K31:K37" si="2">E31*H31+F31*I31+G31*J31</f>
        <v>106.72299999999998</v>
      </c>
    </row>
    <row r="32" spans="1:17">
      <c r="A32" s="48" t="s">
        <v>11</v>
      </c>
      <c r="B32" s="48">
        <v>1</v>
      </c>
      <c r="C32" s="48">
        <v>27</v>
      </c>
      <c r="D32" s="48">
        <v>2045</v>
      </c>
      <c r="E32" s="48">
        <f>IF(OR($C32=0,AND($B32=2,$D32&lt;=2022)),SUMIFS('Program Inputs'!$I$21:$I$39,'Program Inputs'!$C$21:$C$39,'Bill Credit Rates'!$A32,'Program Inputs'!$D$21:$D$39,'Bill Credit Rates'!$B32,'Program Inputs'!$E$21:$E$39,'Bill Credit Rates'!E$4)*1000,E31*(1+SUMIFS($Q:$Q,$N:$N,$A32,$O:$O,$B32,$P:$P,E$4)))</f>
        <v>112.33999999999999</v>
      </c>
      <c r="F32" s="48">
        <f>IF(OR($C32=0,AND($B32=2,$D32&lt;=2022)),SUMIFS('Program Inputs'!$I$21:$I$39,'Program Inputs'!$C$21:$C$39,'Bill Credit Rates'!$A32,'Program Inputs'!$D$21:$D$39,'Bill Credit Rates'!$B32,'Program Inputs'!$E$21:$E$39,'Bill Credit Rates'!F$4)*1000,F31*(1+SUMIFS($Q:$Q,$N:$N,$A32,$O:$O,$B32,$P:$P,F$4)))</f>
        <v>112.33999999999999</v>
      </c>
      <c r="G32" s="48">
        <f>IF(OR($C32=0,AND($B32=2,$D32&lt;=2022)),SUMIFS('Program Inputs'!$I$21:$I$39,'Program Inputs'!$C$21:$C$39,'Bill Credit Rates'!$A32,'Program Inputs'!$D$21:$D$39,'Bill Credit Rates'!$B32,'Program Inputs'!$E$21:$E$39,'Bill Credit Rates'!G$4)*1000,G31*(1+SUMIFS($Q:$Q,$N:$N,$A32,$O:$O,$B32,$P:$P,G$4)))</f>
        <v>112.33999999999999</v>
      </c>
      <c r="H32" s="33">
        <f>SUMIFS('Program Inputs'!$F$21:$F$39,'Program Inputs'!$C$21:$C$39,'Bill Credit Rates'!$A32,'Program Inputs'!$D$21:$D$39,'Bill Credit Rates'!$B32,'Program Inputs'!$E$21:$E$39,'Bill Credit Rates'!E$4)</f>
        <v>0</v>
      </c>
      <c r="I32" s="33">
        <f>SUMIFS('Program Inputs'!$F$21:$F$39,'Program Inputs'!$C$21:$C$39,'Bill Credit Rates'!$A32,'Program Inputs'!$D$21:$D$39,'Bill Credit Rates'!$B32,'Program Inputs'!$E$21:$E$39,'Bill Credit Rates'!F$4)</f>
        <v>0.1</v>
      </c>
      <c r="J32" s="33">
        <f>SUMIFS('Program Inputs'!$F$21:$F$39,'Program Inputs'!$C$21:$C$39,'Bill Credit Rates'!$A32,'Program Inputs'!$D$21:$D$39,'Bill Credit Rates'!$B32,'Program Inputs'!$E$21:$E$39,'Bill Credit Rates'!G$4)</f>
        <v>0.85</v>
      </c>
      <c r="K32" s="48">
        <f t="shared" si="2"/>
        <v>106.72299999999998</v>
      </c>
    </row>
    <row r="33" spans="1:11">
      <c r="A33" s="48" t="s">
        <v>11</v>
      </c>
      <c r="B33" s="48">
        <v>1</v>
      </c>
      <c r="C33" s="48">
        <v>28</v>
      </c>
      <c r="D33" s="48">
        <v>2046</v>
      </c>
      <c r="E33" s="48">
        <f>IF(OR($C33=0,AND($B33=2,$D33&lt;=2022)),SUMIFS('Program Inputs'!$I$21:$I$39,'Program Inputs'!$C$21:$C$39,'Bill Credit Rates'!$A33,'Program Inputs'!$D$21:$D$39,'Bill Credit Rates'!$B33,'Program Inputs'!$E$21:$E$39,'Bill Credit Rates'!E$4)*1000,E32*(1+SUMIFS($Q:$Q,$N:$N,$A33,$O:$O,$B33,$P:$P,E$4)))</f>
        <v>112.33999999999999</v>
      </c>
      <c r="F33" s="48">
        <f>IF(OR($C33=0,AND($B33=2,$D33&lt;=2022)),SUMIFS('Program Inputs'!$I$21:$I$39,'Program Inputs'!$C$21:$C$39,'Bill Credit Rates'!$A33,'Program Inputs'!$D$21:$D$39,'Bill Credit Rates'!$B33,'Program Inputs'!$E$21:$E$39,'Bill Credit Rates'!F$4)*1000,F32*(1+SUMIFS($Q:$Q,$N:$N,$A33,$O:$O,$B33,$P:$P,F$4)))</f>
        <v>112.33999999999999</v>
      </c>
      <c r="G33" s="48">
        <f>IF(OR($C33=0,AND($B33=2,$D33&lt;=2022)),SUMIFS('Program Inputs'!$I$21:$I$39,'Program Inputs'!$C$21:$C$39,'Bill Credit Rates'!$A33,'Program Inputs'!$D$21:$D$39,'Bill Credit Rates'!$B33,'Program Inputs'!$E$21:$E$39,'Bill Credit Rates'!G$4)*1000,G32*(1+SUMIFS($Q:$Q,$N:$N,$A33,$O:$O,$B33,$P:$P,G$4)))</f>
        <v>112.33999999999999</v>
      </c>
      <c r="H33" s="33">
        <f>SUMIFS('Program Inputs'!$F$21:$F$39,'Program Inputs'!$C$21:$C$39,'Bill Credit Rates'!$A33,'Program Inputs'!$D$21:$D$39,'Bill Credit Rates'!$B33,'Program Inputs'!$E$21:$E$39,'Bill Credit Rates'!E$4)</f>
        <v>0</v>
      </c>
      <c r="I33" s="33">
        <f>SUMIFS('Program Inputs'!$F$21:$F$39,'Program Inputs'!$C$21:$C$39,'Bill Credit Rates'!$A33,'Program Inputs'!$D$21:$D$39,'Bill Credit Rates'!$B33,'Program Inputs'!$E$21:$E$39,'Bill Credit Rates'!F$4)</f>
        <v>0.1</v>
      </c>
      <c r="J33" s="33">
        <f>SUMIFS('Program Inputs'!$F$21:$F$39,'Program Inputs'!$C$21:$C$39,'Bill Credit Rates'!$A33,'Program Inputs'!$D$21:$D$39,'Bill Credit Rates'!$B33,'Program Inputs'!$E$21:$E$39,'Bill Credit Rates'!G$4)</f>
        <v>0.85</v>
      </c>
      <c r="K33" s="48">
        <f t="shared" si="2"/>
        <v>106.72299999999998</v>
      </c>
    </row>
    <row r="34" spans="1:11">
      <c r="A34" s="48" t="s">
        <v>11</v>
      </c>
      <c r="B34" s="48">
        <v>1</v>
      </c>
      <c r="C34" s="48">
        <v>29</v>
      </c>
      <c r="D34" s="48">
        <v>2047</v>
      </c>
      <c r="E34" s="48">
        <f>IF(OR($C34=0,AND($B34=2,$D34&lt;=2022)),SUMIFS('Program Inputs'!$I$21:$I$39,'Program Inputs'!$C$21:$C$39,'Bill Credit Rates'!$A34,'Program Inputs'!$D$21:$D$39,'Bill Credit Rates'!$B34,'Program Inputs'!$E$21:$E$39,'Bill Credit Rates'!E$4)*1000,E33*(1+SUMIFS($Q:$Q,$N:$N,$A34,$O:$O,$B34,$P:$P,E$4)))</f>
        <v>112.33999999999999</v>
      </c>
      <c r="F34" s="48">
        <f>IF(OR($C34=0,AND($B34=2,$D34&lt;=2022)),SUMIFS('Program Inputs'!$I$21:$I$39,'Program Inputs'!$C$21:$C$39,'Bill Credit Rates'!$A34,'Program Inputs'!$D$21:$D$39,'Bill Credit Rates'!$B34,'Program Inputs'!$E$21:$E$39,'Bill Credit Rates'!F$4)*1000,F33*(1+SUMIFS($Q:$Q,$N:$N,$A34,$O:$O,$B34,$P:$P,F$4)))</f>
        <v>112.33999999999999</v>
      </c>
      <c r="G34" s="48">
        <f>IF(OR($C34=0,AND($B34=2,$D34&lt;=2022)),SUMIFS('Program Inputs'!$I$21:$I$39,'Program Inputs'!$C$21:$C$39,'Bill Credit Rates'!$A34,'Program Inputs'!$D$21:$D$39,'Bill Credit Rates'!$B34,'Program Inputs'!$E$21:$E$39,'Bill Credit Rates'!G$4)*1000,G33*(1+SUMIFS($Q:$Q,$N:$N,$A34,$O:$O,$B34,$P:$P,G$4)))</f>
        <v>112.33999999999999</v>
      </c>
      <c r="H34" s="33">
        <f>SUMIFS('Program Inputs'!$F$21:$F$39,'Program Inputs'!$C$21:$C$39,'Bill Credit Rates'!$A34,'Program Inputs'!$D$21:$D$39,'Bill Credit Rates'!$B34,'Program Inputs'!$E$21:$E$39,'Bill Credit Rates'!E$4)</f>
        <v>0</v>
      </c>
      <c r="I34" s="33">
        <f>SUMIFS('Program Inputs'!$F$21:$F$39,'Program Inputs'!$C$21:$C$39,'Bill Credit Rates'!$A34,'Program Inputs'!$D$21:$D$39,'Bill Credit Rates'!$B34,'Program Inputs'!$E$21:$E$39,'Bill Credit Rates'!F$4)</f>
        <v>0.1</v>
      </c>
      <c r="J34" s="33">
        <f>SUMIFS('Program Inputs'!$F$21:$F$39,'Program Inputs'!$C$21:$C$39,'Bill Credit Rates'!$A34,'Program Inputs'!$D$21:$D$39,'Bill Credit Rates'!$B34,'Program Inputs'!$E$21:$E$39,'Bill Credit Rates'!G$4)</f>
        <v>0.85</v>
      </c>
      <c r="K34" s="48">
        <f t="shared" si="2"/>
        <v>106.72299999999998</v>
      </c>
    </row>
    <row r="35" spans="1:11">
      <c r="A35" s="48" t="s">
        <v>11</v>
      </c>
      <c r="B35" s="48">
        <v>1</v>
      </c>
      <c r="C35" s="48">
        <v>30</v>
      </c>
      <c r="D35" s="48">
        <v>2048</v>
      </c>
      <c r="E35" s="48">
        <f>IF(OR($C35=0,AND($B35=2,$D35&lt;=2022)),SUMIFS('Program Inputs'!$I$21:$I$39,'Program Inputs'!$C$21:$C$39,'Bill Credit Rates'!$A35,'Program Inputs'!$D$21:$D$39,'Bill Credit Rates'!$B35,'Program Inputs'!$E$21:$E$39,'Bill Credit Rates'!E$4)*1000,E34*(1+SUMIFS($Q:$Q,$N:$N,$A35,$O:$O,$B35,$P:$P,E$4)))</f>
        <v>112.33999999999999</v>
      </c>
      <c r="F35" s="48">
        <f>IF(OR($C35=0,AND($B35=2,$D35&lt;=2022)),SUMIFS('Program Inputs'!$I$21:$I$39,'Program Inputs'!$C$21:$C$39,'Bill Credit Rates'!$A35,'Program Inputs'!$D$21:$D$39,'Bill Credit Rates'!$B35,'Program Inputs'!$E$21:$E$39,'Bill Credit Rates'!F$4)*1000,F34*(1+SUMIFS($Q:$Q,$N:$N,$A35,$O:$O,$B35,$P:$P,F$4)))</f>
        <v>112.33999999999999</v>
      </c>
      <c r="G35" s="48">
        <f>IF(OR($C35=0,AND($B35=2,$D35&lt;=2022)),SUMIFS('Program Inputs'!$I$21:$I$39,'Program Inputs'!$C$21:$C$39,'Bill Credit Rates'!$A35,'Program Inputs'!$D$21:$D$39,'Bill Credit Rates'!$B35,'Program Inputs'!$E$21:$E$39,'Bill Credit Rates'!G$4)*1000,G34*(1+SUMIFS($Q:$Q,$N:$N,$A35,$O:$O,$B35,$P:$P,G$4)))</f>
        <v>112.33999999999999</v>
      </c>
      <c r="H35" s="33">
        <f>SUMIFS('Program Inputs'!$F$21:$F$39,'Program Inputs'!$C$21:$C$39,'Bill Credit Rates'!$A35,'Program Inputs'!$D$21:$D$39,'Bill Credit Rates'!$B35,'Program Inputs'!$E$21:$E$39,'Bill Credit Rates'!E$4)</f>
        <v>0</v>
      </c>
      <c r="I35" s="33">
        <f>SUMIFS('Program Inputs'!$F$21:$F$39,'Program Inputs'!$C$21:$C$39,'Bill Credit Rates'!$A35,'Program Inputs'!$D$21:$D$39,'Bill Credit Rates'!$B35,'Program Inputs'!$E$21:$E$39,'Bill Credit Rates'!F$4)</f>
        <v>0.1</v>
      </c>
      <c r="J35" s="33">
        <f>SUMIFS('Program Inputs'!$F$21:$F$39,'Program Inputs'!$C$21:$C$39,'Bill Credit Rates'!$A35,'Program Inputs'!$D$21:$D$39,'Bill Credit Rates'!$B35,'Program Inputs'!$E$21:$E$39,'Bill Credit Rates'!G$4)</f>
        <v>0.85</v>
      </c>
      <c r="K35" s="48">
        <f t="shared" si="2"/>
        <v>106.72299999999998</v>
      </c>
    </row>
    <row r="36" spans="1:11">
      <c r="A36" s="48" t="s">
        <v>11</v>
      </c>
      <c r="B36" s="48">
        <v>1</v>
      </c>
      <c r="C36" s="48">
        <v>31</v>
      </c>
      <c r="D36" s="48">
        <v>2049</v>
      </c>
      <c r="E36" s="48">
        <f>IF(OR($C36=0,AND($B36=2,$D36&lt;=2022)),SUMIFS('Program Inputs'!$I$21:$I$39,'Program Inputs'!$C$21:$C$39,'Bill Credit Rates'!$A36,'Program Inputs'!$D$21:$D$39,'Bill Credit Rates'!$B36,'Program Inputs'!$E$21:$E$39,'Bill Credit Rates'!E$4)*1000,E35*(1+SUMIFS($Q:$Q,$N:$N,$A36,$O:$O,$B36,$P:$P,E$4)))</f>
        <v>112.33999999999999</v>
      </c>
      <c r="F36" s="48">
        <f>IF(OR($C36=0,AND($B36=2,$D36&lt;=2022)),SUMIFS('Program Inputs'!$I$21:$I$39,'Program Inputs'!$C$21:$C$39,'Bill Credit Rates'!$A36,'Program Inputs'!$D$21:$D$39,'Bill Credit Rates'!$B36,'Program Inputs'!$E$21:$E$39,'Bill Credit Rates'!F$4)*1000,F35*(1+SUMIFS($Q:$Q,$N:$N,$A36,$O:$O,$B36,$P:$P,F$4)))</f>
        <v>112.33999999999999</v>
      </c>
      <c r="G36" s="48">
        <f>IF(OR($C36=0,AND($B36=2,$D36&lt;=2022)),SUMIFS('Program Inputs'!$I$21:$I$39,'Program Inputs'!$C$21:$C$39,'Bill Credit Rates'!$A36,'Program Inputs'!$D$21:$D$39,'Bill Credit Rates'!$B36,'Program Inputs'!$E$21:$E$39,'Bill Credit Rates'!G$4)*1000,G35*(1+SUMIFS($Q:$Q,$N:$N,$A36,$O:$O,$B36,$P:$P,G$4)))</f>
        <v>112.33999999999999</v>
      </c>
      <c r="H36" s="33">
        <f>SUMIFS('Program Inputs'!$F$21:$F$39,'Program Inputs'!$C$21:$C$39,'Bill Credit Rates'!$A36,'Program Inputs'!$D$21:$D$39,'Bill Credit Rates'!$B36,'Program Inputs'!$E$21:$E$39,'Bill Credit Rates'!E$4)</f>
        <v>0</v>
      </c>
      <c r="I36" s="33">
        <f>SUMIFS('Program Inputs'!$F$21:$F$39,'Program Inputs'!$C$21:$C$39,'Bill Credit Rates'!$A36,'Program Inputs'!$D$21:$D$39,'Bill Credit Rates'!$B36,'Program Inputs'!$E$21:$E$39,'Bill Credit Rates'!F$4)</f>
        <v>0.1</v>
      </c>
      <c r="J36" s="33">
        <f>SUMIFS('Program Inputs'!$F$21:$F$39,'Program Inputs'!$C$21:$C$39,'Bill Credit Rates'!$A36,'Program Inputs'!$D$21:$D$39,'Bill Credit Rates'!$B36,'Program Inputs'!$E$21:$E$39,'Bill Credit Rates'!G$4)</f>
        <v>0.85</v>
      </c>
      <c r="K36" s="48">
        <f t="shared" si="2"/>
        <v>106.72299999999998</v>
      </c>
    </row>
    <row r="37" spans="1:11">
      <c r="A37" s="48" t="s">
        <v>11</v>
      </c>
      <c r="B37" s="48">
        <v>1</v>
      </c>
      <c r="C37" s="48">
        <v>32</v>
      </c>
      <c r="D37" s="48">
        <v>2050</v>
      </c>
      <c r="E37" s="48">
        <f>IF(OR($C37=0,AND($B37=2,$D37&lt;=2022)),SUMIFS('Program Inputs'!$I$21:$I$39,'Program Inputs'!$C$21:$C$39,'Bill Credit Rates'!$A37,'Program Inputs'!$D$21:$D$39,'Bill Credit Rates'!$B37,'Program Inputs'!$E$21:$E$39,'Bill Credit Rates'!E$4)*1000,E36*(1+SUMIFS($Q:$Q,$N:$N,$A37,$O:$O,$B37,$P:$P,E$4)))</f>
        <v>112.33999999999999</v>
      </c>
      <c r="F37" s="48">
        <f>IF(OR($C37=0,AND($B37=2,$D37&lt;=2022)),SUMIFS('Program Inputs'!$I$21:$I$39,'Program Inputs'!$C$21:$C$39,'Bill Credit Rates'!$A37,'Program Inputs'!$D$21:$D$39,'Bill Credit Rates'!$B37,'Program Inputs'!$E$21:$E$39,'Bill Credit Rates'!F$4)*1000,F36*(1+SUMIFS($Q:$Q,$N:$N,$A37,$O:$O,$B37,$P:$P,F$4)))</f>
        <v>112.33999999999999</v>
      </c>
      <c r="G37" s="48">
        <f>IF(OR($C37=0,AND($B37=2,$D37&lt;=2022)),SUMIFS('Program Inputs'!$I$21:$I$39,'Program Inputs'!$C$21:$C$39,'Bill Credit Rates'!$A37,'Program Inputs'!$D$21:$D$39,'Bill Credit Rates'!$B37,'Program Inputs'!$E$21:$E$39,'Bill Credit Rates'!G$4)*1000,G36*(1+SUMIFS($Q:$Q,$N:$N,$A37,$O:$O,$B37,$P:$P,G$4)))</f>
        <v>112.33999999999999</v>
      </c>
      <c r="H37" s="33">
        <f>SUMIFS('Program Inputs'!$F$21:$F$39,'Program Inputs'!$C$21:$C$39,'Bill Credit Rates'!$A37,'Program Inputs'!$D$21:$D$39,'Bill Credit Rates'!$B37,'Program Inputs'!$E$21:$E$39,'Bill Credit Rates'!E$4)</f>
        <v>0</v>
      </c>
      <c r="I37" s="33">
        <f>SUMIFS('Program Inputs'!$F$21:$F$39,'Program Inputs'!$C$21:$C$39,'Bill Credit Rates'!$A37,'Program Inputs'!$D$21:$D$39,'Bill Credit Rates'!$B37,'Program Inputs'!$E$21:$E$39,'Bill Credit Rates'!F$4)</f>
        <v>0.1</v>
      </c>
      <c r="J37" s="33">
        <f>SUMIFS('Program Inputs'!$F$21:$F$39,'Program Inputs'!$C$21:$C$39,'Bill Credit Rates'!$A37,'Program Inputs'!$D$21:$D$39,'Bill Credit Rates'!$B37,'Program Inputs'!$E$21:$E$39,'Bill Credit Rates'!G$4)</f>
        <v>0.85</v>
      </c>
      <c r="K37" s="48">
        <f t="shared" si="2"/>
        <v>106.72299999999998</v>
      </c>
    </row>
    <row r="38" spans="1:11">
      <c r="A38" s="48" t="s">
        <v>11</v>
      </c>
      <c r="B38" s="48">
        <v>2</v>
      </c>
      <c r="C38" s="48">
        <v>0</v>
      </c>
      <c r="D38" s="48">
        <v>2018</v>
      </c>
      <c r="E38" s="48">
        <f>IF(OR($C38=0,AND($B38=2,$D38&lt;=2022)),SUMIFS('Program Inputs'!$I$21:$I$39,'Program Inputs'!$C$21:$C$39,'Bill Credit Rates'!$A38,'Program Inputs'!$D$21:$D$39,'Bill Credit Rates'!$B38,'Program Inputs'!$E$21:$E$39,'Bill Credit Rates'!E$4)*1000,E37*(1+SUMIFS($Q:$Q,$N:$N,$A38,$O:$O,$B38,$P:$P,E$4)))</f>
        <v>112.33999999999999</v>
      </c>
      <c r="F38" s="48">
        <f>IF(OR($C38=0,AND($B38=2,$D38&lt;=2022)),SUMIFS('Program Inputs'!$I$21:$I$39,'Program Inputs'!$C$21:$C$39,'Bill Credit Rates'!$A38,'Program Inputs'!$D$21:$D$39,'Bill Credit Rates'!$B38,'Program Inputs'!$E$21:$E$39,'Bill Credit Rates'!F$4)*1000,F37*(1+SUMIFS($Q:$Q,$N:$N,$A38,$O:$O,$B38,$P:$P,F$4)))</f>
        <v>112.33999999999999</v>
      </c>
      <c r="G38" s="48">
        <f>IF(OR($C38=0,AND($B38=2,$D38&lt;=2022)),SUMIFS('Program Inputs'!$I$21:$I$39,'Program Inputs'!$C$21:$C$39,'Bill Credit Rates'!$A38,'Program Inputs'!$D$21:$D$39,'Bill Credit Rates'!$B38,'Program Inputs'!$E$21:$E$39,'Bill Credit Rates'!G$4)*1000,G37*(1+SUMIFS($Q:$Q,$N:$N,$A38,$O:$O,$B38,$P:$P,G$4)))</f>
        <v>101.10599999999999</v>
      </c>
      <c r="H38" s="33">
        <f>SUMIFS('Program Inputs'!$F$21:$F$39,'Program Inputs'!$C$21:$C$39,'Bill Credit Rates'!$A38,'Program Inputs'!$D$21:$D$39,'Bill Credit Rates'!$B38,'Program Inputs'!$E$21:$E$39,'Bill Credit Rates'!E$4)</f>
        <v>0.4</v>
      </c>
      <c r="I38" s="33">
        <f>SUMIFS('Program Inputs'!$F$21:$F$39,'Program Inputs'!$C$21:$C$39,'Bill Credit Rates'!$A38,'Program Inputs'!$D$21:$D$39,'Bill Credit Rates'!$B38,'Program Inputs'!$E$21:$E$39,'Bill Credit Rates'!F$4)</f>
        <v>0.1</v>
      </c>
      <c r="J38" s="33">
        <f>SUMIFS('Program Inputs'!$F$21:$F$39,'Program Inputs'!$C$21:$C$39,'Bill Credit Rates'!$A38,'Program Inputs'!$D$21:$D$39,'Bill Credit Rates'!$B38,'Program Inputs'!$E$21:$E$39,'Bill Credit Rates'!G$4)</f>
        <v>0.45</v>
      </c>
      <c r="K38" s="48">
        <f t="shared" si="0"/>
        <v>101.6677</v>
      </c>
    </row>
    <row r="39" spans="1:11">
      <c r="A39" s="48" t="s">
        <v>11</v>
      </c>
      <c r="B39" s="48">
        <v>2</v>
      </c>
      <c r="C39" s="48">
        <v>1</v>
      </c>
      <c r="D39" s="48">
        <v>2019</v>
      </c>
      <c r="E39" s="48">
        <f>IF(OR($C39=0,AND($B39=2,$D39&lt;=2022)),SUMIFS('Program Inputs'!$I$21:$I$39,'Program Inputs'!$C$21:$C$39,'Bill Credit Rates'!$A39,'Program Inputs'!$D$21:$D$39,'Bill Credit Rates'!$B39,'Program Inputs'!$E$21:$E$39,'Bill Credit Rates'!E$4)*1000,E38*(1+SUMIFS($Q:$Q,$N:$N,$A39,$O:$O,$B39,$P:$P,E$4)))</f>
        <v>112.33999999999999</v>
      </c>
      <c r="F39" s="48">
        <f>IF(OR($C39=0,AND($B39=2,$D39&lt;=2022)),SUMIFS('Program Inputs'!$I$21:$I$39,'Program Inputs'!$C$21:$C$39,'Bill Credit Rates'!$A39,'Program Inputs'!$D$21:$D$39,'Bill Credit Rates'!$B39,'Program Inputs'!$E$21:$E$39,'Bill Credit Rates'!F$4)*1000,F38*(1+SUMIFS($Q:$Q,$N:$N,$A39,$O:$O,$B39,$P:$P,F$4)))</f>
        <v>112.33999999999999</v>
      </c>
      <c r="G39" s="48">
        <f>IF(OR($C39=0,AND($B39=2,$D39&lt;=2022)),SUMIFS('Program Inputs'!$I$21:$I$39,'Program Inputs'!$C$21:$C$39,'Bill Credit Rates'!$A39,'Program Inputs'!$D$21:$D$39,'Bill Credit Rates'!$B39,'Program Inputs'!$E$21:$E$39,'Bill Credit Rates'!G$4)*1000,G38*(1+SUMIFS($Q:$Q,$N:$N,$A39,$O:$O,$B39,$P:$P,G$4)))</f>
        <v>101.10599999999999</v>
      </c>
      <c r="H39" s="33">
        <f>SUMIFS('Program Inputs'!$F$21:$F$39,'Program Inputs'!$C$21:$C$39,'Bill Credit Rates'!$A39,'Program Inputs'!$D$21:$D$39,'Bill Credit Rates'!$B39,'Program Inputs'!$E$21:$E$39,'Bill Credit Rates'!E$4)</f>
        <v>0.4</v>
      </c>
      <c r="I39" s="33">
        <f>SUMIFS('Program Inputs'!$F$21:$F$39,'Program Inputs'!$C$21:$C$39,'Bill Credit Rates'!$A39,'Program Inputs'!$D$21:$D$39,'Bill Credit Rates'!$B39,'Program Inputs'!$E$21:$E$39,'Bill Credit Rates'!F$4)</f>
        <v>0.1</v>
      </c>
      <c r="J39" s="33">
        <f>SUMIFS('Program Inputs'!$F$21:$F$39,'Program Inputs'!$C$21:$C$39,'Bill Credit Rates'!$A39,'Program Inputs'!$D$21:$D$39,'Bill Credit Rates'!$B39,'Program Inputs'!$E$21:$E$39,'Bill Credit Rates'!G$4)</f>
        <v>0.45</v>
      </c>
      <c r="K39" s="48">
        <f t="shared" si="0"/>
        <v>101.6677</v>
      </c>
    </row>
    <row r="40" spans="1:11">
      <c r="A40" s="48" t="s">
        <v>11</v>
      </c>
      <c r="B40" s="48">
        <v>2</v>
      </c>
      <c r="C40" s="48">
        <v>2</v>
      </c>
      <c r="D40" s="48">
        <v>2020</v>
      </c>
      <c r="E40" s="48">
        <f>IF(OR($C40=0,AND($B40=2,$D40&lt;=2022)),SUMIFS('Program Inputs'!$I$21:$I$39,'Program Inputs'!$C$21:$C$39,'Bill Credit Rates'!$A40,'Program Inputs'!$D$21:$D$39,'Bill Credit Rates'!$B40,'Program Inputs'!$E$21:$E$39,'Bill Credit Rates'!E$4)*1000,E39*(1+SUMIFS($Q:$Q,$N:$N,$A40,$O:$O,$B40,$P:$P,E$4)))</f>
        <v>112.33999999999999</v>
      </c>
      <c r="F40" s="48">
        <f>IF(OR($C40=0,AND($B40=2,$D40&lt;=2022)),SUMIFS('Program Inputs'!$I$21:$I$39,'Program Inputs'!$C$21:$C$39,'Bill Credit Rates'!$A40,'Program Inputs'!$D$21:$D$39,'Bill Credit Rates'!$B40,'Program Inputs'!$E$21:$E$39,'Bill Credit Rates'!F$4)*1000,F39*(1+SUMIFS($Q:$Q,$N:$N,$A40,$O:$O,$B40,$P:$P,F$4)))</f>
        <v>112.33999999999999</v>
      </c>
      <c r="G40" s="48">
        <f>IF(OR($C40=0,AND($B40=2,$D40&lt;=2022)),SUMIFS('Program Inputs'!$I$21:$I$39,'Program Inputs'!$C$21:$C$39,'Bill Credit Rates'!$A40,'Program Inputs'!$D$21:$D$39,'Bill Credit Rates'!$B40,'Program Inputs'!$E$21:$E$39,'Bill Credit Rates'!G$4)*1000,G39*(1+SUMIFS($Q:$Q,$N:$N,$A40,$O:$O,$B40,$P:$P,G$4)))</f>
        <v>101.10599999999999</v>
      </c>
      <c r="H40" s="33">
        <f>SUMIFS('Program Inputs'!$F$21:$F$39,'Program Inputs'!$C$21:$C$39,'Bill Credit Rates'!$A40,'Program Inputs'!$D$21:$D$39,'Bill Credit Rates'!$B40,'Program Inputs'!$E$21:$E$39,'Bill Credit Rates'!E$4)</f>
        <v>0.4</v>
      </c>
      <c r="I40" s="33">
        <f>SUMIFS('Program Inputs'!$F$21:$F$39,'Program Inputs'!$C$21:$C$39,'Bill Credit Rates'!$A40,'Program Inputs'!$D$21:$D$39,'Bill Credit Rates'!$B40,'Program Inputs'!$E$21:$E$39,'Bill Credit Rates'!F$4)</f>
        <v>0.1</v>
      </c>
      <c r="J40" s="33">
        <f>SUMIFS('Program Inputs'!$F$21:$F$39,'Program Inputs'!$C$21:$C$39,'Bill Credit Rates'!$A40,'Program Inputs'!$D$21:$D$39,'Bill Credit Rates'!$B40,'Program Inputs'!$E$21:$E$39,'Bill Credit Rates'!G$4)</f>
        <v>0.45</v>
      </c>
      <c r="K40" s="48">
        <f t="shared" si="0"/>
        <v>101.6677</v>
      </c>
    </row>
    <row r="41" spans="1:11">
      <c r="A41" s="48" t="s">
        <v>11</v>
      </c>
      <c r="B41" s="48">
        <v>2</v>
      </c>
      <c r="C41" s="48">
        <v>3</v>
      </c>
      <c r="D41" s="48">
        <v>2021</v>
      </c>
      <c r="E41" s="48">
        <f>IF(OR($C41=0,AND($B41=2,$D41&lt;=2022)),SUMIFS('Program Inputs'!$I$21:$I$39,'Program Inputs'!$C$21:$C$39,'Bill Credit Rates'!$A41,'Program Inputs'!$D$21:$D$39,'Bill Credit Rates'!$B41,'Program Inputs'!$E$21:$E$39,'Bill Credit Rates'!E$4)*1000,E40*(1+SUMIFS($Q:$Q,$N:$N,$A41,$O:$O,$B41,$P:$P,E$4)))</f>
        <v>112.33999999999999</v>
      </c>
      <c r="F41" s="48">
        <f>IF(OR($C41=0,AND($B41=2,$D41&lt;=2022)),SUMIFS('Program Inputs'!$I$21:$I$39,'Program Inputs'!$C$21:$C$39,'Bill Credit Rates'!$A41,'Program Inputs'!$D$21:$D$39,'Bill Credit Rates'!$B41,'Program Inputs'!$E$21:$E$39,'Bill Credit Rates'!F$4)*1000,F40*(1+SUMIFS($Q:$Q,$N:$N,$A41,$O:$O,$B41,$P:$P,F$4)))</f>
        <v>112.33999999999999</v>
      </c>
      <c r="G41" s="48">
        <f>IF(OR($C41=0,AND($B41=2,$D41&lt;=2022)),SUMIFS('Program Inputs'!$I$21:$I$39,'Program Inputs'!$C$21:$C$39,'Bill Credit Rates'!$A41,'Program Inputs'!$D$21:$D$39,'Bill Credit Rates'!$B41,'Program Inputs'!$E$21:$E$39,'Bill Credit Rates'!G$4)*1000,G40*(1+SUMIFS($Q:$Q,$N:$N,$A41,$O:$O,$B41,$P:$P,G$4)))</f>
        <v>101.10599999999999</v>
      </c>
      <c r="H41" s="33">
        <f>SUMIFS('Program Inputs'!$F$21:$F$39,'Program Inputs'!$C$21:$C$39,'Bill Credit Rates'!$A41,'Program Inputs'!$D$21:$D$39,'Bill Credit Rates'!$B41,'Program Inputs'!$E$21:$E$39,'Bill Credit Rates'!E$4)</f>
        <v>0.4</v>
      </c>
      <c r="I41" s="33">
        <f>SUMIFS('Program Inputs'!$F$21:$F$39,'Program Inputs'!$C$21:$C$39,'Bill Credit Rates'!$A41,'Program Inputs'!$D$21:$D$39,'Bill Credit Rates'!$B41,'Program Inputs'!$E$21:$E$39,'Bill Credit Rates'!F$4)</f>
        <v>0.1</v>
      </c>
      <c r="J41" s="33">
        <f>SUMIFS('Program Inputs'!$F$21:$F$39,'Program Inputs'!$C$21:$C$39,'Bill Credit Rates'!$A41,'Program Inputs'!$D$21:$D$39,'Bill Credit Rates'!$B41,'Program Inputs'!$E$21:$E$39,'Bill Credit Rates'!G$4)</f>
        <v>0.45</v>
      </c>
      <c r="K41" s="48">
        <f t="shared" si="0"/>
        <v>101.6677</v>
      </c>
    </row>
    <row r="42" spans="1:11">
      <c r="A42" s="48" t="s">
        <v>11</v>
      </c>
      <c r="B42" s="48">
        <v>2</v>
      </c>
      <c r="C42" s="48">
        <v>4</v>
      </c>
      <c r="D42" s="48">
        <v>2022</v>
      </c>
      <c r="E42" s="48">
        <f>IF(OR($C42=0,AND($B42=2,$D42&lt;=2022)),SUMIFS('Program Inputs'!$I$21:$I$39,'Program Inputs'!$C$21:$C$39,'Bill Credit Rates'!$A42,'Program Inputs'!$D$21:$D$39,'Bill Credit Rates'!$B42,'Program Inputs'!$E$21:$E$39,'Bill Credit Rates'!E$4)*1000,E41*(1+SUMIFS($Q:$Q,$N:$N,$A42,$O:$O,$B42,$P:$P,E$4)))</f>
        <v>112.33999999999999</v>
      </c>
      <c r="F42" s="48">
        <f>IF(OR($C42=0,AND($B42=2,$D42&lt;=2022)),SUMIFS('Program Inputs'!$I$21:$I$39,'Program Inputs'!$C$21:$C$39,'Bill Credit Rates'!$A42,'Program Inputs'!$D$21:$D$39,'Bill Credit Rates'!$B42,'Program Inputs'!$E$21:$E$39,'Bill Credit Rates'!F$4)*1000,F41*(1+SUMIFS($Q:$Q,$N:$N,$A42,$O:$O,$B42,$P:$P,F$4)))</f>
        <v>112.33999999999999</v>
      </c>
      <c r="G42" s="48">
        <f>IF(OR($C42=0,AND($B42=2,$D42&lt;=2022)),SUMIFS('Program Inputs'!$I$21:$I$39,'Program Inputs'!$C$21:$C$39,'Bill Credit Rates'!$A42,'Program Inputs'!$D$21:$D$39,'Bill Credit Rates'!$B42,'Program Inputs'!$E$21:$E$39,'Bill Credit Rates'!G$4)*1000,G41*(1+SUMIFS($Q:$Q,$N:$N,$A42,$O:$O,$B42,$P:$P,G$4)))</f>
        <v>101.10599999999999</v>
      </c>
      <c r="H42" s="33">
        <f>SUMIFS('Program Inputs'!$F$21:$F$39,'Program Inputs'!$C$21:$C$39,'Bill Credit Rates'!$A42,'Program Inputs'!$D$21:$D$39,'Bill Credit Rates'!$B42,'Program Inputs'!$E$21:$E$39,'Bill Credit Rates'!E$4)</f>
        <v>0.4</v>
      </c>
      <c r="I42" s="33">
        <f>SUMIFS('Program Inputs'!$F$21:$F$39,'Program Inputs'!$C$21:$C$39,'Bill Credit Rates'!$A42,'Program Inputs'!$D$21:$D$39,'Bill Credit Rates'!$B42,'Program Inputs'!$E$21:$E$39,'Bill Credit Rates'!F$4)</f>
        <v>0.1</v>
      </c>
      <c r="J42" s="33">
        <f>SUMIFS('Program Inputs'!$F$21:$F$39,'Program Inputs'!$C$21:$C$39,'Bill Credit Rates'!$A42,'Program Inputs'!$D$21:$D$39,'Bill Credit Rates'!$B42,'Program Inputs'!$E$21:$E$39,'Bill Credit Rates'!G$4)</f>
        <v>0.45</v>
      </c>
      <c r="K42" s="48">
        <f t="shared" si="0"/>
        <v>101.6677</v>
      </c>
    </row>
    <row r="43" spans="1:11">
      <c r="A43" s="48" t="s">
        <v>11</v>
      </c>
      <c r="B43" s="48">
        <v>2</v>
      </c>
      <c r="C43" s="48">
        <v>5</v>
      </c>
      <c r="D43" s="48">
        <v>2023</v>
      </c>
      <c r="E43" s="48">
        <f>IF(OR($C43=0,AND($B43=2,$D43&lt;=2022)),SUMIFS('Program Inputs'!$I$21:$I$39,'Program Inputs'!$C$21:$C$39,'Bill Credit Rates'!$A43,'Program Inputs'!$D$21:$D$39,'Bill Credit Rates'!$B43,'Program Inputs'!$E$21:$E$39,'Bill Credit Rates'!E$4)*1000,E42*(1+SUMIFS($Q:$Q,$N:$N,$A43,$O:$O,$B43,$P:$P,E$4)))</f>
        <v>114.5868</v>
      </c>
      <c r="F43" s="48">
        <f>IF(OR($C43=0,AND($B43=2,$D43&lt;=2022)),SUMIFS('Program Inputs'!$I$21:$I$39,'Program Inputs'!$C$21:$C$39,'Bill Credit Rates'!$A43,'Program Inputs'!$D$21:$D$39,'Bill Credit Rates'!$B43,'Program Inputs'!$E$21:$E$39,'Bill Credit Rates'!F$4)*1000,F42*(1+SUMIFS($Q:$Q,$N:$N,$A43,$O:$O,$B43,$P:$P,F$4)))</f>
        <v>114.5868</v>
      </c>
      <c r="G43" s="48">
        <f>IF(OR($C43=0,AND($B43=2,$D43&lt;=2022)),SUMIFS('Program Inputs'!$I$21:$I$39,'Program Inputs'!$C$21:$C$39,'Bill Credit Rates'!$A43,'Program Inputs'!$D$21:$D$39,'Bill Credit Rates'!$B43,'Program Inputs'!$E$21:$E$39,'Bill Credit Rates'!G$4)*1000,G42*(1+SUMIFS($Q:$Q,$N:$N,$A43,$O:$O,$B43,$P:$P,G$4)))</f>
        <v>103.12812</v>
      </c>
      <c r="H43" s="33">
        <f>SUMIFS('Program Inputs'!$F$21:$F$39,'Program Inputs'!$C$21:$C$39,'Bill Credit Rates'!$A43,'Program Inputs'!$D$21:$D$39,'Bill Credit Rates'!$B43,'Program Inputs'!$E$21:$E$39,'Bill Credit Rates'!E$4)</f>
        <v>0.4</v>
      </c>
      <c r="I43" s="33">
        <f>SUMIFS('Program Inputs'!$F$21:$F$39,'Program Inputs'!$C$21:$C$39,'Bill Credit Rates'!$A43,'Program Inputs'!$D$21:$D$39,'Bill Credit Rates'!$B43,'Program Inputs'!$E$21:$E$39,'Bill Credit Rates'!F$4)</f>
        <v>0.1</v>
      </c>
      <c r="J43" s="33">
        <f>SUMIFS('Program Inputs'!$F$21:$F$39,'Program Inputs'!$C$21:$C$39,'Bill Credit Rates'!$A43,'Program Inputs'!$D$21:$D$39,'Bill Credit Rates'!$B43,'Program Inputs'!$E$21:$E$39,'Bill Credit Rates'!G$4)</f>
        <v>0.45</v>
      </c>
      <c r="K43" s="48">
        <f t="shared" si="0"/>
        <v>103.701054</v>
      </c>
    </row>
    <row r="44" spans="1:11">
      <c r="A44" s="48" t="s">
        <v>11</v>
      </c>
      <c r="B44" s="48">
        <v>2</v>
      </c>
      <c r="C44" s="48">
        <v>6</v>
      </c>
      <c r="D44" s="48">
        <v>2024</v>
      </c>
      <c r="E44" s="48">
        <f>IF(OR($C44=0,AND($B44=2,$D44&lt;=2022)),SUMIFS('Program Inputs'!$I$21:$I$39,'Program Inputs'!$C$21:$C$39,'Bill Credit Rates'!$A44,'Program Inputs'!$D$21:$D$39,'Bill Credit Rates'!$B44,'Program Inputs'!$E$21:$E$39,'Bill Credit Rates'!E$4)*1000,E43*(1+SUMIFS($Q:$Q,$N:$N,$A44,$O:$O,$B44,$P:$P,E$4)))</f>
        <v>116.878536</v>
      </c>
      <c r="F44" s="48">
        <f>IF(OR($C44=0,AND($B44=2,$D44&lt;=2022)),SUMIFS('Program Inputs'!$I$21:$I$39,'Program Inputs'!$C$21:$C$39,'Bill Credit Rates'!$A44,'Program Inputs'!$D$21:$D$39,'Bill Credit Rates'!$B44,'Program Inputs'!$E$21:$E$39,'Bill Credit Rates'!F$4)*1000,F43*(1+SUMIFS($Q:$Q,$N:$N,$A44,$O:$O,$B44,$P:$P,F$4)))</f>
        <v>116.878536</v>
      </c>
      <c r="G44" s="48">
        <f>IF(OR($C44=0,AND($B44=2,$D44&lt;=2022)),SUMIFS('Program Inputs'!$I$21:$I$39,'Program Inputs'!$C$21:$C$39,'Bill Credit Rates'!$A44,'Program Inputs'!$D$21:$D$39,'Bill Credit Rates'!$B44,'Program Inputs'!$E$21:$E$39,'Bill Credit Rates'!G$4)*1000,G43*(1+SUMIFS($Q:$Q,$N:$N,$A44,$O:$O,$B44,$P:$P,G$4)))</f>
        <v>105.1906824</v>
      </c>
      <c r="H44" s="33">
        <f>SUMIFS('Program Inputs'!$F$21:$F$39,'Program Inputs'!$C$21:$C$39,'Bill Credit Rates'!$A44,'Program Inputs'!$D$21:$D$39,'Bill Credit Rates'!$B44,'Program Inputs'!$E$21:$E$39,'Bill Credit Rates'!E$4)</f>
        <v>0.4</v>
      </c>
      <c r="I44" s="33">
        <f>SUMIFS('Program Inputs'!$F$21:$F$39,'Program Inputs'!$C$21:$C$39,'Bill Credit Rates'!$A44,'Program Inputs'!$D$21:$D$39,'Bill Credit Rates'!$B44,'Program Inputs'!$E$21:$E$39,'Bill Credit Rates'!F$4)</f>
        <v>0.1</v>
      </c>
      <c r="J44" s="33">
        <f>SUMIFS('Program Inputs'!$F$21:$F$39,'Program Inputs'!$C$21:$C$39,'Bill Credit Rates'!$A44,'Program Inputs'!$D$21:$D$39,'Bill Credit Rates'!$B44,'Program Inputs'!$E$21:$E$39,'Bill Credit Rates'!G$4)</f>
        <v>0.45</v>
      </c>
      <c r="K44" s="48">
        <f t="shared" si="0"/>
        <v>105.77507507999999</v>
      </c>
    </row>
    <row r="45" spans="1:11">
      <c r="A45" s="48" t="s">
        <v>11</v>
      </c>
      <c r="B45" s="48">
        <v>2</v>
      </c>
      <c r="C45" s="48">
        <v>7</v>
      </c>
      <c r="D45" s="48">
        <v>2025</v>
      </c>
      <c r="E45" s="48">
        <f>IF(OR($C45=0,AND($B45=2,$D45&lt;=2022)),SUMIFS('Program Inputs'!$I$21:$I$39,'Program Inputs'!$C$21:$C$39,'Bill Credit Rates'!$A45,'Program Inputs'!$D$21:$D$39,'Bill Credit Rates'!$B45,'Program Inputs'!$E$21:$E$39,'Bill Credit Rates'!E$4)*1000,E44*(1+SUMIFS($Q:$Q,$N:$N,$A45,$O:$O,$B45,$P:$P,E$4)))</f>
        <v>119.21610672</v>
      </c>
      <c r="F45" s="48">
        <f>IF(OR($C45=0,AND($B45=2,$D45&lt;=2022)),SUMIFS('Program Inputs'!$I$21:$I$39,'Program Inputs'!$C$21:$C$39,'Bill Credit Rates'!$A45,'Program Inputs'!$D$21:$D$39,'Bill Credit Rates'!$B45,'Program Inputs'!$E$21:$E$39,'Bill Credit Rates'!F$4)*1000,F44*(1+SUMIFS($Q:$Q,$N:$N,$A45,$O:$O,$B45,$P:$P,F$4)))</f>
        <v>119.21610672</v>
      </c>
      <c r="G45" s="48">
        <f>IF(OR($C45=0,AND($B45=2,$D45&lt;=2022)),SUMIFS('Program Inputs'!$I$21:$I$39,'Program Inputs'!$C$21:$C$39,'Bill Credit Rates'!$A45,'Program Inputs'!$D$21:$D$39,'Bill Credit Rates'!$B45,'Program Inputs'!$E$21:$E$39,'Bill Credit Rates'!G$4)*1000,G44*(1+SUMIFS($Q:$Q,$N:$N,$A45,$O:$O,$B45,$P:$P,G$4)))</f>
        <v>107.294496048</v>
      </c>
      <c r="H45" s="33">
        <f>SUMIFS('Program Inputs'!$F$21:$F$39,'Program Inputs'!$C$21:$C$39,'Bill Credit Rates'!$A45,'Program Inputs'!$D$21:$D$39,'Bill Credit Rates'!$B45,'Program Inputs'!$E$21:$E$39,'Bill Credit Rates'!E$4)</f>
        <v>0.4</v>
      </c>
      <c r="I45" s="33">
        <f>SUMIFS('Program Inputs'!$F$21:$F$39,'Program Inputs'!$C$21:$C$39,'Bill Credit Rates'!$A45,'Program Inputs'!$D$21:$D$39,'Bill Credit Rates'!$B45,'Program Inputs'!$E$21:$E$39,'Bill Credit Rates'!F$4)</f>
        <v>0.1</v>
      </c>
      <c r="J45" s="33">
        <f>SUMIFS('Program Inputs'!$F$21:$F$39,'Program Inputs'!$C$21:$C$39,'Bill Credit Rates'!$A45,'Program Inputs'!$D$21:$D$39,'Bill Credit Rates'!$B45,'Program Inputs'!$E$21:$E$39,'Bill Credit Rates'!G$4)</f>
        <v>0.45</v>
      </c>
      <c r="K45" s="48">
        <f t="shared" si="0"/>
        <v>107.8905765816</v>
      </c>
    </row>
    <row r="46" spans="1:11">
      <c r="A46" s="48" t="s">
        <v>11</v>
      </c>
      <c r="B46" s="48">
        <v>2</v>
      </c>
      <c r="C46" s="48">
        <v>8</v>
      </c>
      <c r="D46" s="48">
        <v>2026</v>
      </c>
      <c r="E46" s="48">
        <f>IF(OR($C46=0,AND($B46=2,$D46&lt;=2022)),SUMIFS('Program Inputs'!$I$21:$I$39,'Program Inputs'!$C$21:$C$39,'Bill Credit Rates'!$A46,'Program Inputs'!$D$21:$D$39,'Bill Credit Rates'!$B46,'Program Inputs'!$E$21:$E$39,'Bill Credit Rates'!E$4)*1000,E45*(1+SUMIFS($Q:$Q,$N:$N,$A46,$O:$O,$B46,$P:$P,E$4)))</f>
        <v>121.60042885440001</v>
      </c>
      <c r="F46" s="48">
        <f>IF(OR($C46=0,AND($B46=2,$D46&lt;=2022)),SUMIFS('Program Inputs'!$I$21:$I$39,'Program Inputs'!$C$21:$C$39,'Bill Credit Rates'!$A46,'Program Inputs'!$D$21:$D$39,'Bill Credit Rates'!$B46,'Program Inputs'!$E$21:$E$39,'Bill Credit Rates'!F$4)*1000,F45*(1+SUMIFS($Q:$Q,$N:$N,$A46,$O:$O,$B46,$P:$P,F$4)))</f>
        <v>121.60042885440001</v>
      </c>
      <c r="G46" s="48">
        <f>IF(OR($C46=0,AND($B46=2,$D46&lt;=2022)),SUMIFS('Program Inputs'!$I$21:$I$39,'Program Inputs'!$C$21:$C$39,'Bill Credit Rates'!$A46,'Program Inputs'!$D$21:$D$39,'Bill Credit Rates'!$B46,'Program Inputs'!$E$21:$E$39,'Bill Credit Rates'!G$4)*1000,G45*(1+SUMIFS($Q:$Q,$N:$N,$A46,$O:$O,$B46,$P:$P,G$4)))</f>
        <v>109.44038596896</v>
      </c>
      <c r="H46" s="33">
        <f>SUMIFS('Program Inputs'!$F$21:$F$39,'Program Inputs'!$C$21:$C$39,'Bill Credit Rates'!$A46,'Program Inputs'!$D$21:$D$39,'Bill Credit Rates'!$B46,'Program Inputs'!$E$21:$E$39,'Bill Credit Rates'!E$4)</f>
        <v>0.4</v>
      </c>
      <c r="I46" s="33">
        <f>SUMIFS('Program Inputs'!$F$21:$F$39,'Program Inputs'!$C$21:$C$39,'Bill Credit Rates'!$A46,'Program Inputs'!$D$21:$D$39,'Bill Credit Rates'!$B46,'Program Inputs'!$E$21:$E$39,'Bill Credit Rates'!F$4)</f>
        <v>0.1</v>
      </c>
      <c r="J46" s="33">
        <f>SUMIFS('Program Inputs'!$F$21:$F$39,'Program Inputs'!$C$21:$C$39,'Bill Credit Rates'!$A46,'Program Inputs'!$D$21:$D$39,'Bill Credit Rates'!$B46,'Program Inputs'!$E$21:$E$39,'Bill Credit Rates'!G$4)</f>
        <v>0.45</v>
      </c>
      <c r="K46" s="48">
        <f t="shared" si="0"/>
        <v>110.04838811323201</v>
      </c>
    </row>
    <row r="47" spans="1:11">
      <c r="A47" s="48" t="s">
        <v>11</v>
      </c>
      <c r="B47" s="48">
        <v>2</v>
      </c>
      <c r="C47" s="48">
        <v>9</v>
      </c>
      <c r="D47" s="48">
        <v>2027</v>
      </c>
      <c r="E47" s="48">
        <f>IF(OR($C47=0,AND($B47=2,$D47&lt;=2022)),SUMIFS('Program Inputs'!$I$21:$I$39,'Program Inputs'!$C$21:$C$39,'Bill Credit Rates'!$A47,'Program Inputs'!$D$21:$D$39,'Bill Credit Rates'!$B47,'Program Inputs'!$E$21:$E$39,'Bill Credit Rates'!E$4)*1000,E46*(1+SUMIFS($Q:$Q,$N:$N,$A47,$O:$O,$B47,$P:$P,E$4)))</f>
        <v>124.03243743148801</v>
      </c>
      <c r="F47" s="48">
        <f>IF(OR($C47=0,AND($B47=2,$D47&lt;=2022)),SUMIFS('Program Inputs'!$I$21:$I$39,'Program Inputs'!$C$21:$C$39,'Bill Credit Rates'!$A47,'Program Inputs'!$D$21:$D$39,'Bill Credit Rates'!$B47,'Program Inputs'!$E$21:$E$39,'Bill Credit Rates'!F$4)*1000,F46*(1+SUMIFS($Q:$Q,$N:$N,$A47,$O:$O,$B47,$P:$P,F$4)))</f>
        <v>124.03243743148801</v>
      </c>
      <c r="G47" s="48">
        <f>IF(OR($C47=0,AND($B47=2,$D47&lt;=2022)),SUMIFS('Program Inputs'!$I$21:$I$39,'Program Inputs'!$C$21:$C$39,'Bill Credit Rates'!$A47,'Program Inputs'!$D$21:$D$39,'Bill Credit Rates'!$B47,'Program Inputs'!$E$21:$E$39,'Bill Credit Rates'!G$4)*1000,G46*(1+SUMIFS($Q:$Q,$N:$N,$A47,$O:$O,$B47,$P:$P,G$4)))</f>
        <v>111.6291936883392</v>
      </c>
      <c r="H47" s="33">
        <f>SUMIFS('Program Inputs'!$F$21:$F$39,'Program Inputs'!$C$21:$C$39,'Bill Credit Rates'!$A47,'Program Inputs'!$D$21:$D$39,'Bill Credit Rates'!$B47,'Program Inputs'!$E$21:$E$39,'Bill Credit Rates'!E$4)</f>
        <v>0.4</v>
      </c>
      <c r="I47" s="33">
        <f>SUMIFS('Program Inputs'!$F$21:$F$39,'Program Inputs'!$C$21:$C$39,'Bill Credit Rates'!$A47,'Program Inputs'!$D$21:$D$39,'Bill Credit Rates'!$B47,'Program Inputs'!$E$21:$E$39,'Bill Credit Rates'!F$4)</f>
        <v>0.1</v>
      </c>
      <c r="J47" s="33">
        <f>SUMIFS('Program Inputs'!$F$21:$F$39,'Program Inputs'!$C$21:$C$39,'Bill Credit Rates'!$A47,'Program Inputs'!$D$21:$D$39,'Bill Credit Rates'!$B47,'Program Inputs'!$E$21:$E$39,'Bill Credit Rates'!G$4)</f>
        <v>0.45</v>
      </c>
      <c r="K47" s="48">
        <f t="shared" si="0"/>
        <v>112.24935587549665</v>
      </c>
    </row>
    <row r="48" spans="1:11">
      <c r="A48" s="48" t="s">
        <v>11</v>
      </c>
      <c r="B48" s="48">
        <v>2</v>
      </c>
      <c r="C48" s="48">
        <v>10</v>
      </c>
      <c r="D48" s="48">
        <v>2028</v>
      </c>
      <c r="E48" s="48">
        <f>IF(OR($C48=0,AND($B48=2,$D48&lt;=2022)),SUMIFS('Program Inputs'!$I$21:$I$39,'Program Inputs'!$C$21:$C$39,'Bill Credit Rates'!$A48,'Program Inputs'!$D$21:$D$39,'Bill Credit Rates'!$B48,'Program Inputs'!$E$21:$E$39,'Bill Credit Rates'!E$4)*1000,E47*(1+SUMIFS($Q:$Q,$N:$N,$A48,$O:$O,$B48,$P:$P,E$4)))</f>
        <v>126.51308618011777</v>
      </c>
      <c r="F48" s="48">
        <f>IF(OR($C48=0,AND($B48=2,$D48&lt;=2022)),SUMIFS('Program Inputs'!$I$21:$I$39,'Program Inputs'!$C$21:$C$39,'Bill Credit Rates'!$A48,'Program Inputs'!$D$21:$D$39,'Bill Credit Rates'!$B48,'Program Inputs'!$E$21:$E$39,'Bill Credit Rates'!F$4)*1000,F47*(1+SUMIFS($Q:$Q,$N:$N,$A48,$O:$O,$B48,$P:$P,F$4)))</f>
        <v>126.51308618011777</v>
      </c>
      <c r="G48" s="48">
        <f>IF(OR($C48=0,AND($B48=2,$D48&lt;=2022)),SUMIFS('Program Inputs'!$I$21:$I$39,'Program Inputs'!$C$21:$C$39,'Bill Credit Rates'!$A48,'Program Inputs'!$D$21:$D$39,'Bill Credit Rates'!$B48,'Program Inputs'!$E$21:$E$39,'Bill Credit Rates'!G$4)*1000,G47*(1+SUMIFS($Q:$Q,$N:$N,$A48,$O:$O,$B48,$P:$P,G$4)))</f>
        <v>113.86177756210598</v>
      </c>
      <c r="H48" s="33">
        <f>SUMIFS('Program Inputs'!$F$21:$F$39,'Program Inputs'!$C$21:$C$39,'Bill Credit Rates'!$A48,'Program Inputs'!$D$21:$D$39,'Bill Credit Rates'!$B48,'Program Inputs'!$E$21:$E$39,'Bill Credit Rates'!E$4)</f>
        <v>0.4</v>
      </c>
      <c r="I48" s="33">
        <f>SUMIFS('Program Inputs'!$F$21:$F$39,'Program Inputs'!$C$21:$C$39,'Bill Credit Rates'!$A48,'Program Inputs'!$D$21:$D$39,'Bill Credit Rates'!$B48,'Program Inputs'!$E$21:$E$39,'Bill Credit Rates'!F$4)</f>
        <v>0.1</v>
      </c>
      <c r="J48" s="33">
        <f>SUMIFS('Program Inputs'!$F$21:$F$39,'Program Inputs'!$C$21:$C$39,'Bill Credit Rates'!$A48,'Program Inputs'!$D$21:$D$39,'Bill Credit Rates'!$B48,'Program Inputs'!$E$21:$E$39,'Bill Credit Rates'!G$4)</f>
        <v>0.45</v>
      </c>
      <c r="K48" s="48">
        <f t="shared" si="0"/>
        <v>114.49434299300657</v>
      </c>
    </row>
    <row r="49" spans="1:11">
      <c r="A49" s="48" t="s">
        <v>11</v>
      </c>
      <c r="B49" s="48">
        <v>2</v>
      </c>
      <c r="C49" s="48">
        <v>11</v>
      </c>
      <c r="D49" s="48">
        <v>2029</v>
      </c>
      <c r="E49" s="48">
        <f>IF(OR($C49=0,AND($B49=2,$D49&lt;=2022)),SUMIFS('Program Inputs'!$I$21:$I$39,'Program Inputs'!$C$21:$C$39,'Bill Credit Rates'!$A49,'Program Inputs'!$D$21:$D$39,'Bill Credit Rates'!$B49,'Program Inputs'!$E$21:$E$39,'Bill Credit Rates'!E$4)*1000,E48*(1+SUMIFS($Q:$Q,$N:$N,$A49,$O:$O,$B49,$P:$P,E$4)))</f>
        <v>129.04334790372013</v>
      </c>
      <c r="F49" s="48">
        <f>IF(OR($C49=0,AND($B49=2,$D49&lt;=2022)),SUMIFS('Program Inputs'!$I$21:$I$39,'Program Inputs'!$C$21:$C$39,'Bill Credit Rates'!$A49,'Program Inputs'!$D$21:$D$39,'Bill Credit Rates'!$B49,'Program Inputs'!$E$21:$E$39,'Bill Credit Rates'!F$4)*1000,F48*(1+SUMIFS($Q:$Q,$N:$N,$A49,$O:$O,$B49,$P:$P,F$4)))</f>
        <v>129.04334790372013</v>
      </c>
      <c r="G49" s="48">
        <f>IF(OR($C49=0,AND($B49=2,$D49&lt;=2022)),SUMIFS('Program Inputs'!$I$21:$I$39,'Program Inputs'!$C$21:$C$39,'Bill Credit Rates'!$A49,'Program Inputs'!$D$21:$D$39,'Bill Credit Rates'!$B49,'Program Inputs'!$E$21:$E$39,'Bill Credit Rates'!G$4)*1000,G48*(1+SUMIFS($Q:$Q,$N:$N,$A49,$O:$O,$B49,$P:$P,G$4)))</f>
        <v>116.13901311334811</v>
      </c>
      <c r="H49" s="33">
        <f>SUMIFS('Program Inputs'!$F$21:$F$39,'Program Inputs'!$C$21:$C$39,'Bill Credit Rates'!$A49,'Program Inputs'!$D$21:$D$39,'Bill Credit Rates'!$B49,'Program Inputs'!$E$21:$E$39,'Bill Credit Rates'!E$4)</f>
        <v>0.4</v>
      </c>
      <c r="I49" s="33">
        <f>SUMIFS('Program Inputs'!$F$21:$F$39,'Program Inputs'!$C$21:$C$39,'Bill Credit Rates'!$A49,'Program Inputs'!$D$21:$D$39,'Bill Credit Rates'!$B49,'Program Inputs'!$E$21:$E$39,'Bill Credit Rates'!F$4)</f>
        <v>0.1</v>
      </c>
      <c r="J49" s="33">
        <f>SUMIFS('Program Inputs'!$F$21:$F$39,'Program Inputs'!$C$21:$C$39,'Bill Credit Rates'!$A49,'Program Inputs'!$D$21:$D$39,'Bill Credit Rates'!$B49,'Program Inputs'!$E$21:$E$39,'Bill Credit Rates'!G$4)</f>
        <v>0.45</v>
      </c>
      <c r="K49" s="48">
        <f t="shared" si="0"/>
        <v>116.78422985286672</v>
      </c>
    </row>
    <row r="50" spans="1:11">
      <c r="A50" s="48" t="s">
        <v>11</v>
      </c>
      <c r="B50" s="48">
        <v>2</v>
      </c>
      <c r="C50" s="48">
        <v>12</v>
      </c>
      <c r="D50" s="48">
        <v>2030</v>
      </c>
      <c r="E50" s="48">
        <f>IF(OR($C50=0,AND($B50=2,$D50&lt;=2022)),SUMIFS('Program Inputs'!$I$21:$I$39,'Program Inputs'!$C$21:$C$39,'Bill Credit Rates'!$A50,'Program Inputs'!$D$21:$D$39,'Bill Credit Rates'!$B50,'Program Inputs'!$E$21:$E$39,'Bill Credit Rates'!E$4)*1000,E49*(1+SUMIFS($Q:$Q,$N:$N,$A50,$O:$O,$B50,$P:$P,E$4)))</f>
        <v>131.62421486179454</v>
      </c>
      <c r="F50" s="48">
        <f>IF(OR($C50=0,AND($B50=2,$D50&lt;=2022)),SUMIFS('Program Inputs'!$I$21:$I$39,'Program Inputs'!$C$21:$C$39,'Bill Credit Rates'!$A50,'Program Inputs'!$D$21:$D$39,'Bill Credit Rates'!$B50,'Program Inputs'!$E$21:$E$39,'Bill Credit Rates'!F$4)*1000,F49*(1+SUMIFS($Q:$Q,$N:$N,$A50,$O:$O,$B50,$P:$P,F$4)))</f>
        <v>131.62421486179454</v>
      </c>
      <c r="G50" s="48">
        <f>IF(OR($C50=0,AND($B50=2,$D50&lt;=2022)),SUMIFS('Program Inputs'!$I$21:$I$39,'Program Inputs'!$C$21:$C$39,'Bill Credit Rates'!$A50,'Program Inputs'!$D$21:$D$39,'Bill Credit Rates'!$B50,'Program Inputs'!$E$21:$E$39,'Bill Credit Rates'!G$4)*1000,G49*(1+SUMIFS($Q:$Q,$N:$N,$A50,$O:$O,$B50,$P:$P,G$4)))</f>
        <v>118.46179337561507</v>
      </c>
      <c r="H50" s="33">
        <f>SUMIFS('Program Inputs'!$F$21:$F$39,'Program Inputs'!$C$21:$C$39,'Bill Credit Rates'!$A50,'Program Inputs'!$D$21:$D$39,'Bill Credit Rates'!$B50,'Program Inputs'!$E$21:$E$39,'Bill Credit Rates'!E$4)</f>
        <v>0.4</v>
      </c>
      <c r="I50" s="33">
        <f>SUMIFS('Program Inputs'!$F$21:$F$39,'Program Inputs'!$C$21:$C$39,'Bill Credit Rates'!$A50,'Program Inputs'!$D$21:$D$39,'Bill Credit Rates'!$B50,'Program Inputs'!$E$21:$E$39,'Bill Credit Rates'!F$4)</f>
        <v>0.1</v>
      </c>
      <c r="J50" s="33">
        <f>SUMIFS('Program Inputs'!$F$21:$F$39,'Program Inputs'!$C$21:$C$39,'Bill Credit Rates'!$A50,'Program Inputs'!$D$21:$D$39,'Bill Credit Rates'!$B50,'Program Inputs'!$E$21:$E$39,'Bill Credit Rates'!G$4)</f>
        <v>0.45</v>
      </c>
      <c r="K50" s="48">
        <f t="shared" si="0"/>
        <v>119.11991444992405</v>
      </c>
    </row>
    <row r="51" spans="1:11">
      <c r="A51" s="48" t="s">
        <v>11</v>
      </c>
      <c r="B51" s="48">
        <v>2</v>
      </c>
      <c r="C51" s="48">
        <v>13</v>
      </c>
      <c r="D51" s="48">
        <v>2031</v>
      </c>
      <c r="E51" s="48">
        <f>IF(OR($C51=0,AND($B51=2,$D51&lt;=2022)),SUMIFS('Program Inputs'!$I$21:$I$39,'Program Inputs'!$C$21:$C$39,'Bill Credit Rates'!$A51,'Program Inputs'!$D$21:$D$39,'Bill Credit Rates'!$B51,'Program Inputs'!$E$21:$E$39,'Bill Credit Rates'!E$4)*1000,E50*(1+SUMIFS($Q:$Q,$N:$N,$A51,$O:$O,$B51,$P:$P,E$4)))</f>
        <v>134.25669915903043</v>
      </c>
      <c r="F51" s="48">
        <f>IF(OR($C51=0,AND($B51=2,$D51&lt;=2022)),SUMIFS('Program Inputs'!$I$21:$I$39,'Program Inputs'!$C$21:$C$39,'Bill Credit Rates'!$A51,'Program Inputs'!$D$21:$D$39,'Bill Credit Rates'!$B51,'Program Inputs'!$E$21:$E$39,'Bill Credit Rates'!F$4)*1000,F50*(1+SUMIFS($Q:$Q,$N:$N,$A51,$O:$O,$B51,$P:$P,F$4)))</f>
        <v>134.25669915903043</v>
      </c>
      <c r="G51" s="48">
        <f>IF(OR($C51=0,AND($B51=2,$D51&lt;=2022)),SUMIFS('Program Inputs'!$I$21:$I$39,'Program Inputs'!$C$21:$C$39,'Bill Credit Rates'!$A51,'Program Inputs'!$D$21:$D$39,'Bill Credit Rates'!$B51,'Program Inputs'!$E$21:$E$39,'Bill Credit Rates'!G$4)*1000,G50*(1+SUMIFS($Q:$Q,$N:$N,$A51,$O:$O,$B51,$P:$P,G$4)))</f>
        <v>120.83102924312738</v>
      </c>
      <c r="H51" s="33">
        <f>SUMIFS('Program Inputs'!$F$21:$F$39,'Program Inputs'!$C$21:$C$39,'Bill Credit Rates'!$A51,'Program Inputs'!$D$21:$D$39,'Bill Credit Rates'!$B51,'Program Inputs'!$E$21:$E$39,'Bill Credit Rates'!E$4)</f>
        <v>0.4</v>
      </c>
      <c r="I51" s="33">
        <f>SUMIFS('Program Inputs'!$F$21:$F$39,'Program Inputs'!$C$21:$C$39,'Bill Credit Rates'!$A51,'Program Inputs'!$D$21:$D$39,'Bill Credit Rates'!$B51,'Program Inputs'!$E$21:$E$39,'Bill Credit Rates'!F$4)</f>
        <v>0.1</v>
      </c>
      <c r="J51" s="33">
        <f>SUMIFS('Program Inputs'!$F$21:$F$39,'Program Inputs'!$C$21:$C$39,'Bill Credit Rates'!$A51,'Program Inputs'!$D$21:$D$39,'Bill Credit Rates'!$B51,'Program Inputs'!$E$21:$E$39,'Bill Credit Rates'!G$4)</f>
        <v>0.45</v>
      </c>
      <c r="K51" s="48">
        <f t="shared" si="0"/>
        <v>121.50231273892254</v>
      </c>
    </row>
    <row r="52" spans="1:11">
      <c r="A52" s="48" t="s">
        <v>11</v>
      </c>
      <c r="B52" s="48">
        <v>2</v>
      </c>
      <c r="C52" s="48">
        <v>14</v>
      </c>
      <c r="D52" s="48">
        <v>2032</v>
      </c>
      <c r="E52" s="48">
        <f>IF(OR($C52=0,AND($B52=2,$D52&lt;=2022)),SUMIFS('Program Inputs'!$I$21:$I$39,'Program Inputs'!$C$21:$C$39,'Bill Credit Rates'!$A52,'Program Inputs'!$D$21:$D$39,'Bill Credit Rates'!$B52,'Program Inputs'!$E$21:$E$39,'Bill Credit Rates'!E$4)*1000,E51*(1+SUMIFS($Q:$Q,$N:$N,$A52,$O:$O,$B52,$P:$P,E$4)))</f>
        <v>136.94183314221104</v>
      </c>
      <c r="F52" s="48">
        <f>IF(OR($C52=0,AND($B52=2,$D52&lt;=2022)),SUMIFS('Program Inputs'!$I$21:$I$39,'Program Inputs'!$C$21:$C$39,'Bill Credit Rates'!$A52,'Program Inputs'!$D$21:$D$39,'Bill Credit Rates'!$B52,'Program Inputs'!$E$21:$E$39,'Bill Credit Rates'!F$4)*1000,F51*(1+SUMIFS($Q:$Q,$N:$N,$A52,$O:$O,$B52,$P:$P,F$4)))</f>
        <v>136.94183314221104</v>
      </c>
      <c r="G52" s="48">
        <f>IF(OR($C52=0,AND($B52=2,$D52&lt;=2022)),SUMIFS('Program Inputs'!$I$21:$I$39,'Program Inputs'!$C$21:$C$39,'Bill Credit Rates'!$A52,'Program Inputs'!$D$21:$D$39,'Bill Credit Rates'!$B52,'Program Inputs'!$E$21:$E$39,'Bill Credit Rates'!G$4)*1000,G51*(1+SUMIFS($Q:$Q,$N:$N,$A52,$O:$O,$B52,$P:$P,G$4)))</f>
        <v>123.24764982798993</v>
      </c>
      <c r="H52" s="33">
        <f>SUMIFS('Program Inputs'!$F$21:$F$39,'Program Inputs'!$C$21:$C$39,'Bill Credit Rates'!$A52,'Program Inputs'!$D$21:$D$39,'Bill Credit Rates'!$B52,'Program Inputs'!$E$21:$E$39,'Bill Credit Rates'!E$4)</f>
        <v>0.4</v>
      </c>
      <c r="I52" s="33">
        <f>SUMIFS('Program Inputs'!$F$21:$F$39,'Program Inputs'!$C$21:$C$39,'Bill Credit Rates'!$A52,'Program Inputs'!$D$21:$D$39,'Bill Credit Rates'!$B52,'Program Inputs'!$E$21:$E$39,'Bill Credit Rates'!F$4)</f>
        <v>0.1</v>
      </c>
      <c r="J52" s="33">
        <f>SUMIFS('Program Inputs'!$F$21:$F$39,'Program Inputs'!$C$21:$C$39,'Bill Credit Rates'!$A52,'Program Inputs'!$D$21:$D$39,'Bill Credit Rates'!$B52,'Program Inputs'!$E$21:$E$39,'Bill Credit Rates'!G$4)</f>
        <v>0.45</v>
      </c>
      <c r="K52" s="48">
        <f t="shared" si="0"/>
        <v>123.93235899370099</v>
      </c>
    </row>
    <row r="53" spans="1:11">
      <c r="A53" s="48" t="s">
        <v>11</v>
      </c>
      <c r="B53" s="48">
        <v>2</v>
      </c>
      <c r="C53" s="48">
        <v>15</v>
      </c>
      <c r="D53" s="48">
        <v>2033</v>
      </c>
      <c r="E53" s="48">
        <f>IF(OR($C53=0,AND($B53=2,$D53&lt;=2022)),SUMIFS('Program Inputs'!$I$21:$I$39,'Program Inputs'!$C$21:$C$39,'Bill Credit Rates'!$A53,'Program Inputs'!$D$21:$D$39,'Bill Credit Rates'!$B53,'Program Inputs'!$E$21:$E$39,'Bill Credit Rates'!E$4)*1000,E52*(1+SUMIFS($Q:$Q,$N:$N,$A53,$O:$O,$B53,$P:$P,E$4)))</f>
        <v>139.68066980505526</v>
      </c>
      <c r="F53" s="48">
        <f>IF(OR($C53=0,AND($B53=2,$D53&lt;=2022)),SUMIFS('Program Inputs'!$I$21:$I$39,'Program Inputs'!$C$21:$C$39,'Bill Credit Rates'!$A53,'Program Inputs'!$D$21:$D$39,'Bill Credit Rates'!$B53,'Program Inputs'!$E$21:$E$39,'Bill Credit Rates'!F$4)*1000,F52*(1+SUMIFS($Q:$Q,$N:$N,$A53,$O:$O,$B53,$P:$P,F$4)))</f>
        <v>139.68066980505526</v>
      </c>
      <c r="G53" s="48">
        <f>IF(OR($C53=0,AND($B53=2,$D53&lt;=2022)),SUMIFS('Program Inputs'!$I$21:$I$39,'Program Inputs'!$C$21:$C$39,'Bill Credit Rates'!$A53,'Program Inputs'!$D$21:$D$39,'Bill Credit Rates'!$B53,'Program Inputs'!$E$21:$E$39,'Bill Credit Rates'!G$4)*1000,G52*(1+SUMIFS($Q:$Q,$N:$N,$A53,$O:$O,$B53,$P:$P,G$4)))</f>
        <v>125.71260282454973</v>
      </c>
      <c r="H53" s="33">
        <f>SUMIFS('Program Inputs'!$F$21:$F$39,'Program Inputs'!$C$21:$C$39,'Bill Credit Rates'!$A53,'Program Inputs'!$D$21:$D$39,'Bill Credit Rates'!$B53,'Program Inputs'!$E$21:$E$39,'Bill Credit Rates'!E$4)</f>
        <v>0.4</v>
      </c>
      <c r="I53" s="33">
        <f>SUMIFS('Program Inputs'!$F$21:$F$39,'Program Inputs'!$C$21:$C$39,'Bill Credit Rates'!$A53,'Program Inputs'!$D$21:$D$39,'Bill Credit Rates'!$B53,'Program Inputs'!$E$21:$E$39,'Bill Credit Rates'!F$4)</f>
        <v>0.1</v>
      </c>
      <c r="J53" s="33">
        <f>SUMIFS('Program Inputs'!$F$21:$F$39,'Program Inputs'!$C$21:$C$39,'Bill Credit Rates'!$A53,'Program Inputs'!$D$21:$D$39,'Bill Credit Rates'!$B53,'Program Inputs'!$E$21:$E$39,'Bill Credit Rates'!G$4)</f>
        <v>0.45</v>
      </c>
      <c r="K53" s="48">
        <f t="shared" si="0"/>
        <v>126.411006173575</v>
      </c>
    </row>
    <row r="54" spans="1:11">
      <c r="A54" s="48" t="s">
        <v>11</v>
      </c>
      <c r="B54" s="48">
        <v>2</v>
      </c>
      <c r="C54" s="48">
        <v>16</v>
      </c>
      <c r="D54" s="48">
        <v>2034</v>
      </c>
      <c r="E54" s="48">
        <f>IF(OR($C54=0,AND($B54=2,$D54&lt;=2022)),SUMIFS('Program Inputs'!$I$21:$I$39,'Program Inputs'!$C$21:$C$39,'Bill Credit Rates'!$A54,'Program Inputs'!$D$21:$D$39,'Bill Credit Rates'!$B54,'Program Inputs'!$E$21:$E$39,'Bill Credit Rates'!E$4)*1000,E53*(1+SUMIFS($Q:$Q,$N:$N,$A54,$O:$O,$B54,$P:$P,E$4)))</f>
        <v>142.47428320115637</v>
      </c>
      <c r="F54" s="48">
        <f>IF(OR($C54=0,AND($B54=2,$D54&lt;=2022)),SUMIFS('Program Inputs'!$I$21:$I$39,'Program Inputs'!$C$21:$C$39,'Bill Credit Rates'!$A54,'Program Inputs'!$D$21:$D$39,'Bill Credit Rates'!$B54,'Program Inputs'!$E$21:$E$39,'Bill Credit Rates'!F$4)*1000,F53*(1+SUMIFS($Q:$Q,$N:$N,$A54,$O:$O,$B54,$P:$P,F$4)))</f>
        <v>142.47428320115637</v>
      </c>
      <c r="G54" s="48">
        <f>IF(OR($C54=0,AND($B54=2,$D54&lt;=2022)),SUMIFS('Program Inputs'!$I$21:$I$39,'Program Inputs'!$C$21:$C$39,'Bill Credit Rates'!$A54,'Program Inputs'!$D$21:$D$39,'Bill Credit Rates'!$B54,'Program Inputs'!$E$21:$E$39,'Bill Credit Rates'!G$4)*1000,G53*(1+SUMIFS($Q:$Q,$N:$N,$A54,$O:$O,$B54,$P:$P,G$4)))</f>
        <v>128.22685488104074</v>
      </c>
      <c r="H54" s="33">
        <f>SUMIFS('Program Inputs'!$F$21:$F$39,'Program Inputs'!$C$21:$C$39,'Bill Credit Rates'!$A54,'Program Inputs'!$D$21:$D$39,'Bill Credit Rates'!$B54,'Program Inputs'!$E$21:$E$39,'Bill Credit Rates'!E$4)</f>
        <v>0.4</v>
      </c>
      <c r="I54" s="33">
        <f>SUMIFS('Program Inputs'!$F$21:$F$39,'Program Inputs'!$C$21:$C$39,'Bill Credit Rates'!$A54,'Program Inputs'!$D$21:$D$39,'Bill Credit Rates'!$B54,'Program Inputs'!$E$21:$E$39,'Bill Credit Rates'!F$4)</f>
        <v>0.1</v>
      </c>
      <c r="J54" s="33">
        <f>SUMIFS('Program Inputs'!$F$21:$F$39,'Program Inputs'!$C$21:$C$39,'Bill Credit Rates'!$A54,'Program Inputs'!$D$21:$D$39,'Bill Credit Rates'!$B54,'Program Inputs'!$E$21:$E$39,'Bill Credit Rates'!G$4)</f>
        <v>0.45</v>
      </c>
      <c r="K54" s="48">
        <f t="shared" si="0"/>
        <v>128.9392262970465</v>
      </c>
    </row>
    <row r="55" spans="1:11">
      <c r="A55" s="48" t="s">
        <v>11</v>
      </c>
      <c r="B55" s="48">
        <v>2</v>
      </c>
      <c r="C55" s="48">
        <v>17</v>
      </c>
      <c r="D55" s="48">
        <v>2035</v>
      </c>
      <c r="E55" s="48">
        <f>IF(OR($C55=0,AND($B55=2,$D55&lt;=2022)),SUMIFS('Program Inputs'!$I$21:$I$39,'Program Inputs'!$C$21:$C$39,'Bill Credit Rates'!$A55,'Program Inputs'!$D$21:$D$39,'Bill Credit Rates'!$B55,'Program Inputs'!$E$21:$E$39,'Bill Credit Rates'!E$4)*1000,E54*(1+SUMIFS($Q:$Q,$N:$N,$A55,$O:$O,$B55,$P:$P,E$4)))</f>
        <v>145.32376886517949</v>
      </c>
      <c r="F55" s="48">
        <f>IF(OR($C55=0,AND($B55=2,$D55&lt;=2022)),SUMIFS('Program Inputs'!$I$21:$I$39,'Program Inputs'!$C$21:$C$39,'Bill Credit Rates'!$A55,'Program Inputs'!$D$21:$D$39,'Bill Credit Rates'!$B55,'Program Inputs'!$E$21:$E$39,'Bill Credit Rates'!F$4)*1000,F54*(1+SUMIFS($Q:$Q,$N:$N,$A55,$O:$O,$B55,$P:$P,F$4)))</f>
        <v>145.32376886517949</v>
      </c>
      <c r="G55" s="48">
        <f>IF(OR($C55=0,AND($B55=2,$D55&lt;=2022)),SUMIFS('Program Inputs'!$I$21:$I$39,'Program Inputs'!$C$21:$C$39,'Bill Credit Rates'!$A55,'Program Inputs'!$D$21:$D$39,'Bill Credit Rates'!$B55,'Program Inputs'!$E$21:$E$39,'Bill Credit Rates'!G$4)*1000,G54*(1+SUMIFS($Q:$Q,$N:$N,$A55,$O:$O,$B55,$P:$P,G$4)))</f>
        <v>130.79139197866155</v>
      </c>
      <c r="H55" s="33">
        <f>SUMIFS('Program Inputs'!$F$21:$F$39,'Program Inputs'!$C$21:$C$39,'Bill Credit Rates'!$A55,'Program Inputs'!$D$21:$D$39,'Bill Credit Rates'!$B55,'Program Inputs'!$E$21:$E$39,'Bill Credit Rates'!E$4)</f>
        <v>0.4</v>
      </c>
      <c r="I55" s="33">
        <f>SUMIFS('Program Inputs'!$F$21:$F$39,'Program Inputs'!$C$21:$C$39,'Bill Credit Rates'!$A55,'Program Inputs'!$D$21:$D$39,'Bill Credit Rates'!$B55,'Program Inputs'!$E$21:$E$39,'Bill Credit Rates'!F$4)</f>
        <v>0.1</v>
      </c>
      <c r="J55" s="33">
        <f>SUMIFS('Program Inputs'!$F$21:$F$39,'Program Inputs'!$C$21:$C$39,'Bill Credit Rates'!$A55,'Program Inputs'!$D$21:$D$39,'Bill Credit Rates'!$B55,'Program Inputs'!$E$21:$E$39,'Bill Credit Rates'!G$4)</f>
        <v>0.45</v>
      </c>
      <c r="K55" s="48">
        <f t="shared" si="0"/>
        <v>131.51801082298743</v>
      </c>
    </row>
    <row r="56" spans="1:11">
      <c r="A56" s="48" t="s">
        <v>11</v>
      </c>
      <c r="B56" s="48">
        <v>2</v>
      </c>
      <c r="C56" s="48">
        <v>18</v>
      </c>
      <c r="D56" s="48">
        <v>2036</v>
      </c>
      <c r="E56" s="48">
        <f>IF(OR($C56=0,AND($B56=2,$D56&lt;=2022)),SUMIFS('Program Inputs'!$I$21:$I$39,'Program Inputs'!$C$21:$C$39,'Bill Credit Rates'!$A56,'Program Inputs'!$D$21:$D$39,'Bill Credit Rates'!$B56,'Program Inputs'!$E$21:$E$39,'Bill Credit Rates'!E$4)*1000,E55*(1+SUMIFS($Q:$Q,$N:$N,$A56,$O:$O,$B56,$P:$P,E$4)))</f>
        <v>148.23024424248308</v>
      </c>
      <c r="F56" s="48">
        <f>IF(OR($C56=0,AND($B56=2,$D56&lt;=2022)),SUMIFS('Program Inputs'!$I$21:$I$39,'Program Inputs'!$C$21:$C$39,'Bill Credit Rates'!$A56,'Program Inputs'!$D$21:$D$39,'Bill Credit Rates'!$B56,'Program Inputs'!$E$21:$E$39,'Bill Credit Rates'!F$4)*1000,F55*(1+SUMIFS($Q:$Q,$N:$N,$A56,$O:$O,$B56,$P:$P,F$4)))</f>
        <v>148.23024424248308</v>
      </c>
      <c r="G56" s="48">
        <f>IF(OR($C56=0,AND($B56=2,$D56&lt;=2022)),SUMIFS('Program Inputs'!$I$21:$I$39,'Program Inputs'!$C$21:$C$39,'Bill Credit Rates'!$A56,'Program Inputs'!$D$21:$D$39,'Bill Credit Rates'!$B56,'Program Inputs'!$E$21:$E$39,'Bill Credit Rates'!G$4)*1000,G55*(1+SUMIFS($Q:$Q,$N:$N,$A56,$O:$O,$B56,$P:$P,G$4)))</f>
        <v>133.40721981823478</v>
      </c>
      <c r="H56" s="33">
        <f>SUMIFS('Program Inputs'!$F$21:$F$39,'Program Inputs'!$C$21:$C$39,'Bill Credit Rates'!$A56,'Program Inputs'!$D$21:$D$39,'Bill Credit Rates'!$B56,'Program Inputs'!$E$21:$E$39,'Bill Credit Rates'!E$4)</f>
        <v>0.4</v>
      </c>
      <c r="I56" s="33">
        <f>SUMIFS('Program Inputs'!$F$21:$F$39,'Program Inputs'!$C$21:$C$39,'Bill Credit Rates'!$A56,'Program Inputs'!$D$21:$D$39,'Bill Credit Rates'!$B56,'Program Inputs'!$E$21:$E$39,'Bill Credit Rates'!F$4)</f>
        <v>0.1</v>
      </c>
      <c r="J56" s="33">
        <f>SUMIFS('Program Inputs'!$F$21:$F$39,'Program Inputs'!$C$21:$C$39,'Bill Credit Rates'!$A56,'Program Inputs'!$D$21:$D$39,'Bill Credit Rates'!$B56,'Program Inputs'!$E$21:$E$39,'Bill Credit Rates'!G$4)</f>
        <v>0.45</v>
      </c>
      <c r="K56" s="48">
        <f t="shared" si="0"/>
        <v>134.1483710394472</v>
      </c>
    </row>
    <row r="57" spans="1:11">
      <c r="A57" s="48" t="s">
        <v>11</v>
      </c>
      <c r="B57" s="48">
        <v>2</v>
      </c>
      <c r="C57" s="48">
        <v>19</v>
      </c>
      <c r="D57" s="48">
        <v>2037</v>
      </c>
      <c r="E57" s="48">
        <f>IF(OR($C57=0,AND($B57=2,$D57&lt;=2022)),SUMIFS('Program Inputs'!$I$21:$I$39,'Program Inputs'!$C$21:$C$39,'Bill Credit Rates'!$A57,'Program Inputs'!$D$21:$D$39,'Bill Credit Rates'!$B57,'Program Inputs'!$E$21:$E$39,'Bill Credit Rates'!E$4)*1000,E56*(1+SUMIFS($Q:$Q,$N:$N,$A57,$O:$O,$B57,$P:$P,E$4)))</f>
        <v>151.19484912733276</v>
      </c>
      <c r="F57" s="48">
        <f>IF(OR($C57=0,AND($B57=2,$D57&lt;=2022)),SUMIFS('Program Inputs'!$I$21:$I$39,'Program Inputs'!$C$21:$C$39,'Bill Credit Rates'!$A57,'Program Inputs'!$D$21:$D$39,'Bill Credit Rates'!$B57,'Program Inputs'!$E$21:$E$39,'Bill Credit Rates'!F$4)*1000,F56*(1+SUMIFS($Q:$Q,$N:$N,$A57,$O:$O,$B57,$P:$P,F$4)))</f>
        <v>151.19484912733276</v>
      </c>
      <c r="G57" s="48">
        <f>IF(OR($C57=0,AND($B57=2,$D57&lt;=2022)),SUMIFS('Program Inputs'!$I$21:$I$39,'Program Inputs'!$C$21:$C$39,'Bill Credit Rates'!$A57,'Program Inputs'!$D$21:$D$39,'Bill Credit Rates'!$B57,'Program Inputs'!$E$21:$E$39,'Bill Credit Rates'!G$4)*1000,G56*(1+SUMIFS($Q:$Q,$N:$N,$A57,$O:$O,$B57,$P:$P,G$4)))</f>
        <v>136.07536421459949</v>
      </c>
      <c r="H57" s="33">
        <f>SUMIFS('Program Inputs'!$F$21:$F$39,'Program Inputs'!$C$21:$C$39,'Bill Credit Rates'!$A57,'Program Inputs'!$D$21:$D$39,'Bill Credit Rates'!$B57,'Program Inputs'!$E$21:$E$39,'Bill Credit Rates'!E$4)</f>
        <v>0.4</v>
      </c>
      <c r="I57" s="33">
        <f>SUMIFS('Program Inputs'!$F$21:$F$39,'Program Inputs'!$C$21:$C$39,'Bill Credit Rates'!$A57,'Program Inputs'!$D$21:$D$39,'Bill Credit Rates'!$B57,'Program Inputs'!$E$21:$E$39,'Bill Credit Rates'!F$4)</f>
        <v>0.1</v>
      </c>
      <c r="J57" s="33">
        <f>SUMIFS('Program Inputs'!$F$21:$F$39,'Program Inputs'!$C$21:$C$39,'Bill Credit Rates'!$A57,'Program Inputs'!$D$21:$D$39,'Bill Credit Rates'!$B57,'Program Inputs'!$E$21:$E$39,'Bill Credit Rates'!G$4)</f>
        <v>0.45</v>
      </c>
      <c r="K57" s="48">
        <f t="shared" si="0"/>
        <v>136.83133846023617</v>
      </c>
    </row>
    <row r="58" spans="1:11">
      <c r="A58" s="48" t="s">
        <v>11</v>
      </c>
      <c r="B58" s="48">
        <v>2</v>
      </c>
      <c r="C58" s="48">
        <v>20</v>
      </c>
      <c r="D58" s="48">
        <v>2038</v>
      </c>
      <c r="E58" s="48">
        <f>IF(OR($C58=0,AND($B58=2,$D58&lt;=2022)),SUMIFS('Program Inputs'!$I$21:$I$39,'Program Inputs'!$C$21:$C$39,'Bill Credit Rates'!$A58,'Program Inputs'!$D$21:$D$39,'Bill Credit Rates'!$B58,'Program Inputs'!$E$21:$E$39,'Bill Credit Rates'!E$4)*1000,E57*(1+SUMIFS($Q:$Q,$N:$N,$A58,$O:$O,$B58,$P:$P,E$4)))</f>
        <v>154.21874610987942</v>
      </c>
      <c r="F58" s="48">
        <f>IF(OR($C58=0,AND($B58=2,$D58&lt;=2022)),SUMIFS('Program Inputs'!$I$21:$I$39,'Program Inputs'!$C$21:$C$39,'Bill Credit Rates'!$A58,'Program Inputs'!$D$21:$D$39,'Bill Credit Rates'!$B58,'Program Inputs'!$E$21:$E$39,'Bill Credit Rates'!F$4)*1000,F57*(1+SUMIFS($Q:$Q,$N:$N,$A58,$O:$O,$B58,$P:$P,F$4)))</f>
        <v>154.21874610987942</v>
      </c>
      <c r="G58" s="48">
        <f>IF(OR($C58=0,AND($B58=2,$D58&lt;=2022)),SUMIFS('Program Inputs'!$I$21:$I$39,'Program Inputs'!$C$21:$C$39,'Bill Credit Rates'!$A58,'Program Inputs'!$D$21:$D$39,'Bill Credit Rates'!$B58,'Program Inputs'!$E$21:$E$39,'Bill Credit Rates'!G$4)*1000,G57*(1+SUMIFS($Q:$Q,$N:$N,$A58,$O:$O,$B58,$P:$P,G$4)))</f>
        <v>138.79687149889148</v>
      </c>
      <c r="H58" s="33">
        <f>SUMIFS('Program Inputs'!$F$21:$F$39,'Program Inputs'!$C$21:$C$39,'Bill Credit Rates'!$A58,'Program Inputs'!$D$21:$D$39,'Bill Credit Rates'!$B58,'Program Inputs'!$E$21:$E$39,'Bill Credit Rates'!E$4)</f>
        <v>0.4</v>
      </c>
      <c r="I58" s="33">
        <f>SUMIFS('Program Inputs'!$F$21:$F$39,'Program Inputs'!$C$21:$C$39,'Bill Credit Rates'!$A58,'Program Inputs'!$D$21:$D$39,'Bill Credit Rates'!$B58,'Program Inputs'!$E$21:$E$39,'Bill Credit Rates'!F$4)</f>
        <v>0.1</v>
      </c>
      <c r="J58" s="33">
        <f>SUMIFS('Program Inputs'!$F$21:$F$39,'Program Inputs'!$C$21:$C$39,'Bill Credit Rates'!$A58,'Program Inputs'!$D$21:$D$39,'Bill Credit Rates'!$B58,'Program Inputs'!$E$21:$E$39,'Bill Credit Rates'!G$4)</f>
        <v>0.45</v>
      </c>
      <c r="K58" s="48">
        <f t="shared" si="0"/>
        <v>139.56796522944086</v>
      </c>
    </row>
    <row r="59" spans="1:11">
      <c r="A59" s="48" t="s">
        <v>11</v>
      </c>
      <c r="B59" s="48">
        <v>2</v>
      </c>
      <c r="C59" s="48">
        <v>21</v>
      </c>
      <c r="D59" s="48">
        <v>2039</v>
      </c>
      <c r="E59" s="48">
        <f>IF(OR($C59=0,AND($B59=2,$D59&lt;=2022)),SUMIFS('Program Inputs'!$I$21:$I$39,'Program Inputs'!$C$21:$C$39,'Bill Credit Rates'!$A59,'Program Inputs'!$D$21:$D$39,'Bill Credit Rates'!$B59,'Program Inputs'!$E$21:$E$39,'Bill Credit Rates'!E$4)*1000,E58*(1+SUMIFS($Q:$Q,$N:$N,$A59,$O:$O,$B59,$P:$P,E$4)))</f>
        <v>157.303121032077</v>
      </c>
      <c r="F59" s="48">
        <f>IF(OR($C59=0,AND($B59=2,$D59&lt;=2022)),SUMIFS('Program Inputs'!$I$21:$I$39,'Program Inputs'!$C$21:$C$39,'Bill Credit Rates'!$A59,'Program Inputs'!$D$21:$D$39,'Bill Credit Rates'!$B59,'Program Inputs'!$E$21:$E$39,'Bill Credit Rates'!F$4)*1000,F58*(1+SUMIFS($Q:$Q,$N:$N,$A59,$O:$O,$B59,$P:$P,F$4)))</f>
        <v>157.303121032077</v>
      </c>
      <c r="G59" s="48">
        <f>IF(OR($C59=0,AND($B59=2,$D59&lt;=2022)),SUMIFS('Program Inputs'!$I$21:$I$39,'Program Inputs'!$C$21:$C$39,'Bill Credit Rates'!$A59,'Program Inputs'!$D$21:$D$39,'Bill Credit Rates'!$B59,'Program Inputs'!$E$21:$E$39,'Bill Credit Rates'!G$4)*1000,G58*(1+SUMIFS($Q:$Q,$N:$N,$A59,$O:$O,$B59,$P:$P,G$4)))</f>
        <v>141.57280892886931</v>
      </c>
      <c r="H59" s="33">
        <f>SUMIFS('Program Inputs'!$F$21:$F$39,'Program Inputs'!$C$21:$C$39,'Bill Credit Rates'!$A59,'Program Inputs'!$D$21:$D$39,'Bill Credit Rates'!$B59,'Program Inputs'!$E$21:$E$39,'Bill Credit Rates'!E$4)</f>
        <v>0.4</v>
      </c>
      <c r="I59" s="33">
        <f>SUMIFS('Program Inputs'!$F$21:$F$39,'Program Inputs'!$C$21:$C$39,'Bill Credit Rates'!$A59,'Program Inputs'!$D$21:$D$39,'Bill Credit Rates'!$B59,'Program Inputs'!$E$21:$E$39,'Bill Credit Rates'!F$4)</f>
        <v>0.1</v>
      </c>
      <c r="J59" s="33">
        <f>SUMIFS('Program Inputs'!$F$21:$F$39,'Program Inputs'!$C$21:$C$39,'Bill Credit Rates'!$A59,'Program Inputs'!$D$21:$D$39,'Bill Credit Rates'!$B59,'Program Inputs'!$E$21:$E$39,'Bill Credit Rates'!G$4)</f>
        <v>0.45</v>
      </c>
      <c r="K59" s="48">
        <f t="shared" ref="K59:K63" si="3">E59*H59+F59*I59+G59*J59</f>
        <v>142.3593245340297</v>
      </c>
    </row>
    <row r="60" spans="1:11">
      <c r="A60" s="48" t="s">
        <v>11</v>
      </c>
      <c r="B60" s="48">
        <v>2</v>
      </c>
      <c r="C60" s="48">
        <v>22</v>
      </c>
      <c r="D60" s="48">
        <v>2040</v>
      </c>
      <c r="E60" s="48">
        <f>IF(OR($C60=0,AND($B60=2,$D60&lt;=2022)),SUMIFS('Program Inputs'!$I$21:$I$39,'Program Inputs'!$C$21:$C$39,'Bill Credit Rates'!$A60,'Program Inputs'!$D$21:$D$39,'Bill Credit Rates'!$B60,'Program Inputs'!$E$21:$E$39,'Bill Credit Rates'!E$4)*1000,E59*(1+SUMIFS($Q:$Q,$N:$N,$A60,$O:$O,$B60,$P:$P,E$4)))</f>
        <v>160.44918345271856</v>
      </c>
      <c r="F60" s="48">
        <f>IF(OR($C60=0,AND($B60=2,$D60&lt;=2022)),SUMIFS('Program Inputs'!$I$21:$I$39,'Program Inputs'!$C$21:$C$39,'Bill Credit Rates'!$A60,'Program Inputs'!$D$21:$D$39,'Bill Credit Rates'!$B60,'Program Inputs'!$E$21:$E$39,'Bill Credit Rates'!F$4)*1000,F59*(1+SUMIFS($Q:$Q,$N:$N,$A60,$O:$O,$B60,$P:$P,F$4)))</f>
        <v>160.44918345271856</v>
      </c>
      <c r="G60" s="48">
        <f>IF(OR($C60=0,AND($B60=2,$D60&lt;=2022)),SUMIFS('Program Inputs'!$I$21:$I$39,'Program Inputs'!$C$21:$C$39,'Bill Credit Rates'!$A60,'Program Inputs'!$D$21:$D$39,'Bill Credit Rates'!$B60,'Program Inputs'!$E$21:$E$39,'Bill Credit Rates'!G$4)*1000,G59*(1+SUMIFS($Q:$Q,$N:$N,$A60,$O:$O,$B60,$P:$P,G$4)))</f>
        <v>144.40426510744669</v>
      </c>
      <c r="H60" s="33">
        <f>SUMIFS('Program Inputs'!$F$21:$F$39,'Program Inputs'!$C$21:$C$39,'Bill Credit Rates'!$A60,'Program Inputs'!$D$21:$D$39,'Bill Credit Rates'!$B60,'Program Inputs'!$E$21:$E$39,'Bill Credit Rates'!E$4)</f>
        <v>0.4</v>
      </c>
      <c r="I60" s="33">
        <f>SUMIFS('Program Inputs'!$F$21:$F$39,'Program Inputs'!$C$21:$C$39,'Bill Credit Rates'!$A60,'Program Inputs'!$D$21:$D$39,'Bill Credit Rates'!$B60,'Program Inputs'!$E$21:$E$39,'Bill Credit Rates'!F$4)</f>
        <v>0.1</v>
      </c>
      <c r="J60" s="33">
        <f>SUMIFS('Program Inputs'!$F$21:$F$39,'Program Inputs'!$C$21:$C$39,'Bill Credit Rates'!$A60,'Program Inputs'!$D$21:$D$39,'Bill Credit Rates'!$B60,'Program Inputs'!$E$21:$E$39,'Bill Credit Rates'!G$4)</f>
        <v>0.45</v>
      </c>
      <c r="K60" s="48">
        <f t="shared" si="3"/>
        <v>145.2065110247103</v>
      </c>
    </row>
    <row r="61" spans="1:11">
      <c r="A61" s="48" t="s">
        <v>11</v>
      </c>
      <c r="B61" s="48">
        <v>2</v>
      </c>
      <c r="C61" s="48">
        <v>23</v>
      </c>
      <c r="D61" s="48">
        <v>2041</v>
      </c>
      <c r="E61" s="48">
        <f>IF(OR($C61=0,AND($B61=2,$D61&lt;=2022)),SUMIFS('Program Inputs'!$I$21:$I$39,'Program Inputs'!$C$21:$C$39,'Bill Credit Rates'!$A61,'Program Inputs'!$D$21:$D$39,'Bill Credit Rates'!$B61,'Program Inputs'!$E$21:$E$39,'Bill Credit Rates'!E$4)*1000,E60*(1+SUMIFS($Q:$Q,$N:$N,$A61,$O:$O,$B61,$P:$P,E$4)))</f>
        <v>163.65816712177292</v>
      </c>
      <c r="F61" s="48">
        <f>IF(OR($C61=0,AND($B61=2,$D61&lt;=2022)),SUMIFS('Program Inputs'!$I$21:$I$39,'Program Inputs'!$C$21:$C$39,'Bill Credit Rates'!$A61,'Program Inputs'!$D$21:$D$39,'Bill Credit Rates'!$B61,'Program Inputs'!$E$21:$E$39,'Bill Credit Rates'!F$4)*1000,F60*(1+SUMIFS($Q:$Q,$N:$N,$A61,$O:$O,$B61,$P:$P,F$4)))</f>
        <v>163.65816712177292</v>
      </c>
      <c r="G61" s="48">
        <f>IF(OR($C61=0,AND($B61=2,$D61&lt;=2022)),SUMIFS('Program Inputs'!$I$21:$I$39,'Program Inputs'!$C$21:$C$39,'Bill Credit Rates'!$A61,'Program Inputs'!$D$21:$D$39,'Bill Credit Rates'!$B61,'Program Inputs'!$E$21:$E$39,'Bill Credit Rates'!G$4)*1000,G60*(1+SUMIFS($Q:$Q,$N:$N,$A61,$O:$O,$B61,$P:$P,G$4)))</f>
        <v>147.29235040959563</v>
      </c>
      <c r="H61" s="33">
        <f>SUMIFS('Program Inputs'!$F$21:$F$39,'Program Inputs'!$C$21:$C$39,'Bill Credit Rates'!$A61,'Program Inputs'!$D$21:$D$39,'Bill Credit Rates'!$B61,'Program Inputs'!$E$21:$E$39,'Bill Credit Rates'!E$4)</f>
        <v>0.4</v>
      </c>
      <c r="I61" s="33">
        <f>SUMIFS('Program Inputs'!$F$21:$F$39,'Program Inputs'!$C$21:$C$39,'Bill Credit Rates'!$A61,'Program Inputs'!$D$21:$D$39,'Bill Credit Rates'!$B61,'Program Inputs'!$E$21:$E$39,'Bill Credit Rates'!F$4)</f>
        <v>0.1</v>
      </c>
      <c r="J61" s="33">
        <f>SUMIFS('Program Inputs'!$F$21:$F$39,'Program Inputs'!$C$21:$C$39,'Bill Credit Rates'!$A61,'Program Inputs'!$D$21:$D$39,'Bill Credit Rates'!$B61,'Program Inputs'!$E$21:$E$39,'Bill Credit Rates'!G$4)</f>
        <v>0.45</v>
      </c>
      <c r="K61" s="48">
        <f t="shared" si="3"/>
        <v>148.11064124520448</v>
      </c>
    </row>
    <row r="62" spans="1:11">
      <c r="A62" s="48" t="s">
        <v>11</v>
      </c>
      <c r="B62" s="48">
        <v>2</v>
      </c>
      <c r="C62" s="48">
        <v>24</v>
      </c>
      <c r="D62" s="48">
        <v>2042</v>
      </c>
      <c r="E62" s="48">
        <f>IF(OR($C62=0,AND($B62=2,$D62&lt;=2022)),SUMIFS('Program Inputs'!$I$21:$I$39,'Program Inputs'!$C$21:$C$39,'Bill Credit Rates'!$A62,'Program Inputs'!$D$21:$D$39,'Bill Credit Rates'!$B62,'Program Inputs'!$E$21:$E$39,'Bill Credit Rates'!E$4)*1000,E61*(1+SUMIFS($Q:$Q,$N:$N,$A62,$O:$O,$B62,$P:$P,E$4)))</f>
        <v>166.93133046420837</v>
      </c>
      <c r="F62" s="48">
        <f>IF(OR($C62=0,AND($B62=2,$D62&lt;=2022)),SUMIFS('Program Inputs'!$I$21:$I$39,'Program Inputs'!$C$21:$C$39,'Bill Credit Rates'!$A62,'Program Inputs'!$D$21:$D$39,'Bill Credit Rates'!$B62,'Program Inputs'!$E$21:$E$39,'Bill Credit Rates'!F$4)*1000,F61*(1+SUMIFS($Q:$Q,$N:$N,$A62,$O:$O,$B62,$P:$P,F$4)))</f>
        <v>166.93133046420837</v>
      </c>
      <c r="G62" s="48">
        <f>IF(OR($C62=0,AND($B62=2,$D62&lt;=2022)),SUMIFS('Program Inputs'!$I$21:$I$39,'Program Inputs'!$C$21:$C$39,'Bill Credit Rates'!$A62,'Program Inputs'!$D$21:$D$39,'Bill Credit Rates'!$B62,'Program Inputs'!$E$21:$E$39,'Bill Credit Rates'!G$4)*1000,G61*(1+SUMIFS($Q:$Q,$N:$N,$A62,$O:$O,$B62,$P:$P,G$4)))</f>
        <v>150.23819741778755</v>
      </c>
      <c r="H62" s="33">
        <f>SUMIFS('Program Inputs'!$F$21:$F$39,'Program Inputs'!$C$21:$C$39,'Bill Credit Rates'!$A62,'Program Inputs'!$D$21:$D$39,'Bill Credit Rates'!$B62,'Program Inputs'!$E$21:$E$39,'Bill Credit Rates'!E$4)</f>
        <v>0.4</v>
      </c>
      <c r="I62" s="33">
        <f>SUMIFS('Program Inputs'!$F$21:$F$39,'Program Inputs'!$C$21:$C$39,'Bill Credit Rates'!$A62,'Program Inputs'!$D$21:$D$39,'Bill Credit Rates'!$B62,'Program Inputs'!$E$21:$E$39,'Bill Credit Rates'!F$4)</f>
        <v>0.1</v>
      </c>
      <c r="J62" s="33">
        <f>SUMIFS('Program Inputs'!$F$21:$F$39,'Program Inputs'!$C$21:$C$39,'Bill Credit Rates'!$A62,'Program Inputs'!$D$21:$D$39,'Bill Credit Rates'!$B62,'Program Inputs'!$E$21:$E$39,'Bill Credit Rates'!G$4)</f>
        <v>0.45</v>
      </c>
      <c r="K62" s="48">
        <f t="shared" si="3"/>
        <v>151.07285407010858</v>
      </c>
    </row>
    <row r="63" spans="1:11">
      <c r="A63" s="48" t="s">
        <v>11</v>
      </c>
      <c r="B63" s="48">
        <v>2</v>
      </c>
      <c r="C63" s="48">
        <v>25</v>
      </c>
      <c r="D63" s="48">
        <v>2043</v>
      </c>
      <c r="E63" s="48">
        <f>IF(OR($C63=0,AND($B63=2,$D63&lt;=2022)),SUMIFS('Program Inputs'!$I$21:$I$39,'Program Inputs'!$C$21:$C$39,'Bill Credit Rates'!$A63,'Program Inputs'!$D$21:$D$39,'Bill Credit Rates'!$B63,'Program Inputs'!$E$21:$E$39,'Bill Credit Rates'!E$4)*1000,E62*(1+SUMIFS($Q:$Q,$N:$N,$A63,$O:$O,$B63,$P:$P,E$4)))</f>
        <v>170.26995707349255</v>
      </c>
      <c r="F63" s="48">
        <f>IF(OR($C63=0,AND($B63=2,$D63&lt;=2022)),SUMIFS('Program Inputs'!$I$21:$I$39,'Program Inputs'!$C$21:$C$39,'Bill Credit Rates'!$A63,'Program Inputs'!$D$21:$D$39,'Bill Credit Rates'!$B63,'Program Inputs'!$E$21:$E$39,'Bill Credit Rates'!F$4)*1000,F62*(1+SUMIFS($Q:$Q,$N:$N,$A63,$O:$O,$B63,$P:$P,F$4)))</f>
        <v>170.26995707349255</v>
      </c>
      <c r="G63" s="48">
        <f>IF(OR($C63=0,AND($B63=2,$D63&lt;=2022)),SUMIFS('Program Inputs'!$I$21:$I$39,'Program Inputs'!$C$21:$C$39,'Bill Credit Rates'!$A63,'Program Inputs'!$D$21:$D$39,'Bill Credit Rates'!$B63,'Program Inputs'!$E$21:$E$39,'Bill Credit Rates'!G$4)*1000,G62*(1+SUMIFS($Q:$Q,$N:$N,$A63,$O:$O,$B63,$P:$P,G$4)))</f>
        <v>153.24296136614331</v>
      </c>
      <c r="H63" s="33">
        <f>SUMIFS('Program Inputs'!$F$21:$F$39,'Program Inputs'!$C$21:$C$39,'Bill Credit Rates'!$A63,'Program Inputs'!$D$21:$D$39,'Bill Credit Rates'!$B63,'Program Inputs'!$E$21:$E$39,'Bill Credit Rates'!E$4)</f>
        <v>0.4</v>
      </c>
      <c r="I63" s="33">
        <f>SUMIFS('Program Inputs'!$F$21:$F$39,'Program Inputs'!$C$21:$C$39,'Bill Credit Rates'!$A63,'Program Inputs'!$D$21:$D$39,'Bill Credit Rates'!$B63,'Program Inputs'!$E$21:$E$39,'Bill Credit Rates'!F$4)</f>
        <v>0.1</v>
      </c>
      <c r="J63" s="33">
        <f>SUMIFS('Program Inputs'!$F$21:$F$39,'Program Inputs'!$C$21:$C$39,'Bill Credit Rates'!$A63,'Program Inputs'!$D$21:$D$39,'Bill Credit Rates'!$B63,'Program Inputs'!$E$21:$E$39,'Bill Credit Rates'!G$4)</f>
        <v>0.45</v>
      </c>
      <c r="K63" s="48">
        <f t="shared" si="3"/>
        <v>154.09431115151077</v>
      </c>
    </row>
    <row r="64" spans="1:11">
      <c r="A64" s="48" t="s">
        <v>11</v>
      </c>
      <c r="B64" s="48">
        <v>2</v>
      </c>
      <c r="C64" s="48">
        <v>26</v>
      </c>
      <c r="D64" s="48">
        <v>2044</v>
      </c>
      <c r="E64" s="48">
        <f>IF(OR($C64=0,AND($B64=2,$D64&lt;=2022)),SUMIFS('Program Inputs'!$I$21:$I$39,'Program Inputs'!$C$21:$C$39,'Bill Credit Rates'!$A64,'Program Inputs'!$D$21:$D$39,'Bill Credit Rates'!$B64,'Program Inputs'!$E$21:$E$39,'Bill Credit Rates'!E$4)*1000,E63*(1+SUMIFS($Q:$Q,$N:$N,$A64,$O:$O,$B64,$P:$P,E$4)))</f>
        <v>173.67535621496239</v>
      </c>
      <c r="F64" s="48">
        <f>IF(OR($C64=0,AND($B64=2,$D64&lt;=2022)),SUMIFS('Program Inputs'!$I$21:$I$39,'Program Inputs'!$C$21:$C$39,'Bill Credit Rates'!$A64,'Program Inputs'!$D$21:$D$39,'Bill Credit Rates'!$B64,'Program Inputs'!$E$21:$E$39,'Bill Credit Rates'!F$4)*1000,F63*(1+SUMIFS($Q:$Q,$N:$N,$A64,$O:$O,$B64,$P:$P,F$4)))</f>
        <v>173.67535621496239</v>
      </c>
      <c r="G64" s="48">
        <f>IF(OR($C64=0,AND($B64=2,$D64&lt;=2022)),SUMIFS('Program Inputs'!$I$21:$I$39,'Program Inputs'!$C$21:$C$39,'Bill Credit Rates'!$A64,'Program Inputs'!$D$21:$D$39,'Bill Credit Rates'!$B64,'Program Inputs'!$E$21:$E$39,'Bill Credit Rates'!G$4)*1000,G63*(1+SUMIFS($Q:$Q,$N:$N,$A64,$O:$O,$B64,$P:$P,G$4)))</f>
        <v>156.30782059346618</v>
      </c>
      <c r="H64" s="33">
        <f>SUMIFS('Program Inputs'!$F$21:$F$39,'Program Inputs'!$C$21:$C$39,'Bill Credit Rates'!$A64,'Program Inputs'!$D$21:$D$39,'Bill Credit Rates'!$B64,'Program Inputs'!$E$21:$E$39,'Bill Credit Rates'!E$4)</f>
        <v>0.4</v>
      </c>
      <c r="I64" s="33">
        <f>SUMIFS('Program Inputs'!$F$21:$F$39,'Program Inputs'!$C$21:$C$39,'Bill Credit Rates'!$A64,'Program Inputs'!$D$21:$D$39,'Bill Credit Rates'!$B64,'Program Inputs'!$E$21:$E$39,'Bill Credit Rates'!F$4)</f>
        <v>0.1</v>
      </c>
      <c r="J64" s="33">
        <f>SUMIFS('Program Inputs'!$F$21:$F$39,'Program Inputs'!$C$21:$C$39,'Bill Credit Rates'!$A64,'Program Inputs'!$D$21:$D$39,'Bill Credit Rates'!$B64,'Program Inputs'!$E$21:$E$39,'Bill Credit Rates'!G$4)</f>
        <v>0.45</v>
      </c>
      <c r="K64" s="48">
        <f t="shared" ref="K64" si="4">E64*H64+F64*I64+G64*J64</f>
        <v>157.176197374541</v>
      </c>
    </row>
    <row r="65" spans="1:11">
      <c r="A65" s="48" t="s">
        <v>11</v>
      </c>
      <c r="B65" s="48">
        <v>2</v>
      </c>
      <c r="C65" s="48">
        <v>27</v>
      </c>
      <c r="D65" s="48">
        <v>2045</v>
      </c>
      <c r="E65" s="48">
        <f>IF(OR($C65=0,AND($B65=2,$D65&lt;=2022)),SUMIFS('Program Inputs'!$I$21:$I$39,'Program Inputs'!$C$21:$C$39,'Bill Credit Rates'!$A65,'Program Inputs'!$D$21:$D$39,'Bill Credit Rates'!$B65,'Program Inputs'!$E$21:$E$39,'Bill Credit Rates'!E$4)*1000,E64*(1+SUMIFS($Q:$Q,$N:$N,$A65,$O:$O,$B65,$P:$P,E$4)))</f>
        <v>177.14886333926165</v>
      </c>
      <c r="F65" s="48">
        <f>IF(OR($C65=0,AND($B65=2,$D65&lt;=2022)),SUMIFS('Program Inputs'!$I$21:$I$39,'Program Inputs'!$C$21:$C$39,'Bill Credit Rates'!$A65,'Program Inputs'!$D$21:$D$39,'Bill Credit Rates'!$B65,'Program Inputs'!$E$21:$E$39,'Bill Credit Rates'!F$4)*1000,F64*(1+SUMIFS($Q:$Q,$N:$N,$A65,$O:$O,$B65,$P:$P,F$4)))</f>
        <v>177.14886333926165</v>
      </c>
      <c r="G65" s="48">
        <f>IF(OR($C65=0,AND($B65=2,$D65&lt;=2022)),SUMIFS('Program Inputs'!$I$21:$I$39,'Program Inputs'!$C$21:$C$39,'Bill Credit Rates'!$A65,'Program Inputs'!$D$21:$D$39,'Bill Credit Rates'!$B65,'Program Inputs'!$E$21:$E$39,'Bill Credit Rates'!G$4)*1000,G64*(1+SUMIFS($Q:$Q,$N:$N,$A65,$O:$O,$B65,$P:$P,G$4)))</f>
        <v>159.43397700533549</v>
      </c>
      <c r="H65" s="33">
        <f>SUMIFS('Program Inputs'!$F$21:$F$39,'Program Inputs'!$C$21:$C$39,'Bill Credit Rates'!$A65,'Program Inputs'!$D$21:$D$39,'Bill Credit Rates'!$B65,'Program Inputs'!$E$21:$E$39,'Bill Credit Rates'!E$4)</f>
        <v>0.4</v>
      </c>
      <c r="I65" s="33">
        <f>SUMIFS('Program Inputs'!$F$21:$F$39,'Program Inputs'!$C$21:$C$39,'Bill Credit Rates'!$A65,'Program Inputs'!$D$21:$D$39,'Bill Credit Rates'!$B65,'Program Inputs'!$E$21:$E$39,'Bill Credit Rates'!F$4)</f>
        <v>0.1</v>
      </c>
      <c r="J65" s="33">
        <f>SUMIFS('Program Inputs'!$F$21:$F$39,'Program Inputs'!$C$21:$C$39,'Bill Credit Rates'!$A65,'Program Inputs'!$D$21:$D$39,'Bill Credit Rates'!$B65,'Program Inputs'!$E$21:$E$39,'Bill Credit Rates'!G$4)</f>
        <v>0.45</v>
      </c>
      <c r="K65" s="48">
        <f t="shared" ref="K65:K70" si="5">E65*H65+F65*I65+G65*J65</f>
        <v>160.3197213220318</v>
      </c>
    </row>
    <row r="66" spans="1:11">
      <c r="A66" s="48" t="s">
        <v>11</v>
      </c>
      <c r="B66" s="48">
        <v>2</v>
      </c>
      <c r="C66" s="48">
        <v>28</v>
      </c>
      <c r="D66" s="48">
        <v>2046</v>
      </c>
      <c r="E66" s="48">
        <f>IF(OR($C66=0,AND($B66=2,$D66&lt;=2022)),SUMIFS('Program Inputs'!$I$21:$I$39,'Program Inputs'!$C$21:$C$39,'Bill Credit Rates'!$A66,'Program Inputs'!$D$21:$D$39,'Bill Credit Rates'!$B66,'Program Inputs'!$E$21:$E$39,'Bill Credit Rates'!E$4)*1000,E65*(1+SUMIFS($Q:$Q,$N:$N,$A66,$O:$O,$B66,$P:$P,E$4)))</f>
        <v>180.6918406060469</v>
      </c>
      <c r="F66" s="48">
        <f>IF(OR($C66=0,AND($B66=2,$D66&lt;=2022)),SUMIFS('Program Inputs'!$I$21:$I$39,'Program Inputs'!$C$21:$C$39,'Bill Credit Rates'!$A66,'Program Inputs'!$D$21:$D$39,'Bill Credit Rates'!$B66,'Program Inputs'!$E$21:$E$39,'Bill Credit Rates'!F$4)*1000,F65*(1+SUMIFS($Q:$Q,$N:$N,$A66,$O:$O,$B66,$P:$P,F$4)))</f>
        <v>180.6918406060469</v>
      </c>
      <c r="G66" s="48">
        <f>IF(OR($C66=0,AND($B66=2,$D66&lt;=2022)),SUMIFS('Program Inputs'!$I$21:$I$39,'Program Inputs'!$C$21:$C$39,'Bill Credit Rates'!$A66,'Program Inputs'!$D$21:$D$39,'Bill Credit Rates'!$B66,'Program Inputs'!$E$21:$E$39,'Bill Credit Rates'!G$4)*1000,G65*(1+SUMIFS($Q:$Q,$N:$N,$A66,$O:$O,$B66,$P:$P,G$4)))</f>
        <v>162.6226565454422</v>
      </c>
      <c r="H66" s="33">
        <f>SUMIFS('Program Inputs'!$F$21:$F$39,'Program Inputs'!$C$21:$C$39,'Bill Credit Rates'!$A66,'Program Inputs'!$D$21:$D$39,'Bill Credit Rates'!$B66,'Program Inputs'!$E$21:$E$39,'Bill Credit Rates'!E$4)</f>
        <v>0.4</v>
      </c>
      <c r="I66" s="33">
        <f>SUMIFS('Program Inputs'!$F$21:$F$39,'Program Inputs'!$C$21:$C$39,'Bill Credit Rates'!$A66,'Program Inputs'!$D$21:$D$39,'Bill Credit Rates'!$B66,'Program Inputs'!$E$21:$E$39,'Bill Credit Rates'!F$4)</f>
        <v>0.1</v>
      </c>
      <c r="J66" s="33">
        <f>SUMIFS('Program Inputs'!$F$21:$F$39,'Program Inputs'!$C$21:$C$39,'Bill Credit Rates'!$A66,'Program Inputs'!$D$21:$D$39,'Bill Credit Rates'!$B66,'Program Inputs'!$E$21:$E$39,'Bill Credit Rates'!G$4)</f>
        <v>0.45</v>
      </c>
      <c r="K66" s="48">
        <f t="shared" si="5"/>
        <v>163.52611574847245</v>
      </c>
    </row>
    <row r="67" spans="1:11">
      <c r="A67" s="48" t="s">
        <v>11</v>
      </c>
      <c r="B67" s="48">
        <v>2</v>
      </c>
      <c r="C67" s="48">
        <v>29</v>
      </c>
      <c r="D67" s="48">
        <v>2047</v>
      </c>
      <c r="E67" s="48">
        <f>IF(OR($C67=0,AND($B67=2,$D67&lt;=2022)),SUMIFS('Program Inputs'!$I$21:$I$39,'Program Inputs'!$C$21:$C$39,'Bill Credit Rates'!$A67,'Program Inputs'!$D$21:$D$39,'Bill Credit Rates'!$B67,'Program Inputs'!$E$21:$E$39,'Bill Credit Rates'!E$4)*1000,E66*(1+SUMIFS($Q:$Q,$N:$N,$A67,$O:$O,$B67,$P:$P,E$4)))</f>
        <v>184.30567741816785</v>
      </c>
      <c r="F67" s="48">
        <f>IF(OR($C67=0,AND($B67=2,$D67&lt;=2022)),SUMIFS('Program Inputs'!$I$21:$I$39,'Program Inputs'!$C$21:$C$39,'Bill Credit Rates'!$A67,'Program Inputs'!$D$21:$D$39,'Bill Credit Rates'!$B67,'Program Inputs'!$E$21:$E$39,'Bill Credit Rates'!F$4)*1000,F66*(1+SUMIFS($Q:$Q,$N:$N,$A67,$O:$O,$B67,$P:$P,F$4)))</f>
        <v>184.30567741816785</v>
      </c>
      <c r="G67" s="48">
        <f>IF(OR($C67=0,AND($B67=2,$D67&lt;=2022)),SUMIFS('Program Inputs'!$I$21:$I$39,'Program Inputs'!$C$21:$C$39,'Bill Credit Rates'!$A67,'Program Inputs'!$D$21:$D$39,'Bill Credit Rates'!$B67,'Program Inputs'!$E$21:$E$39,'Bill Credit Rates'!G$4)*1000,G66*(1+SUMIFS($Q:$Q,$N:$N,$A67,$O:$O,$B67,$P:$P,G$4)))</f>
        <v>165.87510967635103</v>
      </c>
      <c r="H67" s="33">
        <f>SUMIFS('Program Inputs'!$F$21:$F$39,'Program Inputs'!$C$21:$C$39,'Bill Credit Rates'!$A67,'Program Inputs'!$D$21:$D$39,'Bill Credit Rates'!$B67,'Program Inputs'!$E$21:$E$39,'Bill Credit Rates'!E$4)</f>
        <v>0.4</v>
      </c>
      <c r="I67" s="33">
        <f>SUMIFS('Program Inputs'!$F$21:$F$39,'Program Inputs'!$C$21:$C$39,'Bill Credit Rates'!$A67,'Program Inputs'!$D$21:$D$39,'Bill Credit Rates'!$B67,'Program Inputs'!$E$21:$E$39,'Bill Credit Rates'!F$4)</f>
        <v>0.1</v>
      </c>
      <c r="J67" s="33">
        <f>SUMIFS('Program Inputs'!$F$21:$F$39,'Program Inputs'!$C$21:$C$39,'Bill Credit Rates'!$A67,'Program Inputs'!$D$21:$D$39,'Bill Credit Rates'!$B67,'Program Inputs'!$E$21:$E$39,'Bill Credit Rates'!G$4)</f>
        <v>0.45</v>
      </c>
      <c r="K67" s="48">
        <f t="shared" si="5"/>
        <v>166.79663806344189</v>
      </c>
    </row>
    <row r="68" spans="1:11">
      <c r="A68" s="48" t="s">
        <v>11</v>
      </c>
      <c r="B68" s="48">
        <v>2</v>
      </c>
      <c r="C68" s="48">
        <v>30</v>
      </c>
      <c r="D68" s="48">
        <v>2048</v>
      </c>
      <c r="E68" s="48">
        <f>IF(OR($C68=0,AND($B68=2,$D68&lt;=2022)),SUMIFS('Program Inputs'!$I$21:$I$39,'Program Inputs'!$C$21:$C$39,'Bill Credit Rates'!$A68,'Program Inputs'!$D$21:$D$39,'Bill Credit Rates'!$B68,'Program Inputs'!$E$21:$E$39,'Bill Credit Rates'!E$4)*1000,E67*(1+SUMIFS($Q:$Q,$N:$N,$A68,$O:$O,$B68,$P:$P,E$4)))</f>
        <v>187.9917909665312</v>
      </c>
      <c r="F68" s="48">
        <f>IF(OR($C68=0,AND($B68=2,$D68&lt;=2022)),SUMIFS('Program Inputs'!$I$21:$I$39,'Program Inputs'!$C$21:$C$39,'Bill Credit Rates'!$A68,'Program Inputs'!$D$21:$D$39,'Bill Credit Rates'!$B68,'Program Inputs'!$E$21:$E$39,'Bill Credit Rates'!F$4)*1000,F67*(1+SUMIFS($Q:$Q,$N:$N,$A68,$O:$O,$B68,$P:$P,F$4)))</f>
        <v>187.9917909665312</v>
      </c>
      <c r="G68" s="48">
        <f>IF(OR($C68=0,AND($B68=2,$D68&lt;=2022)),SUMIFS('Program Inputs'!$I$21:$I$39,'Program Inputs'!$C$21:$C$39,'Bill Credit Rates'!$A68,'Program Inputs'!$D$21:$D$39,'Bill Credit Rates'!$B68,'Program Inputs'!$E$21:$E$39,'Bill Credit Rates'!G$4)*1000,G67*(1+SUMIFS($Q:$Q,$N:$N,$A68,$O:$O,$B68,$P:$P,G$4)))</f>
        <v>169.19261186987805</v>
      </c>
      <c r="H68" s="33">
        <f>SUMIFS('Program Inputs'!$F$21:$F$39,'Program Inputs'!$C$21:$C$39,'Bill Credit Rates'!$A68,'Program Inputs'!$D$21:$D$39,'Bill Credit Rates'!$B68,'Program Inputs'!$E$21:$E$39,'Bill Credit Rates'!E$4)</f>
        <v>0.4</v>
      </c>
      <c r="I68" s="33">
        <f>SUMIFS('Program Inputs'!$F$21:$F$39,'Program Inputs'!$C$21:$C$39,'Bill Credit Rates'!$A68,'Program Inputs'!$D$21:$D$39,'Bill Credit Rates'!$B68,'Program Inputs'!$E$21:$E$39,'Bill Credit Rates'!F$4)</f>
        <v>0.1</v>
      </c>
      <c r="J68" s="33">
        <f>SUMIFS('Program Inputs'!$F$21:$F$39,'Program Inputs'!$C$21:$C$39,'Bill Credit Rates'!$A68,'Program Inputs'!$D$21:$D$39,'Bill Credit Rates'!$B68,'Program Inputs'!$E$21:$E$39,'Bill Credit Rates'!G$4)</f>
        <v>0.45</v>
      </c>
      <c r="K68" s="48">
        <f t="shared" si="5"/>
        <v>170.13257082471074</v>
      </c>
    </row>
    <row r="69" spans="1:11">
      <c r="A69" s="48" t="s">
        <v>11</v>
      </c>
      <c r="B69" s="48">
        <v>2</v>
      </c>
      <c r="C69" s="48">
        <v>31</v>
      </c>
      <c r="D69" s="48">
        <v>2049</v>
      </c>
      <c r="E69" s="48">
        <f>IF(OR($C69=0,AND($B69=2,$D69&lt;=2022)),SUMIFS('Program Inputs'!$I$21:$I$39,'Program Inputs'!$C$21:$C$39,'Bill Credit Rates'!$A69,'Program Inputs'!$D$21:$D$39,'Bill Credit Rates'!$B69,'Program Inputs'!$E$21:$E$39,'Bill Credit Rates'!E$4)*1000,E68*(1+SUMIFS($Q:$Q,$N:$N,$A69,$O:$O,$B69,$P:$P,E$4)))</f>
        <v>191.75162678586182</v>
      </c>
      <c r="F69" s="48">
        <f>IF(OR($C69=0,AND($B69=2,$D69&lt;=2022)),SUMIFS('Program Inputs'!$I$21:$I$39,'Program Inputs'!$C$21:$C$39,'Bill Credit Rates'!$A69,'Program Inputs'!$D$21:$D$39,'Bill Credit Rates'!$B69,'Program Inputs'!$E$21:$E$39,'Bill Credit Rates'!F$4)*1000,F68*(1+SUMIFS($Q:$Q,$N:$N,$A69,$O:$O,$B69,$P:$P,F$4)))</f>
        <v>191.75162678586182</v>
      </c>
      <c r="G69" s="48">
        <f>IF(OR($C69=0,AND($B69=2,$D69&lt;=2022)),SUMIFS('Program Inputs'!$I$21:$I$39,'Program Inputs'!$C$21:$C$39,'Bill Credit Rates'!$A69,'Program Inputs'!$D$21:$D$39,'Bill Credit Rates'!$B69,'Program Inputs'!$E$21:$E$39,'Bill Credit Rates'!G$4)*1000,G68*(1+SUMIFS($Q:$Q,$N:$N,$A69,$O:$O,$B69,$P:$P,G$4)))</f>
        <v>172.57646410727563</v>
      </c>
      <c r="H69" s="33">
        <f>SUMIFS('Program Inputs'!$F$21:$F$39,'Program Inputs'!$C$21:$C$39,'Bill Credit Rates'!$A69,'Program Inputs'!$D$21:$D$39,'Bill Credit Rates'!$B69,'Program Inputs'!$E$21:$E$39,'Bill Credit Rates'!E$4)</f>
        <v>0.4</v>
      </c>
      <c r="I69" s="33">
        <f>SUMIFS('Program Inputs'!$F$21:$F$39,'Program Inputs'!$C$21:$C$39,'Bill Credit Rates'!$A69,'Program Inputs'!$D$21:$D$39,'Bill Credit Rates'!$B69,'Program Inputs'!$E$21:$E$39,'Bill Credit Rates'!F$4)</f>
        <v>0.1</v>
      </c>
      <c r="J69" s="33">
        <f>SUMIFS('Program Inputs'!$F$21:$F$39,'Program Inputs'!$C$21:$C$39,'Bill Credit Rates'!$A69,'Program Inputs'!$D$21:$D$39,'Bill Credit Rates'!$B69,'Program Inputs'!$E$21:$E$39,'Bill Credit Rates'!G$4)</f>
        <v>0.45</v>
      </c>
      <c r="K69" s="48">
        <f t="shared" si="5"/>
        <v>173.53522224120496</v>
      </c>
    </row>
    <row r="70" spans="1:11">
      <c r="A70" s="48" t="s">
        <v>11</v>
      </c>
      <c r="B70" s="48">
        <v>2</v>
      </c>
      <c r="C70" s="48">
        <v>32</v>
      </c>
      <c r="D70" s="48">
        <v>2050</v>
      </c>
      <c r="E70" s="48">
        <f>IF(OR($C70=0,AND($B70=2,$D70&lt;=2022)),SUMIFS('Program Inputs'!$I$21:$I$39,'Program Inputs'!$C$21:$C$39,'Bill Credit Rates'!$A70,'Program Inputs'!$D$21:$D$39,'Bill Credit Rates'!$B70,'Program Inputs'!$E$21:$E$39,'Bill Credit Rates'!E$4)*1000,E69*(1+SUMIFS($Q:$Q,$N:$N,$A70,$O:$O,$B70,$P:$P,E$4)))</f>
        <v>195.58665932157905</v>
      </c>
      <c r="F70" s="48">
        <f>IF(OR($C70=0,AND($B70=2,$D70&lt;=2022)),SUMIFS('Program Inputs'!$I$21:$I$39,'Program Inputs'!$C$21:$C$39,'Bill Credit Rates'!$A70,'Program Inputs'!$D$21:$D$39,'Bill Credit Rates'!$B70,'Program Inputs'!$E$21:$E$39,'Bill Credit Rates'!F$4)*1000,F69*(1+SUMIFS($Q:$Q,$N:$N,$A70,$O:$O,$B70,$P:$P,F$4)))</f>
        <v>195.58665932157905</v>
      </c>
      <c r="G70" s="48">
        <f>IF(OR($C70=0,AND($B70=2,$D70&lt;=2022)),SUMIFS('Program Inputs'!$I$21:$I$39,'Program Inputs'!$C$21:$C$39,'Bill Credit Rates'!$A70,'Program Inputs'!$D$21:$D$39,'Bill Credit Rates'!$B70,'Program Inputs'!$E$21:$E$39,'Bill Credit Rates'!G$4)*1000,G69*(1+SUMIFS($Q:$Q,$N:$N,$A70,$O:$O,$B70,$P:$P,G$4)))</f>
        <v>176.02799338942114</v>
      </c>
      <c r="H70" s="33">
        <f>SUMIFS('Program Inputs'!$F$21:$F$39,'Program Inputs'!$C$21:$C$39,'Bill Credit Rates'!$A70,'Program Inputs'!$D$21:$D$39,'Bill Credit Rates'!$B70,'Program Inputs'!$E$21:$E$39,'Bill Credit Rates'!E$4)</f>
        <v>0.4</v>
      </c>
      <c r="I70" s="33">
        <f>SUMIFS('Program Inputs'!$F$21:$F$39,'Program Inputs'!$C$21:$C$39,'Bill Credit Rates'!$A70,'Program Inputs'!$D$21:$D$39,'Bill Credit Rates'!$B70,'Program Inputs'!$E$21:$E$39,'Bill Credit Rates'!F$4)</f>
        <v>0.1</v>
      </c>
      <c r="J70" s="33">
        <f>SUMIFS('Program Inputs'!$F$21:$F$39,'Program Inputs'!$C$21:$C$39,'Bill Credit Rates'!$A70,'Program Inputs'!$D$21:$D$39,'Bill Credit Rates'!$B70,'Program Inputs'!$E$21:$E$39,'Bill Credit Rates'!G$4)</f>
        <v>0.45</v>
      </c>
      <c r="K70" s="48">
        <f t="shared" si="5"/>
        <v>177.00592668602906</v>
      </c>
    </row>
    <row r="71" spans="1:11">
      <c r="A71" s="48" t="s">
        <v>12</v>
      </c>
      <c r="B71" s="48">
        <v>1</v>
      </c>
      <c r="C71" s="48">
        <v>0</v>
      </c>
      <c r="D71" s="48">
        <v>2018</v>
      </c>
      <c r="E71" s="48">
        <f>IF(OR($C71=0,AND($B71=2,$D71&lt;=2022)),SUMIFS('Program Inputs'!$I$21:$I$39,'Program Inputs'!$C$21:$C$39,'Bill Credit Rates'!$A71,'Program Inputs'!$D$21:$D$39,'Bill Credit Rates'!$B71,'Program Inputs'!$E$21:$E$39,'Bill Credit Rates'!E$4)*1000,#REF!*(1+SUMIFS($Q:$Q,$N:$N,$A71,$O:$O,$B71,$P:$P,E$4)))</f>
        <v>97.699999999999989</v>
      </c>
      <c r="F71" s="48">
        <f>IF(OR($C71=0,AND($B71=2,$D71&lt;=2022)),SUMIFS('Program Inputs'!$I$21:$I$39,'Program Inputs'!$C$21:$C$39,'Bill Credit Rates'!$A71,'Program Inputs'!$D$21:$D$39,'Bill Credit Rates'!$B71,'Program Inputs'!$E$21:$E$39,'Bill Credit Rates'!F$4)*1000,#REF!*(1+SUMIFS($Q:$Q,$N:$N,$A71,$O:$O,$B71,$P:$P,F$4)))</f>
        <v>97.699999999999989</v>
      </c>
      <c r="G71" s="48">
        <f>IF(OR($C71=0,AND($B71=2,$D71&lt;=2022)),SUMIFS('Program Inputs'!$I$21:$I$39,'Program Inputs'!$C$21:$C$39,'Bill Credit Rates'!$A71,'Program Inputs'!$D$21:$D$39,'Bill Credit Rates'!$B71,'Program Inputs'!$E$21:$E$39,'Bill Credit Rates'!G$4)*1000,#REF!*(1+SUMIFS($Q:$Q,$N:$N,$A71,$O:$O,$B71,$P:$P,G$4)))</f>
        <v>97.699999999999989</v>
      </c>
      <c r="H71" s="33">
        <f>SUMIFS('Program Inputs'!$F$21:$F$39,'Program Inputs'!$C$21:$C$39,'Bill Credit Rates'!$A71,'Program Inputs'!$D$21:$D$39,'Bill Credit Rates'!$B71,'Program Inputs'!$E$21:$E$39,'Bill Credit Rates'!E$4)</f>
        <v>0</v>
      </c>
      <c r="I71" s="33">
        <f>SUMIFS('Program Inputs'!$F$21:$F$39,'Program Inputs'!$C$21:$C$39,'Bill Credit Rates'!$A71,'Program Inputs'!$D$21:$D$39,'Bill Credit Rates'!$B71,'Program Inputs'!$E$21:$E$39,'Bill Credit Rates'!F$4)</f>
        <v>0.1</v>
      </c>
      <c r="J71" s="33">
        <f>SUMIFS('Program Inputs'!$F$21:$F$39,'Program Inputs'!$C$21:$C$39,'Bill Credit Rates'!$A71,'Program Inputs'!$D$21:$D$39,'Bill Credit Rates'!$B71,'Program Inputs'!$E$21:$E$39,'Bill Credit Rates'!G$4)</f>
        <v>0.85</v>
      </c>
      <c r="K71" s="48">
        <f t="shared" ref="K71:K124" si="6">E71*H71+F71*I71+G71*J71</f>
        <v>92.814999999999984</v>
      </c>
    </row>
    <row r="72" spans="1:11">
      <c r="A72" s="48" t="s">
        <v>12</v>
      </c>
      <c r="B72" s="48">
        <v>1</v>
      </c>
      <c r="C72" s="48">
        <v>1</v>
      </c>
      <c r="D72" s="48">
        <v>2019</v>
      </c>
      <c r="E72" s="48">
        <f>IF(OR($C72=0,AND($B72=2,$D72&lt;=2022)),SUMIFS('Program Inputs'!$I$21:$I$39,'Program Inputs'!$C$21:$C$39,'Bill Credit Rates'!$A72,'Program Inputs'!$D$21:$D$39,'Bill Credit Rates'!$B72,'Program Inputs'!$E$21:$E$39,'Bill Credit Rates'!E$4)*1000,E71*(1+SUMIFS($Q:$Q,$N:$N,$A72,$O:$O,$B72,$P:$P,E$4)))</f>
        <v>97.699999999999989</v>
      </c>
      <c r="F72" s="48">
        <f>IF(OR($C72=0,AND($B72=2,$D72&lt;=2022)),SUMIFS('Program Inputs'!$I$21:$I$39,'Program Inputs'!$C$21:$C$39,'Bill Credit Rates'!$A72,'Program Inputs'!$D$21:$D$39,'Bill Credit Rates'!$B72,'Program Inputs'!$E$21:$E$39,'Bill Credit Rates'!F$4)*1000,F71*(1+SUMIFS($Q:$Q,$N:$N,$A72,$O:$O,$B72,$P:$P,F$4)))</f>
        <v>97.699999999999989</v>
      </c>
      <c r="G72" s="48">
        <f>IF(OR($C72=0,AND($B72=2,$D72&lt;=2022)),SUMIFS('Program Inputs'!$I$21:$I$39,'Program Inputs'!$C$21:$C$39,'Bill Credit Rates'!$A72,'Program Inputs'!$D$21:$D$39,'Bill Credit Rates'!$B72,'Program Inputs'!$E$21:$E$39,'Bill Credit Rates'!G$4)*1000,G71*(1+SUMIFS($Q:$Q,$N:$N,$A72,$O:$O,$B72,$P:$P,G$4)))</f>
        <v>97.699999999999989</v>
      </c>
      <c r="H72" s="33">
        <f>SUMIFS('Program Inputs'!$F$21:$F$39,'Program Inputs'!$C$21:$C$39,'Bill Credit Rates'!$A72,'Program Inputs'!$D$21:$D$39,'Bill Credit Rates'!$B72,'Program Inputs'!$E$21:$E$39,'Bill Credit Rates'!E$4)</f>
        <v>0</v>
      </c>
      <c r="I72" s="33">
        <f>SUMIFS('Program Inputs'!$F$21:$F$39,'Program Inputs'!$C$21:$C$39,'Bill Credit Rates'!$A72,'Program Inputs'!$D$21:$D$39,'Bill Credit Rates'!$B72,'Program Inputs'!$E$21:$E$39,'Bill Credit Rates'!F$4)</f>
        <v>0.1</v>
      </c>
      <c r="J72" s="33">
        <f>SUMIFS('Program Inputs'!$F$21:$F$39,'Program Inputs'!$C$21:$C$39,'Bill Credit Rates'!$A72,'Program Inputs'!$D$21:$D$39,'Bill Credit Rates'!$B72,'Program Inputs'!$E$21:$E$39,'Bill Credit Rates'!G$4)</f>
        <v>0.85</v>
      </c>
      <c r="K72" s="48">
        <f t="shared" si="6"/>
        <v>92.814999999999984</v>
      </c>
    </row>
    <row r="73" spans="1:11">
      <c r="A73" s="48" t="s">
        <v>12</v>
      </c>
      <c r="B73" s="48">
        <v>1</v>
      </c>
      <c r="C73" s="48">
        <v>2</v>
      </c>
      <c r="D73" s="48">
        <v>2020</v>
      </c>
      <c r="E73" s="48">
        <f>IF(OR($C73=0,AND($B73=2,$D73&lt;=2022)),SUMIFS('Program Inputs'!$I$21:$I$39,'Program Inputs'!$C$21:$C$39,'Bill Credit Rates'!$A73,'Program Inputs'!$D$21:$D$39,'Bill Credit Rates'!$B73,'Program Inputs'!$E$21:$E$39,'Bill Credit Rates'!E$4)*1000,E72*(1+SUMIFS($Q:$Q,$N:$N,$A73,$O:$O,$B73,$P:$P,E$4)))</f>
        <v>97.699999999999989</v>
      </c>
      <c r="F73" s="48">
        <f>IF(OR($C73=0,AND($B73=2,$D73&lt;=2022)),SUMIFS('Program Inputs'!$I$21:$I$39,'Program Inputs'!$C$21:$C$39,'Bill Credit Rates'!$A73,'Program Inputs'!$D$21:$D$39,'Bill Credit Rates'!$B73,'Program Inputs'!$E$21:$E$39,'Bill Credit Rates'!F$4)*1000,F72*(1+SUMIFS($Q:$Q,$N:$N,$A73,$O:$O,$B73,$P:$P,F$4)))</f>
        <v>97.699999999999989</v>
      </c>
      <c r="G73" s="48">
        <f>IF(OR($C73=0,AND($B73=2,$D73&lt;=2022)),SUMIFS('Program Inputs'!$I$21:$I$39,'Program Inputs'!$C$21:$C$39,'Bill Credit Rates'!$A73,'Program Inputs'!$D$21:$D$39,'Bill Credit Rates'!$B73,'Program Inputs'!$E$21:$E$39,'Bill Credit Rates'!G$4)*1000,G72*(1+SUMIFS($Q:$Q,$N:$N,$A73,$O:$O,$B73,$P:$P,G$4)))</f>
        <v>97.699999999999989</v>
      </c>
      <c r="H73" s="33">
        <f>SUMIFS('Program Inputs'!$F$21:$F$39,'Program Inputs'!$C$21:$C$39,'Bill Credit Rates'!$A73,'Program Inputs'!$D$21:$D$39,'Bill Credit Rates'!$B73,'Program Inputs'!$E$21:$E$39,'Bill Credit Rates'!E$4)</f>
        <v>0</v>
      </c>
      <c r="I73" s="33">
        <f>SUMIFS('Program Inputs'!$F$21:$F$39,'Program Inputs'!$C$21:$C$39,'Bill Credit Rates'!$A73,'Program Inputs'!$D$21:$D$39,'Bill Credit Rates'!$B73,'Program Inputs'!$E$21:$E$39,'Bill Credit Rates'!F$4)</f>
        <v>0.1</v>
      </c>
      <c r="J73" s="33">
        <f>SUMIFS('Program Inputs'!$F$21:$F$39,'Program Inputs'!$C$21:$C$39,'Bill Credit Rates'!$A73,'Program Inputs'!$D$21:$D$39,'Bill Credit Rates'!$B73,'Program Inputs'!$E$21:$E$39,'Bill Credit Rates'!G$4)</f>
        <v>0.85</v>
      </c>
      <c r="K73" s="48">
        <f t="shared" si="6"/>
        <v>92.814999999999984</v>
      </c>
    </row>
    <row r="74" spans="1:11">
      <c r="A74" s="48" t="s">
        <v>12</v>
      </c>
      <c r="B74" s="48">
        <v>1</v>
      </c>
      <c r="C74" s="48">
        <v>3</v>
      </c>
      <c r="D74" s="48">
        <v>2021</v>
      </c>
      <c r="E74" s="48">
        <f>IF(OR($C74=0,AND($B74=2,$D74&lt;=2022)),SUMIFS('Program Inputs'!$I$21:$I$39,'Program Inputs'!$C$21:$C$39,'Bill Credit Rates'!$A74,'Program Inputs'!$D$21:$D$39,'Bill Credit Rates'!$B74,'Program Inputs'!$E$21:$E$39,'Bill Credit Rates'!E$4)*1000,E73*(1+SUMIFS($Q:$Q,$N:$N,$A74,$O:$O,$B74,$P:$P,E$4)))</f>
        <v>97.699999999999989</v>
      </c>
      <c r="F74" s="48">
        <f>IF(OR($C74=0,AND($B74=2,$D74&lt;=2022)),SUMIFS('Program Inputs'!$I$21:$I$39,'Program Inputs'!$C$21:$C$39,'Bill Credit Rates'!$A74,'Program Inputs'!$D$21:$D$39,'Bill Credit Rates'!$B74,'Program Inputs'!$E$21:$E$39,'Bill Credit Rates'!F$4)*1000,F73*(1+SUMIFS($Q:$Q,$N:$N,$A74,$O:$O,$B74,$P:$P,F$4)))</f>
        <v>97.699999999999989</v>
      </c>
      <c r="G74" s="48">
        <f>IF(OR($C74=0,AND($B74=2,$D74&lt;=2022)),SUMIFS('Program Inputs'!$I$21:$I$39,'Program Inputs'!$C$21:$C$39,'Bill Credit Rates'!$A74,'Program Inputs'!$D$21:$D$39,'Bill Credit Rates'!$B74,'Program Inputs'!$E$21:$E$39,'Bill Credit Rates'!G$4)*1000,G73*(1+SUMIFS($Q:$Q,$N:$N,$A74,$O:$O,$B74,$P:$P,G$4)))</f>
        <v>97.699999999999989</v>
      </c>
      <c r="H74" s="33">
        <f>SUMIFS('Program Inputs'!$F$21:$F$39,'Program Inputs'!$C$21:$C$39,'Bill Credit Rates'!$A74,'Program Inputs'!$D$21:$D$39,'Bill Credit Rates'!$B74,'Program Inputs'!$E$21:$E$39,'Bill Credit Rates'!E$4)</f>
        <v>0</v>
      </c>
      <c r="I74" s="33">
        <f>SUMIFS('Program Inputs'!$F$21:$F$39,'Program Inputs'!$C$21:$C$39,'Bill Credit Rates'!$A74,'Program Inputs'!$D$21:$D$39,'Bill Credit Rates'!$B74,'Program Inputs'!$E$21:$E$39,'Bill Credit Rates'!F$4)</f>
        <v>0.1</v>
      </c>
      <c r="J74" s="33">
        <f>SUMIFS('Program Inputs'!$F$21:$F$39,'Program Inputs'!$C$21:$C$39,'Bill Credit Rates'!$A74,'Program Inputs'!$D$21:$D$39,'Bill Credit Rates'!$B74,'Program Inputs'!$E$21:$E$39,'Bill Credit Rates'!G$4)</f>
        <v>0.85</v>
      </c>
      <c r="K74" s="48">
        <f t="shared" si="6"/>
        <v>92.814999999999984</v>
      </c>
    </row>
    <row r="75" spans="1:11">
      <c r="A75" s="48" t="s">
        <v>12</v>
      </c>
      <c r="B75" s="48">
        <v>1</v>
      </c>
      <c r="C75" s="48">
        <v>4</v>
      </c>
      <c r="D75" s="48">
        <v>2022</v>
      </c>
      <c r="E75" s="48">
        <f>IF(OR($C75=0,AND($B75=2,$D75&lt;=2022)),SUMIFS('Program Inputs'!$I$21:$I$39,'Program Inputs'!$C$21:$C$39,'Bill Credit Rates'!$A75,'Program Inputs'!$D$21:$D$39,'Bill Credit Rates'!$B75,'Program Inputs'!$E$21:$E$39,'Bill Credit Rates'!E$4)*1000,E74*(1+SUMIFS($Q:$Q,$N:$N,$A75,$O:$O,$B75,$P:$P,E$4)))</f>
        <v>97.699999999999989</v>
      </c>
      <c r="F75" s="48">
        <f>IF(OR($C75=0,AND($B75=2,$D75&lt;=2022)),SUMIFS('Program Inputs'!$I$21:$I$39,'Program Inputs'!$C$21:$C$39,'Bill Credit Rates'!$A75,'Program Inputs'!$D$21:$D$39,'Bill Credit Rates'!$B75,'Program Inputs'!$E$21:$E$39,'Bill Credit Rates'!F$4)*1000,F74*(1+SUMIFS($Q:$Q,$N:$N,$A75,$O:$O,$B75,$P:$P,F$4)))</f>
        <v>97.699999999999989</v>
      </c>
      <c r="G75" s="48">
        <f>IF(OR($C75=0,AND($B75=2,$D75&lt;=2022)),SUMIFS('Program Inputs'!$I$21:$I$39,'Program Inputs'!$C$21:$C$39,'Bill Credit Rates'!$A75,'Program Inputs'!$D$21:$D$39,'Bill Credit Rates'!$B75,'Program Inputs'!$E$21:$E$39,'Bill Credit Rates'!G$4)*1000,G74*(1+SUMIFS($Q:$Q,$N:$N,$A75,$O:$O,$B75,$P:$P,G$4)))</f>
        <v>97.699999999999989</v>
      </c>
      <c r="H75" s="33">
        <f>SUMIFS('Program Inputs'!$F$21:$F$39,'Program Inputs'!$C$21:$C$39,'Bill Credit Rates'!$A75,'Program Inputs'!$D$21:$D$39,'Bill Credit Rates'!$B75,'Program Inputs'!$E$21:$E$39,'Bill Credit Rates'!E$4)</f>
        <v>0</v>
      </c>
      <c r="I75" s="33">
        <f>SUMIFS('Program Inputs'!$F$21:$F$39,'Program Inputs'!$C$21:$C$39,'Bill Credit Rates'!$A75,'Program Inputs'!$D$21:$D$39,'Bill Credit Rates'!$B75,'Program Inputs'!$E$21:$E$39,'Bill Credit Rates'!F$4)</f>
        <v>0.1</v>
      </c>
      <c r="J75" s="33">
        <f>SUMIFS('Program Inputs'!$F$21:$F$39,'Program Inputs'!$C$21:$C$39,'Bill Credit Rates'!$A75,'Program Inputs'!$D$21:$D$39,'Bill Credit Rates'!$B75,'Program Inputs'!$E$21:$E$39,'Bill Credit Rates'!G$4)</f>
        <v>0.85</v>
      </c>
      <c r="K75" s="48">
        <f t="shared" si="6"/>
        <v>92.814999999999984</v>
      </c>
    </row>
    <row r="76" spans="1:11">
      <c r="A76" s="48" t="s">
        <v>12</v>
      </c>
      <c r="B76" s="48">
        <v>1</v>
      </c>
      <c r="C76" s="48">
        <v>5</v>
      </c>
      <c r="D76" s="48">
        <v>2023</v>
      </c>
      <c r="E76" s="48">
        <f>IF(OR($C76=0,AND($B76=2,$D76&lt;=2022)),SUMIFS('Program Inputs'!$I$21:$I$39,'Program Inputs'!$C$21:$C$39,'Bill Credit Rates'!$A76,'Program Inputs'!$D$21:$D$39,'Bill Credit Rates'!$B76,'Program Inputs'!$E$21:$E$39,'Bill Credit Rates'!E$4)*1000,E75*(1+SUMIFS($Q:$Q,$N:$N,$A76,$O:$O,$B76,$P:$P,E$4)))</f>
        <v>97.699999999999989</v>
      </c>
      <c r="F76" s="48">
        <f>IF(OR($C76=0,AND($B76=2,$D76&lt;=2022)),SUMIFS('Program Inputs'!$I$21:$I$39,'Program Inputs'!$C$21:$C$39,'Bill Credit Rates'!$A76,'Program Inputs'!$D$21:$D$39,'Bill Credit Rates'!$B76,'Program Inputs'!$E$21:$E$39,'Bill Credit Rates'!F$4)*1000,F75*(1+SUMIFS($Q:$Q,$N:$N,$A76,$O:$O,$B76,$P:$P,F$4)))</f>
        <v>97.699999999999989</v>
      </c>
      <c r="G76" s="48">
        <f>IF(OR($C76=0,AND($B76=2,$D76&lt;=2022)),SUMIFS('Program Inputs'!$I$21:$I$39,'Program Inputs'!$C$21:$C$39,'Bill Credit Rates'!$A76,'Program Inputs'!$D$21:$D$39,'Bill Credit Rates'!$B76,'Program Inputs'!$E$21:$E$39,'Bill Credit Rates'!G$4)*1000,G75*(1+SUMIFS($Q:$Q,$N:$N,$A76,$O:$O,$B76,$P:$P,G$4)))</f>
        <v>97.699999999999989</v>
      </c>
      <c r="H76" s="33">
        <f>SUMIFS('Program Inputs'!$F$21:$F$39,'Program Inputs'!$C$21:$C$39,'Bill Credit Rates'!$A76,'Program Inputs'!$D$21:$D$39,'Bill Credit Rates'!$B76,'Program Inputs'!$E$21:$E$39,'Bill Credit Rates'!E$4)</f>
        <v>0</v>
      </c>
      <c r="I76" s="33">
        <f>SUMIFS('Program Inputs'!$F$21:$F$39,'Program Inputs'!$C$21:$C$39,'Bill Credit Rates'!$A76,'Program Inputs'!$D$21:$D$39,'Bill Credit Rates'!$B76,'Program Inputs'!$E$21:$E$39,'Bill Credit Rates'!F$4)</f>
        <v>0.1</v>
      </c>
      <c r="J76" s="33">
        <f>SUMIFS('Program Inputs'!$F$21:$F$39,'Program Inputs'!$C$21:$C$39,'Bill Credit Rates'!$A76,'Program Inputs'!$D$21:$D$39,'Bill Credit Rates'!$B76,'Program Inputs'!$E$21:$E$39,'Bill Credit Rates'!G$4)</f>
        <v>0.85</v>
      </c>
      <c r="K76" s="48">
        <f t="shared" si="6"/>
        <v>92.814999999999984</v>
      </c>
    </row>
    <row r="77" spans="1:11">
      <c r="A77" s="48" t="s">
        <v>12</v>
      </c>
      <c r="B77" s="48">
        <v>1</v>
      </c>
      <c r="C77" s="48">
        <v>6</v>
      </c>
      <c r="D77" s="48">
        <v>2024</v>
      </c>
      <c r="E77" s="48">
        <f>IF(OR($C77=0,AND($B77=2,$D77&lt;=2022)),SUMIFS('Program Inputs'!$I$21:$I$39,'Program Inputs'!$C$21:$C$39,'Bill Credit Rates'!$A77,'Program Inputs'!$D$21:$D$39,'Bill Credit Rates'!$B77,'Program Inputs'!$E$21:$E$39,'Bill Credit Rates'!E$4)*1000,E76*(1+SUMIFS($Q:$Q,$N:$N,$A77,$O:$O,$B77,$P:$P,E$4)))</f>
        <v>97.699999999999989</v>
      </c>
      <c r="F77" s="48">
        <f>IF(OR($C77=0,AND($B77=2,$D77&lt;=2022)),SUMIFS('Program Inputs'!$I$21:$I$39,'Program Inputs'!$C$21:$C$39,'Bill Credit Rates'!$A77,'Program Inputs'!$D$21:$D$39,'Bill Credit Rates'!$B77,'Program Inputs'!$E$21:$E$39,'Bill Credit Rates'!F$4)*1000,F76*(1+SUMIFS($Q:$Q,$N:$N,$A77,$O:$O,$B77,$P:$P,F$4)))</f>
        <v>97.699999999999989</v>
      </c>
      <c r="G77" s="48">
        <f>IF(OR($C77=0,AND($B77=2,$D77&lt;=2022)),SUMIFS('Program Inputs'!$I$21:$I$39,'Program Inputs'!$C$21:$C$39,'Bill Credit Rates'!$A77,'Program Inputs'!$D$21:$D$39,'Bill Credit Rates'!$B77,'Program Inputs'!$E$21:$E$39,'Bill Credit Rates'!G$4)*1000,G76*(1+SUMIFS($Q:$Q,$N:$N,$A77,$O:$O,$B77,$P:$P,G$4)))</f>
        <v>97.699999999999989</v>
      </c>
      <c r="H77" s="33">
        <f>SUMIFS('Program Inputs'!$F$21:$F$39,'Program Inputs'!$C$21:$C$39,'Bill Credit Rates'!$A77,'Program Inputs'!$D$21:$D$39,'Bill Credit Rates'!$B77,'Program Inputs'!$E$21:$E$39,'Bill Credit Rates'!E$4)</f>
        <v>0</v>
      </c>
      <c r="I77" s="33">
        <f>SUMIFS('Program Inputs'!$F$21:$F$39,'Program Inputs'!$C$21:$C$39,'Bill Credit Rates'!$A77,'Program Inputs'!$D$21:$D$39,'Bill Credit Rates'!$B77,'Program Inputs'!$E$21:$E$39,'Bill Credit Rates'!F$4)</f>
        <v>0.1</v>
      </c>
      <c r="J77" s="33">
        <f>SUMIFS('Program Inputs'!$F$21:$F$39,'Program Inputs'!$C$21:$C$39,'Bill Credit Rates'!$A77,'Program Inputs'!$D$21:$D$39,'Bill Credit Rates'!$B77,'Program Inputs'!$E$21:$E$39,'Bill Credit Rates'!G$4)</f>
        <v>0.85</v>
      </c>
      <c r="K77" s="48">
        <f t="shared" si="6"/>
        <v>92.814999999999984</v>
      </c>
    </row>
    <row r="78" spans="1:11">
      <c r="A78" s="48" t="s">
        <v>12</v>
      </c>
      <c r="B78" s="48">
        <v>1</v>
      </c>
      <c r="C78" s="48">
        <v>7</v>
      </c>
      <c r="D78" s="48">
        <v>2025</v>
      </c>
      <c r="E78" s="48">
        <f>IF(OR($C78=0,AND($B78=2,$D78&lt;=2022)),SUMIFS('Program Inputs'!$I$21:$I$39,'Program Inputs'!$C$21:$C$39,'Bill Credit Rates'!$A78,'Program Inputs'!$D$21:$D$39,'Bill Credit Rates'!$B78,'Program Inputs'!$E$21:$E$39,'Bill Credit Rates'!E$4)*1000,E77*(1+SUMIFS($Q:$Q,$N:$N,$A78,$O:$O,$B78,$P:$P,E$4)))</f>
        <v>97.699999999999989</v>
      </c>
      <c r="F78" s="48">
        <f>IF(OR($C78=0,AND($B78=2,$D78&lt;=2022)),SUMIFS('Program Inputs'!$I$21:$I$39,'Program Inputs'!$C$21:$C$39,'Bill Credit Rates'!$A78,'Program Inputs'!$D$21:$D$39,'Bill Credit Rates'!$B78,'Program Inputs'!$E$21:$E$39,'Bill Credit Rates'!F$4)*1000,F77*(1+SUMIFS($Q:$Q,$N:$N,$A78,$O:$O,$B78,$P:$P,F$4)))</f>
        <v>97.699999999999989</v>
      </c>
      <c r="G78" s="48">
        <f>IF(OR($C78=0,AND($B78=2,$D78&lt;=2022)),SUMIFS('Program Inputs'!$I$21:$I$39,'Program Inputs'!$C$21:$C$39,'Bill Credit Rates'!$A78,'Program Inputs'!$D$21:$D$39,'Bill Credit Rates'!$B78,'Program Inputs'!$E$21:$E$39,'Bill Credit Rates'!G$4)*1000,G77*(1+SUMIFS($Q:$Q,$N:$N,$A78,$O:$O,$B78,$P:$P,G$4)))</f>
        <v>97.699999999999989</v>
      </c>
      <c r="H78" s="33">
        <f>SUMIFS('Program Inputs'!$F$21:$F$39,'Program Inputs'!$C$21:$C$39,'Bill Credit Rates'!$A78,'Program Inputs'!$D$21:$D$39,'Bill Credit Rates'!$B78,'Program Inputs'!$E$21:$E$39,'Bill Credit Rates'!E$4)</f>
        <v>0</v>
      </c>
      <c r="I78" s="33">
        <f>SUMIFS('Program Inputs'!$F$21:$F$39,'Program Inputs'!$C$21:$C$39,'Bill Credit Rates'!$A78,'Program Inputs'!$D$21:$D$39,'Bill Credit Rates'!$B78,'Program Inputs'!$E$21:$E$39,'Bill Credit Rates'!F$4)</f>
        <v>0.1</v>
      </c>
      <c r="J78" s="33">
        <f>SUMIFS('Program Inputs'!$F$21:$F$39,'Program Inputs'!$C$21:$C$39,'Bill Credit Rates'!$A78,'Program Inputs'!$D$21:$D$39,'Bill Credit Rates'!$B78,'Program Inputs'!$E$21:$E$39,'Bill Credit Rates'!G$4)</f>
        <v>0.85</v>
      </c>
      <c r="K78" s="48">
        <f t="shared" si="6"/>
        <v>92.814999999999984</v>
      </c>
    </row>
    <row r="79" spans="1:11">
      <c r="A79" s="48" t="s">
        <v>12</v>
      </c>
      <c r="B79" s="48">
        <v>1</v>
      </c>
      <c r="C79" s="48">
        <v>8</v>
      </c>
      <c r="D79" s="48">
        <v>2026</v>
      </c>
      <c r="E79" s="48">
        <f>IF(OR($C79=0,AND($B79=2,$D79&lt;=2022)),SUMIFS('Program Inputs'!$I$21:$I$39,'Program Inputs'!$C$21:$C$39,'Bill Credit Rates'!$A79,'Program Inputs'!$D$21:$D$39,'Bill Credit Rates'!$B79,'Program Inputs'!$E$21:$E$39,'Bill Credit Rates'!E$4)*1000,E78*(1+SUMIFS($Q:$Q,$N:$N,$A79,$O:$O,$B79,$P:$P,E$4)))</f>
        <v>97.699999999999989</v>
      </c>
      <c r="F79" s="48">
        <f>IF(OR($C79=0,AND($B79=2,$D79&lt;=2022)),SUMIFS('Program Inputs'!$I$21:$I$39,'Program Inputs'!$C$21:$C$39,'Bill Credit Rates'!$A79,'Program Inputs'!$D$21:$D$39,'Bill Credit Rates'!$B79,'Program Inputs'!$E$21:$E$39,'Bill Credit Rates'!F$4)*1000,F78*(1+SUMIFS($Q:$Q,$N:$N,$A79,$O:$O,$B79,$P:$P,F$4)))</f>
        <v>97.699999999999989</v>
      </c>
      <c r="G79" s="48">
        <f>IF(OR($C79=0,AND($B79=2,$D79&lt;=2022)),SUMIFS('Program Inputs'!$I$21:$I$39,'Program Inputs'!$C$21:$C$39,'Bill Credit Rates'!$A79,'Program Inputs'!$D$21:$D$39,'Bill Credit Rates'!$B79,'Program Inputs'!$E$21:$E$39,'Bill Credit Rates'!G$4)*1000,G78*(1+SUMIFS($Q:$Q,$N:$N,$A79,$O:$O,$B79,$P:$P,G$4)))</f>
        <v>97.699999999999989</v>
      </c>
      <c r="H79" s="33">
        <f>SUMIFS('Program Inputs'!$F$21:$F$39,'Program Inputs'!$C$21:$C$39,'Bill Credit Rates'!$A79,'Program Inputs'!$D$21:$D$39,'Bill Credit Rates'!$B79,'Program Inputs'!$E$21:$E$39,'Bill Credit Rates'!E$4)</f>
        <v>0</v>
      </c>
      <c r="I79" s="33">
        <f>SUMIFS('Program Inputs'!$F$21:$F$39,'Program Inputs'!$C$21:$C$39,'Bill Credit Rates'!$A79,'Program Inputs'!$D$21:$D$39,'Bill Credit Rates'!$B79,'Program Inputs'!$E$21:$E$39,'Bill Credit Rates'!F$4)</f>
        <v>0.1</v>
      </c>
      <c r="J79" s="33">
        <f>SUMIFS('Program Inputs'!$F$21:$F$39,'Program Inputs'!$C$21:$C$39,'Bill Credit Rates'!$A79,'Program Inputs'!$D$21:$D$39,'Bill Credit Rates'!$B79,'Program Inputs'!$E$21:$E$39,'Bill Credit Rates'!G$4)</f>
        <v>0.85</v>
      </c>
      <c r="K79" s="48">
        <f t="shared" si="6"/>
        <v>92.814999999999984</v>
      </c>
    </row>
    <row r="80" spans="1:11">
      <c r="A80" s="48" t="s">
        <v>12</v>
      </c>
      <c r="B80" s="48">
        <v>1</v>
      </c>
      <c r="C80" s="48">
        <v>9</v>
      </c>
      <c r="D80" s="48">
        <v>2027</v>
      </c>
      <c r="E80" s="48">
        <f>IF(OR($C80=0,AND($B80=2,$D80&lt;=2022)),SUMIFS('Program Inputs'!$I$21:$I$39,'Program Inputs'!$C$21:$C$39,'Bill Credit Rates'!$A80,'Program Inputs'!$D$21:$D$39,'Bill Credit Rates'!$B80,'Program Inputs'!$E$21:$E$39,'Bill Credit Rates'!E$4)*1000,E79*(1+SUMIFS($Q:$Q,$N:$N,$A80,$O:$O,$B80,$P:$P,E$4)))</f>
        <v>97.699999999999989</v>
      </c>
      <c r="F80" s="48">
        <f>IF(OR($C80=0,AND($B80=2,$D80&lt;=2022)),SUMIFS('Program Inputs'!$I$21:$I$39,'Program Inputs'!$C$21:$C$39,'Bill Credit Rates'!$A80,'Program Inputs'!$D$21:$D$39,'Bill Credit Rates'!$B80,'Program Inputs'!$E$21:$E$39,'Bill Credit Rates'!F$4)*1000,F79*(1+SUMIFS($Q:$Q,$N:$N,$A80,$O:$O,$B80,$P:$P,F$4)))</f>
        <v>97.699999999999989</v>
      </c>
      <c r="G80" s="48">
        <f>IF(OR($C80=0,AND($B80=2,$D80&lt;=2022)),SUMIFS('Program Inputs'!$I$21:$I$39,'Program Inputs'!$C$21:$C$39,'Bill Credit Rates'!$A80,'Program Inputs'!$D$21:$D$39,'Bill Credit Rates'!$B80,'Program Inputs'!$E$21:$E$39,'Bill Credit Rates'!G$4)*1000,G79*(1+SUMIFS($Q:$Q,$N:$N,$A80,$O:$O,$B80,$P:$P,G$4)))</f>
        <v>97.699999999999989</v>
      </c>
      <c r="H80" s="33">
        <f>SUMIFS('Program Inputs'!$F$21:$F$39,'Program Inputs'!$C$21:$C$39,'Bill Credit Rates'!$A80,'Program Inputs'!$D$21:$D$39,'Bill Credit Rates'!$B80,'Program Inputs'!$E$21:$E$39,'Bill Credit Rates'!E$4)</f>
        <v>0</v>
      </c>
      <c r="I80" s="33">
        <f>SUMIFS('Program Inputs'!$F$21:$F$39,'Program Inputs'!$C$21:$C$39,'Bill Credit Rates'!$A80,'Program Inputs'!$D$21:$D$39,'Bill Credit Rates'!$B80,'Program Inputs'!$E$21:$E$39,'Bill Credit Rates'!F$4)</f>
        <v>0.1</v>
      </c>
      <c r="J80" s="33">
        <f>SUMIFS('Program Inputs'!$F$21:$F$39,'Program Inputs'!$C$21:$C$39,'Bill Credit Rates'!$A80,'Program Inputs'!$D$21:$D$39,'Bill Credit Rates'!$B80,'Program Inputs'!$E$21:$E$39,'Bill Credit Rates'!G$4)</f>
        <v>0.85</v>
      </c>
      <c r="K80" s="48">
        <f t="shared" si="6"/>
        <v>92.814999999999984</v>
      </c>
    </row>
    <row r="81" spans="1:11">
      <c r="A81" s="48" t="s">
        <v>12</v>
      </c>
      <c r="B81" s="48">
        <v>1</v>
      </c>
      <c r="C81" s="48">
        <v>10</v>
      </c>
      <c r="D81" s="48">
        <v>2028</v>
      </c>
      <c r="E81" s="48">
        <f>IF(OR($C81=0,AND($B81=2,$D81&lt;=2022)),SUMIFS('Program Inputs'!$I$21:$I$39,'Program Inputs'!$C$21:$C$39,'Bill Credit Rates'!$A81,'Program Inputs'!$D$21:$D$39,'Bill Credit Rates'!$B81,'Program Inputs'!$E$21:$E$39,'Bill Credit Rates'!E$4)*1000,E80*(1+SUMIFS($Q:$Q,$N:$N,$A81,$O:$O,$B81,$P:$P,E$4)))</f>
        <v>97.699999999999989</v>
      </c>
      <c r="F81" s="48">
        <f>IF(OR($C81=0,AND($B81=2,$D81&lt;=2022)),SUMIFS('Program Inputs'!$I$21:$I$39,'Program Inputs'!$C$21:$C$39,'Bill Credit Rates'!$A81,'Program Inputs'!$D$21:$D$39,'Bill Credit Rates'!$B81,'Program Inputs'!$E$21:$E$39,'Bill Credit Rates'!F$4)*1000,F80*(1+SUMIFS($Q:$Q,$N:$N,$A81,$O:$O,$B81,$P:$P,F$4)))</f>
        <v>97.699999999999989</v>
      </c>
      <c r="G81" s="48">
        <f>IF(OR($C81=0,AND($B81=2,$D81&lt;=2022)),SUMIFS('Program Inputs'!$I$21:$I$39,'Program Inputs'!$C$21:$C$39,'Bill Credit Rates'!$A81,'Program Inputs'!$D$21:$D$39,'Bill Credit Rates'!$B81,'Program Inputs'!$E$21:$E$39,'Bill Credit Rates'!G$4)*1000,G80*(1+SUMIFS($Q:$Q,$N:$N,$A81,$O:$O,$B81,$P:$P,G$4)))</f>
        <v>97.699999999999989</v>
      </c>
      <c r="H81" s="33">
        <f>SUMIFS('Program Inputs'!$F$21:$F$39,'Program Inputs'!$C$21:$C$39,'Bill Credit Rates'!$A81,'Program Inputs'!$D$21:$D$39,'Bill Credit Rates'!$B81,'Program Inputs'!$E$21:$E$39,'Bill Credit Rates'!E$4)</f>
        <v>0</v>
      </c>
      <c r="I81" s="33">
        <f>SUMIFS('Program Inputs'!$F$21:$F$39,'Program Inputs'!$C$21:$C$39,'Bill Credit Rates'!$A81,'Program Inputs'!$D$21:$D$39,'Bill Credit Rates'!$B81,'Program Inputs'!$E$21:$E$39,'Bill Credit Rates'!F$4)</f>
        <v>0.1</v>
      </c>
      <c r="J81" s="33">
        <f>SUMIFS('Program Inputs'!$F$21:$F$39,'Program Inputs'!$C$21:$C$39,'Bill Credit Rates'!$A81,'Program Inputs'!$D$21:$D$39,'Bill Credit Rates'!$B81,'Program Inputs'!$E$21:$E$39,'Bill Credit Rates'!G$4)</f>
        <v>0.85</v>
      </c>
      <c r="K81" s="48">
        <f t="shared" si="6"/>
        <v>92.814999999999984</v>
      </c>
    </row>
    <row r="82" spans="1:11">
      <c r="A82" s="48" t="s">
        <v>12</v>
      </c>
      <c r="B82" s="48">
        <v>1</v>
      </c>
      <c r="C82" s="48">
        <v>11</v>
      </c>
      <c r="D82" s="48">
        <v>2029</v>
      </c>
      <c r="E82" s="48">
        <f>IF(OR($C82=0,AND($B82=2,$D82&lt;=2022)),SUMIFS('Program Inputs'!$I$21:$I$39,'Program Inputs'!$C$21:$C$39,'Bill Credit Rates'!$A82,'Program Inputs'!$D$21:$D$39,'Bill Credit Rates'!$B82,'Program Inputs'!$E$21:$E$39,'Bill Credit Rates'!E$4)*1000,E81*(1+SUMIFS($Q:$Q,$N:$N,$A82,$O:$O,$B82,$P:$P,E$4)))</f>
        <v>97.699999999999989</v>
      </c>
      <c r="F82" s="48">
        <f>IF(OR($C82=0,AND($B82=2,$D82&lt;=2022)),SUMIFS('Program Inputs'!$I$21:$I$39,'Program Inputs'!$C$21:$C$39,'Bill Credit Rates'!$A82,'Program Inputs'!$D$21:$D$39,'Bill Credit Rates'!$B82,'Program Inputs'!$E$21:$E$39,'Bill Credit Rates'!F$4)*1000,F81*(1+SUMIFS($Q:$Q,$N:$N,$A82,$O:$O,$B82,$P:$P,F$4)))</f>
        <v>97.699999999999989</v>
      </c>
      <c r="G82" s="48">
        <f>IF(OR($C82=0,AND($B82=2,$D82&lt;=2022)),SUMIFS('Program Inputs'!$I$21:$I$39,'Program Inputs'!$C$21:$C$39,'Bill Credit Rates'!$A82,'Program Inputs'!$D$21:$D$39,'Bill Credit Rates'!$B82,'Program Inputs'!$E$21:$E$39,'Bill Credit Rates'!G$4)*1000,G81*(1+SUMIFS($Q:$Q,$N:$N,$A82,$O:$O,$B82,$P:$P,G$4)))</f>
        <v>97.699999999999989</v>
      </c>
      <c r="H82" s="33">
        <f>SUMIFS('Program Inputs'!$F$21:$F$39,'Program Inputs'!$C$21:$C$39,'Bill Credit Rates'!$A82,'Program Inputs'!$D$21:$D$39,'Bill Credit Rates'!$B82,'Program Inputs'!$E$21:$E$39,'Bill Credit Rates'!E$4)</f>
        <v>0</v>
      </c>
      <c r="I82" s="33">
        <f>SUMIFS('Program Inputs'!$F$21:$F$39,'Program Inputs'!$C$21:$C$39,'Bill Credit Rates'!$A82,'Program Inputs'!$D$21:$D$39,'Bill Credit Rates'!$B82,'Program Inputs'!$E$21:$E$39,'Bill Credit Rates'!F$4)</f>
        <v>0.1</v>
      </c>
      <c r="J82" s="33">
        <f>SUMIFS('Program Inputs'!$F$21:$F$39,'Program Inputs'!$C$21:$C$39,'Bill Credit Rates'!$A82,'Program Inputs'!$D$21:$D$39,'Bill Credit Rates'!$B82,'Program Inputs'!$E$21:$E$39,'Bill Credit Rates'!G$4)</f>
        <v>0.85</v>
      </c>
      <c r="K82" s="48">
        <f t="shared" si="6"/>
        <v>92.814999999999984</v>
      </c>
    </row>
    <row r="83" spans="1:11">
      <c r="A83" s="48" t="s">
        <v>12</v>
      </c>
      <c r="B83" s="48">
        <v>1</v>
      </c>
      <c r="C83" s="48">
        <v>12</v>
      </c>
      <c r="D83" s="48">
        <v>2030</v>
      </c>
      <c r="E83" s="48">
        <f>IF(OR($C83=0,AND($B83=2,$D83&lt;=2022)),SUMIFS('Program Inputs'!$I$21:$I$39,'Program Inputs'!$C$21:$C$39,'Bill Credit Rates'!$A83,'Program Inputs'!$D$21:$D$39,'Bill Credit Rates'!$B83,'Program Inputs'!$E$21:$E$39,'Bill Credit Rates'!E$4)*1000,E82*(1+SUMIFS($Q:$Q,$N:$N,$A83,$O:$O,$B83,$P:$P,E$4)))</f>
        <v>97.699999999999989</v>
      </c>
      <c r="F83" s="48">
        <f>IF(OR($C83=0,AND($B83=2,$D83&lt;=2022)),SUMIFS('Program Inputs'!$I$21:$I$39,'Program Inputs'!$C$21:$C$39,'Bill Credit Rates'!$A83,'Program Inputs'!$D$21:$D$39,'Bill Credit Rates'!$B83,'Program Inputs'!$E$21:$E$39,'Bill Credit Rates'!F$4)*1000,F82*(1+SUMIFS($Q:$Q,$N:$N,$A83,$O:$O,$B83,$P:$P,F$4)))</f>
        <v>97.699999999999989</v>
      </c>
      <c r="G83" s="48">
        <f>IF(OR($C83=0,AND($B83=2,$D83&lt;=2022)),SUMIFS('Program Inputs'!$I$21:$I$39,'Program Inputs'!$C$21:$C$39,'Bill Credit Rates'!$A83,'Program Inputs'!$D$21:$D$39,'Bill Credit Rates'!$B83,'Program Inputs'!$E$21:$E$39,'Bill Credit Rates'!G$4)*1000,G82*(1+SUMIFS($Q:$Q,$N:$N,$A83,$O:$O,$B83,$P:$P,G$4)))</f>
        <v>97.699999999999989</v>
      </c>
      <c r="H83" s="33">
        <f>SUMIFS('Program Inputs'!$F$21:$F$39,'Program Inputs'!$C$21:$C$39,'Bill Credit Rates'!$A83,'Program Inputs'!$D$21:$D$39,'Bill Credit Rates'!$B83,'Program Inputs'!$E$21:$E$39,'Bill Credit Rates'!E$4)</f>
        <v>0</v>
      </c>
      <c r="I83" s="33">
        <f>SUMIFS('Program Inputs'!$F$21:$F$39,'Program Inputs'!$C$21:$C$39,'Bill Credit Rates'!$A83,'Program Inputs'!$D$21:$D$39,'Bill Credit Rates'!$B83,'Program Inputs'!$E$21:$E$39,'Bill Credit Rates'!F$4)</f>
        <v>0.1</v>
      </c>
      <c r="J83" s="33">
        <f>SUMIFS('Program Inputs'!$F$21:$F$39,'Program Inputs'!$C$21:$C$39,'Bill Credit Rates'!$A83,'Program Inputs'!$D$21:$D$39,'Bill Credit Rates'!$B83,'Program Inputs'!$E$21:$E$39,'Bill Credit Rates'!G$4)</f>
        <v>0.85</v>
      </c>
      <c r="K83" s="48">
        <f t="shared" si="6"/>
        <v>92.814999999999984</v>
      </c>
    </row>
    <row r="84" spans="1:11">
      <c r="A84" s="48" t="s">
        <v>12</v>
      </c>
      <c r="B84" s="48">
        <v>1</v>
      </c>
      <c r="C84" s="48">
        <v>13</v>
      </c>
      <c r="D84" s="48">
        <v>2031</v>
      </c>
      <c r="E84" s="48">
        <f>IF(OR($C84=0,AND($B84=2,$D84&lt;=2022)),SUMIFS('Program Inputs'!$I$21:$I$39,'Program Inputs'!$C$21:$C$39,'Bill Credit Rates'!$A84,'Program Inputs'!$D$21:$D$39,'Bill Credit Rates'!$B84,'Program Inputs'!$E$21:$E$39,'Bill Credit Rates'!E$4)*1000,E83*(1+SUMIFS($Q:$Q,$N:$N,$A84,$O:$O,$B84,$P:$P,E$4)))</f>
        <v>97.699999999999989</v>
      </c>
      <c r="F84" s="48">
        <f>IF(OR($C84=0,AND($B84=2,$D84&lt;=2022)),SUMIFS('Program Inputs'!$I$21:$I$39,'Program Inputs'!$C$21:$C$39,'Bill Credit Rates'!$A84,'Program Inputs'!$D$21:$D$39,'Bill Credit Rates'!$B84,'Program Inputs'!$E$21:$E$39,'Bill Credit Rates'!F$4)*1000,F83*(1+SUMIFS($Q:$Q,$N:$N,$A84,$O:$O,$B84,$P:$P,F$4)))</f>
        <v>97.699999999999989</v>
      </c>
      <c r="G84" s="48">
        <f>IF(OR($C84=0,AND($B84=2,$D84&lt;=2022)),SUMIFS('Program Inputs'!$I$21:$I$39,'Program Inputs'!$C$21:$C$39,'Bill Credit Rates'!$A84,'Program Inputs'!$D$21:$D$39,'Bill Credit Rates'!$B84,'Program Inputs'!$E$21:$E$39,'Bill Credit Rates'!G$4)*1000,G83*(1+SUMIFS($Q:$Q,$N:$N,$A84,$O:$O,$B84,$P:$P,G$4)))</f>
        <v>97.699999999999989</v>
      </c>
      <c r="H84" s="33">
        <f>SUMIFS('Program Inputs'!$F$21:$F$39,'Program Inputs'!$C$21:$C$39,'Bill Credit Rates'!$A84,'Program Inputs'!$D$21:$D$39,'Bill Credit Rates'!$B84,'Program Inputs'!$E$21:$E$39,'Bill Credit Rates'!E$4)</f>
        <v>0</v>
      </c>
      <c r="I84" s="33">
        <f>SUMIFS('Program Inputs'!$F$21:$F$39,'Program Inputs'!$C$21:$C$39,'Bill Credit Rates'!$A84,'Program Inputs'!$D$21:$D$39,'Bill Credit Rates'!$B84,'Program Inputs'!$E$21:$E$39,'Bill Credit Rates'!F$4)</f>
        <v>0.1</v>
      </c>
      <c r="J84" s="33">
        <f>SUMIFS('Program Inputs'!$F$21:$F$39,'Program Inputs'!$C$21:$C$39,'Bill Credit Rates'!$A84,'Program Inputs'!$D$21:$D$39,'Bill Credit Rates'!$B84,'Program Inputs'!$E$21:$E$39,'Bill Credit Rates'!G$4)</f>
        <v>0.85</v>
      </c>
      <c r="K84" s="48">
        <f t="shared" si="6"/>
        <v>92.814999999999984</v>
      </c>
    </row>
    <row r="85" spans="1:11">
      <c r="A85" s="48" t="s">
        <v>12</v>
      </c>
      <c r="B85" s="48">
        <v>1</v>
      </c>
      <c r="C85" s="48">
        <v>14</v>
      </c>
      <c r="D85" s="48">
        <v>2032</v>
      </c>
      <c r="E85" s="48">
        <f>IF(OR($C85=0,AND($B85=2,$D85&lt;=2022)),SUMIFS('Program Inputs'!$I$21:$I$39,'Program Inputs'!$C$21:$C$39,'Bill Credit Rates'!$A85,'Program Inputs'!$D$21:$D$39,'Bill Credit Rates'!$B85,'Program Inputs'!$E$21:$E$39,'Bill Credit Rates'!E$4)*1000,E84*(1+SUMIFS($Q:$Q,$N:$N,$A85,$O:$O,$B85,$P:$P,E$4)))</f>
        <v>97.699999999999989</v>
      </c>
      <c r="F85" s="48">
        <f>IF(OR($C85=0,AND($B85=2,$D85&lt;=2022)),SUMIFS('Program Inputs'!$I$21:$I$39,'Program Inputs'!$C$21:$C$39,'Bill Credit Rates'!$A85,'Program Inputs'!$D$21:$D$39,'Bill Credit Rates'!$B85,'Program Inputs'!$E$21:$E$39,'Bill Credit Rates'!F$4)*1000,F84*(1+SUMIFS($Q:$Q,$N:$N,$A85,$O:$O,$B85,$P:$P,F$4)))</f>
        <v>97.699999999999989</v>
      </c>
      <c r="G85" s="48">
        <f>IF(OR($C85=0,AND($B85=2,$D85&lt;=2022)),SUMIFS('Program Inputs'!$I$21:$I$39,'Program Inputs'!$C$21:$C$39,'Bill Credit Rates'!$A85,'Program Inputs'!$D$21:$D$39,'Bill Credit Rates'!$B85,'Program Inputs'!$E$21:$E$39,'Bill Credit Rates'!G$4)*1000,G84*(1+SUMIFS($Q:$Q,$N:$N,$A85,$O:$O,$B85,$P:$P,G$4)))</f>
        <v>97.699999999999989</v>
      </c>
      <c r="H85" s="33">
        <f>SUMIFS('Program Inputs'!$F$21:$F$39,'Program Inputs'!$C$21:$C$39,'Bill Credit Rates'!$A85,'Program Inputs'!$D$21:$D$39,'Bill Credit Rates'!$B85,'Program Inputs'!$E$21:$E$39,'Bill Credit Rates'!E$4)</f>
        <v>0</v>
      </c>
      <c r="I85" s="33">
        <f>SUMIFS('Program Inputs'!$F$21:$F$39,'Program Inputs'!$C$21:$C$39,'Bill Credit Rates'!$A85,'Program Inputs'!$D$21:$D$39,'Bill Credit Rates'!$B85,'Program Inputs'!$E$21:$E$39,'Bill Credit Rates'!F$4)</f>
        <v>0.1</v>
      </c>
      <c r="J85" s="33">
        <f>SUMIFS('Program Inputs'!$F$21:$F$39,'Program Inputs'!$C$21:$C$39,'Bill Credit Rates'!$A85,'Program Inputs'!$D$21:$D$39,'Bill Credit Rates'!$B85,'Program Inputs'!$E$21:$E$39,'Bill Credit Rates'!G$4)</f>
        <v>0.85</v>
      </c>
      <c r="K85" s="48">
        <f t="shared" si="6"/>
        <v>92.814999999999984</v>
      </c>
    </row>
    <row r="86" spans="1:11">
      <c r="A86" s="48" t="s">
        <v>12</v>
      </c>
      <c r="B86" s="48">
        <v>1</v>
      </c>
      <c r="C86" s="48">
        <v>15</v>
      </c>
      <c r="D86" s="48">
        <v>2033</v>
      </c>
      <c r="E86" s="48">
        <f>IF(OR($C86=0,AND($B86=2,$D86&lt;=2022)),SUMIFS('Program Inputs'!$I$21:$I$39,'Program Inputs'!$C$21:$C$39,'Bill Credit Rates'!$A86,'Program Inputs'!$D$21:$D$39,'Bill Credit Rates'!$B86,'Program Inputs'!$E$21:$E$39,'Bill Credit Rates'!E$4)*1000,E85*(1+SUMIFS($Q:$Q,$N:$N,$A86,$O:$O,$B86,$P:$P,E$4)))</f>
        <v>97.699999999999989</v>
      </c>
      <c r="F86" s="48">
        <f>IF(OR($C86=0,AND($B86=2,$D86&lt;=2022)),SUMIFS('Program Inputs'!$I$21:$I$39,'Program Inputs'!$C$21:$C$39,'Bill Credit Rates'!$A86,'Program Inputs'!$D$21:$D$39,'Bill Credit Rates'!$B86,'Program Inputs'!$E$21:$E$39,'Bill Credit Rates'!F$4)*1000,F85*(1+SUMIFS($Q:$Q,$N:$N,$A86,$O:$O,$B86,$P:$P,F$4)))</f>
        <v>97.699999999999989</v>
      </c>
      <c r="G86" s="48">
        <f>IF(OR($C86=0,AND($B86=2,$D86&lt;=2022)),SUMIFS('Program Inputs'!$I$21:$I$39,'Program Inputs'!$C$21:$C$39,'Bill Credit Rates'!$A86,'Program Inputs'!$D$21:$D$39,'Bill Credit Rates'!$B86,'Program Inputs'!$E$21:$E$39,'Bill Credit Rates'!G$4)*1000,G85*(1+SUMIFS($Q:$Q,$N:$N,$A86,$O:$O,$B86,$P:$P,G$4)))</f>
        <v>97.699999999999989</v>
      </c>
      <c r="H86" s="33">
        <f>SUMIFS('Program Inputs'!$F$21:$F$39,'Program Inputs'!$C$21:$C$39,'Bill Credit Rates'!$A86,'Program Inputs'!$D$21:$D$39,'Bill Credit Rates'!$B86,'Program Inputs'!$E$21:$E$39,'Bill Credit Rates'!E$4)</f>
        <v>0</v>
      </c>
      <c r="I86" s="33">
        <f>SUMIFS('Program Inputs'!$F$21:$F$39,'Program Inputs'!$C$21:$C$39,'Bill Credit Rates'!$A86,'Program Inputs'!$D$21:$D$39,'Bill Credit Rates'!$B86,'Program Inputs'!$E$21:$E$39,'Bill Credit Rates'!F$4)</f>
        <v>0.1</v>
      </c>
      <c r="J86" s="33">
        <f>SUMIFS('Program Inputs'!$F$21:$F$39,'Program Inputs'!$C$21:$C$39,'Bill Credit Rates'!$A86,'Program Inputs'!$D$21:$D$39,'Bill Credit Rates'!$B86,'Program Inputs'!$E$21:$E$39,'Bill Credit Rates'!G$4)</f>
        <v>0.85</v>
      </c>
      <c r="K86" s="48">
        <f t="shared" si="6"/>
        <v>92.814999999999984</v>
      </c>
    </row>
    <row r="87" spans="1:11">
      <c r="A87" s="48" t="s">
        <v>12</v>
      </c>
      <c r="B87" s="48">
        <v>1</v>
      </c>
      <c r="C87" s="48">
        <v>16</v>
      </c>
      <c r="D87" s="48">
        <v>2034</v>
      </c>
      <c r="E87" s="48">
        <f>IF(OR($C87=0,AND($B87=2,$D87&lt;=2022)),SUMIFS('Program Inputs'!$I$21:$I$39,'Program Inputs'!$C$21:$C$39,'Bill Credit Rates'!$A87,'Program Inputs'!$D$21:$D$39,'Bill Credit Rates'!$B87,'Program Inputs'!$E$21:$E$39,'Bill Credit Rates'!E$4)*1000,E86*(1+SUMIFS($Q:$Q,$N:$N,$A87,$O:$O,$B87,$P:$P,E$4)))</f>
        <v>97.699999999999989</v>
      </c>
      <c r="F87" s="48">
        <f>IF(OR($C87=0,AND($B87=2,$D87&lt;=2022)),SUMIFS('Program Inputs'!$I$21:$I$39,'Program Inputs'!$C$21:$C$39,'Bill Credit Rates'!$A87,'Program Inputs'!$D$21:$D$39,'Bill Credit Rates'!$B87,'Program Inputs'!$E$21:$E$39,'Bill Credit Rates'!F$4)*1000,F86*(1+SUMIFS($Q:$Q,$N:$N,$A87,$O:$O,$B87,$P:$P,F$4)))</f>
        <v>97.699999999999989</v>
      </c>
      <c r="G87" s="48">
        <f>IF(OR($C87=0,AND($B87=2,$D87&lt;=2022)),SUMIFS('Program Inputs'!$I$21:$I$39,'Program Inputs'!$C$21:$C$39,'Bill Credit Rates'!$A87,'Program Inputs'!$D$21:$D$39,'Bill Credit Rates'!$B87,'Program Inputs'!$E$21:$E$39,'Bill Credit Rates'!G$4)*1000,G86*(1+SUMIFS($Q:$Q,$N:$N,$A87,$O:$O,$B87,$P:$P,G$4)))</f>
        <v>97.699999999999989</v>
      </c>
      <c r="H87" s="33">
        <f>SUMIFS('Program Inputs'!$F$21:$F$39,'Program Inputs'!$C$21:$C$39,'Bill Credit Rates'!$A87,'Program Inputs'!$D$21:$D$39,'Bill Credit Rates'!$B87,'Program Inputs'!$E$21:$E$39,'Bill Credit Rates'!E$4)</f>
        <v>0</v>
      </c>
      <c r="I87" s="33">
        <f>SUMIFS('Program Inputs'!$F$21:$F$39,'Program Inputs'!$C$21:$C$39,'Bill Credit Rates'!$A87,'Program Inputs'!$D$21:$D$39,'Bill Credit Rates'!$B87,'Program Inputs'!$E$21:$E$39,'Bill Credit Rates'!F$4)</f>
        <v>0.1</v>
      </c>
      <c r="J87" s="33">
        <f>SUMIFS('Program Inputs'!$F$21:$F$39,'Program Inputs'!$C$21:$C$39,'Bill Credit Rates'!$A87,'Program Inputs'!$D$21:$D$39,'Bill Credit Rates'!$B87,'Program Inputs'!$E$21:$E$39,'Bill Credit Rates'!G$4)</f>
        <v>0.85</v>
      </c>
      <c r="K87" s="48">
        <f t="shared" si="6"/>
        <v>92.814999999999984</v>
      </c>
    </row>
    <row r="88" spans="1:11">
      <c r="A88" s="48" t="s">
        <v>12</v>
      </c>
      <c r="B88" s="48">
        <v>1</v>
      </c>
      <c r="C88" s="48">
        <v>17</v>
      </c>
      <c r="D88" s="48">
        <v>2035</v>
      </c>
      <c r="E88" s="48">
        <f>IF(OR($C88=0,AND($B88=2,$D88&lt;=2022)),SUMIFS('Program Inputs'!$I$21:$I$39,'Program Inputs'!$C$21:$C$39,'Bill Credit Rates'!$A88,'Program Inputs'!$D$21:$D$39,'Bill Credit Rates'!$B88,'Program Inputs'!$E$21:$E$39,'Bill Credit Rates'!E$4)*1000,E87*(1+SUMIFS($Q:$Q,$N:$N,$A88,$O:$O,$B88,$P:$P,E$4)))</f>
        <v>97.699999999999989</v>
      </c>
      <c r="F88" s="48">
        <f>IF(OR($C88=0,AND($B88=2,$D88&lt;=2022)),SUMIFS('Program Inputs'!$I$21:$I$39,'Program Inputs'!$C$21:$C$39,'Bill Credit Rates'!$A88,'Program Inputs'!$D$21:$D$39,'Bill Credit Rates'!$B88,'Program Inputs'!$E$21:$E$39,'Bill Credit Rates'!F$4)*1000,F87*(1+SUMIFS($Q:$Q,$N:$N,$A88,$O:$O,$B88,$P:$P,F$4)))</f>
        <v>97.699999999999989</v>
      </c>
      <c r="G88" s="48">
        <f>IF(OR($C88=0,AND($B88=2,$D88&lt;=2022)),SUMIFS('Program Inputs'!$I$21:$I$39,'Program Inputs'!$C$21:$C$39,'Bill Credit Rates'!$A88,'Program Inputs'!$D$21:$D$39,'Bill Credit Rates'!$B88,'Program Inputs'!$E$21:$E$39,'Bill Credit Rates'!G$4)*1000,G87*(1+SUMIFS($Q:$Q,$N:$N,$A88,$O:$O,$B88,$P:$P,G$4)))</f>
        <v>97.699999999999989</v>
      </c>
      <c r="H88" s="33">
        <f>SUMIFS('Program Inputs'!$F$21:$F$39,'Program Inputs'!$C$21:$C$39,'Bill Credit Rates'!$A88,'Program Inputs'!$D$21:$D$39,'Bill Credit Rates'!$B88,'Program Inputs'!$E$21:$E$39,'Bill Credit Rates'!E$4)</f>
        <v>0</v>
      </c>
      <c r="I88" s="33">
        <f>SUMIFS('Program Inputs'!$F$21:$F$39,'Program Inputs'!$C$21:$C$39,'Bill Credit Rates'!$A88,'Program Inputs'!$D$21:$D$39,'Bill Credit Rates'!$B88,'Program Inputs'!$E$21:$E$39,'Bill Credit Rates'!F$4)</f>
        <v>0.1</v>
      </c>
      <c r="J88" s="33">
        <f>SUMIFS('Program Inputs'!$F$21:$F$39,'Program Inputs'!$C$21:$C$39,'Bill Credit Rates'!$A88,'Program Inputs'!$D$21:$D$39,'Bill Credit Rates'!$B88,'Program Inputs'!$E$21:$E$39,'Bill Credit Rates'!G$4)</f>
        <v>0.85</v>
      </c>
      <c r="K88" s="48">
        <f t="shared" si="6"/>
        <v>92.814999999999984</v>
      </c>
    </row>
    <row r="89" spans="1:11">
      <c r="A89" s="48" t="s">
        <v>12</v>
      </c>
      <c r="B89" s="48">
        <v>1</v>
      </c>
      <c r="C89" s="48">
        <v>18</v>
      </c>
      <c r="D89" s="48">
        <v>2036</v>
      </c>
      <c r="E89" s="48">
        <f>IF(OR($C89=0,AND($B89=2,$D89&lt;=2022)),SUMIFS('Program Inputs'!$I$21:$I$39,'Program Inputs'!$C$21:$C$39,'Bill Credit Rates'!$A89,'Program Inputs'!$D$21:$D$39,'Bill Credit Rates'!$B89,'Program Inputs'!$E$21:$E$39,'Bill Credit Rates'!E$4)*1000,E88*(1+SUMIFS($Q:$Q,$N:$N,$A89,$O:$O,$B89,$P:$P,E$4)))</f>
        <v>97.699999999999989</v>
      </c>
      <c r="F89" s="48">
        <f>IF(OR($C89=0,AND($B89=2,$D89&lt;=2022)),SUMIFS('Program Inputs'!$I$21:$I$39,'Program Inputs'!$C$21:$C$39,'Bill Credit Rates'!$A89,'Program Inputs'!$D$21:$D$39,'Bill Credit Rates'!$B89,'Program Inputs'!$E$21:$E$39,'Bill Credit Rates'!F$4)*1000,F88*(1+SUMIFS($Q:$Q,$N:$N,$A89,$O:$O,$B89,$P:$P,F$4)))</f>
        <v>97.699999999999989</v>
      </c>
      <c r="G89" s="48">
        <f>IF(OR($C89=0,AND($B89=2,$D89&lt;=2022)),SUMIFS('Program Inputs'!$I$21:$I$39,'Program Inputs'!$C$21:$C$39,'Bill Credit Rates'!$A89,'Program Inputs'!$D$21:$D$39,'Bill Credit Rates'!$B89,'Program Inputs'!$E$21:$E$39,'Bill Credit Rates'!G$4)*1000,G88*(1+SUMIFS($Q:$Q,$N:$N,$A89,$O:$O,$B89,$P:$P,G$4)))</f>
        <v>97.699999999999989</v>
      </c>
      <c r="H89" s="33">
        <f>SUMIFS('Program Inputs'!$F$21:$F$39,'Program Inputs'!$C$21:$C$39,'Bill Credit Rates'!$A89,'Program Inputs'!$D$21:$D$39,'Bill Credit Rates'!$B89,'Program Inputs'!$E$21:$E$39,'Bill Credit Rates'!E$4)</f>
        <v>0</v>
      </c>
      <c r="I89" s="33">
        <f>SUMIFS('Program Inputs'!$F$21:$F$39,'Program Inputs'!$C$21:$C$39,'Bill Credit Rates'!$A89,'Program Inputs'!$D$21:$D$39,'Bill Credit Rates'!$B89,'Program Inputs'!$E$21:$E$39,'Bill Credit Rates'!F$4)</f>
        <v>0.1</v>
      </c>
      <c r="J89" s="33">
        <f>SUMIFS('Program Inputs'!$F$21:$F$39,'Program Inputs'!$C$21:$C$39,'Bill Credit Rates'!$A89,'Program Inputs'!$D$21:$D$39,'Bill Credit Rates'!$B89,'Program Inputs'!$E$21:$E$39,'Bill Credit Rates'!G$4)</f>
        <v>0.85</v>
      </c>
      <c r="K89" s="48">
        <f t="shared" si="6"/>
        <v>92.814999999999984</v>
      </c>
    </row>
    <row r="90" spans="1:11">
      <c r="A90" s="48" t="s">
        <v>12</v>
      </c>
      <c r="B90" s="48">
        <v>1</v>
      </c>
      <c r="C90" s="48">
        <v>19</v>
      </c>
      <c r="D90" s="48">
        <v>2037</v>
      </c>
      <c r="E90" s="48">
        <f>IF(OR($C90=0,AND($B90=2,$D90&lt;=2022)),SUMIFS('Program Inputs'!$I$21:$I$39,'Program Inputs'!$C$21:$C$39,'Bill Credit Rates'!$A90,'Program Inputs'!$D$21:$D$39,'Bill Credit Rates'!$B90,'Program Inputs'!$E$21:$E$39,'Bill Credit Rates'!E$4)*1000,E89*(1+SUMIFS($Q:$Q,$N:$N,$A90,$O:$O,$B90,$P:$P,E$4)))</f>
        <v>97.699999999999989</v>
      </c>
      <c r="F90" s="48">
        <f>IF(OR($C90=0,AND($B90=2,$D90&lt;=2022)),SUMIFS('Program Inputs'!$I$21:$I$39,'Program Inputs'!$C$21:$C$39,'Bill Credit Rates'!$A90,'Program Inputs'!$D$21:$D$39,'Bill Credit Rates'!$B90,'Program Inputs'!$E$21:$E$39,'Bill Credit Rates'!F$4)*1000,F89*(1+SUMIFS($Q:$Q,$N:$N,$A90,$O:$O,$B90,$P:$P,F$4)))</f>
        <v>97.699999999999989</v>
      </c>
      <c r="G90" s="48">
        <f>IF(OR($C90=0,AND($B90=2,$D90&lt;=2022)),SUMIFS('Program Inputs'!$I$21:$I$39,'Program Inputs'!$C$21:$C$39,'Bill Credit Rates'!$A90,'Program Inputs'!$D$21:$D$39,'Bill Credit Rates'!$B90,'Program Inputs'!$E$21:$E$39,'Bill Credit Rates'!G$4)*1000,G89*(1+SUMIFS($Q:$Q,$N:$N,$A90,$O:$O,$B90,$P:$P,G$4)))</f>
        <v>97.699999999999989</v>
      </c>
      <c r="H90" s="33">
        <f>SUMIFS('Program Inputs'!$F$21:$F$39,'Program Inputs'!$C$21:$C$39,'Bill Credit Rates'!$A90,'Program Inputs'!$D$21:$D$39,'Bill Credit Rates'!$B90,'Program Inputs'!$E$21:$E$39,'Bill Credit Rates'!E$4)</f>
        <v>0</v>
      </c>
      <c r="I90" s="33">
        <f>SUMIFS('Program Inputs'!$F$21:$F$39,'Program Inputs'!$C$21:$C$39,'Bill Credit Rates'!$A90,'Program Inputs'!$D$21:$D$39,'Bill Credit Rates'!$B90,'Program Inputs'!$E$21:$E$39,'Bill Credit Rates'!F$4)</f>
        <v>0.1</v>
      </c>
      <c r="J90" s="33">
        <f>SUMIFS('Program Inputs'!$F$21:$F$39,'Program Inputs'!$C$21:$C$39,'Bill Credit Rates'!$A90,'Program Inputs'!$D$21:$D$39,'Bill Credit Rates'!$B90,'Program Inputs'!$E$21:$E$39,'Bill Credit Rates'!G$4)</f>
        <v>0.85</v>
      </c>
      <c r="K90" s="48">
        <f t="shared" si="6"/>
        <v>92.814999999999984</v>
      </c>
    </row>
    <row r="91" spans="1:11">
      <c r="A91" s="48" t="s">
        <v>12</v>
      </c>
      <c r="B91" s="48">
        <v>1</v>
      </c>
      <c r="C91" s="48">
        <v>20</v>
      </c>
      <c r="D91" s="48">
        <v>2038</v>
      </c>
      <c r="E91" s="48">
        <f>IF(OR($C91=0,AND($B91=2,$D91&lt;=2022)),SUMIFS('Program Inputs'!$I$21:$I$39,'Program Inputs'!$C$21:$C$39,'Bill Credit Rates'!$A91,'Program Inputs'!$D$21:$D$39,'Bill Credit Rates'!$B91,'Program Inputs'!$E$21:$E$39,'Bill Credit Rates'!E$4)*1000,E90*(1+SUMIFS($Q:$Q,$N:$N,$A91,$O:$O,$B91,$P:$P,E$4)))</f>
        <v>97.699999999999989</v>
      </c>
      <c r="F91" s="48">
        <f>IF(OR($C91=0,AND($B91=2,$D91&lt;=2022)),SUMIFS('Program Inputs'!$I$21:$I$39,'Program Inputs'!$C$21:$C$39,'Bill Credit Rates'!$A91,'Program Inputs'!$D$21:$D$39,'Bill Credit Rates'!$B91,'Program Inputs'!$E$21:$E$39,'Bill Credit Rates'!F$4)*1000,F90*(1+SUMIFS($Q:$Q,$N:$N,$A91,$O:$O,$B91,$P:$P,F$4)))</f>
        <v>97.699999999999989</v>
      </c>
      <c r="G91" s="48">
        <f>IF(OR($C91=0,AND($B91=2,$D91&lt;=2022)),SUMIFS('Program Inputs'!$I$21:$I$39,'Program Inputs'!$C$21:$C$39,'Bill Credit Rates'!$A91,'Program Inputs'!$D$21:$D$39,'Bill Credit Rates'!$B91,'Program Inputs'!$E$21:$E$39,'Bill Credit Rates'!G$4)*1000,G90*(1+SUMIFS($Q:$Q,$N:$N,$A91,$O:$O,$B91,$P:$P,G$4)))</f>
        <v>97.699999999999989</v>
      </c>
      <c r="H91" s="33">
        <f>SUMIFS('Program Inputs'!$F$21:$F$39,'Program Inputs'!$C$21:$C$39,'Bill Credit Rates'!$A91,'Program Inputs'!$D$21:$D$39,'Bill Credit Rates'!$B91,'Program Inputs'!$E$21:$E$39,'Bill Credit Rates'!E$4)</f>
        <v>0</v>
      </c>
      <c r="I91" s="33">
        <f>SUMIFS('Program Inputs'!$F$21:$F$39,'Program Inputs'!$C$21:$C$39,'Bill Credit Rates'!$A91,'Program Inputs'!$D$21:$D$39,'Bill Credit Rates'!$B91,'Program Inputs'!$E$21:$E$39,'Bill Credit Rates'!F$4)</f>
        <v>0.1</v>
      </c>
      <c r="J91" s="33">
        <f>SUMIFS('Program Inputs'!$F$21:$F$39,'Program Inputs'!$C$21:$C$39,'Bill Credit Rates'!$A91,'Program Inputs'!$D$21:$D$39,'Bill Credit Rates'!$B91,'Program Inputs'!$E$21:$E$39,'Bill Credit Rates'!G$4)</f>
        <v>0.85</v>
      </c>
      <c r="K91" s="48">
        <f t="shared" si="6"/>
        <v>92.814999999999984</v>
      </c>
    </row>
    <row r="92" spans="1:11">
      <c r="A92" s="48" t="s">
        <v>12</v>
      </c>
      <c r="B92" s="48">
        <v>1</v>
      </c>
      <c r="C92" s="48">
        <v>21</v>
      </c>
      <c r="D92" s="48">
        <v>2039</v>
      </c>
      <c r="E92" s="48">
        <f>IF(OR($C92=0,AND($B92=2,$D92&lt;=2022)),SUMIFS('Program Inputs'!$I$21:$I$39,'Program Inputs'!$C$21:$C$39,'Bill Credit Rates'!$A92,'Program Inputs'!$D$21:$D$39,'Bill Credit Rates'!$B92,'Program Inputs'!$E$21:$E$39,'Bill Credit Rates'!E$4)*1000,E91*(1+SUMIFS($Q:$Q,$N:$N,$A92,$O:$O,$B92,$P:$P,E$4)))</f>
        <v>97.699999999999989</v>
      </c>
      <c r="F92" s="48">
        <f>IF(OR($C92=0,AND($B92=2,$D92&lt;=2022)),SUMIFS('Program Inputs'!$I$21:$I$39,'Program Inputs'!$C$21:$C$39,'Bill Credit Rates'!$A92,'Program Inputs'!$D$21:$D$39,'Bill Credit Rates'!$B92,'Program Inputs'!$E$21:$E$39,'Bill Credit Rates'!F$4)*1000,F91*(1+SUMIFS($Q:$Q,$N:$N,$A92,$O:$O,$B92,$P:$P,F$4)))</f>
        <v>97.699999999999989</v>
      </c>
      <c r="G92" s="48">
        <f>IF(OR($C92=0,AND($B92=2,$D92&lt;=2022)),SUMIFS('Program Inputs'!$I$21:$I$39,'Program Inputs'!$C$21:$C$39,'Bill Credit Rates'!$A92,'Program Inputs'!$D$21:$D$39,'Bill Credit Rates'!$B92,'Program Inputs'!$E$21:$E$39,'Bill Credit Rates'!G$4)*1000,G91*(1+SUMIFS($Q:$Q,$N:$N,$A92,$O:$O,$B92,$P:$P,G$4)))</f>
        <v>97.699999999999989</v>
      </c>
      <c r="H92" s="33">
        <f>SUMIFS('Program Inputs'!$F$21:$F$39,'Program Inputs'!$C$21:$C$39,'Bill Credit Rates'!$A92,'Program Inputs'!$D$21:$D$39,'Bill Credit Rates'!$B92,'Program Inputs'!$E$21:$E$39,'Bill Credit Rates'!E$4)</f>
        <v>0</v>
      </c>
      <c r="I92" s="33">
        <f>SUMIFS('Program Inputs'!$F$21:$F$39,'Program Inputs'!$C$21:$C$39,'Bill Credit Rates'!$A92,'Program Inputs'!$D$21:$D$39,'Bill Credit Rates'!$B92,'Program Inputs'!$E$21:$E$39,'Bill Credit Rates'!F$4)</f>
        <v>0.1</v>
      </c>
      <c r="J92" s="33">
        <f>SUMIFS('Program Inputs'!$F$21:$F$39,'Program Inputs'!$C$21:$C$39,'Bill Credit Rates'!$A92,'Program Inputs'!$D$21:$D$39,'Bill Credit Rates'!$B92,'Program Inputs'!$E$21:$E$39,'Bill Credit Rates'!G$4)</f>
        <v>0.85</v>
      </c>
      <c r="K92" s="48">
        <f t="shared" ref="K92:K96" si="7">E92*H92+F92*I92+G92*J92</f>
        <v>92.814999999999984</v>
      </c>
    </row>
    <row r="93" spans="1:11">
      <c r="A93" s="48" t="s">
        <v>12</v>
      </c>
      <c r="B93" s="48">
        <v>1</v>
      </c>
      <c r="C93" s="48">
        <v>22</v>
      </c>
      <c r="D93" s="48">
        <v>2040</v>
      </c>
      <c r="E93" s="48">
        <f>IF(OR($C93=0,AND($B93=2,$D93&lt;=2022)),SUMIFS('Program Inputs'!$I$21:$I$39,'Program Inputs'!$C$21:$C$39,'Bill Credit Rates'!$A93,'Program Inputs'!$D$21:$D$39,'Bill Credit Rates'!$B93,'Program Inputs'!$E$21:$E$39,'Bill Credit Rates'!E$4)*1000,E92*(1+SUMIFS($Q:$Q,$N:$N,$A93,$O:$O,$B93,$P:$P,E$4)))</f>
        <v>97.699999999999989</v>
      </c>
      <c r="F93" s="48">
        <f>IF(OR($C93=0,AND($B93=2,$D93&lt;=2022)),SUMIFS('Program Inputs'!$I$21:$I$39,'Program Inputs'!$C$21:$C$39,'Bill Credit Rates'!$A93,'Program Inputs'!$D$21:$D$39,'Bill Credit Rates'!$B93,'Program Inputs'!$E$21:$E$39,'Bill Credit Rates'!F$4)*1000,F92*(1+SUMIFS($Q:$Q,$N:$N,$A93,$O:$O,$B93,$P:$P,F$4)))</f>
        <v>97.699999999999989</v>
      </c>
      <c r="G93" s="48">
        <f>IF(OR($C93=0,AND($B93=2,$D93&lt;=2022)),SUMIFS('Program Inputs'!$I$21:$I$39,'Program Inputs'!$C$21:$C$39,'Bill Credit Rates'!$A93,'Program Inputs'!$D$21:$D$39,'Bill Credit Rates'!$B93,'Program Inputs'!$E$21:$E$39,'Bill Credit Rates'!G$4)*1000,G92*(1+SUMIFS($Q:$Q,$N:$N,$A93,$O:$O,$B93,$P:$P,G$4)))</f>
        <v>97.699999999999989</v>
      </c>
      <c r="H93" s="33">
        <f>SUMIFS('Program Inputs'!$F$21:$F$39,'Program Inputs'!$C$21:$C$39,'Bill Credit Rates'!$A93,'Program Inputs'!$D$21:$D$39,'Bill Credit Rates'!$B93,'Program Inputs'!$E$21:$E$39,'Bill Credit Rates'!E$4)</f>
        <v>0</v>
      </c>
      <c r="I93" s="33">
        <f>SUMIFS('Program Inputs'!$F$21:$F$39,'Program Inputs'!$C$21:$C$39,'Bill Credit Rates'!$A93,'Program Inputs'!$D$21:$D$39,'Bill Credit Rates'!$B93,'Program Inputs'!$E$21:$E$39,'Bill Credit Rates'!F$4)</f>
        <v>0.1</v>
      </c>
      <c r="J93" s="33">
        <f>SUMIFS('Program Inputs'!$F$21:$F$39,'Program Inputs'!$C$21:$C$39,'Bill Credit Rates'!$A93,'Program Inputs'!$D$21:$D$39,'Bill Credit Rates'!$B93,'Program Inputs'!$E$21:$E$39,'Bill Credit Rates'!G$4)</f>
        <v>0.85</v>
      </c>
      <c r="K93" s="48">
        <f t="shared" si="7"/>
        <v>92.814999999999984</v>
      </c>
    </row>
    <row r="94" spans="1:11">
      <c r="A94" s="48" t="s">
        <v>12</v>
      </c>
      <c r="B94" s="48">
        <v>1</v>
      </c>
      <c r="C94" s="48">
        <v>23</v>
      </c>
      <c r="D94" s="48">
        <v>2041</v>
      </c>
      <c r="E94" s="48">
        <f>IF(OR($C94=0,AND($B94=2,$D94&lt;=2022)),SUMIFS('Program Inputs'!$I$21:$I$39,'Program Inputs'!$C$21:$C$39,'Bill Credit Rates'!$A94,'Program Inputs'!$D$21:$D$39,'Bill Credit Rates'!$B94,'Program Inputs'!$E$21:$E$39,'Bill Credit Rates'!E$4)*1000,E93*(1+SUMIFS($Q:$Q,$N:$N,$A94,$O:$O,$B94,$P:$P,E$4)))</f>
        <v>97.699999999999989</v>
      </c>
      <c r="F94" s="48">
        <f>IF(OR($C94=0,AND($B94=2,$D94&lt;=2022)),SUMIFS('Program Inputs'!$I$21:$I$39,'Program Inputs'!$C$21:$C$39,'Bill Credit Rates'!$A94,'Program Inputs'!$D$21:$D$39,'Bill Credit Rates'!$B94,'Program Inputs'!$E$21:$E$39,'Bill Credit Rates'!F$4)*1000,F93*(1+SUMIFS($Q:$Q,$N:$N,$A94,$O:$O,$B94,$P:$P,F$4)))</f>
        <v>97.699999999999989</v>
      </c>
      <c r="G94" s="48">
        <f>IF(OR($C94=0,AND($B94=2,$D94&lt;=2022)),SUMIFS('Program Inputs'!$I$21:$I$39,'Program Inputs'!$C$21:$C$39,'Bill Credit Rates'!$A94,'Program Inputs'!$D$21:$D$39,'Bill Credit Rates'!$B94,'Program Inputs'!$E$21:$E$39,'Bill Credit Rates'!G$4)*1000,G93*(1+SUMIFS($Q:$Q,$N:$N,$A94,$O:$O,$B94,$P:$P,G$4)))</f>
        <v>97.699999999999989</v>
      </c>
      <c r="H94" s="33">
        <f>SUMIFS('Program Inputs'!$F$21:$F$39,'Program Inputs'!$C$21:$C$39,'Bill Credit Rates'!$A94,'Program Inputs'!$D$21:$D$39,'Bill Credit Rates'!$B94,'Program Inputs'!$E$21:$E$39,'Bill Credit Rates'!E$4)</f>
        <v>0</v>
      </c>
      <c r="I94" s="33">
        <f>SUMIFS('Program Inputs'!$F$21:$F$39,'Program Inputs'!$C$21:$C$39,'Bill Credit Rates'!$A94,'Program Inputs'!$D$21:$D$39,'Bill Credit Rates'!$B94,'Program Inputs'!$E$21:$E$39,'Bill Credit Rates'!F$4)</f>
        <v>0.1</v>
      </c>
      <c r="J94" s="33">
        <f>SUMIFS('Program Inputs'!$F$21:$F$39,'Program Inputs'!$C$21:$C$39,'Bill Credit Rates'!$A94,'Program Inputs'!$D$21:$D$39,'Bill Credit Rates'!$B94,'Program Inputs'!$E$21:$E$39,'Bill Credit Rates'!G$4)</f>
        <v>0.85</v>
      </c>
      <c r="K94" s="48">
        <f t="shared" si="7"/>
        <v>92.814999999999984</v>
      </c>
    </row>
    <row r="95" spans="1:11">
      <c r="A95" s="48" t="s">
        <v>12</v>
      </c>
      <c r="B95" s="48">
        <v>1</v>
      </c>
      <c r="C95" s="48">
        <v>24</v>
      </c>
      <c r="D95" s="48">
        <v>2042</v>
      </c>
      <c r="E95" s="48">
        <f>IF(OR($C95=0,AND($B95=2,$D95&lt;=2022)),SUMIFS('Program Inputs'!$I$21:$I$39,'Program Inputs'!$C$21:$C$39,'Bill Credit Rates'!$A95,'Program Inputs'!$D$21:$D$39,'Bill Credit Rates'!$B95,'Program Inputs'!$E$21:$E$39,'Bill Credit Rates'!E$4)*1000,E94*(1+SUMIFS($Q:$Q,$N:$N,$A95,$O:$O,$B95,$P:$P,E$4)))</f>
        <v>97.699999999999989</v>
      </c>
      <c r="F95" s="48">
        <f>IF(OR($C95=0,AND($B95=2,$D95&lt;=2022)),SUMIFS('Program Inputs'!$I$21:$I$39,'Program Inputs'!$C$21:$C$39,'Bill Credit Rates'!$A95,'Program Inputs'!$D$21:$D$39,'Bill Credit Rates'!$B95,'Program Inputs'!$E$21:$E$39,'Bill Credit Rates'!F$4)*1000,F94*(1+SUMIFS($Q:$Q,$N:$N,$A95,$O:$O,$B95,$P:$P,F$4)))</f>
        <v>97.699999999999989</v>
      </c>
      <c r="G95" s="48">
        <f>IF(OR($C95=0,AND($B95=2,$D95&lt;=2022)),SUMIFS('Program Inputs'!$I$21:$I$39,'Program Inputs'!$C$21:$C$39,'Bill Credit Rates'!$A95,'Program Inputs'!$D$21:$D$39,'Bill Credit Rates'!$B95,'Program Inputs'!$E$21:$E$39,'Bill Credit Rates'!G$4)*1000,G94*(1+SUMIFS($Q:$Q,$N:$N,$A95,$O:$O,$B95,$P:$P,G$4)))</f>
        <v>97.699999999999989</v>
      </c>
      <c r="H95" s="33">
        <f>SUMIFS('Program Inputs'!$F$21:$F$39,'Program Inputs'!$C$21:$C$39,'Bill Credit Rates'!$A95,'Program Inputs'!$D$21:$D$39,'Bill Credit Rates'!$B95,'Program Inputs'!$E$21:$E$39,'Bill Credit Rates'!E$4)</f>
        <v>0</v>
      </c>
      <c r="I95" s="33">
        <f>SUMIFS('Program Inputs'!$F$21:$F$39,'Program Inputs'!$C$21:$C$39,'Bill Credit Rates'!$A95,'Program Inputs'!$D$21:$D$39,'Bill Credit Rates'!$B95,'Program Inputs'!$E$21:$E$39,'Bill Credit Rates'!F$4)</f>
        <v>0.1</v>
      </c>
      <c r="J95" s="33">
        <f>SUMIFS('Program Inputs'!$F$21:$F$39,'Program Inputs'!$C$21:$C$39,'Bill Credit Rates'!$A95,'Program Inputs'!$D$21:$D$39,'Bill Credit Rates'!$B95,'Program Inputs'!$E$21:$E$39,'Bill Credit Rates'!G$4)</f>
        <v>0.85</v>
      </c>
      <c r="K95" s="48">
        <f t="shared" si="7"/>
        <v>92.814999999999984</v>
      </c>
    </row>
    <row r="96" spans="1:11">
      <c r="A96" s="48" t="s">
        <v>12</v>
      </c>
      <c r="B96" s="48">
        <v>1</v>
      </c>
      <c r="C96" s="48">
        <v>25</v>
      </c>
      <c r="D96" s="48">
        <v>2043</v>
      </c>
      <c r="E96" s="48">
        <f>IF(OR($C96=0,AND($B96=2,$D96&lt;=2022)),SUMIFS('Program Inputs'!$I$21:$I$39,'Program Inputs'!$C$21:$C$39,'Bill Credit Rates'!$A96,'Program Inputs'!$D$21:$D$39,'Bill Credit Rates'!$B96,'Program Inputs'!$E$21:$E$39,'Bill Credit Rates'!E$4)*1000,E95*(1+SUMIFS($Q:$Q,$N:$N,$A96,$O:$O,$B96,$P:$P,E$4)))</f>
        <v>97.699999999999989</v>
      </c>
      <c r="F96" s="48">
        <f>IF(OR($C96=0,AND($B96=2,$D96&lt;=2022)),SUMIFS('Program Inputs'!$I$21:$I$39,'Program Inputs'!$C$21:$C$39,'Bill Credit Rates'!$A96,'Program Inputs'!$D$21:$D$39,'Bill Credit Rates'!$B96,'Program Inputs'!$E$21:$E$39,'Bill Credit Rates'!F$4)*1000,F95*(1+SUMIFS($Q:$Q,$N:$N,$A96,$O:$O,$B96,$P:$P,F$4)))</f>
        <v>97.699999999999989</v>
      </c>
      <c r="G96" s="48">
        <f>IF(OR($C96=0,AND($B96=2,$D96&lt;=2022)),SUMIFS('Program Inputs'!$I$21:$I$39,'Program Inputs'!$C$21:$C$39,'Bill Credit Rates'!$A96,'Program Inputs'!$D$21:$D$39,'Bill Credit Rates'!$B96,'Program Inputs'!$E$21:$E$39,'Bill Credit Rates'!G$4)*1000,G95*(1+SUMIFS($Q:$Q,$N:$N,$A96,$O:$O,$B96,$P:$P,G$4)))</f>
        <v>97.699999999999989</v>
      </c>
      <c r="H96" s="33">
        <f>SUMIFS('Program Inputs'!$F$21:$F$39,'Program Inputs'!$C$21:$C$39,'Bill Credit Rates'!$A96,'Program Inputs'!$D$21:$D$39,'Bill Credit Rates'!$B96,'Program Inputs'!$E$21:$E$39,'Bill Credit Rates'!E$4)</f>
        <v>0</v>
      </c>
      <c r="I96" s="33">
        <f>SUMIFS('Program Inputs'!$F$21:$F$39,'Program Inputs'!$C$21:$C$39,'Bill Credit Rates'!$A96,'Program Inputs'!$D$21:$D$39,'Bill Credit Rates'!$B96,'Program Inputs'!$E$21:$E$39,'Bill Credit Rates'!F$4)</f>
        <v>0.1</v>
      </c>
      <c r="J96" s="33">
        <f>SUMIFS('Program Inputs'!$F$21:$F$39,'Program Inputs'!$C$21:$C$39,'Bill Credit Rates'!$A96,'Program Inputs'!$D$21:$D$39,'Bill Credit Rates'!$B96,'Program Inputs'!$E$21:$E$39,'Bill Credit Rates'!G$4)</f>
        <v>0.85</v>
      </c>
      <c r="K96" s="48">
        <f t="shared" si="7"/>
        <v>92.814999999999984</v>
      </c>
    </row>
    <row r="97" spans="1:11">
      <c r="A97" s="48" t="s">
        <v>12</v>
      </c>
      <c r="B97" s="48">
        <v>1</v>
      </c>
      <c r="C97" s="48">
        <v>26</v>
      </c>
      <c r="D97" s="48">
        <v>2044</v>
      </c>
      <c r="E97" s="48">
        <f>IF(OR($C97=0,AND($B97=2,$D97&lt;=2022)),SUMIFS('Program Inputs'!$I$21:$I$39,'Program Inputs'!$C$21:$C$39,'Bill Credit Rates'!$A97,'Program Inputs'!$D$21:$D$39,'Bill Credit Rates'!$B97,'Program Inputs'!$E$21:$E$39,'Bill Credit Rates'!E$4)*1000,E96*(1+SUMIFS($Q:$Q,$N:$N,$A97,$O:$O,$B97,$P:$P,E$4)))</f>
        <v>97.699999999999989</v>
      </c>
      <c r="F97" s="48">
        <f>IF(OR($C97=0,AND($B97=2,$D97&lt;=2022)),SUMIFS('Program Inputs'!$I$21:$I$39,'Program Inputs'!$C$21:$C$39,'Bill Credit Rates'!$A97,'Program Inputs'!$D$21:$D$39,'Bill Credit Rates'!$B97,'Program Inputs'!$E$21:$E$39,'Bill Credit Rates'!F$4)*1000,F96*(1+SUMIFS($Q:$Q,$N:$N,$A97,$O:$O,$B97,$P:$P,F$4)))</f>
        <v>97.699999999999989</v>
      </c>
      <c r="G97" s="48">
        <f>IF(OR($C97=0,AND($B97=2,$D97&lt;=2022)),SUMIFS('Program Inputs'!$I$21:$I$39,'Program Inputs'!$C$21:$C$39,'Bill Credit Rates'!$A97,'Program Inputs'!$D$21:$D$39,'Bill Credit Rates'!$B97,'Program Inputs'!$E$21:$E$39,'Bill Credit Rates'!G$4)*1000,G96*(1+SUMIFS($Q:$Q,$N:$N,$A97,$O:$O,$B97,$P:$P,G$4)))</f>
        <v>97.699999999999989</v>
      </c>
      <c r="H97" s="33">
        <f>SUMIFS('Program Inputs'!$F$21:$F$39,'Program Inputs'!$C$21:$C$39,'Bill Credit Rates'!$A97,'Program Inputs'!$D$21:$D$39,'Bill Credit Rates'!$B97,'Program Inputs'!$E$21:$E$39,'Bill Credit Rates'!E$4)</f>
        <v>0</v>
      </c>
      <c r="I97" s="33">
        <f>SUMIFS('Program Inputs'!$F$21:$F$39,'Program Inputs'!$C$21:$C$39,'Bill Credit Rates'!$A97,'Program Inputs'!$D$21:$D$39,'Bill Credit Rates'!$B97,'Program Inputs'!$E$21:$E$39,'Bill Credit Rates'!F$4)</f>
        <v>0.1</v>
      </c>
      <c r="J97" s="33">
        <f>SUMIFS('Program Inputs'!$F$21:$F$39,'Program Inputs'!$C$21:$C$39,'Bill Credit Rates'!$A97,'Program Inputs'!$D$21:$D$39,'Bill Credit Rates'!$B97,'Program Inputs'!$E$21:$E$39,'Bill Credit Rates'!G$4)</f>
        <v>0.85</v>
      </c>
      <c r="K97" s="48">
        <f t="shared" ref="K97" si="8">E97*H97+F97*I97+G97*J97</f>
        <v>92.814999999999984</v>
      </c>
    </row>
    <row r="98" spans="1:11">
      <c r="A98" s="48" t="s">
        <v>12</v>
      </c>
      <c r="B98" s="48">
        <v>1</v>
      </c>
      <c r="C98" s="48">
        <v>27</v>
      </c>
      <c r="D98" s="48">
        <v>2045</v>
      </c>
      <c r="E98" s="48">
        <f>IF(OR($C98=0,AND($B98=2,$D98&lt;=2022)),SUMIFS('Program Inputs'!$I$21:$I$39,'Program Inputs'!$C$21:$C$39,'Bill Credit Rates'!$A98,'Program Inputs'!$D$21:$D$39,'Bill Credit Rates'!$B98,'Program Inputs'!$E$21:$E$39,'Bill Credit Rates'!E$4)*1000,E97*(1+SUMIFS($Q:$Q,$N:$N,$A98,$O:$O,$B98,$P:$P,E$4)))</f>
        <v>97.699999999999989</v>
      </c>
      <c r="F98" s="48">
        <f>IF(OR($C98=0,AND($B98=2,$D98&lt;=2022)),SUMIFS('Program Inputs'!$I$21:$I$39,'Program Inputs'!$C$21:$C$39,'Bill Credit Rates'!$A98,'Program Inputs'!$D$21:$D$39,'Bill Credit Rates'!$B98,'Program Inputs'!$E$21:$E$39,'Bill Credit Rates'!F$4)*1000,F97*(1+SUMIFS($Q:$Q,$N:$N,$A98,$O:$O,$B98,$P:$P,F$4)))</f>
        <v>97.699999999999989</v>
      </c>
      <c r="G98" s="48">
        <f>IF(OR($C98=0,AND($B98=2,$D98&lt;=2022)),SUMIFS('Program Inputs'!$I$21:$I$39,'Program Inputs'!$C$21:$C$39,'Bill Credit Rates'!$A98,'Program Inputs'!$D$21:$D$39,'Bill Credit Rates'!$B98,'Program Inputs'!$E$21:$E$39,'Bill Credit Rates'!G$4)*1000,G97*(1+SUMIFS($Q:$Q,$N:$N,$A98,$O:$O,$B98,$P:$P,G$4)))</f>
        <v>97.699999999999989</v>
      </c>
      <c r="H98" s="33">
        <f>SUMIFS('Program Inputs'!$F$21:$F$39,'Program Inputs'!$C$21:$C$39,'Bill Credit Rates'!$A98,'Program Inputs'!$D$21:$D$39,'Bill Credit Rates'!$B98,'Program Inputs'!$E$21:$E$39,'Bill Credit Rates'!E$4)</f>
        <v>0</v>
      </c>
      <c r="I98" s="33">
        <f>SUMIFS('Program Inputs'!$F$21:$F$39,'Program Inputs'!$C$21:$C$39,'Bill Credit Rates'!$A98,'Program Inputs'!$D$21:$D$39,'Bill Credit Rates'!$B98,'Program Inputs'!$E$21:$E$39,'Bill Credit Rates'!F$4)</f>
        <v>0.1</v>
      </c>
      <c r="J98" s="33">
        <f>SUMIFS('Program Inputs'!$F$21:$F$39,'Program Inputs'!$C$21:$C$39,'Bill Credit Rates'!$A98,'Program Inputs'!$D$21:$D$39,'Bill Credit Rates'!$B98,'Program Inputs'!$E$21:$E$39,'Bill Credit Rates'!G$4)</f>
        <v>0.85</v>
      </c>
      <c r="K98" s="48">
        <f t="shared" ref="K98:K103" si="9">E98*H98+F98*I98+G98*J98</f>
        <v>92.814999999999984</v>
      </c>
    </row>
    <row r="99" spans="1:11">
      <c r="A99" s="48" t="s">
        <v>12</v>
      </c>
      <c r="B99" s="48">
        <v>1</v>
      </c>
      <c r="C99" s="48">
        <v>28</v>
      </c>
      <c r="D99" s="48">
        <v>2046</v>
      </c>
      <c r="E99" s="48">
        <f>IF(OR($C99=0,AND($B99=2,$D99&lt;=2022)),SUMIFS('Program Inputs'!$I$21:$I$39,'Program Inputs'!$C$21:$C$39,'Bill Credit Rates'!$A99,'Program Inputs'!$D$21:$D$39,'Bill Credit Rates'!$B99,'Program Inputs'!$E$21:$E$39,'Bill Credit Rates'!E$4)*1000,E98*(1+SUMIFS($Q:$Q,$N:$N,$A99,$O:$O,$B99,$P:$P,E$4)))</f>
        <v>97.699999999999989</v>
      </c>
      <c r="F99" s="48">
        <f>IF(OR($C99=0,AND($B99=2,$D99&lt;=2022)),SUMIFS('Program Inputs'!$I$21:$I$39,'Program Inputs'!$C$21:$C$39,'Bill Credit Rates'!$A99,'Program Inputs'!$D$21:$D$39,'Bill Credit Rates'!$B99,'Program Inputs'!$E$21:$E$39,'Bill Credit Rates'!F$4)*1000,F98*(1+SUMIFS($Q:$Q,$N:$N,$A99,$O:$O,$B99,$P:$P,F$4)))</f>
        <v>97.699999999999989</v>
      </c>
      <c r="G99" s="48">
        <f>IF(OR($C99=0,AND($B99=2,$D99&lt;=2022)),SUMIFS('Program Inputs'!$I$21:$I$39,'Program Inputs'!$C$21:$C$39,'Bill Credit Rates'!$A99,'Program Inputs'!$D$21:$D$39,'Bill Credit Rates'!$B99,'Program Inputs'!$E$21:$E$39,'Bill Credit Rates'!G$4)*1000,G98*(1+SUMIFS($Q:$Q,$N:$N,$A99,$O:$O,$B99,$P:$P,G$4)))</f>
        <v>97.699999999999989</v>
      </c>
      <c r="H99" s="33">
        <f>SUMIFS('Program Inputs'!$F$21:$F$39,'Program Inputs'!$C$21:$C$39,'Bill Credit Rates'!$A99,'Program Inputs'!$D$21:$D$39,'Bill Credit Rates'!$B99,'Program Inputs'!$E$21:$E$39,'Bill Credit Rates'!E$4)</f>
        <v>0</v>
      </c>
      <c r="I99" s="33">
        <f>SUMIFS('Program Inputs'!$F$21:$F$39,'Program Inputs'!$C$21:$C$39,'Bill Credit Rates'!$A99,'Program Inputs'!$D$21:$D$39,'Bill Credit Rates'!$B99,'Program Inputs'!$E$21:$E$39,'Bill Credit Rates'!F$4)</f>
        <v>0.1</v>
      </c>
      <c r="J99" s="33">
        <f>SUMIFS('Program Inputs'!$F$21:$F$39,'Program Inputs'!$C$21:$C$39,'Bill Credit Rates'!$A99,'Program Inputs'!$D$21:$D$39,'Bill Credit Rates'!$B99,'Program Inputs'!$E$21:$E$39,'Bill Credit Rates'!G$4)</f>
        <v>0.85</v>
      </c>
      <c r="K99" s="48">
        <f t="shared" si="9"/>
        <v>92.814999999999984</v>
      </c>
    </row>
    <row r="100" spans="1:11">
      <c r="A100" s="48" t="s">
        <v>12</v>
      </c>
      <c r="B100" s="48">
        <v>1</v>
      </c>
      <c r="C100" s="48">
        <v>29</v>
      </c>
      <c r="D100" s="48">
        <v>2047</v>
      </c>
      <c r="E100" s="48">
        <f>IF(OR($C100=0,AND($B100=2,$D100&lt;=2022)),SUMIFS('Program Inputs'!$I$21:$I$39,'Program Inputs'!$C$21:$C$39,'Bill Credit Rates'!$A100,'Program Inputs'!$D$21:$D$39,'Bill Credit Rates'!$B100,'Program Inputs'!$E$21:$E$39,'Bill Credit Rates'!E$4)*1000,E99*(1+SUMIFS($Q:$Q,$N:$N,$A100,$O:$O,$B100,$P:$P,E$4)))</f>
        <v>97.699999999999989</v>
      </c>
      <c r="F100" s="48">
        <f>IF(OR($C100=0,AND($B100=2,$D100&lt;=2022)),SUMIFS('Program Inputs'!$I$21:$I$39,'Program Inputs'!$C$21:$C$39,'Bill Credit Rates'!$A100,'Program Inputs'!$D$21:$D$39,'Bill Credit Rates'!$B100,'Program Inputs'!$E$21:$E$39,'Bill Credit Rates'!F$4)*1000,F99*(1+SUMIFS($Q:$Q,$N:$N,$A100,$O:$O,$B100,$P:$P,F$4)))</f>
        <v>97.699999999999989</v>
      </c>
      <c r="G100" s="48">
        <f>IF(OR($C100=0,AND($B100=2,$D100&lt;=2022)),SUMIFS('Program Inputs'!$I$21:$I$39,'Program Inputs'!$C$21:$C$39,'Bill Credit Rates'!$A100,'Program Inputs'!$D$21:$D$39,'Bill Credit Rates'!$B100,'Program Inputs'!$E$21:$E$39,'Bill Credit Rates'!G$4)*1000,G99*(1+SUMIFS($Q:$Q,$N:$N,$A100,$O:$O,$B100,$P:$P,G$4)))</f>
        <v>97.699999999999989</v>
      </c>
      <c r="H100" s="33">
        <f>SUMIFS('Program Inputs'!$F$21:$F$39,'Program Inputs'!$C$21:$C$39,'Bill Credit Rates'!$A100,'Program Inputs'!$D$21:$D$39,'Bill Credit Rates'!$B100,'Program Inputs'!$E$21:$E$39,'Bill Credit Rates'!E$4)</f>
        <v>0</v>
      </c>
      <c r="I100" s="33">
        <f>SUMIFS('Program Inputs'!$F$21:$F$39,'Program Inputs'!$C$21:$C$39,'Bill Credit Rates'!$A100,'Program Inputs'!$D$21:$D$39,'Bill Credit Rates'!$B100,'Program Inputs'!$E$21:$E$39,'Bill Credit Rates'!F$4)</f>
        <v>0.1</v>
      </c>
      <c r="J100" s="33">
        <f>SUMIFS('Program Inputs'!$F$21:$F$39,'Program Inputs'!$C$21:$C$39,'Bill Credit Rates'!$A100,'Program Inputs'!$D$21:$D$39,'Bill Credit Rates'!$B100,'Program Inputs'!$E$21:$E$39,'Bill Credit Rates'!G$4)</f>
        <v>0.85</v>
      </c>
      <c r="K100" s="48">
        <f t="shared" si="9"/>
        <v>92.814999999999984</v>
      </c>
    </row>
    <row r="101" spans="1:11">
      <c r="A101" s="48" t="s">
        <v>12</v>
      </c>
      <c r="B101" s="48">
        <v>1</v>
      </c>
      <c r="C101" s="48">
        <v>30</v>
      </c>
      <c r="D101" s="48">
        <v>2048</v>
      </c>
      <c r="E101" s="48">
        <f>IF(OR($C101=0,AND($B101=2,$D101&lt;=2022)),SUMIFS('Program Inputs'!$I$21:$I$39,'Program Inputs'!$C$21:$C$39,'Bill Credit Rates'!$A101,'Program Inputs'!$D$21:$D$39,'Bill Credit Rates'!$B101,'Program Inputs'!$E$21:$E$39,'Bill Credit Rates'!E$4)*1000,E100*(1+SUMIFS($Q:$Q,$N:$N,$A101,$O:$O,$B101,$P:$P,E$4)))</f>
        <v>97.699999999999989</v>
      </c>
      <c r="F101" s="48">
        <f>IF(OR($C101=0,AND($B101=2,$D101&lt;=2022)),SUMIFS('Program Inputs'!$I$21:$I$39,'Program Inputs'!$C$21:$C$39,'Bill Credit Rates'!$A101,'Program Inputs'!$D$21:$D$39,'Bill Credit Rates'!$B101,'Program Inputs'!$E$21:$E$39,'Bill Credit Rates'!F$4)*1000,F100*(1+SUMIFS($Q:$Q,$N:$N,$A101,$O:$O,$B101,$P:$P,F$4)))</f>
        <v>97.699999999999989</v>
      </c>
      <c r="G101" s="48">
        <f>IF(OR($C101=0,AND($B101=2,$D101&lt;=2022)),SUMIFS('Program Inputs'!$I$21:$I$39,'Program Inputs'!$C$21:$C$39,'Bill Credit Rates'!$A101,'Program Inputs'!$D$21:$D$39,'Bill Credit Rates'!$B101,'Program Inputs'!$E$21:$E$39,'Bill Credit Rates'!G$4)*1000,G100*(1+SUMIFS($Q:$Q,$N:$N,$A101,$O:$O,$B101,$P:$P,G$4)))</f>
        <v>97.699999999999989</v>
      </c>
      <c r="H101" s="33">
        <f>SUMIFS('Program Inputs'!$F$21:$F$39,'Program Inputs'!$C$21:$C$39,'Bill Credit Rates'!$A101,'Program Inputs'!$D$21:$D$39,'Bill Credit Rates'!$B101,'Program Inputs'!$E$21:$E$39,'Bill Credit Rates'!E$4)</f>
        <v>0</v>
      </c>
      <c r="I101" s="33">
        <f>SUMIFS('Program Inputs'!$F$21:$F$39,'Program Inputs'!$C$21:$C$39,'Bill Credit Rates'!$A101,'Program Inputs'!$D$21:$D$39,'Bill Credit Rates'!$B101,'Program Inputs'!$E$21:$E$39,'Bill Credit Rates'!F$4)</f>
        <v>0.1</v>
      </c>
      <c r="J101" s="33">
        <f>SUMIFS('Program Inputs'!$F$21:$F$39,'Program Inputs'!$C$21:$C$39,'Bill Credit Rates'!$A101,'Program Inputs'!$D$21:$D$39,'Bill Credit Rates'!$B101,'Program Inputs'!$E$21:$E$39,'Bill Credit Rates'!G$4)</f>
        <v>0.85</v>
      </c>
      <c r="K101" s="48">
        <f t="shared" si="9"/>
        <v>92.814999999999984</v>
      </c>
    </row>
    <row r="102" spans="1:11">
      <c r="A102" s="48" t="s">
        <v>12</v>
      </c>
      <c r="B102" s="48">
        <v>1</v>
      </c>
      <c r="C102" s="48">
        <v>31</v>
      </c>
      <c r="D102" s="48">
        <v>2049</v>
      </c>
      <c r="E102" s="48">
        <f>IF(OR($C102=0,AND($B102=2,$D102&lt;=2022)),SUMIFS('Program Inputs'!$I$21:$I$39,'Program Inputs'!$C$21:$C$39,'Bill Credit Rates'!$A102,'Program Inputs'!$D$21:$D$39,'Bill Credit Rates'!$B102,'Program Inputs'!$E$21:$E$39,'Bill Credit Rates'!E$4)*1000,E101*(1+SUMIFS($Q:$Q,$N:$N,$A102,$O:$O,$B102,$P:$P,E$4)))</f>
        <v>97.699999999999989</v>
      </c>
      <c r="F102" s="48">
        <f>IF(OR($C102=0,AND($B102=2,$D102&lt;=2022)),SUMIFS('Program Inputs'!$I$21:$I$39,'Program Inputs'!$C$21:$C$39,'Bill Credit Rates'!$A102,'Program Inputs'!$D$21:$D$39,'Bill Credit Rates'!$B102,'Program Inputs'!$E$21:$E$39,'Bill Credit Rates'!F$4)*1000,F101*(1+SUMIFS($Q:$Q,$N:$N,$A102,$O:$O,$B102,$P:$P,F$4)))</f>
        <v>97.699999999999989</v>
      </c>
      <c r="G102" s="48">
        <f>IF(OR($C102=0,AND($B102=2,$D102&lt;=2022)),SUMIFS('Program Inputs'!$I$21:$I$39,'Program Inputs'!$C$21:$C$39,'Bill Credit Rates'!$A102,'Program Inputs'!$D$21:$D$39,'Bill Credit Rates'!$B102,'Program Inputs'!$E$21:$E$39,'Bill Credit Rates'!G$4)*1000,G101*(1+SUMIFS($Q:$Q,$N:$N,$A102,$O:$O,$B102,$P:$P,G$4)))</f>
        <v>97.699999999999989</v>
      </c>
      <c r="H102" s="33">
        <f>SUMIFS('Program Inputs'!$F$21:$F$39,'Program Inputs'!$C$21:$C$39,'Bill Credit Rates'!$A102,'Program Inputs'!$D$21:$D$39,'Bill Credit Rates'!$B102,'Program Inputs'!$E$21:$E$39,'Bill Credit Rates'!E$4)</f>
        <v>0</v>
      </c>
      <c r="I102" s="33">
        <f>SUMIFS('Program Inputs'!$F$21:$F$39,'Program Inputs'!$C$21:$C$39,'Bill Credit Rates'!$A102,'Program Inputs'!$D$21:$D$39,'Bill Credit Rates'!$B102,'Program Inputs'!$E$21:$E$39,'Bill Credit Rates'!F$4)</f>
        <v>0.1</v>
      </c>
      <c r="J102" s="33">
        <f>SUMIFS('Program Inputs'!$F$21:$F$39,'Program Inputs'!$C$21:$C$39,'Bill Credit Rates'!$A102,'Program Inputs'!$D$21:$D$39,'Bill Credit Rates'!$B102,'Program Inputs'!$E$21:$E$39,'Bill Credit Rates'!G$4)</f>
        <v>0.85</v>
      </c>
      <c r="K102" s="48">
        <f t="shared" si="9"/>
        <v>92.814999999999984</v>
      </c>
    </row>
    <row r="103" spans="1:11">
      <c r="A103" s="48" t="s">
        <v>12</v>
      </c>
      <c r="B103" s="48">
        <v>1</v>
      </c>
      <c r="C103" s="48">
        <v>32</v>
      </c>
      <c r="D103" s="48">
        <v>2050</v>
      </c>
      <c r="E103" s="48">
        <f>IF(OR($C103=0,AND($B103=2,$D103&lt;=2022)),SUMIFS('Program Inputs'!$I$21:$I$39,'Program Inputs'!$C$21:$C$39,'Bill Credit Rates'!$A103,'Program Inputs'!$D$21:$D$39,'Bill Credit Rates'!$B103,'Program Inputs'!$E$21:$E$39,'Bill Credit Rates'!E$4)*1000,E102*(1+SUMIFS($Q:$Q,$N:$N,$A103,$O:$O,$B103,$P:$P,E$4)))</f>
        <v>97.699999999999989</v>
      </c>
      <c r="F103" s="48">
        <f>IF(OR($C103=0,AND($B103=2,$D103&lt;=2022)),SUMIFS('Program Inputs'!$I$21:$I$39,'Program Inputs'!$C$21:$C$39,'Bill Credit Rates'!$A103,'Program Inputs'!$D$21:$D$39,'Bill Credit Rates'!$B103,'Program Inputs'!$E$21:$E$39,'Bill Credit Rates'!F$4)*1000,F102*(1+SUMIFS($Q:$Q,$N:$N,$A103,$O:$O,$B103,$P:$P,F$4)))</f>
        <v>97.699999999999989</v>
      </c>
      <c r="G103" s="48">
        <f>IF(OR($C103=0,AND($B103=2,$D103&lt;=2022)),SUMIFS('Program Inputs'!$I$21:$I$39,'Program Inputs'!$C$21:$C$39,'Bill Credit Rates'!$A103,'Program Inputs'!$D$21:$D$39,'Bill Credit Rates'!$B103,'Program Inputs'!$E$21:$E$39,'Bill Credit Rates'!G$4)*1000,G102*(1+SUMIFS($Q:$Q,$N:$N,$A103,$O:$O,$B103,$P:$P,G$4)))</f>
        <v>97.699999999999989</v>
      </c>
      <c r="H103" s="33">
        <f>SUMIFS('Program Inputs'!$F$21:$F$39,'Program Inputs'!$C$21:$C$39,'Bill Credit Rates'!$A103,'Program Inputs'!$D$21:$D$39,'Bill Credit Rates'!$B103,'Program Inputs'!$E$21:$E$39,'Bill Credit Rates'!E$4)</f>
        <v>0</v>
      </c>
      <c r="I103" s="33">
        <f>SUMIFS('Program Inputs'!$F$21:$F$39,'Program Inputs'!$C$21:$C$39,'Bill Credit Rates'!$A103,'Program Inputs'!$D$21:$D$39,'Bill Credit Rates'!$B103,'Program Inputs'!$E$21:$E$39,'Bill Credit Rates'!F$4)</f>
        <v>0.1</v>
      </c>
      <c r="J103" s="33">
        <f>SUMIFS('Program Inputs'!$F$21:$F$39,'Program Inputs'!$C$21:$C$39,'Bill Credit Rates'!$A103,'Program Inputs'!$D$21:$D$39,'Bill Credit Rates'!$B103,'Program Inputs'!$E$21:$E$39,'Bill Credit Rates'!G$4)</f>
        <v>0.85</v>
      </c>
      <c r="K103" s="48">
        <f t="shared" si="9"/>
        <v>92.814999999999984</v>
      </c>
    </row>
    <row r="104" spans="1:11">
      <c r="A104" s="48" t="s">
        <v>12</v>
      </c>
      <c r="B104" s="48">
        <v>2</v>
      </c>
      <c r="C104" s="48">
        <v>0</v>
      </c>
      <c r="D104" s="48">
        <v>2018</v>
      </c>
      <c r="E104" s="48">
        <f>IF(OR($C104=0,AND($B104=2,$D104&lt;=2022)),SUMIFS('Program Inputs'!$I$21:$I$39,'Program Inputs'!$C$21:$C$39,'Bill Credit Rates'!$A104,'Program Inputs'!$D$21:$D$39,'Bill Credit Rates'!$B104,'Program Inputs'!$E$21:$E$39,'Bill Credit Rates'!E$4)*1000,E103*(1+SUMIFS($Q:$Q,$N:$N,$A104,$O:$O,$B104,$P:$P,E$4)))</f>
        <v>97.699999999999989</v>
      </c>
      <c r="F104" s="48">
        <f>IF(OR($C104=0,AND($B104=2,$D104&lt;=2022)),SUMIFS('Program Inputs'!$I$21:$I$39,'Program Inputs'!$C$21:$C$39,'Bill Credit Rates'!$A104,'Program Inputs'!$D$21:$D$39,'Bill Credit Rates'!$B104,'Program Inputs'!$E$21:$E$39,'Bill Credit Rates'!F$4)*1000,F103*(1+SUMIFS($Q:$Q,$N:$N,$A104,$O:$O,$B104,$P:$P,F$4)))</f>
        <v>97.699999999999989</v>
      </c>
      <c r="G104" s="48">
        <f>IF(OR($C104=0,AND($B104=2,$D104&lt;=2022)),SUMIFS('Program Inputs'!$I$21:$I$39,'Program Inputs'!$C$21:$C$39,'Bill Credit Rates'!$A104,'Program Inputs'!$D$21:$D$39,'Bill Credit Rates'!$B104,'Program Inputs'!$E$21:$E$39,'Bill Credit Rates'!G$4)*1000,G103*(1+SUMIFS($Q:$Q,$N:$N,$A104,$O:$O,$B104,$P:$P,G$4)))</f>
        <v>87.929999999999993</v>
      </c>
      <c r="H104" s="33">
        <f>SUMIFS('Program Inputs'!$F$21:$F$39,'Program Inputs'!$C$21:$C$39,'Bill Credit Rates'!$A104,'Program Inputs'!$D$21:$D$39,'Bill Credit Rates'!$B104,'Program Inputs'!$E$21:$E$39,'Bill Credit Rates'!E$4)</f>
        <v>0.4</v>
      </c>
      <c r="I104" s="33">
        <f>SUMIFS('Program Inputs'!$F$21:$F$39,'Program Inputs'!$C$21:$C$39,'Bill Credit Rates'!$A104,'Program Inputs'!$D$21:$D$39,'Bill Credit Rates'!$B104,'Program Inputs'!$E$21:$E$39,'Bill Credit Rates'!F$4)</f>
        <v>0.1</v>
      </c>
      <c r="J104" s="33">
        <f>SUMIFS('Program Inputs'!$F$21:$F$39,'Program Inputs'!$C$21:$C$39,'Bill Credit Rates'!$A104,'Program Inputs'!$D$21:$D$39,'Bill Credit Rates'!$B104,'Program Inputs'!$E$21:$E$39,'Bill Credit Rates'!G$4)</f>
        <v>0.45</v>
      </c>
      <c r="K104" s="48">
        <f t="shared" si="6"/>
        <v>88.418499999999995</v>
      </c>
    </row>
    <row r="105" spans="1:11">
      <c r="A105" s="48" t="s">
        <v>12</v>
      </c>
      <c r="B105" s="48">
        <v>2</v>
      </c>
      <c r="C105" s="48">
        <v>1</v>
      </c>
      <c r="D105" s="48">
        <v>2019</v>
      </c>
      <c r="E105" s="48">
        <f>IF(OR($C105=0,AND($B105=2,$D105&lt;=2022)),SUMIFS('Program Inputs'!$I$21:$I$39,'Program Inputs'!$C$21:$C$39,'Bill Credit Rates'!$A105,'Program Inputs'!$D$21:$D$39,'Bill Credit Rates'!$B105,'Program Inputs'!$E$21:$E$39,'Bill Credit Rates'!E$4)*1000,E104*(1+SUMIFS($Q:$Q,$N:$N,$A105,$O:$O,$B105,$P:$P,E$4)))</f>
        <v>97.699999999999989</v>
      </c>
      <c r="F105" s="48">
        <f>IF(OR($C105=0,AND($B105=2,$D105&lt;=2022)),SUMIFS('Program Inputs'!$I$21:$I$39,'Program Inputs'!$C$21:$C$39,'Bill Credit Rates'!$A105,'Program Inputs'!$D$21:$D$39,'Bill Credit Rates'!$B105,'Program Inputs'!$E$21:$E$39,'Bill Credit Rates'!F$4)*1000,F104*(1+SUMIFS($Q:$Q,$N:$N,$A105,$O:$O,$B105,$P:$P,F$4)))</f>
        <v>97.699999999999989</v>
      </c>
      <c r="G105" s="48">
        <f>IF(OR($C105=0,AND($B105=2,$D105&lt;=2022)),SUMIFS('Program Inputs'!$I$21:$I$39,'Program Inputs'!$C$21:$C$39,'Bill Credit Rates'!$A105,'Program Inputs'!$D$21:$D$39,'Bill Credit Rates'!$B105,'Program Inputs'!$E$21:$E$39,'Bill Credit Rates'!G$4)*1000,G104*(1+SUMIFS($Q:$Q,$N:$N,$A105,$O:$O,$B105,$P:$P,G$4)))</f>
        <v>87.929999999999993</v>
      </c>
      <c r="H105" s="33">
        <f>SUMIFS('Program Inputs'!$F$21:$F$39,'Program Inputs'!$C$21:$C$39,'Bill Credit Rates'!$A105,'Program Inputs'!$D$21:$D$39,'Bill Credit Rates'!$B105,'Program Inputs'!$E$21:$E$39,'Bill Credit Rates'!E$4)</f>
        <v>0.4</v>
      </c>
      <c r="I105" s="33">
        <f>SUMIFS('Program Inputs'!$F$21:$F$39,'Program Inputs'!$C$21:$C$39,'Bill Credit Rates'!$A105,'Program Inputs'!$D$21:$D$39,'Bill Credit Rates'!$B105,'Program Inputs'!$E$21:$E$39,'Bill Credit Rates'!F$4)</f>
        <v>0.1</v>
      </c>
      <c r="J105" s="33">
        <f>SUMIFS('Program Inputs'!$F$21:$F$39,'Program Inputs'!$C$21:$C$39,'Bill Credit Rates'!$A105,'Program Inputs'!$D$21:$D$39,'Bill Credit Rates'!$B105,'Program Inputs'!$E$21:$E$39,'Bill Credit Rates'!G$4)</f>
        <v>0.45</v>
      </c>
      <c r="K105" s="48">
        <f t="shared" si="6"/>
        <v>88.418499999999995</v>
      </c>
    </row>
    <row r="106" spans="1:11">
      <c r="A106" s="48" t="s">
        <v>12</v>
      </c>
      <c r="B106" s="48">
        <v>2</v>
      </c>
      <c r="C106" s="48">
        <v>2</v>
      </c>
      <c r="D106" s="48">
        <v>2020</v>
      </c>
      <c r="E106" s="48">
        <f>IF(OR($C106=0,AND($B106=2,$D106&lt;=2022)),SUMIFS('Program Inputs'!$I$21:$I$39,'Program Inputs'!$C$21:$C$39,'Bill Credit Rates'!$A106,'Program Inputs'!$D$21:$D$39,'Bill Credit Rates'!$B106,'Program Inputs'!$E$21:$E$39,'Bill Credit Rates'!E$4)*1000,E105*(1+SUMIFS($Q:$Q,$N:$N,$A106,$O:$O,$B106,$P:$P,E$4)))</f>
        <v>97.699999999999989</v>
      </c>
      <c r="F106" s="48">
        <f>IF(OR($C106=0,AND($B106=2,$D106&lt;=2022)),SUMIFS('Program Inputs'!$I$21:$I$39,'Program Inputs'!$C$21:$C$39,'Bill Credit Rates'!$A106,'Program Inputs'!$D$21:$D$39,'Bill Credit Rates'!$B106,'Program Inputs'!$E$21:$E$39,'Bill Credit Rates'!F$4)*1000,F105*(1+SUMIFS($Q:$Q,$N:$N,$A106,$O:$O,$B106,$P:$P,F$4)))</f>
        <v>97.699999999999989</v>
      </c>
      <c r="G106" s="48">
        <f>IF(OR($C106=0,AND($B106=2,$D106&lt;=2022)),SUMIFS('Program Inputs'!$I$21:$I$39,'Program Inputs'!$C$21:$C$39,'Bill Credit Rates'!$A106,'Program Inputs'!$D$21:$D$39,'Bill Credit Rates'!$B106,'Program Inputs'!$E$21:$E$39,'Bill Credit Rates'!G$4)*1000,G105*(1+SUMIFS($Q:$Q,$N:$N,$A106,$O:$O,$B106,$P:$P,G$4)))</f>
        <v>87.929999999999993</v>
      </c>
      <c r="H106" s="33">
        <f>SUMIFS('Program Inputs'!$F$21:$F$39,'Program Inputs'!$C$21:$C$39,'Bill Credit Rates'!$A106,'Program Inputs'!$D$21:$D$39,'Bill Credit Rates'!$B106,'Program Inputs'!$E$21:$E$39,'Bill Credit Rates'!E$4)</f>
        <v>0.4</v>
      </c>
      <c r="I106" s="33">
        <f>SUMIFS('Program Inputs'!$F$21:$F$39,'Program Inputs'!$C$21:$C$39,'Bill Credit Rates'!$A106,'Program Inputs'!$D$21:$D$39,'Bill Credit Rates'!$B106,'Program Inputs'!$E$21:$E$39,'Bill Credit Rates'!F$4)</f>
        <v>0.1</v>
      </c>
      <c r="J106" s="33">
        <f>SUMIFS('Program Inputs'!$F$21:$F$39,'Program Inputs'!$C$21:$C$39,'Bill Credit Rates'!$A106,'Program Inputs'!$D$21:$D$39,'Bill Credit Rates'!$B106,'Program Inputs'!$E$21:$E$39,'Bill Credit Rates'!G$4)</f>
        <v>0.45</v>
      </c>
      <c r="K106" s="48">
        <f t="shared" si="6"/>
        <v>88.418499999999995</v>
      </c>
    </row>
    <row r="107" spans="1:11">
      <c r="A107" s="48" t="s">
        <v>12</v>
      </c>
      <c r="B107" s="48">
        <v>2</v>
      </c>
      <c r="C107" s="48">
        <v>3</v>
      </c>
      <c r="D107" s="48">
        <v>2021</v>
      </c>
      <c r="E107" s="48">
        <f>IF(OR($C107=0,AND($B107=2,$D107&lt;=2022)),SUMIFS('Program Inputs'!$I$21:$I$39,'Program Inputs'!$C$21:$C$39,'Bill Credit Rates'!$A107,'Program Inputs'!$D$21:$D$39,'Bill Credit Rates'!$B107,'Program Inputs'!$E$21:$E$39,'Bill Credit Rates'!E$4)*1000,E106*(1+SUMIFS($Q:$Q,$N:$N,$A107,$O:$O,$B107,$P:$P,E$4)))</f>
        <v>97.699999999999989</v>
      </c>
      <c r="F107" s="48">
        <f>IF(OR($C107=0,AND($B107=2,$D107&lt;=2022)),SUMIFS('Program Inputs'!$I$21:$I$39,'Program Inputs'!$C$21:$C$39,'Bill Credit Rates'!$A107,'Program Inputs'!$D$21:$D$39,'Bill Credit Rates'!$B107,'Program Inputs'!$E$21:$E$39,'Bill Credit Rates'!F$4)*1000,F106*(1+SUMIFS($Q:$Q,$N:$N,$A107,$O:$O,$B107,$P:$P,F$4)))</f>
        <v>97.699999999999989</v>
      </c>
      <c r="G107" s="48">
        <f>IF(OR($C107=0,AND($B107=2,$D107&lt;=2022)),SUMIFS('Program Inputs'!$I$21:$I$39,'Program Inputs'!$C$21:$C$39,'Bill Credit Rates'!$A107,'Program Inputs'!$D$21:$D$39,'Bill Credit Rates'!$B107,'Program Inputs'!$E$21:$E$39,'Bill Credit Rates'!G$4)*1000,G106*(1+SUMIFS($Q:$Q,$N:$N,$A107,$O:$O,$B107,$P:$P,G$4)))</f>
        <v>87.929999999999993</v>
      </c>
      <c r="H107" s="33">
        <f>SUMIFS('Program Inputs'!$F$21:$F$39,'Program Inputs'!$C$21:$C$39,'Bill Credit Rates'!$A107,'Program Inputs'!$D$21:$D$39,'Bill Credit Rates'!$B107,'Program Inputs'!$E$21:$E$39,'Bill Credit Rates'!E$4)</f>
        <v>0.4</v>
      </c>
      <c r="I107" s="33">
        <f>SUMIFS('Program Inputs'!$F$21:$F$39,'Program Inputs'!$C$21:$C$39,'Bill Credit Rates'!$A107,'Program Inputs'!$D$21:$D$39,'Bill Credit Rates'!$B107,'Program Inputs'!$E$21:$E$39,'Bill Credit Rates'!F$4)</f>
        <v>0.1</v>
      </c>
      <c r="J107" s="33">
        <f>SUMIFS('Program Inputs'!$F$21:$F$39,'Program Inputs'!$C$21:$C$39,'Bill Credit Rates'!$A107,'Program Inputs'!$D$21:$D$39,'Bill Credit Rates'!$B107,'Program Inputs'!$E$21:$E$39,'Bill Credit Rates'!G$4)</f>
        <v>0.45</v>
      </c>
      <c r="K107" s="48">
        <f t="shared" si="6"/>
        <v>88.418499999999995</v>
      </c>
    </row>
    <row r="108" spans="1:11">
      <c r="A108" s="48" t="s">
        <v>12</v>
      </c>
      <c r="B108" s="48">
        <v>2</v>
      </c>
      <c r="C108" s="48">
        <v>4</v>
      </c>
      <c r="D108" s="48">
        <v>2022</v>
      </c>
      <c r="E108" s="48">
        <f>IF(OR($C108=0,AND($B108=2,$D108&lt;=2022)),SUMIFS('Program Inputs'!$I$21:$I$39,'Program Inputs'!$C$21:$C$39,'Bill Credit Rates'!$A108,'Program Inputs'!$D$21:$D$39,'Bill Credit Rates'!$B108,'Program Inputs'!$E$21:$E$39,'Bill Credit Rates'!E$4)*1000,E107*(1+SUMIFS($Q:$Q,$N:$N,$A108,$O:$O,$B108,$P:$P,E$4)))</f>
        <v>97.699999999999989</v>
      </c>
      <c r="F108" s="48">
        <f>IF(OR($C108=0,AND($B108=2,$D108&lt;=2022)),SUMIFS('Program Inputs'!$I$21:$I$39,'Program Inputs'!$C$21:$C$39,'Bill Credit Rates'!$A108,'Program Inputs'!$D$21:$D$39,'Bill Credit Rates'!$B108,'Program Inputs'!$E$21:$E$39,'Bill Credit Rates'!F$4)*1000,F107*(1+SUMIFS($Q:$Q,$N:$N,$A108,$O:$O,$B108,$P:$P,F$4)))</f>
        <v>97.699999999999989</v>
      </c>
      <c r="G108" s="48">
        <f>IF(OR($C108=0,AND($B108=2,$D108&lt;=2022)),SUMIFS('Program Inputs'!$I$21:$I$39,'Program Inputs'!$C$21:$C$39,'Bill Credit Rates'!$A108,'Program Inputs'!$D$21:$D$39,'Bill Credit Rates'!$B108,'Program Inputs'!$E$21:$E$39,'Bill Credit Rates'!G$4)*1000,G107*(1+SUMIFS($Q:$Q,$N:$N,$A108,$O:$O,$B108,$P:$P,G$4)))</f>
        <v>87.929999999999993</v>
      </c>
      <c r="H108" s="33">
        <f>SUMIFS('Program Inputs'!$F$21:$F$39,'Program Inputs'!$C$21:$C$39,'Bill Credit Rates'!$A108,'Program Inputs'!$D$21:$D$39,'Bill Credit Rates'!$B108,'Program Inputs'!$E$21:$E$39,'Bill Credit Rates'!E$4)</f>
        <v>0.4</v>
      </c>
      <c r="I108" s="33">
        <f>SUMIFS('Program Inputs'!$F$21:$F$39,'Program Inputs'!$C$21:$C$39,'Bill Credit Rates'!$A108,'Program Inputs'!$D$21:$D$39,'Bill Credit Rates'!$B108,'Program Inputs'!$E$21:$E$39,'Bill Credit Rates'!F$4)</f>
        <v>0.1</v>
      </c>
      <c r="J108" s="33">
        <f>SUMIFS('Program Inputs'!$F$21:$F$39,'Program Inputs'!$C$21:$C$39,'Bill Credit Rates'!$A108,'Program Inputs'!$D$21:$D$39,'Bill Credit Rates'!$B108,'Program Inputs'!$E$21:$E$39,'Bill Credit Rates'!G$4)</f>
        <v>0.45</v>
      </c>
      <c r="K108" s="48">
        <f t="shared" si="6"/>
        <v>88.418499999999995</v>
      </c>
    </row>
    <row r="109" spans="1:11">
      <c r="A109" s="48" t="s">
        <v>12</v>
      </c>
      <c r="B109" s="48">
        <v>2</v>
      </c>
      <c r="C109" s="48">
        <v>5</v>
      </c>
      <c r="D109" s="48">
        <v>2023</v>
      </c>
      <c r="E109" s="48">
        <f>IF(OR($C109=0,AND($B109=2,$D109&lt;=2022)),SUMIFS('Program Inputs'!$I$21:$I$39,'Program Inputs'!$C$21:$C$39,'Bill Credit Rates'!$A109,'Program Inputs'!$D$21:$D$39,'Bill Credit Rates'!$B109,'Program Inputs'!$E$21:$E$39,'Bill Credit Rates'!E$4)*1000,E108*(1+SUMIFS($Q:$Q,$N:$N,$A109,$O:$O,$B109,$P:$P,E$4)))</f>
        <v>99.653999999999996</v>
      </c>
      <c r="F109" s="48">
        <f>IF(OR($C109=0,AND($B109=2,$D109&lt;=2022)),SUMIFS('Program Inputs'!$I$21:$I$39,'Program Inputs'!$C$21:$C$39,'Bill Credit Rates'!$A109,'Program Inputs'!$D$21:$D$39,'Bill Credit Rates'!$B109,'Program Inputs'!$E$21:$E$39,'Bill Credit Rates'!F$4)*1000,F108*(1+SUMIFS($Q:$Q,$N:$N,$A109,$O:$O,$B109,$P:$P,F$4)))</f>
        <v>99.653999999999996</v>
      </c>
      <c r="G109" s="48">
        <f>IF(OR($C109=0,AND($B109=2,$D109&lt;=2022)),SUMIFS('Program Inputs'!$I$21:$I$39,'Program Inputs'!$C$21:$C$39,'Bill Credit Rates'!$A109,'Program Inputs'!$D$21:$D$39,'Bill Credit Rates'!$B109,'Program Inputs'!$E$21:$E$39,'Bill Credit Rates'!G$4)*1000,G108*(1+SUMIFS($Q:$Q,$N:$N,$A109,$O:$O,$B109,$P:$P,G$4)))</f>
        <v>89.688599999999994</v>
      </c>
      <c r="H109" s="33">
        <f>SUMIFS('Program Inputs'!$F$21:$F$39,'Program Inputs'!$C$21:$C$39,'Bill Credit Rates'!$A109,'Program Inputs'!$D$21:$D$39,'Bill Credit Rates'!$B109,'Program Inputs'!$E$21:$E$39,'Bill Credit Rates'!E$4)</f>
        <v>0.4</v>
      </c>
      <c r="I109" s="33">
        <f>SUMIFS('Program Inputs'!$F$21:$F$39,'Program Inputs'!$C$21:$C$39,'Bill Credit Rates'!$A109,'Program Inputs'!$D$21:$D$39,'Bill Credit Rates'!$B109,'Program Inputs'!$E$21:$E$39,'Bill Credit Rates'!F$4)</f>
        <v>0.1</v>
      </c>
      <c r="J109" s="33">
        <f>SUMIFS('Program Inputs'!$F$21:$F$39,'Program Inputs'!$C$21:$C$39,'Bill Credit Rates'!$A109,'Program Inputs'!$D$21:$D$39,'Bill Credit Rates'!$B109,'Program Inputs'!$E$21:$E$39,'Bill Credit Rates'!G$4)</f>
        <v>0.45</v>
      </c>
      <c r="K109" s="48">
        <f t="shared" si="6"/>
        <v>90.186869999999999</v>
      </c>
    </row>
    <row r="110" spans="1:11">
      <c r="A110" s="48" t="s">
        <v>12</v>
      </c>
      <c r="B110" s="48">
        <v>2</v>
      </c>
      <c r="C110" s="48">
        <v>6</v>
      </c>
      <c r="D110" s="48">
        <v>2024</v>
      </c>
      <c r="E110" s="48">
        <f>IF(OR($C110=0,AND($B110=2,$D110&lt;=2022)),SUMIFS('Program Inputs'!$I$21:$I$39,'Program Inputs'!$C$21:$C$39,'Bill Credit Rates'!$A110,'Program Inputs'!$D$21:$D$39,'Bill Credit Rates'!$B110,'Program Inputs'!$E$21:$E$39,'Bill Credit Rates'!E$4)*1000,E109*(1+SUMIFS($Q:$Q,$N:$N,$A110,$O:$O,$B110,$P:$P,E$4)))</f>
        <v>101.64708</v>
      </c>
      <c r="F110" s="48">
        <f>IF(OR($C110=0,AND($B110=2,$D110&lt;=2022)),SUMIFS('Program Inputs'!$I$21:$I$39,'Program Inputs'!$C$21:$C$39,'Bill Credit Rates'!$A110,'Program Inputs'!$D$21:$D$39,'Bill Credit Rates'!$B110,'Program Inputs'!$E$21:$E$39,'Bill Credit Rates'!F$4)*1000,F109*(1+SUMIFS($Q:$Q,$N:$N,$A110,$O:$O,$B110,$P:$P,F$4)))</f>
        <v>101.64708</v>
      </c>
      <c r="G110" s="48">
        <f>IF(OR($C110=0,AND($B110=2,$D110&lt;=2022)),SUMIFS('Program Inputs'!$I$21:$I$39,'Program Inputs'!$C$21:$C$39,'Bill Credit Rates'!$A110,'Program Inputs'!$D$21:$D$39,'Bill Credit Rates'!$B110,'Program Inputs'!$E$21:$E$39,'Bill Credit Rates'!G$4)*1000,G109*(1+SUMIFS($Q:$Q,$N:$N,$A110,$O:$O,$B110,$P:$P,G$4)))</f>
        <v>91.482371999999998</v>
      </c>
      <c r="H110" s="33">
        <f>SUMIFS('Program Inputs'!$F$21:$F$39,'Program Inputs'!$C$21:$C$39,'Bill Credit Rates'!$A110,'Program Inputs'!$D$21:$D$39,'Bill Credit Rates'!$B110,'Program Inputs'!$E$21:$E$39,'Bill Credit Rates'!E$4)</f>
        <v>0.4</v>
      </c>
      <c r="I110" s="33">
        <f>SUMIFS('Program Inputs'!$F$21:$F$39,'Program Inputs'!$C$21:$C$39,'Bill Credit Rates'!$A110,'Program Inputs'!$D$21:$D$39,'Bill Credit Rates'!$B110,'Program Inputs'!$E$21:$E$39,'Bill Credit Rates'!F$4)</f>
        <v>0.1</v>
      </c>
      <c r="J110" s="33">
        <f>SUMIFS('Program Inputs'!$F$21:$F$39,'Program Inputs'!$C$21:$C$39,'Bill Credit Rates'!$A110,'Program Inputs'!$D$21:$D$39,'Bill Credit Rates'!$B110,'Program Inputs'!$E$21:$E$39,'Bill Credit Rates'!G$4)</f>
        <v>0.45</v>
      </c>
      <c r="K110" s="48">
        <f t="shared" si="6"/>
        <v>91.990607400000016</v>
      </c>
    </row>
    <row r="111" spans="1:11">
      <c r="A111" s="48" t="s">
        <v>12</v>
      </c>
      <c r="B111" s="48">
        <v>2</v>
      </c>
      <c r="C111" s="48">
        <v>7</v>
      </c>
      <c r="D111" s="48">
        <v>2025</v>
      </c>
      <c r="E111" s="48">
        <f>IF(OR($C111=0,AND($B111=2,$D111&lt;=2022)),SUMIFS('Program Inputs'!$I$21:$I$39,'Program Inputs'!$C$21:$C$39,'Bill Credit Rates'!$A111,'Program Inputs'!$D$21:$D$39,'Bill Credit Rates'!$B111,'Program Inputs'!$E$21:$E$39,'Bill Credit Rates'!E$4)*1000,E110*(1+SUMIFS($Q:$Q,$N:$N,$A111,$O:$O,$B111,$P:$P,E$4)))</f>
        <v>103.6800216</v>
      </c>
      <c r="F111" s="48">
        <f>IF(OR($C111=0,AND($B111=2,$D111&lt;=2022)),SUMIFS('Program Inputs'!$I$21:$I$39,'Program Inputs'!$C$21:$C$39,'Bill Credit Rates'!$A111,'Program Inputs'!$D$21:$D$39,'Bill Credit Rates'!$B111,'Program Inputs'!$E$21:$E$39,'Bill Credit Rates'!F$4)*1000,F110*(1+SUMIFS($Q:$Q,$N:$N,$A111,$O:$O,$B111,$P:$P,F$4)))</f>
        <v>103.6800216</v>
      </c>
      <c r="G111" s="48">
        <f>IF(OR($C111=0,AND($B111=2,$D111&lt;=2022)),SUMIFS('Program Inputs'!$I$21:$I$39,'Program Inputs'!$C$21:$C$39,'Bill Credit Rates'!$A111,'Program Inputs'!$D$21:$D$39,'Bill Credit Rates'!$B111,'Program Inputs'!$E$21:$E$39,'Bill Credit Rates'!G$4)*1000,G110*(1+SUMIFS($Q:$Q,$N:$N,$A111,$O:$O,$B111,$P:$P,G$4)))</f>
        <v>93.31201944</v>
      </c>
      <c r="H111" s="33">
        <f>SUMIFS('Program Inputs'!$F$21:$F$39,'Program Inputs'!$C$21:$C$39,'Bill Credit Rates'!$A111,'Program Inputs'!$D$21:$D$39,'Bill Credit Rates'!$B111,'Program Inputs'!$E$21:$E$39,'Bill Credit Rates'!E$4)</f>
        <v>0.4</v>
      </c>
      <c r="I111" s="33">
        <f>SUMIFS('Program Inputs'!$F$21:$F$39,'Program Inputs'!$C$21:$C$39,'Bill Credit Rates'!$A111,'Program Inputs'!$D$21:$D$39,'Bill Credit Rates'!$B111,'Program Inputs'!$E$21:$E$39,'Bill Credit Rates'!F$4)</f>
        <v>0.1</v>
      </c>
      <c r="J111" s="33">
        <f>SUMIFS('Program Inputs'!$F$21:$F$39,'Program Inputs'!$C$21:$C$39,'Bill Credit Rates'!$A111,'Program Inputs'!$D$21:$D$39,'Bill Credit Rates'!$B111,'Program Inputs'!$E$21:$E$39,'Bill Credit Rates'!G$4)</f>
        <v>0.45</v>
      </c>
      <c r="K111" s="48">
        <f t="shared" si="6"/>
        <v>93.830419548000009</v>
      </c>
    </row>
    <row r="112" spans="1:11">
      <c r="A112" s="48" t="s">
        <v>12</v>
      </c>
      <c r="B112" s="48">
        <v>2</v>
      </c>
      <c r="C112" s="48">
        <v>8</v>
      </c>
      <c r="D112" s="48">
        <v>2026</v>
      </c>
      <c r="E112" s="48">
        <f>IF(OR($C112=0,AND($B112=2,$D112&lt;=2022)),SUMIFS('Program Inputs'!$I$21:$I$39,'Program Inputs'!$C$21:$C$39,'Bill Credit Rates'!$A112,'Program Inputs'!$D$21:$D$39,'Bill Credit Rates'!$B112,'Program Inputs'!$E$21:$E$39,'Bill Credit Rates'!E$4)*1000,E111*(1+SUMIFS($Q:$Q,$N:$N,$A112,$O:$O,$B112,$P:$P,E$4)))</f>
        <v>105.75362203200001</v>
      </c>
      <c r="F112" s="48">
        <f>IF(OR($C112=0,AND($B112=2,$D112&lt;=2022)),SUMIFS('Program Inputs'!$I$21:$I$39,'Program Inputs'!$C$21:$C$39,'Bill Credit Rates'!$A112,'Program Inputs'!$D$21:$D$39,'Bill Credit Rates'!$B112,'Program Inputs'!$E$21:$E$39,'Bill Credit Rates'!F$4)*1000,F111*(1+SUMIFS($Q:$Q,$N:$N,$A112,$O:$O,$B112,$P:$P,F$4)))</f>
        <v>105.75362203200001</v>
      </c>
      <c r="G112" s="48">
        <f>IF(OR($C112=0,AND($B112=2,$D112&lt;=2022)),SUMIFS('Program Inputs'!$I$21:$I$39,'Program Inputs'!$C$21:$C$39,'Bill Credit Rates'!$A112,'Program Inputs'!$D$21:$D$39,'Bill Credit Rates'!$B112,'Program Inputs'!$E$21:$E$39,'Bill Credit Rates'!G$4)*1000,G111*(1+SUMIFS($Q:$Q,$N:$N,$A112,$O:$O,$B112,$P:$P,G$4)))</f>
        <v>95.178259828800009</v>
      </c>
      <c r="H112" s="33">
        <f>SUMIFS('Program Inputs'!$F$21:$F$39,'Program Inputs'!$C$21:$C$39,'Bill Credit Rates'!$A112,'Program Inputs'!$D$21:$D$39,'Bill Credit Rates'!$B112,'Program Inputs'!$E$21:$E$39,'Bill Credit Rates'!E$4)</f>
        <v>0.4</v>
      </c>
      <c r="I112" s="33">
        <f>SUMIFS('Program Inputs'!$F$21:$F$39,'Program Inputs'!$C$21:$C$39,'Bill Credit Rates'!$A112,'Program Inputs'!$D$21:$D$39,'Bill Credit Rates'!$B112,'Program Inputs'!$E$21:$E$39,'Bill Credit Rates'!F$4)</f>
        <v>0.1</v>
      </c>
      <c r="J112" s="33">
        <f>SUMIFS('Program Inputs'!$F$21:$F$39,'Program Inputs'!$C$21:$C$39,'Bill Credit Rates'!$A112,'Program Inputs'!$D$21:$D$39,'Bill Credit Rates'!$B112,'Program Inputs'!$E$21:$E$39,'Bill Credit Rates'!G$4)</f>
        <v>0.45</v>
      </c>
      <c r="K112" s="48">
        <f t="shared" si="6"/>
        <v>95.70702793896001</v>
      </c>
    </row>
    <row r="113" spans="1:11">
      <c r="A113" s="48" t="s">
        <v>12</v>
      </c>
      <c r="B113" s="48">
        <v>2</v>
      </c>
      <c r="C113" s="48">
        <v>9</v>
      </c>
      <c r="D113" s="48">
        <v>2027</v>
      </c>
      <c r="E113" s="48">
        <f>IF(OR($C113=0,AND($B113=2,$D113&lt;=2022)),SUMIFS('Program Inputs'!$I$21:$I$39,'Program Inputs'!$C$21:$C$39,'Bill Credit Rates'!$A113,'Program Inputs'!$D$21:$D$39,'Bill Credit Rates'!$B113,'Program Inputs'!$E$21:$E$39,'Bill Credit Rates'!E$4)*1000,E112*(1+SUMIFS($Q:$Q,$N:$N,$A113,$O:$O,$B113,$P:$P,E$4)))</f>
        <v>107.86869447264002</v>
      </c>
      <c r="F113" s="48">
        <f>IF(OR($C113=0,AND($B113=2,$D113&lt;=2022)),SUMIFS('Program Inputs'!$I$21:$I$39,'Program Inputs'!$C$21:$C$39,'Bill Credit Rates'!$A113,'Program Inputs'!$D$21:$D$39,'Bill Credit Rates'!$B113,'Program Inputs'!$E$21:$E$39,'Bill Credit Rates'!F$4)*1000,F112*(1+SUMIFS($Q:$Q,$N:$N,$A113,$O:$O,$B113,$P:$P,F$4)))</f>
        <v>107.86869447264002</v>
      </c>
      <c r="G113" s="48">
        <f>IF(OR($C113=0,AND($B113=2,$D113&lt;=2022)),SUMIFS('Program Inputs'!$I$21:$I$39,'Program Inputs'!$C$21:$C$39,'Bill Credit Rates'!$A113,'Program Inputs'!$D$21:$D$39,'Bill Credit Rates'!$B113,'Program Inputs'!$E$21:$E$39,'Bill Credit Rates'!G$4)*1000,G112*(1+SUMIFS($Q:$Q,$N:$N,$A113,$O:$O,$B113,$P:$P,G$4)))</f>
        <v>97.081825025376006</v>
      </c>
      <c r="H113" s="33">
        <f>SUMIFS('Program Inputs'!$F$21:$F$39,'Program Inputs'!$C$21:$C$39,'Bill Credit Rates'!$A113,'Program Inputs'!$D$21:$D$39,'Bill Credit Rates'!$B113,'Program Inputs'!$E$21:$E$39,'Bill Credit Rates'!E$4)</f>
        <v>0.4</v>
      </c>
      <c r="I113" s="33">
        <f>SUMIFS('Program Inputs'!$F$21:$F$39,'Program Inputs'!$C$21:$C$39,'Bill Credit Rates'!$A113,'Program Inputs'!$D$21:$D$39,'Bill Credit Rates'!$B113,'Program Inputs'!$E$21:$E$39,'Bill Credit Rates'!F$4)</f>
        <v>0.1</v>
      </c>
      <c r="J113" s="33">
        <f>SUMIFS('Program Inputs'!$F$21:$F$39,'Program Inputs'!$C$21:$C$39,'Bill Credit Rates'!$A113,'Program Inputs'!$D$21:$D$39,'Bill Credit Rates'!$B113,'Program Inputs'!$E$21:$E$39,'Bill Credit Rates'!G$4)</f>
        <v>0.45</v>
      </c>
      <c r="K113" s="48">
        <f t="shared" si="6"/>
        <v>97.62116849773922</v>
      </c>
    </row>
    <row r="114" spans="1:11">
      <c r="A114" s="48" t="s">
        <v>12</v>
      </c>
      <c r="B114" s="48">
        <v>2</v>
      </c>
      <c r="C114" s="48">
        <v>10</v>
      </c>
      <c r="D114" s="48">
        <v>2028</v>
      </c>
      <c r="E114" s="48">
        <f>IF(OR($C114=0,AND($B114=2,$D114&lt;=2022)),SUMIFS('Program Inputs'!$I$21:$I$39,'Program Inputs'!$C$21:$C$39,'Bill Credit Rates'!$A114,'Program Inputs'!$D$21:$D$39,'Bill Credit Rates'!$B114,'Program Inputs'!$E$21:$E$39,'Bill Credit Rates'!E$4)*1000,E113*(1+SUMIFS($Q:$Q,$N:$N,$A114,$O:$O,$B114,$P:$P,E$4)))</f>
        <v>110.02606836209281</v>
      </c>
      <c r="F114" s="48">
        <f>IF(OR($C114=0,AND($B114=2,$D114&lt;=2022)),SUMIFS('Program Inputs'!$I$21:$I$39,'Program Inputs'!$C$21:$C$39,'Bill Credit Rates'!$A114,'Program Inputs'!$D$21:$D$39,'Bill Credit Rates'!$B114,'Program Inputs'!$E$21:$E$39,'Bill Credit Rates'!F$4)*1000,F113*(1+SUMIFS($Q:$Q,$N:$N,$A114,$O:$O,$B114,$P:$P,F$4)))</f>
        <v>110.02606836209281</v>
      </c>
      <c r="G114" s="48">
        <f>IF(OR($C114=0,AND($B114=2,$D114&lt;=2022)),SUMIFS('Program Inputs'!$I$21:$I$39,'Program Inputs'!$C$21:$C$39,'Bill Credit Rates'!$A114,'Program Inputs'!$D$21:$D$39,'Bill Credit Rates'!$B114,'Program Inputs'!$E$21:$E$39,'Bill Credit Rates'!G$4)*1000,G113*(1+SUMIFS($Q:$Q,$N:$N,$A114,$O:$O,$B114,$P:$P,G$4)))</f>
        <v>99.023461525883533</v>
      </c>
      <c r="H114" s="33">
        <f>SUMIFS('Program Inputs'!$F$21:$F$39,'Program Inputs'!$C$21:$C$39,'Bill Credit Rates'!$A114,'Program Inputs'!$D$21:$D$39,'Bill Credit Rates'!$B114,'Program Inputs'!$E$21:$E$39,'Bill Credit Rates'!E$4)</f>
        <v>0.4</v>
      </c>
      <c r="I114" s="33">
        <f>SUMIFS('Program Inputs'!$F$21:$F$39,'Program Inputs'!$C$21:$C$39,'Bill Credit Rates'!$A114,'Program Inputs'!$D$21:$D$39,'Bill Credit Rates'!$B114,'Program Inputs'!$E$21:$E$39,'Bill Credit Rates'!F$4)</f>
        <v>0.1</v>
      </c>
      <c r="J114" s="33">
        <f>SUMIFS('Program Inputs'!$F$21:$F$39,'Program Inputs'!$C$21:$C$39,'Bill Credit Rates'!$A114,'Program Inputs'!$D$21:$D$39,'Bill Credit Rates'!$B114,'Program Inputs'!$E$21:$E$39,'Bill Credit Rates'!G$4)</f>
        <v>0.45</v>
      </c>
      <c r="K114" s="48">
        <f t="shared" si="6"/>
        <v>99.573591867694006</v>
      </c>
    </row>
    <row r="115" spans="1:11">
      <c r="A115" s="48" t="s">
        <v>12</v>
      </c>
      <c r="B115" s="48">
        <v>2</v>
      </c>
      <c r="C115" s="48">
        <v>11</v>
      </c>
      <c r="D115" s="48">
        <v>2029</v>
      </c>
      <c r="E115" s="48">
        <f>IF(OR($C115=0,AND($B115=2,$D115&lt;=2022)),SUMIFS('Program Inputs'!$I$21:$I$39,'Program Inputs'!$C$21:$C$39,'Bill Credit Rates'!$A115,'Program Inputs'!$D$21:$D$39,'Bill Credit Rates'!$B115,'Program Inputs'!$E$21:$E$39,'Bill Credit Rates'!E$4)*1000,E114*(1+SUMIFS($Q:$Q,$N:$N,$A115,$O:$O,$B115,$P:$P,E$4)))</f>
        <v>112.22658972933468</v>
      </c>
      <c r="F115" s="48">
        <f>IF(OR($C115=0,AND($B115=2,$D115&lt;=2022)),SUMIFS('Program Inputs'!$I$21:$I$39,'Program Inputs'!$C$21:$C$39,'Bill Credit Rates'!$A115,'Program Inputs'!$D$21:$D$39,'Bill Credit Rates'!$B115,'Program Inputs'!$E$21:$E$39,'Bill Credit Rates'!F$4)*1000,F114*(1+SUMIFS($Q:$Q,$N:$N,$A115,$O:$O,$B115,$P:$P,F$4)))</f>
        <v>112.22658972933468</v>
      </c>
      <c r="G115" s="48">
        <f>IF(OR($C115=0,AND($B115=2,$D115&lt;=2022)),SUMIFS('Program Inputs'!$I$21:$I$39,'Program Inputs'!$C$21:$C$39,'Bill Credit Rates'!$A115,'Program Inputs'!$D$21:$D$39,'Bill Credit Rates'!$B115,'Program Inputs'!$E$21:$E$39,'Bill Credit Rates'!G$4)*1000,G114*(1+SUMIFS($Q:$Q,$N:$N,$A115,$O:$O,$B115,$P:$P,G$4)))</f>
        <v>101.0039307564012</v>
      </c>
      <c r="H115" s="33">
        <f>SUMIFS('Program Inputs'!$F$21:$F$39,'Program Inputs'!$C$21:$C$39,'Bill Credit Rates'!$A115,'Program Inputs'!$D$21:$D$39,'Bill Credit Rates'!$B115,'Program Inputs'!$E$21:$E$39,'Bill Credit Rates'!E$4)</f>
        <v>0.4</v>
      </c>
      <c r="I115" s="33">
        <f>SUMIFS('Program Inputs'!$F$21:$F$39,'Program Inputs'!$C$21:$C$39,'Bill Credit Rates'!$A115,'Program Inputs'!$D$21:$D$39,'Bill Credit Rates'!$B115,'Program Inputs'!$E$21:$E$39,'Bill Credit Rates'!F$4)</f>
        <v>0.1</v>
      </c>
      <c r="J115" s="33">
        <f>SUMIFS('Program Inputs'!$F$21:$F$39,'Program Inputs'!$C$21:$C$39,'Bill Credit Rates'!$A115,'Program Inputs'!$D$21:$D$39,'Bill Credit Rates'!$B115,'Program Inputs'!$E$21:$E$39,'Bill Credit Rates'!G$4)</f>
        <v>0.45</v>
      </c>
      <c r="K115" s="48">
        <f t="shared" si="6"/>
        <v>101.56506370504789</v>
      </c>
    </row>
    <row r="116" spans="1:11">
      <c r="A116" s="48" t="s">
        <v>12</v>
      </c>
      <c r="B116" s="48">
        <v>2</v>
      </c>
      <c r="C116" s="48">
        <v>12</v>
      </c>
      <c r="D116" s="48">
        <v>2030</v>
      </c>
      <c r="E116" s="48">
        <f>IF(OR($C116=0,AND($B116=2,$D116&lt;=2022)),SUMIFS('Program Inputs'!$I$21:$I$39,'Program Inputs'!$C$21:$C$39,'Bill Credit Rates'!$A116,'Program Inputs'!$D$21:$D$39,'Bill Credit Rates'!$B116,'Program Inputs'!$E$21:$E$39,'Bill Credit Rates'!E$4)*1000,E115*(1+SUMIFS($Q:$Q,$N:$N,$A116,$O:$O,$B116,$P:$P,E$4)))</f>
        <v>114.47112152392137</v>
      </c>
      <c r="F116" s="48">
        <f>IF(OR($C116=0,AND($B116=2,$D116&lt;=2022)),SUMIFS('Program Inputs'!$I$21:$I$39,'Program Inputs'!$C$21:$C$39,'Bill Credit Rates'!$A116,'Program Inputs'!$D$21:$D$39,'Bill Credit Rates'!$B116,'Program Inputs'!$E$21:$E$39,'Bill Credit Rates'!F$4)*1000,F115*(1+SUMIFS($Q:$Q,$N:$N,$A116,$O:$O,$B116,$P:$P,F$4)))</f>
        <v>114.47112152392137</v>
      </c>
      <c r="G116" s="48">
        <f>IF(OR($C116=0,AND($B116=2,$D116&lt;=2022)),SUMIFS('Program Inputs'!$I$21:$I$39,'Program Inputs'!$C$21:$C$39,'Bill Credit Rates'!$A116,'Program Inputs'!$D$21:$D$39,'Bill Credit Rates'!$B116,'Program Inputs'!$E$21:$E$39,'Bill Credit Rates'!G$4)*1000,G115*(1+SUMIFS($Q:$Q,$N:$N,$A116,$O:$O,$B116,$P:$P,G$4)))</f>
        <v>103.02400937152923</v>
      </c>
      <c r="H116" s="33">
        <f>SUMIFS('Program Inputs'!$F$21:$F$39,'Program Inputs'!$C$21:$C$39,'Bill Credit Rates'!$A116,'Program Inputs'!$D$21:$D$39,'Bill Credit Rates'!$B116,'Program Inputs'!$E$21:$E$39,'Bill Credit Rates'!E$4)</f>
        <v>0.4</v>
      </c>
      <c r="I116" s="33">
        <f>SUMIFS('Program Inputs'!$F$21:$F$39,'Program Inputs'!$C$21:$C$39,'Bill Credit Rates'!$A116,'Program Inputs'!$D$21:$D$39,'Bill Credit Rates'!$B116,'Program Inputs'!$E$21:$E$39,'Bill Credit Rates'!F$4)</f>
        <v>0.1</v>
      </c>
      <c r="J116" s="33">
        <f>SUMIFS('Program Inputs'!$F$21:$F$39,'Program Inputs'!$C$21:$C$39,'Bill Credit Rates'!$A116,'Program Inputs'!$D$21:$D$39,'Bill Credit Rates'!$B116,'Program Inputs'!$E$21:$E$39,'Bill Credit Rates'!G$4)</f>
        <v>0.45</v>
      </c>
      <c r="K116" s="48">
        <f t="shared" si="6"/>
        <v>103.59636497914883</v>
      </c>
    </row>
    <row r="117" spans="1:11">
      <c r="A117" s="48" t="s">
        <v>12</v>
      </c>
      <c r="B117" s="48">
        <v>2</v>
      </c>
      <c r="C117" s="48">
        <v>13</v>
      </c>
      <c r="D117" s="48">
        <v>2031</v>
      </c>
      <c r="E117" s="48">
        <f>IF(OR($C117=0,AND($B117=2,$D117&lt;=2022)),SUMIFS('Program Inputs'!$I$21:$I$39,'Program Inputs'!$C$21:$C$39,'Bill Credit Rates'!$A117,'Program Inputs'!$D$21:$D$39,'Bill Credit Rates'!$B117,'Program Inputs'!$E$21:$E$39,'Bill Credit Rates'!E$4)*1000,E116*(1+SUMIFS($Q:$Q,$N:$N,$A117,$O:$O,$B117,$P:$P,E$4)))</f>
        <v>116.76054395439979</v>
      </c>
      <c r="F117" s="48">
        <f>IF(OR($C117=0,AND($B117=2,$D117&lt;=2022)),SUMIFS('Program Inputs'!$I$21:$I$39,'Program Inputs'!$C$21:$C$39,'Bill Credit Rates'!$A117,'Program Inputs'!$D$21:$D$39,'Bill Credit Rates'!$B117,'Program Inputs'!$E$21:$E$39,'Bill Credit Rates'!F$4)*1000,F116*(1+SUMIFS($Q:$Q,$N:$N,$A117,$O:$O,$B117,$P:$P,F$4)))</f>
        <v>116.76054395439979</v>
      </c>
      <c r="G117" s="48">
        <f>IF(OR($C117=0,AND($B117=2,$D117&lt;=2022)),SUMIFS('Program Inputs'!$I$21:$I$39,'Program Inputs'!$C$21:$C$39,'Bill Credit Rates'!$A117,'Program Inputs'!$D$21:$D$39,'Bill Credit Rates'!$B117,'Program Inputs'!$E$21:$E$39,'Bill Credit Rates'!G$4)*1000,G116*(1+SUMIFS($Q:$Q,$N:$N,$A117,$O:$O,$B117,$P:$P,G$4)))</f>
        <v>105.08448955895982</v>
      </c>
      <c r="H117" s="33">
        <f>SUMIFS('Program Inputs'!$F$21:$F$39,'Program Inputs'!$C$21:$C$39,'Bill Credit Rates'!$A117,'Program Inputs'!$D$21:$D$39,'Bill Credit Rates'!$B117,'Program Inputs'!$E$21:$E$39,'Bill Credit Rates'!E$4)</f>
        <v>0.4</v>
      </c>
      <c r="I117" s="33">
        <f>SUMIFS('Program Inputs'!$F$21:$F$39,'Program Inputs'!$C$21:$C$39,'Bill Credit Rates'!$A117,'Program Inputs'!$D$21:$D$39,'Bill Credit Rates'!$B117,'Program Inputs'!$E$21:$E$39,'Bill Credit Rates'!F$4)</f>
        <v>0.1</v>
      </c>
      <c r="J117" s="33">
        <f>SUMIFS('Program Inputs'!$F$21:$F$39,'Program Inputs'!$C$21:$C$39,'Bill Credit Rates'!$A117,'Program Inputs'!$D$21:$D$39,'Bill Credit Rates'!$B117,'Program Inputs'!$E$21:$E$39,'Bill Credit Rates'!G$4)</f>
        <v>0.45</v>
      </c>
      <c r="K117" s="48">
        <f t="shared" si="6"/>
        <v>105.66829227873181</v>
      </c>
    </row>
    <row r="118" spans="1:11">
      <c r="A118" s="48" t="s">
        <v>12</v>
      </c>
      <c r="B118" s="48">
        <v>2</v>
      </c>
      <c r="C118" s="48">
        <v>14</v>
      </c>
      <c r="D118" s="48">
        <v>2032</v>
      </c>
      <c r="E118" s="48">
        <f>IF(OR($C118=0,AND($B118=2,$D118&lt;=2022)),SUMIFS('Program Inputs'!$I$21:$I$39,'Program Inputs'!$C$21:$C$39,'Bill Credit Rates'!$A118,'Program Inputs'!$D$21:$D$39,'Bill Credit Rates'!$B118,'Program Inputs'!$E$21:$E$39,'Bill Credit Rates'!E$4)*1000,E117*(1+SUMIFS($Q:$Q,$N:$N,$A118,$O:$O,$B118,$P:$P,E$4)))</f>
        <v>119.09575483348779</v>
      </c>
      <c r="F118" s="48">
        <f>IF(OR($C118=0,AND($B118=2,$D118&lt;=2022)),SUMIFS('Program Inputs'!$I$21:$I$39,'Program Inputs'!$C$21:$C$39,'Bill Credit Rates'!$A118,'Program Inputs'!$D$21:$D$39,'Bill Credit Rates'!$B118,'Program Inputs'!$E$21:$E$39,'Bill Credit Rates'!F$4)*1000,F117*(1+SUMIFS($Q:$Q,$N:$N,$A118,$O:$O,$B118,$P:$P,F$4)))</f>
        <v>119.09575483348779</v>
      </c>
      <c r="G118" s="48">
        <f>IF(OR($C118=0,AND($B118=2,$D118&lt;=2022)),SUMIFS('Program Inputs'!$I$21:$I$39,'Program Inputs'!$C$21:$C$39,'Bill Credit Rates'!$A118,'Program Inputs'!$D$21:$D$39,'Bill Credit Rates'!$B118,'Program Inputs'!$E$21:$E$39,'Bill Credit Rates'!G$4)*1000,G117*(1+SUMIFS($Q:$Q,$N:$N,$A118,$O:$O,$B118,$P:$P,G$4)))</f>
        <v>107.18617935013901</v>
      </c>
      <c r="H118" s="33">
        <f>SUMIFS('Program Inputs'!$F$21:$F$39,'Program Inputs'!$C$21:$C$39,'Bill Credit Rates'!$A118,'Program Inputs'!$D$21:$D$39,'Bill Credit Rates'!$B118,'Program Inputs'!$E$21:$E$39,'Bill Credit Rates'!E$4)</f>
        <v>0.4</v>
      </c>
      <c r="I118" s="33">
        <f>SUMIFS('Program Inputs'!$F$21:$F$39,'Program Inputs'!$C$21:$C$39,'Bill Credit Rates'!$A118,'Program Inputs'!$D$21:$D$39,'Bill Credit Rates'!$B118,'Program Inputs'!$E$21:$E$39,'Bill Credit Rates'!F$4)</f>
        <v>0.1</v>
      </c>
      <c r="J118" s="33">
        <f>SUMIFS('Program Inputs'!$F$21:$F$39,'Program Inputs'!$C$21:$C$39,'Bill Credit Rates'!$A118,'Program Inputs'!$D$21:$D$39,'Bill Credit Rates'!$B118,'Program Inputs'!$E$21:$E$39,'Bill Credit Rates'!G$4)</f>
        <v>0.45</v>
      </c>
      <c r="K118" s="48">
        <f t="shared" si="6"/>
        <v>107.78165812430646</v>
      </c>
    </row>
    <row r="119" spans="1:11">
      <c r="A119" s="48" t="s">
        <v>12</v>
      </c>
      <c r="B119" s="48">
        <v>2</v>
      </c>
      <c r="C119" s="48">
        <v>15</v>
      </c>
      <c r="D119" s="48">
        <v>2033</v>
      </c>
      <c r="E119" s="48">
        <f>IF(OR($C119=0,AND($B119=2,$D119&lt;=2022)),SUMIFS('Program Inputs'!$I$21:$I$39,'Program Inputs'!$C$21:$C$39,'Bill Credit Rates'!$A119,'Program Inputs'!$D$21:$D$39,'Bill Credit Rates'!$B119,'Program Inputs'!$E$21:$E$39,'Bill Credit Rates'!E$4)*1000,E118*(1+SUMIFS($Q:$Q,$N:$N,$A119,$O:$O,$B119,$P:$P,E$4)))</f>
        <v>121.47766993015755</v>
      </c>
      <c r="F119" s="48">
        <f>IF(OR($C119=0,AND($B119=2,$D119&lt;=2022)),SUMIFS('Program Inputs'!$I$21:$I$39,'Program Inputs'!$C$21:$C$39,'Bill Credit Rates'!$A119,'Program Inputs'!$D$21:$D$39,'Bill Credit Rates'!$B119,'Program Inputs'!$E$21:$E$39,'Bill Credit Rates'!F$4)*1000,F118*(1+SUMIFS($Q:$Q,$N:$N,$A119,$O:$O,$B119,$P:$P,F$4)))</f>
        <v>121.47766993015755</v>
      </c>
      <c r="G119" s="48">
        <f>IF(OR($C119=0,AND($B119=2,$D119&lt;=2022)),SUMIFS('Program Inputs'!$I$21:$I$39,'Program Inputs'!$C$21:$C$39,'Bill Credit Rates'!$A119,'Program Inputs'!$D$21:$D$39,'Bill Credit Rates'!$B119,'Program Inputs'!$E$21:$E$39,'Bill Credit Rates'!G$4)*1000,G118*(1+SUMIFS($Q:$Q,$N:$N,$A119,$O:$O,$B119,$P:$P,G$4)))</f>
        <v>109.3299029371418</v>
      </c>
      <c r="H119" s="33">
        <f>SUMIFS('Program Inputs'!$F$21:$F$39,'Program Inputs'!$C$21:$C$39,'Bill Credit Rates'!$A119,'Program Inputs'!$D$21:$D$39,'Bill Credit Rates'!$B119,'Program Inputs'!$E$21:$E$39,'Bill Credit Rates'!E$4)</f>
        <v>0.4</v>
      </c>
      <c r="I119" s="33">
        <f>SUMIFS('Program Inputs'!$F$21:$F$39,'Program Inputs'!$C$21:$C$39,'Bill Credit Rates'!$A119,'Program Inputs'!$D$21:$D$39,'Bill Credit Rates'!$B119,'Program Inputs'!$E$21:$E$39,'Bill Credit Rates'!F$4)</f>
        <v>0.1</v>
      </c>
      <c r="J119" s="33">
        <f>SUMIFS('Program Inputs'!$F$21:$F$39,'Program Inputs'!$C$21:$C$39,'Bill Credit Rates'!$A119,'Program Inputs'!$D$21:$D$39,'Bill Credit Rates'!$B119,'Program Inputs'!$E$21:$E$39,'Bill Credit Rates'!G$4)</f>
        <v>0.45</v>
      </c>
      <c r="K119" s="48">
        <f t="shared" si="6"/>
        <v>109.93729128679259</v>
      </c>
    </row>
    <row r="120" spans="1:11">
      <c r="A120" s="48" t="s">
        <v>12</v>
      </c>
      <c r="B120" s="48">
        <v>2</v>
      </c>
      <c r="C120" s="48">
        <v>16</v>
      </c>
      <c r="D120" s="48">
        <v>2034</v>
      </c>
      <c r="E120" s="48">
        <f>IF(OR($C120=0,AND($B120=2,$D120&lt;=2022)),SUMIFS('Program Inputs'!$I$21:$I$39,'Program Inputs'!$C$21:$C$39,'Bill Credit Rates'!$A120,'Program Inputs'!$D$21:$D$39,'Bill Credit Rates'!$B120,'Program Inputs'!$E$21:$E$39,'Bill Credit Rates'!E$4)*1000,E119*(1+SUMIFS($Q:$Q,$N:$N,$A120,$O:$O,$B120,$P:$P,E$4)))</f>
        <v>123.90722332876069</v>
      </c>
      <c r="F120" s="48">
        <f>IF(OR($C120=0,AND($B120=2,$D120&lt;=2022)),SUMIFS('Program Inputs'!$I$21:$I$39,'Program Inputs'!$C$21:$C$39,'Bill Credit Rates'!$A120,'Program Inputs'!$D$21:$D$39,'Bill Credit Rates'!$B120,'Program Inputs'!$E$21:$E$39,'Bill Credit Rates'!F$4)*1000,F119*(1+SUMIFS($Q:$Q,$N:$N,$A120,$O:$O,$B120,$P:$P,F$4)))</f>
        <v>123.90722332876069</v>
      </c>
      <c r="G120" s="48">
        <f>IF(OR($C120=0,AND($B120=2,$D120&lt;=2022)),SUMIFS('Program Inputs'!$I$21:$I$39,'Program Inputs'!$C$21:$C$39,'Bill Credit Rates'!$A120,'Program Inputs'!$D$21:$D$39,'Bill Credit Rates'!$B120,'Program Inputs'!$E$21:$E$39,'Bill Credit Rates'!G$4)*1000,G119*(1+SUMIFS($Q:$Q,$N:$N,$A120,$O:$O,$B120,$P:$P,G$4)))</f>
        <v>111.51650099588463</v>
      </c>
      <c r="H120" s="33">
        <f>SUMIFS('Program Inputs'!$F$21:$F$39,'Program Inputs'!$C$21:$C$39,'Bill Credit Rates'!$A120,'Program Inputs'!$D$21:$D$39,'Bill Credit Rates'!$B120,'Program Inputs'!$E$21:$E$39,'Bill Credit Rates'!E$4)</f>
        <v>0.4</v>
      </c>
      <c r="I120" s="33">
        <f>SUMIFS('Program Inputs'!$F$21:$F$39,'Program Inputs'!$C$21:$C$39,'Bill Credit Rates'!$A120,'Program Inputs'!$D$21:$D$39,'Bill Credit Rates'!$B120,'Program Inputs'!$E$21:$E$39,'Bill Credit Rates'!F$4)</f>
        <v>0.1</v>
      </c>
      <c r="J120" s="33">
        <f>SUMIFS('Program Inputs'!$F$21:$F$39,'Program Inputs'!$C$21:$C$39,'Bill Credit Rates'!$A120,'Program Inputs'!$D$21:$D$39,'Bill Credit Rates'!$B120,'Program Inputs'!$E$21:$E$39,'Bill Credit Rates'!G$4)</f>
        <v>0.45</v>
      </c>
      <c r="K120" s="48">
        <f t="shared" si="6"/>
        <v>112.13603711252843</v>
      </c>
    </row>
    <row r="121" spans="1:11">
      <c r="A121" s="48" t="s">
        <v>12</v>
      </c>
      <c r="B121" s="48">
        <v>2</v>
      </c>
      <c r="C121" s="48">
        <v>17</v>
      </c>
      <c r="D121" s="48">
        <v>2035</v>
      </c>
      <c r="E121" s="48">
        <f>IF(OR($C121=0,AND($B121=2,$D121&lt;=2022)),SUMIFS('Program Inputs'!$I$21:$I$39,'Program Inputs'!$C$21:$C$39,'Bill Credit Rates'!$A121,'Program Inputs'!$D$21:$D$39,'Bill Credit Rates'!$B121,'Program Inputs'!$E$21:$E$39,'Bill Credit Rates'!E$4)*1000,E120*(1+SUMIFS($Q:$Q,$N:$N,$A121,$O:$O,$B121,$P:$P,E$4)))</f>
        <v>126.38536779533591</v>
      </c>
      <c r="F121" s="48">
        <f>IF(OR($C121=0,AND($B121=2,$D121&lt;=2022)),SUMIFS('Program Inputs'!$I$21:$I$39,'Program Inputs'!$C$21:$C$39,'Bill Credit Rates'!$A121,'Program Inputs'!$D$21:$D$39,'Bill Credit Rates'!$B121,'Program Inputs'!$E$21:$E$39,'Bill Credit Rates'!F$4)*1000,F120*(1+SUMIFS($Q:$Q,$N:$N,$A121,$O:$O,$B121,$P:$P,F$4)))</f>
        <v>126.38536779533591</v>
      </c>
      <c r="G121" s="48">
        <f>IF(OR($C121=0,AND($B121=2,$D121&lt;=2022)),SUMIFS('Program Inputs'!$I$21:$I$39,'Program Inputs'!$C$21:$C$39,'Bill Credit Rates'!$A121,'Program Inputs'!$D$21:$D$39,'Bill Credit Rates'!$B121,'Program Inputs'!$E$21:$E$39,'Bill Credit Rates'!G$4)*1000,G120*(1+SUMIFS($Q:$Q,$N:$N,$A121,$O:$O,$B121,$P:$P,G$4)))</f>
        <v>113.74683101580231</v>
      </c>
      <c r="H121" s="33">
        <f>SUMIFS('Program Inputs'!$F$21:$F$39,'Program Inputs'!$C$21:$C$39,'Bill Credit Rates'!$A121,'Program Inputs'!$D$21:$D$39,'Bill Credit Rates'!$B121,'Program Inputs'!$E$21:$E$39,'Bill Credit Rates'!E$4)</f>
        <v>0.4</v>
      </c>
      <c r="I121" s="33">
        <f>SUMIFS('Program Inputs'!$F$21:$F$39,'Program Inputs'!$C$21:$C$39,'Bill Credit Rates'!$A121,'Program Inputs'!$D$21:$D$39,'Bill Credit Rates'!$B121,'Program Inputs'!$E$21:$E$39,'Bill Credit Rates'!F$4)</f>
        <v>0.1</v>
      </c>
      <c r="J121" s="33">
        <f>SUMIFS('Program Inputs'!$F$21:$F$39,'Program Inputs'!$C$21:$C$39,'Bill Credit Rates'!$A121,'Program Inputs'!$D$21:$D$39,'Bill Credit Rates'!$B121,'Program Inputs'!$E$21:$E$39,'Bill Credit Rates'!G$4)</f>
        <v>0.45</v>
      </c>
      <c r="K121" s="48">
        <f t="shared" si="6"/>
        <v>114.378757854779</v>
      </c>
    </row>
    <row r="122" spans="1:11">
      <c r="A122" s="48" t="s">
        <v>12</v>
      </c>
      <c r="B122" s="48">
        <v>2</v>
      </c>
      <c r="C122" s="48">
        <v>18</v>
      </c>
      <c r="D122" s="48">
        <v>2036</v>
      </c>
      <c r="E122" s="48">
        <f>IF(OR($C122=0,AND($B122=2,$D122&lt;=2022)),SUMIFS('Program Inputs'!$I$21:$I$39,'Program Inputs'!$C$21:$C$39,'Bill Credit Rates'!$A122,'Program Inputs'!$D$21:$D$39,'Bill Credit Rates'!$B122,'Program Inputs'!$E$21:$E$39,'Bill Credit Rates'!E$4)*1000,E121*(1+SUMIFS($Q:$Q,$N:$N,$A122,$O:$O,$B122,$P:$P,E$4)))</f>
        <v>128.91307515124262</v>
      </c>
      <c r="F122" s="48">
        <f>IF(OR($C122=0,AND($B122=2,$D122&lt;=2022)),SUMIFS('Program Inputs'!$I$21:$I$39,'Program Inputs'!$C$21:$C$39,'Bill Credit Rates'!$A122,'Program Inputs'!$D$21:$D$39,'Bill Credit Rates'!$B122,'Program Inputs'!$E$21:$E$39,'Bill Credit Rates'!F$4)*1000,F121*(1+SUMIFS($Q:$Q,$N:$N,$A122,$O:$O,$B122,$P:$P,F$4)))</f>
        <v>128.91307515124262</v>
      </c>
      <c r="G122" s="48">
        <f>IF(OR($C122=0,AND($B122=2,$D122&lt;=2022)),SUMIFS('Program Inputs'!$I$21:$I$39,'Program Inputs'!$C$21:$C$39,'Bill Credit Rates'!$A122,'Program Inputs'!$D$21:$D$39,'Bill Credit Rates'!$B122,'Program Inputs'!$E$21:$E$39,'Bill Credit Rates'!G$4)*1000,G121*(1+SUMIFS($Q:$Q,$N:$N,$A122,$O:$O,$B122,$P:$P,G$4)))</f>
        <v>116.02176763611837</v>
      </c>
      <c r="H122" s="33">
        <f>SUMIFS('Program Inputs'!$F$21:$F$39,'Program Inputs'!$C$21:$C$39,'Bill Credit Rates'!$A122,'Program Inputs'!$D$21:$D$39,'Bill Credit Rates'!$B122,'Program Inputs'!$E$21:$E$39,'Bill Credit Rates'!E$4)</f>
        <v>0.4</v>
      </c>
      <c r="I122" s="33">
        <f>SUMIFS('Program Inputs'!$F$21:$F$39,'Program Inputs'!$C$21:$C$39,'Bill Credit Rates'!$A122,'Program Inputs'!$D$21:$D$39,'Bill Credit Rates'!$B122,'Program Inputs'!$E$21:$E$39,'Bill Credit Rates'!F$4)</f>
        <v>0.1</v>
      </c>
      <c r="J122" s="33">
        <f>SUMIFS('Program Inputs'!$F$21:$F$39,'Program Inputs'!$C$21:$C$39,'Bill Credit Rates'!$A122,'Program Inputs'!$D$21:$D$39,'Bill Credit Rates'!$B122,'Program Inputs'!$E$21:$E$39,'Bill Credit Rates'!G$4)</f>
        <v>0.45</v>
      </c>
      <c r="K122" s="48">
        <f t="shared" si="6"/>
        <v>116.66633301187457</v>
      </c>
    </row>
    <row r="123" spans="1:11">
      <c r="A123" s="48" t="s">
        <v>12</v>
      </c>
      <c r="B123" s="48">
        <v>2</v>
      </c>
      <c r="C123" s="48">
        <v>19</v>
      </c>
      <c r="D123" s="48">
        <v>2037</v>
      </c>
      <c r="E123" s="48">
        <f>IF(OR($C123=0,AND($B123=2,$D123&lt;=2022)),SUMIFS('Program Inputs'!$I$21:$I$39,'Program Inputs'!$C$21:$C$39,'Bill Credit Rates'!$A123,'Program Inputs'!$D$21:$D$39,'Bill Credit Rates'!$B123,'Program Inputs'!$E$21:$E$39,'Bill Credit Rates'!E$4)*1000,E122*(1+SUMIFS($Q:$Q,$N:$N,$A123,$O:$O,$B123,$P:$P,E$4)))</f>
        <v>131.49133665426749</v>
      </c>
      <c r="F123" s="48">
        <f>IF(OR($C123=0,AND($B123=2,$D123&lt;=2022)),SUMIFS('Program Inputs'!$I$21:$I$39,'Program Inputs'!$C$21:$C$39,'Bill Credit Rates'!$A123,'Program Inputs'!$D$21:$D$39,'Bill Credit Rates'!$B123,'Program Inputs'!$E$21:$E$39,'Bill Credit Rates'!F$4)*1000,F122*(1+SUMIFS($Q:$Q,$N:$N,$A123,$O:$O,$B123,$P:$P,F$4)))</f>
        <v>131.49133665426749</v>
      </c>
      <c r="G123" s="48">
        <f>IF(OR($C123=0,AND($B123=2,$D123&lt;=2022)),SUMIFS('Program Inputs'!$I$21:$I$39,'Program Inputs'!$C$21:$C$39,'Bill Credit Rates'!$A123,'Program Inputs'!$D$21:$D$39,'Bill Credit Rates'!$B123,'Program Inputs'!$E$21:$E$39,'Bill Credit Rates'!G$4)*1000,G122*(1+SUMIFS($Q:$Q,$N:$N,$A123,$O:$O,$B123,$P:$P,G$4)))</f>
        <v>118.34220298884074</v>
      </c>
      <c r="H123" s="33">
        <f>SUMIFS('Program Inputs'!$F$21:$F$39,'Program Inputs'!$C$21:$C$39,'Bill Credit Rates'!$A123,'Program Inputs'!$D$21:$D$39,'Bill Credit Rates'!$B123,'Program Inputs'!$E$21:$E$39,'Bill Credit Rates'!E$4)</f>
        <v>0.4</v>
      </c>
      <c r="I123" s="33">
        <f>SUMIFS('Program Inputs'!$F$21:$F$39,'Program Inputs'!$C$21:$C$39,'Bill Credit Rates'!$A123,'Program Inputs'!$D$21:$D$39,'Bill Credit Rates'!$B123,'Program Inputs'!$E$21:$E$39,'Bill Credit Rates'!F$4)</f>
        <v>0.1</v>
      </c>
      <c r="J123" s="33">
        <f>SUMIFS('Program Inputs'!$F$21:$F$39,'Program Inputs'!$C$21:$C$39,'Bill Credit Rates'!$A123,'Program Inputs'!$D$21:$D$39,'Bill Credit Rates'!$B123,'Program Inputs'!$E$21:$E$39,'Bill Credit Rates'!G$4)</f>
        <v>0.45</v>
      </c>
      <c r="K123" s="48">
        <f t="shared" si="6"/>
        <v>118.99965967211207</v>
      </c>
    </row>
    <row r="124" spans="1:11">
      <c r="A124" s="48" t="s">
        <v>12</v>
      </c>
      <c r="B124" s="48">
        <v>2</v>
      </c>
      <c r="C124" s="48">
        <v>20</v>
      </c>
      <c r="D124" s="48">
        <v>2038</v>
      </c>
      <c r="E124" s="48">
        <f>IF(OR($C124=0,AND($B124=2,$D124&lt;=2022)),SUMIFS('Program Inputs'!$I$21:$I$39,'Program Inputs'!$C$21:$C$39,'Bill Credit Rates'!$A124,'Program Inputs'!$D$21:$D$39,'Bill Credit Rates'!$B124,'Program Inputs'!$E$21:$E$39,'Bill Credit Rates'!E$4)*1000,E123*(1+SUMIFS($Q:$Q,$N:$N,$A124,$O:$O,$B124,$P:$P,E$4)))</f>
        <v>134.12116338735285</v>
      </c>
      <c r="F124" s="48">
        <f>IF(OR($C124=0,AND($B124=2,$D124&lt;=2022)),SUMIFS('Program Inputs'!$I$21:$I$39,'Program Inputs'!$C$21:$C$39,'Bill Credit Rates'!$A124,'Program Inputs'!$D$21:$D$39,'Bill Credit Rates'!$B124,'Program Inputs'!$E$21:$E$39,'Bill Credit Rates'!F$4)*1000,F123*(1+SUMIFS($Q:$Q,$N:$N,$A124,$O:$O,$B124,$P:$P,F$4)))</f>
        <v>134.12116338735285</v>
      </c>
      <c r="G124" s="48">
        <f>IF(OR($C124=0,AND($B124=2,$D124&lt;=2022)),SUMIFS('Program Inputs'!$I$21:$I$39,'Program Inputs'!$C$21:$C$39,'Bill Credit Rates'!$A124,'Program Inputs'!$D$21:$D$39,'Bill Credit Rates'!$B124,'Program Inputs'!$E$21:$E$39,'Bill Credit Rates'!G$4)*1000,G123*(1+SUMIFS($Q:$Q,$N:$N,$A124,$O:$O,$B124,$P:$P,G$4)))</f>
        <v>120.70904704861756</v>
      </c>
      <c r="H124" s="33">
        <f>SUMIFS('Program Inputs'!$F$21:$F$39,'Program Inputs'!$C$21:$C$39,'Bill Credit Rates'!$A124,'Program Inputs'!$D$21:$D$39,'Bill Credit Rates'!$B124,'Program Inputs'!$E$21:$E$39,'Bill Credit Rates'!E$4)</f>
        <v>0.4</v>
      </c>
      <c r="I124" s="33">
        <f>SUMIFS('Program Inputs'!$F$21:$F$39,'Program Inputs'!$C$21:$C$39,'Bill Credit Rates'!$A124,'Program Inputs'!$D$21:$D$39,'Bill Credit Rates'!$B124,'Program Inputs'!$E$21:$E$39,'Bill Credit Rates'!F$4)</f>
        <v>0.1</v>
      </c>
      <c r="J124" s="33">
        <f>SUMIFS('Program Inputs'!$F$21:$F$39,'Program Inputs'!$C$21:$C$39,'Bill Credit Rates'!$A124,'Program Inputs'!$D$21:$D$39,'Bill Credit Rates'!$B124,'Program Inputs'!$E$21:$E$39,'Bill Credit Rates'!G$4)</f>
        <v>0.45</v>
      </c>
      <c r="K124" s="48">
        <f t="shared" si="6"/>
        <v>121.37965286555433</v>
      </c>
    </row>
    <row r="125" spans="1:11">
      <c r="A125" s="48" t="s">
        <v>12</v>
      </c>
      <c r="B125" s="48">
        <v>2</v>
      </c>
      <c r="C125" s="48">
        <v>21</v>
      </c>
      <c r="D125" s="48">
        <v>2039</v>
      </c>
      <c r="E125" s="48">
        <f>IF(OR($C125=0,AND($B125=2,$D125&lt;=2022)),SUMIFS('Program Inputs'!$I$21:$I$39,'Program Inputs'!$C$21:$C$39,'Bill Credit Rates'!$A125,'Program Inputs'!$D$21:$D$39,'Bill Credit Rates'!$B125,'Program Inputs'!$E$21:$E$39,'Bill Credit Rates'!E$4)*1000,E124*(1+SUMIFS($Q:$Q,$N:$N,$A125,$O:$O,$B125,$P:$P,E$4)))</f>
        <v>136.80358665509991</v>
      </c>
      <c r="F125" s="48">
        <f>IF(OR($C125=0,AND($B125=2,$D125&lt;=2022)),SUMIFS('Program Inputs'!$I$21:$I$39,'Program Inputs'!$C$21:$C$39,'Bill Credit Rates'!$A125,'Program Inputs'!$D$21:$D$39,'Bill Credit Rates'!$B125,'Program Inputs'!$E$21:$E$39,'Bill Credit Rates'!F$4)*1000,F124*(1+SUMIFS($Q:$Q,$N:$N,$A125,$O:$O,$B125,$P:$P,F$4)))</f>
        <v>136.80358665509991</v>
      </c>
      <c r="G125" s="48">
        <f>IF(OR($C125=0,AND($B125=2,$D125&lt;=2022)),SUMIFS('Program Inputs'!$I$21:$I$39,'Program Inputs'!$C$21:$C$39,'Bill Credit Rates'!$A125,'Program Inputs'!$D$21:$D$39,'Bill Credit Rates'!$B125,'Program Inputs'!$E$21:$E$39,'Bill Credit Rates'!G$4)*1000,G124*(1+SUMIFS($Q:$Q,$N:$N,$A125,$O:$O,$B125,$P:$P,G$4)))</f>
        <v>123.12322798958992</v>
      </c>
      <c r="H125" s="33">
        <f>SUMIFS('Program Inputs'!$F$21:$F$39,'Program Inputs'!$C$21:$C$39,'Bill Credit Rates'!$A125,'Program Inputs'!$D$21:$D$39,'Bill Credit Rates'!$B125,'Program Inputs'!$E$21:$E$39,'Bill Credit Rates'!E$4)</f>
        <v>0.4</v>
      </c>
      <c r="I125" s="33">
        <f>SUMIFS('Program Inputs'!$F$21:$F$39,'Program Inputs'!$C$21:$C$39,'Bill Credit Rates'!$A125,'Program Inputs'!$D$21:$D$39,'Bill Credit Rates'!$B125,'Program Inputs'!$E$21:$E$39,'Bill Credit Rates'!F$4)</f>
        <v>0.1</v>
      </c>
      <c r="J125" s="33">
        <f>SUMIFS('Program Inputs'!$F$21:$F$39,'Program Inputs'!$C$21:$C$39,'Bill Credit Rates'!$A125,'Program Inputs'!$D$21:$D$39,'Bill Credit Rates'!$B125,'Program Inputs'!$E$21:$E$39,'Bill Credit Rates'!G$4)</f>
        <v>0.45</v>
      </c>
      <c r="K125" s="48">
        <f t="shared" ref="K125:K129" si="10">E125*H125+F125*I125+G125*J125</f>
        <v>123.80724592286543</v>
      </c>
    </row>
    <row r="126" spans="1:11">
      <c r="A126" s="48" t="s">
        <v>12</v>
      </c>
      <c r="B126" s="48">
        <v>2</v>
      </c>
      <c r="C126" s="48">
        <v>22</v>
      </c>
      <c r="D126" s="48">
        <v>2040</v>
      </c>
      <c r="E126" s="48">
        <f>IF(OR($C126=0,AND($B126=2,$D126&lt;=2022)),SUMIFS('Program Inputs'!$I$21:$I$39,'Program Inputs'!$C$21:$C$39,'Bill Credit Rates'!$A126,'Program Inputs'!$D$21:$D$39,'Bill Credit Rates'!$B126,'Program Inputs'!$E$21:$E$39,'Bill Credit Rates'!E$4)*1000,E125*(1+SUMIFS($Q:$Q,$N:$N,$A126,$O:$O,$B126,$P:$P,E$4)))</f>
        <v>139.5396583882019</v>
      </c>
      <c r="F126" s="48">
        <f>IF(OR($C126=0,AND($B126=2,$D126&lt;=2022)),SUMIFS('Program Inputs'!$I$21:$I$39,'Program Inputs'!$C$21:$C$39,'Bill Credit Rates'!$A126,'Program Inputs'!$D$21:$D$39,'Bill Credit Rates'!$B126,'Program Inputs'!$E$21:$E$39,'Bill Credit Rates'!F$4)*1000,F125*(1+SUMIFS($Q:$Q,$N:$N,$A126,$O:$O,$B126,$P:$P,F$4)))</f>
        <v>139.5396583882019</v>
      </c>
      <c r="G126" s="48">
        <f>IF(OR($C126=0,AND($B126=2,$D126&lt;=2022)),SUMIFS('Program Inputs'!$I$21:$I$39,'Program Inputs'!$C$21:$C$39,'Bill Credit Rates'!$A126,'Program Inputs'!$D$21:$D$39,'Bill Credit Rates'!$B126,'Program Inputs'!$E$21:$E$39,'Bill Credit Rates'!G$4)*1000,G125*(1+SUMIFS($Q:$Q,$N:$N,$A126,$O:$O,$B126,$P:$P,G$4)))</f>
        <v>125.58569254938172</v>
      </c>
      <c r="H126" s="33">
        <f>SUMIFS('Program Inputs'!$F$21:$F$39,'Program Inputs'!$C$21:$C$39,'Bill Credit Rates'!$A126,'Program Inputs'!$D$21:$D$39,'Bill Credit Rates'!$B126,'Program Inputs'!$E$21:$E$39,'Bill Credit Rates'!E$4)</f>
        <v>0.4</v>
      </c>
      <c r="I126" s="33">
        <f>SUMIFS('Program Inputs'!$F$21:$F$39,'Program Inputs'!$C$21:$C$39,'Bill Credit Rates'!$A126,'Program Inputs'!$D$21:$D$39,'Bill Credit Rates'!$B126,'Program Inputs'!$E$21:$E$39,'Bill Credit Rates'!F$4)</f>
        <v>0.1</v>
      </c>
      <c r="J126" s="33">
        <f>SUMIFS('Program Inputs'!$F$21:$F$39,'Program Inputs'!$C$21:$C$39,'Bill Credit Rates'!$A126,'Program Inputs'!$D$21:$D$39,'Bill Credit Rates'!$B126,'Program Inputs'!$E$21:$E$39,'Bill Credit Rates'!G$4)</f>
        <v>0.45</v>
      </c>
      <c r="K126" s="48">
        <f t="shared" si="10"/>
        <v>126.28339084132273</v>
      </c>
    </row>
    <row r="127" spans="1:11">
      <c r="A127" s="48" t="s">
        <v>12</v>
      </c>
      <c r="B127" s="48">
        <v>2</v>
      </c>
      <c r="C127" s="48">
        <v>23</v>
      </c>
      <c r="D127" s="48">
        <v>2041</v>
      </c>
      <c r="E127" s="48">
        <f>IF(OR($C127=0,AND($B127=2,$D127&lt;=2022)),SUMIFS('Program Inputs'!$I$21:$I$39,'Program Inputs'!$C$21:$C$39,'Bill Credit Rates'!$A127,'Program Inputs'!$D$21:$D$39,'Bill Credit Rates'!$B127,'Program Inputs'!$E$21:$E$39,'Bill Credit Rates'!E$4)*1000,E126*(1+SUMIFS($Q:$Q,$N:$N,$A127,$O:$O,$B127,$P:$P,E$4)))</f>
        <v>142.33045155596594</v>
      </c>
      <c r="F127" s="48">
        <f>IF(OR($C127=0,AND($B127=2,$D127&lt;=2022)),SUMIFS('Program Inputs'!$I$21:$I$39,'Program Inputs'!$C$21:$C$39,'Bill Credit Rates'!$A127,'Program Inputs'!$D$21:$D$39,'Bill Credit Rates'!$B127,'Program Inputs'!$E$21:$E$39,'Bill Credit Rates'!F$4)*1000,F126*(1+SUMIFS($Q:$Q,$N:$N,$A127,$O:$O,$B127,$P:$P,F$4)))</f>
        <v>142.33045155596594</v>
      </c>
      <c r="G127" s="48">
        <f>IF(OR($C127=0,AND($B127=2,$D127&lt;=2022)),SUMIFS('Program Inputs'!$I$21:$I$39,'Program Inputs'!$C$21:$C$39,'Bill Credit Rates'!$A127,'Program Inputs'!$D$21:$D$39,'Bill Credit Rates'!$B127,'Program Inputs'!$E$21:$E$39,'Bill Credit Rates'!G$4)*1000,G126*(1+SUMIFS($Q:$Q,$N:$N,$A127,$O:$O,$B127,$P:$P,G$4)))</f>
        <v>128.09740640036935</v>
      </c>
      <c r="H127" s="33">
        <f>SUMIFS('Program Inputs'!$F$21:$F$39,'Program Inputs'!$C$21:$C$39,'Bill Credit Rates'!$A127,'Program Inputs'!$D$21:$D$39,'Bill Credit Rates'!$B127,'Program Inputs'!$E$21:$E$39,'Bill Credit Rates'!E$4)</f>
        <v>0.4</v>
      </c>
      <c r="I127" s="33">
        <f>SUMIFS('Program Inputs'!$F$21:$F$39,'Program Inputs'!$C$21:$C$39,'Bill Credit Rates'!$A127,'Program Inputs'!$D$21:$D$39,'Bill Credit Rates'!$B127,'Program Inputs'!$E$21:$E$39,'Bill Credit Rates'!F$4)</f>
        <v>0.1</v>
      </c>
      <c r="J127" s="33">
        <f>SUMIFS('Program Inputs'!$F$21:$F$39,'Program Inputs'!$C$21:$C$39,'Bill Credit Rates'!$A127,'Program Inputs'!$D$21:$D$39,'Bill Credit Rates'!$B127,'Program Inputs'!$E$21:$E$39,'Bill Credit Rates'!G$4)</f>
        <v>0.45</v>
      </c>
      <c r="K127" s="48">
        <f t="shared" si="10"/>
        <v>128.80905865814918</v>
      </c>
    </row>
    <row r="128" spans="1:11">
      <c r="A128" s="48" t="s">
        <v>12</v>
      </c>
      <c r="B128" s="48">
        <v>2</v>
      </c>
      <c r="C128" s="48">
        <v>24</v>
      </c>
      <c r="D128" s="48">
        <v>2042</v>
      </c>
      <c r="E128" s="48">
        <f>IF(OR($C128=0,AND($B128=2,$D128&lt;=2022)),SUMIFS('Program Inputs'!$I$21:$I$39,'Program Inputs'!$C$21:$C$39,'Bill Credit Rates'!$A128,'Program Inputs'!$D$21:$D$39,'Bill Credit Rates'!$B128,'Program Inputs'!$E$21:$E$39,'Bill Credit Rates'!E$4)*1000,E127*(1+SUMIFS($Q:$Q,$N:$N,$A128,$O:$O,$B128,$P:$P,E$4)))</f>
        <v>145.17706058708526</v>
      </c>
      <c r="F128" s="48">
        <f>IF(OR($C128=0,AND($B128=2,$D128&lt;=2022)),SUMIFS('Program Inputs'!$I$21:$I$39,'Program Inputs'!$C$21:$C$39,'Bill Credit Rates'!$A128,'Program Inputs'!$D$21:$D$39,'Bill Credit Rates'!$B128,'Program Inputs'!$E$21:$E$39,'Bill Credit Rates'!F$4)*1000,F127*(1+SUMIFS($Q:$Q,$N:$N,$A128,$O:$O,$B128,$P:$P,F$4)))</f>
        <v>145.17706058708526</v>
      </c>
      <c r="G128" s="48">
        <f>IF(OR($C128=0,AND($B128=2,$D128&lt;=2022)),SUMIFS('Program Inputs'!$I$21:$I$39,'Program Inputs'!$C$21:$C$39,'Bill Credit Rates'!$A128,'Program Inputs'!$D$21:$D$39,'Bill Credit Rates'!$B128,'Program Inputs'!$E$21:$E$39,'Bill Credit Rates'!G$4)*1000,G127*(1+SUMIFS($Q:$Q,$N:$N,$A128,$O:$O,$B128,$P:$P,G$4)))</f>
        <v>130.65935452837675</v>
      </c>
      <c r="H128" s="33">
        <f>SUMIFS('Program Inputs'!$F$21:$F$39,'Program Inputs'!$C$21:$C$39,'Bill Credit Rates'!$A128,'Program Inputs'!$D$21:$D$39,'Bill Credit Rates'!$B128,'Program Inputs'!$E$21:$E$39,'Bill Credit Rates'!E$4)</f>
        <v>0.4</v>
      </c>
      <c r="I128" s="33">
        <f>SUMIFS('Program Inputs'!$F$21:$F$39,'Program Inputs'!$C$21:$C$39,'Bill Credit Rates'!$A128,'Program Inputs'!$D$21:$D$39,'Bill Credit Rates'!$B128,'Program Inputs'!$E$21:$E$39,'Bill Credit Rates'!F$4)</f>
        <v>0.1</v>
      </c>
      <c r="J128" s="33">
        <f>SUMIFS('Program Inputs'!$F$21:$F$39,'Program Inputs'!$C$21:$C$39,'Bill Credit Rates'!$A128,'Program Inputs'!$D$21:$D$39,'Bill Credit Rates'!$B128,'Program Inputs'!$E$21:$E$39,'Bill Credit Rates'!G$4)</f>
        <v>0.45</v>
      </c>
      <c r="K128" s="48">
        <f t="shared" si="10"/>
        <v>131.38523983131216</v>
      </c>
    </row>
    <row r="129" spans="1:11">
      <c r="A129" s="48" t="s">
        <v>12</v>
      </c>
      <c r="B129" s="48">
        <v>2</v>
      </c>
      <c r="C129" s="48">
        <v>25</v>
      </c>
      <c r="D129" s="48">
        <v>2043</v>
      </c>
      <c r="E129" s="48">
        <f>IF(OR($C129=0,AND($B129=2,$D129&lt;=2022)),SUMIFS('Program Inputs'!$I$21:$I$39,'Program Inputs'!$C$21:$C$39,'Bill Credit Rates'!$A129,'Program Inputs'!$D$21:$D$39,'Bill Credit Rates'!$B129,'Program Inputs'!$E$21:$E$39,'Bill Credit Rates'!E$4)*1000,E128*(1+SUMIFS($Q:$Q,$N:$N,$A129,$O:$O,$B129,$P:$P,E$4)))</f>
        <v>148.08060179882696</v>
      </c>
      <c r="F129" s="48">
        <f>IF(OR($C129=0,AND($B129=2,$D129&lt;=2022)),SUMIFS('Program Inputs'!$I$21:$I$39,'Program Inputs'!$C$21:$C$39,'Bill Credit Rates'!$A129,'Program Inputs'!$D$21:$D$39,'Bill Credit Rates'!$B129,'Program Inputs'!$E$21:$E$39,'Bill Credit Rates'!F$4)*1000,F128*(1+SUMIFS($Q:$Q,$N:$N,$A129,$O:$O,$B129,$P:$P,F$4)))</f>
        <v>148.08060179882696</v>
      </c>
      <c r="G129" s="48">
        <f>IF(OR($C129=0,AND($B129=2,$D129&lt;=2022)),SUMIFS('Program Inputs'!$I$21:$I$39,'Program Inputs'!$C$21:$C$39,'Bill Credit Rates'!$A129,'Program Inputs'!$D$21:$D$39,'Bill Credit Rates'!$B129,'Program Inputs'!$E$21:$E$39,'Bill Credit Rates'!G$4)*1000,G128*(1+SUMIFS($Q:$Q,$N:$N,$A129,$O:$O,$B129,$P:$P,G$4)))</f>
        <v>133.2725416189443</v>
      </c>
      <c r="H129" s="33">
        <f>SUMIFS('Program Inputs'!$F$21:$F$39,'Program Inputs'!$C$21:$C$39,'Bill Credit Rates'!$A129,'Program Inputs'!$D$21:$D$39,'Bill Credit Rates'!$B129,'Program Inputs'!$E$21:$E$39,'Bill Credit Rates'!E$4)</f>
        <v>0.4</v>
      </c>
      <c r="I129" s="33">
        <f>SUMIFS('Program Inputs'!$F$21:$F$39,'Program Inputs'!$C$21:$C$39,'Bill Credit Rates'!$A129,'Program Inputs'!$D$21:$D$39,'Bill Credit Rates'!$B129,'Program Inputs'!$E$21:$E$39,'Bill Credit Rates'!F$4)</f>
        <v>0.1</v>
      </c>
      <c r="J129" s="33">
        <f>SUMIFS('Program Inputs'!$F$21:$F$39,'Program Inputs'!$C$21:$C$39,'Bill Credit Rates'!$A129,'Program Inputs'!$D$21:$D$39,'Bill Credit Rates'!$B129,'Program Inputs'!$E$21:$E$39,'Bill Credit Rates'!G$4)</f>
        <v>0.45</v>
      </c>
      <c r="K129" s="48">
        <f t="shared" si="10"/>
        <v>134.01294462793842</v>
      </c>
    </row>
    <row r="130" spans="1:11">
      <c r="A130" s="48" t="s">
        <v>12</v>
      </c>
      <c r="B130" s="48">
        <v>2</v>
      </c>
      <c r="C130" s="48">
        <v>26</v>
      </c>
      <c r="D130" s="48">
        <v>2044</v>
      </c>
      <c r="E130" s="48">
        <f>IF(OR($C130=0,AND($B130=2,$D130&lt;=2022)),SUMIFS('Program Inputs'!$I$21:$I$39,'Program Inputs'!$C$21:$C$39,'Bill Credit Rates'!$A130,'Program Inputs'!$D$21:$D$39,'Bill Credit Rates'!$B130,'Program Inputs'!$E$21:$E$39,'Bill Credit Rates'!E$4)*1000,E129*(1+SUMIFS($Q:$Q,$N:$N,$A130,$O:$O,$B130,$P:$P,E$4)))</f>
        <v>151.0422138348035</v>
      </c>
      <c r="F130" s="48">
        <f>IF(OR($C130=0,AND($B130=2,$D130&lt;=2022)),SUMIFS('Program Inputs'!$I$21:$I$39,'Program Inputs'!$C$21:$C$39,'Bill Credit Rates'!$A130,'Program Inputs'!$D$21:$D$39,'Bill Credit Rates'!$B130,'Program Inputs'!$E$21:$E$39,'Bill Credit Rates'!F$4)*1000,F129*(1+SUMIFS($Q:$Q,$N:$N,$A130,$O:$O,$B130,$P:$P,F$4)))</f>
        <v>151.0422138348035</v>
      </c>
      <c r="G130" s="48">
        <f>IF(OR($C130=0,AND($B130=2,$D130&lt;=2022)),SUMIFS('Program Inputs'!$I$21:$I$39,'Program Inputs'!$C$21:$C$39,'Bill Credit Rates'!$A130,'Program Inputs'!$D$21:$D$39,'Bill Credit Rates'!$B130,'Program Inputs'!$E$21:$E$39,'Bill Credit Rates'!G$4)*1000,G129*(1+SUMIFS($Q:$Q,$N:$N,$A130,$O:$O,$B130,$P:$P,G$4)))</f>
        <v>135.9379924513232</v>
      </c>
      <c r="H130" s="33">
        <f>SUMIFS('Program Inputs'!$F$21:$F$39,'Program Inputs'!$C$21:$C$39,'Bill Credit Rates'!$A130,'Program Inputs'!$D$21:$D$39,'Bill Credit Rates'!$B130,'Program Inputs'!$E$21:$E$39,'Bill Credit Rates'!E$4)</f>
        <v>0.4</v>
      </c>
      <c r="I130" s="33">
        <f>SUMIFS('Program Inputs'!$F$21:$F$39,'Program Inputs'!$C$21:$C$39,'Bill Credit Rates'!$A130,'Program Inputs'!$D$21:$D$39,'Bill Credit Rates'!$B130,'Program Inputs'!$E$21:$E$39,'Bill Credit Rates'!F$4)</f>
        <v>0.1</v>
      </c>
      <c r="J130" s="33">
        <f>SUMIFS('Program Inputs'!$F$21:$F$39,'Program Inputs'!$C$21:$C$39,'Bill Credit Rates'!$A130,'Program Inputs'!$D$21:$D$39,'Bill Credit Rates'!$B130,'Program Inputs'!$E$21:$E$39,'Bill Credit Rates'!G$4)</f>
        <v>0.45</v>
      </c>
      <c r="K130" s="48">
        <f t="shared" ref="K130" si="11">E130*H130+F130*I130+G130*J130</f>
        <v>136.69320352049721</v>
      </c>
    </row>
    <row r="131" spans="1:11">
      <c r="A131" s="48" t="s">
        <v>12</v>
      </c>
      <c r="B131" s="48">
        <v>2</v>
      </c>
      <c r="C131" s="48">
        <v>27</v>
      </c>
      <c r="D131" s="48">
        <v>2045</v>
      </c>
      <c r="E131" s="48">
        <f>IF(OR($C131=0,AND($B131=2,$D131&lt;=2022)),SUMIFS('Program Inputs'!$I$21:$I$39,'Program Inputs'!$C$21:$C$39,'Bill Credit Rates'!$A131,'Program Inputs'!$D$21:$D$39,'Bill Credit Rates'!$B131,'Program Inputs'!$E$21:$E$39,'Bill Credit Rates'!E$4)*1000,E130*(1+SUMIFS($Q:$Q,$N:$N,$A131,$O:$O,$B131,$P:$P,E$4)))</f>
        <v>154.06305811149957</v>
      </c>
      <c r="F131" s="48">
        <f>IF(OR($C131=0,AND($B131=2,$D131&lt;=2022)),SUMIFS('Program Inputs'!$I$21:$I$39,'Program Inputs'!$C$21:$C$39,'Bill Credit Rates'!$A131,'Program Inputs'!$D$21:$D$39,'Bill Credit Rates'!$B131,'Program Inputs'!$E$21:$E$39,'Bill Credit Rates'!F$4)*1000,F130*(1+SUMIFS($Q:$Q,$N:$N,$A131,$O:$O,$B131,$P:$P,F$4)))</f>
        <v>154.06305811149957</v>
      </c>
      <c r="G131" s="48">
        <f>IF(OR($C131=0,AND($B131=2,$D131&lt;=2022)),SUMIFS('Program Inputs'!$I$21:$I$39,'Program Inputs'!$C$21:$C$39,'Bill Credit Rates'!$A131,'Program Inputs'!$D$21:$D$39,'Bill Credit Rates'!$B131,'Program Inputs'!$E$21:$E$39,'Bill Credit Rates'!G$4)*1000,G130*(1+SUMIFS($Q:$Q,$N:$N,$A131,$O:$O,$B131,$P:$P,G$4)))</f>
        <v>138.65675230034967</v>
      </c>
      <c r="H131" s="33">
        <f>SUMIFS('Program Inputs'!$F$21:$F$39,'Program Inputs'!$C$21:$C$39,'Bill Credit Rates'!$A131,'Program Inputs'!$D$21:$D$39,'Bill Credit Rates'!$B131,'Program Inputs'!$E$21:$E$39,'Bill Credit Rates'!E$4)</f>
        <v>0.4</v>
      </c>
      <c r="I131" s="33">
        <f>SUMIFS('Program Inputs'!$F$21:$F$39,'Program Inputs'!$C$21:$C$39,'Bill Credit Rates'!$A131,'Program Inputs'!$D$21:$D$39,'Bill Credit Rates'!$B131,'Program Inputs'!$E$21:$E$39,'Bill Credit Rates'!F$4)</f>
        <v>0.1</v>
      </c>
      <c r="J131" s="33">
        <f>SUMIFS('Program Inputs'!$F$21:$F$39,'Program Inputs'!$C$21:$C$39,'Bill Credit Rates'!$A131,'Program Inputs'!$D$21:$D$39,'Bill Credit Rates'!$B131,'Program Inputs'!$E$21:$E$39,'Bill Credit Rates'!G$4)</f>
        <v>0.45</v>
      </c>
      <c r="K131" s="48">
        <f t="shared" ref="K131:K136" si="12">E131*H131+F131*I131+G131*J131</f>
        <v>139.42706759090714</v>
      </c>
    </row>
    <row r="132" spans="1:11">
      <c r="A132" s="48" t="s">
        <v>12</v>
      </c>
      <c r="B132" s="48">
        <v>2</v>
      </c>
      <c r="C132" s="48">
        <v>28</v>
      </c>
      <c r="D132" s="48">
        <v>2046</v>
      </c>
      <c r="E132" s="48">
        <f>IF(OR($C132=0,AND($B132=2,$D132&lt;=2022)),SUMIFS('Program Inputs'!$I$21:$I$39,'Program Inputs'!$C$21:$C$39,'Bill Credit Rates'!$A132,'Program Inputs'!$D$21:$D$39,'Bill Credit Rates'!$B132,'Program Inputs'!$E$21:$E$39,'Bill Credit Rates'!E$4)*1000,E131*(1+SUMIFS($Q:$Q,$N:$N,$A132,$O:$O,$B132,$P:$P,E$4)))</f>
        <v>157.14431927372956</v>
      </c>
      <c r="F132" s="48">
        <f>IF(OR($C132=0,AND($B132=2,$D132&lt;=2022)),SUMIFS('Program Inputs'!$I$21:$I$39,'Program Inputs'!$C$21:$C$39,'Bill Credit Rates'!$A132,'Program Inputs'!$D$21:$D$39,'Bill Credit Rates'!$B132,'Program Inputs'!$E$21:$E$39,'Bill Credit Rates'!F$4)*1000,F131*(1+SUMIFS($Q:$Q,$N:$N,$A132,$O:$O,$B132,$P:$P,F$4)))</f>
        <v>157.14431927372956</v>
      </c>
      <c r="G132" s="48">
        <f>IF(OR($C132=0,AND($B132=2,$D132&lt;=2022)),SUMIFS('Program Inputs'!$I$21:$I$39,'Program Inputs'!$C$21:$C$39,'Bill Credit Rates'!$A132,'Program Inputs'!$D$21:$D$39,'Bill Credit Rates'!$B132,'Program Inputs'!$E$21:$E$39,'Bill Credit Rates'!G$4)*1000,G131*(1+SUMIFS($Q:$Q,$N:$N,$A132,$O:$O,$B132,$P:$P,G$4)))</f>
        <v>141.42988734635665</v>
      </c>
      <c r="H132" s="33">
        <f>SUMIFS('Program Inputs'!$F$21:$F$39,'Program Inputs'!$C$21:$C$39,'Bill Credit Rates'!$A132,'Program Inputs'!$D$21:$D$39,'Bill Credit Rates'!$B132,'Program Inputs'!$E$21:$E$39,'Bill Credit Rates'!E$4)</f>
        <v>0.4</v>
      </c>
      <c r="I132" s="33">
        <f>SUMIFS('Program Inputs'!$F$21:$F$39,'Program Inputs'!$C$21:$C$39,'Bill Credit Rates'!$A132,'Program Inputs'!$D$21:$D$39,'Bill Credit Rates'!$B132,'Program Inputs'!$E$21:$E$39,'Bill Credit Rates'!F$4)</f>
        <v>0.1</v>
      </c>
      <c r="J132" s="33">
        <f>SUMIFS('Program Inputs'!$F$21:$F$39,'Program Inputs'!$C$21:$C$39,'Bill Credit Rates'!$A132,'Program Inputs'!$D$21:$D$39,'Bill Credit Rates'!$B132,'Program Inputs'!$E$21:$E$39,'Bill Credit Rates'!G$4)</f>
        <v>0.45</v>
      </c>
      <c r="K132" s="48">
        <f t="shared" si="12"/>
        <v>142.21560894272528</v>
      </c>
    </row>
    <row r="133" spans="1:11">
      <c r="A133" s="48" t="s">
        <v>12</v>
      </c>
      <c r="B133" s="48">
        <v>2</v>
      </c>
      <c r="C133" s="48">
        <v>29</v>
      </c>
      <c r="D133" s="48">
        <v>2047</v>
      </c>
      <c r="E133" s="48">
        <f>IF(OR($C133=0,AND($B133=2,$D133&lt;=2022)),SUMIFS('Program Inputs'!$I$21:$I$39,'Program Inputs'!$C$21:$C$39,'Bill Credit Rates'!$A133,'Program Inputs'!$D$21:$D$39,'Bill Credit Rates'!$B133,'Program Inputs'!$E$21:$E$39,'Bill Credit Rates'!E$4)*1000,E132*(1+SUMIFS($Q:$Q,$N:$N,$A133,$O:$O,$B133,$P:$P,E$4)))</f>
        <v>160.28720565920415</v>
      </c>
      <c r="F133" s="48">
        <f>IF(OR($C133=0,AND($B133=2,$D133&lt;=2022)),SUMIFS('Program Inputs'!$I$21:$I$39,'Program Inputs'!$C$21:$C$39,'Bill Credit Rates'!$A133,'Program Inputs'!$D$21:$D$39,'Bill Credit Rates'!$B133,'Program Inputs'!$E$21:$E$39,'Bill Credit Rates'!F$4)*1000,F132*(1+SUMIFS($Q:$Q,$N:$N,$A133,$O:$O,$B133,$P:$P,F$4)))</f>
        <v>160.28720565920415</v>
      </c>
      <c r="G133" s="48">
        <f>IF(OR($C133=0,AND($B133=2,$D133&lt;=2022)),SUMIFS('Program Inputs'!$I$21:$I$39,'Program Inputs'!$C$21:$C$39,'Bill Credit Rates'!$A133,'Program Inputs'!$D$21:$D$39,'Bill Credit Rates'!$B133,'Program Inputs'!$E$21:$E$39,'Bill Credit Rates'!G$4)*1000,G132*(1+SUMIFS($Q:$Q,$N:$N,$A133,$O:$O,$B133,$P:$P,G$4)))</f>
        <v>144.25848509328378</v>
      </c>
      <c r="H133" s="33">
        <f>SUMIFS('Program Inputs'!$F$21:$F$39,'Program Inputs'!$C$21:$C$39,'Bill Credit Rates'!$A133,'Program Inputs'!$D$21:$D$39,'Bill Credit Rates'!$B133,'Program Inputs'!$E$21:$E$39,'Bill Credit Rates'!E$4)</f>
        <v>0.4</v>
      </c>
      <c r="I133" s="33">
        <f>SUMIFS('Program Inputs'!$F$21:$F$39,'Program Inputs'!$C$21:$C$39,'Bill Credit Rates'!$A133,'Program Inputs'!$D$21:$D$39,'Bill Credit Rates'!$B133,'Program Inputs'!$E$21:$E$39,'Bill Credit Rates'!F$4)</f>
        <v>0.1</v>
      </c>
      <c r="J133" s="33">
        <f>SUMIFS('Program Inputs'!$F$21:$F$39,'Program Inputs'!$C$21:$C$39,'Bill Credit Rates'!$A133,'Program Inputs'!$D$21:$D$39,'Bill Credit Rates'!$B133,'Program Inputs'!$E$21:$E$39,'Bill Credit Rates'!G$4)</f>
        <v>0.45</v>
      </c>
      <c r="K133" s="48">
        <f t="shared" si="12"/>
        <v>145.05992112157981</v>
      </c>
    </row>
    <row r="134" spans="1:11">
      <c r="A134" s="48" t="s">
        <v>12</v>
      </c>
      <c r="B134" s="48">
        <v>2</v>
      </c>
      <c r="C134" s="48">
        <v>30</v>
      </c>
      <c r="D134" s="48">
        <v>2048</v>
      </c>
      <c r="E134" s="48">
        <f>IF(OR($C134=0,AND($B134=2,$D134&lt;=2022)),SUMIFS('Program Inputs'!$I$21:$I$39,'Program Inputs'!$C$21:$C$39,'Bill Credit Rates'!$A134,'Program Inputs'!$D$21:$D$39,'Bill Credit Rates'!$B134,'Program Inputs'!$E$21:$E$39,'Bill Credit Rates'!E$4)*1000,E133*(1+SUMIFS($Q:$Q,$N:$N,$A134,$O:$O,$B134,$P:$P,E$4)))</f>
        <v>163.49294977238824</v>
      </c>
      <c r="F134" s="48">
        <f>IF(OR($C134=0,AND($B134=2,$D134&lt;=2022)),SUMIFS('Program Inputs'!$I$21:$I$39,'Program Inputs'!$C$21:$C$39,'Bill Credit Rates'!$A134,'Program Inputs'!$D$21:$D$39,'Bill Credit Rates'!$B134,'Program Inputs'!$E$21:$E$39,'Bill Credit Rates'!F$4)*1000,F133*(1+SUMIFS($Q:$Q,$N:$N,$A134,$O:$O,$B134,$P:$P,F$4)))</f>
        <v>163.49294977238824</v>
      </c>
      <c r="G134" s="48">
        <f>IF(OR($C134=0,AND($B134=2,$D134&lt;=2022)),SUMIFS('Program Inputs'!$I$21:$I$39,'Program Inputs'!$C$21:$C$39,'Bill Credit Rates'!$A134,'Program Inputs'!$D$21:$D$39,'Bill Credit Rates'!$B134,'Program Inputs'!$E$21:$E$39,'Bill Credit Rates'!G$4)*1000,G133*(1+SUMIFS($Q:$Q,$N:$N,$A134,$O:$O,$B134,$P:$P,G$4)))</f>
        <v>147.14365479514947</v>
      </c>
      <c r="H134" s="33">
        <f>SUMIFS('Program Inputs'!$F$21:$F$39,'Program Inputs'!$C$21:$C$39,'Bill Credit Rates'!$A134,'Program Inputs'!$D$21:$D$39,'Bill Credit Rates'!$B134,'Program Inputs'!$E$21:$E$39,'Bill Credit Rates'!E$4)</f>
        <v>0.4</v>
      </c>
      <c r="I134" s="33">
        <f>SUMIFS('Program Inputs'!$F$21:$F$39,'Program Inputs'!$C$21:$C$39,'Bill Credit Rates'!$A134,'Program Inputs'!$D$21:$D$39,'Bill Credit Rates'!$B134,'Program Inputs'!$E$21:$E$39,'Bill Credit Rates'!F$4)</f>
        <v>0.1</v>
      </c>
      <c r="J134" s="33">
        <f>SUMIFS('Program Inputs'!$F$21:$F$39,'Program Inputs'!$C$21:$C$39,'Bill Credit Rates'!$A134,'Program Inputs'!$D$21:$D$39,'Bill Credit Rates'!$B134,'Program Inputs'!$E$21:$E$39,'Bill Credit Rates'!G$4)</f>
        <v>0.45</v>
      </c>
      <c r="K134" s="48">
        <f t="shared" si="12"/>
        <v>147.96111954401138</v>
      </c>
    </row>
    <row r="135" spans="1:11">
      <c r="A135" s="48" t="s">
        <v>12</v>
      </c>
      <c r="B135" s="48">
        <v>2</v>
      </c>
      <c r="C135" s="48">
        <v>31</v>
      </c>
      <c r="D135" s="48">
        <v>2049</v>
      </c>
      <c r="E135" s="48">
        <f>IF(OR($C135=0,AND($B135=2,$D135&lt;=2022)),SUMIFS('Program Inputs'!$I$21:$I$39,'Program Inputs'!$C$21:$C$39,'Bill Credit Rates'!$A135,'Program Inputs'!$D$21:$D$39,'Bill Credit Rates'!$B135,'Program Inputs'!$E$21:$E$39,'Bill Credit Rates'!E$4)*1000,E134*(1+SUMIFS($Q:$Q,$N:$N,$A135,$O:$O,$B135,$P:$P,E$4)))</f>
        <v>166.76280876783602</v>
      </c>
      <c r="F135" s="48">
        <f>IF(OR($C135=0,AND($B135=2,$D135&lt;=2022)),SUMIFS('Program Inputs'!$I$21:$I$39,'Program Inputs'!$C$21:$C$39,'Bill Credit Rates'!$A135,'Program Inputs'!$D$21:$D$39,'Bill Credit Rates'!$B135,'Program Inputs'!$E$21:$E$39,'Bill Credit Rates'!F$4)*1000,F134*(1+SUMIFS($Q:$Q,$N:$N,$A135,$O:$O,$B135,$P:$P,F$4)))</f>
        <v>166.76280876783602</v>
      </c>
      <c r="G135" s="48">
        <f>IF(OR($C135=0,AND($B135=2,$D135&lt;=2022)),SUMIFS('Program Inputs'!$I$21:$I$39,'Program Inputs'!$C$21:$C$39,'Bill Credit Rates'!$A135,'Program Inputs'!$D$21:$D$39,'Bill Credit Rates'!$B135,'Program Inputs'!$E$21:$E$39,'Bill Credit Rates'!G$4)*1000,G134*(1+SUMIFS($Q:$Q,$N:$N,$A135,$O:$O,$B135,$P:$P,G$4)))</f>
        <v>150.08652789105247</v>
      </c>
      <c r="H135" s="33">
        <f>SUMIFS('Program Inputs'!$F$21:$F$39,'Program Inputs'!$C$21:$C$39,'Bill Credit Rates'!$A135,'Program Inputs'!$D$21:$D$39,'Bill Credit Rates'!$B135,'Program Inputs'!$E$21:$E$39,'Bill Credit Rates'!E$4)</f>
        <v>0.4</v>
      </c>
      <c r="I135" s="33">
        <f>SUMIFS('Program Inputs'!$F$21:$F$39,'Program Inputs'!$C$21:$C$39,'Bill Credit Rates'!$A135,'Program Inputs'!$D$21:$D$39,'Bill Credit Rates'!$B135,'Program Inputs'!$E$21:$E$39,'Bill Credit Rates'!F$4)</f>
        <v>0.1</v>
      </c>
      <c r="J135" s="33">
        <f>SUMIFS('Program Inputs'!$F$21:$F$39,'Program Inputs'!$C$21:$C$39,'Bill Credit Rates'!$A135,'Program Inputs'!$D$21:$D$39,'Bill Credit Rates'!$B135,'Program Inputs'!$E$21:$E$39,'Bill Credit Rates'!G$4)</f>
        <v>0.45</v>
      </c>
      <c r="K135" s="48">
        <f t="shared" si="12"/>
        <v>150.92034193489164</v>
      </c>
    </row>
    <row r="136" spans="1:11">
      <c r="A136" s="48" t="s">
        <v>12</v>
      </c>
      <c r="B136" s="48">
        <v>2</v>
      </c>
      <c r="C136" s="48">
        <v>32</v>
      </c>
      <c r="D136" s="48">
        <v>2050</v>
      </c>
      <c r="E136" s="48">
        <f>IF(OR($C136=0,AND($B136=2,$D136&lt;=2022)),SUMIFS('Program Inputs'!$I$21:$I$39,'Program Inputs'!$C$21:$C$39,'Bill Credit Rates'!$A136,'Program Inputs'!$D$21:$D$39,'Bill Credit Rates'!$B136,'Program Inputs'!$E$21:$E$39,'Bill Credit Rates'!E$4)*1000,E135*(1+SUMIFS($Q:$Q,$N:$N,$A136,$O:$O,$B136,$P:$P,E$4)))</f>
        <v>170.09806494319275</v>
      </c>
      <c r="F136" s="48">
        <f>IF(OR($C136=0,AND($B136=2,$D136&lt;=2022)),SUMIFS('Program Inputs'!$I$21:$I$39,'Program Inputs'!$C$21:$C$39,'Bill Credit Rates'!$A136,'Program Inputs'!$D$21:$D$39,'Bill Credit Rates'!$B136,'Program Inputs'!$E$21:$E$39,'Bill Credit Rates'!F$4)*1000,F135*(1+SUMIFS($Q:$Q,$N:$N,$A136,$O:$O,$B136,$P:$P,F$4)))</f>
        <v>170.09806494319275</v>
      </c>
      <c r="G136" s="48">
        <f>IF(OR($C136=0,AND($B136=2,$D136&lt;=2022)),SUMIFS('Program Inputs'!$I$21:$I$39,'Program Inputs'!$C$21:$C$39,'Bill Credit Rates'!$A136,'Program Inputs'!$D$21:$D$39,'Bill Credit Rates'!$B136,'Program Inputs'!$E$21:$E$39,'Bill Credit Rates'!G$4)*1000,G135*(1+SUMIFS($Q:$Q,$N:$N,$A136,$O:$O,$B136,$P:$P,G$4)))</f>
        <v>153.08825844887352</v>
      </c>
      <c r="H136" s="33">
        <f>SUMIFS('Program Inputs'!$F$21:$F$39,'Program Inputs'!$C$21:$C$39,'Bill Credit Rates'!$A136,'Program Inputs'!$D$21:$D$39,'Bill Credit Rates'!$B136,'Program Inputs'!$E$21:$E$39,'Bill Credit Rates'!E$4)</f>
        <v>0.4</v>
      </c>
      <c r="I136" s="33">
        <f>SUMIFS('Program Inputs'!$F$21:$F$39,'Program Inputs'!$C$21:$C$39,'Bill Credit Rates'!$A136,'Program Inputs'!$D$21:$D$39,'Bill Credit Rates'!$B136,'Program Inputs'!$E$21:$E$39,'Bill Credit Rates'!F$4)</f>
        <v>0.1</v>
      </c>
      <c r="J136" s="33">
        <f>SUMIFS('Program Inputs'!$F$21:$F$39,'Program Inputs'!$C$21:$C$39,'Bill Credit Rates'!$A136,'Program Inputs'!$D$21:$D$39,'Bill Credit Rates'!$B136,'Program Inputs'!$E$21:$E$39,'Bill Credit Rates'!G$4)</f>
        <v>0.45</v>
      </c>
      <c r="K136" s="48">
        <f t="shared" si="12"/>
        <v>153.93874877358945</v>
      </c>
    </row>
    <row r="137" spans="1:11">
      <c r="A137" s="48" t="s">
        <v>13</v>
      </c>
      <c r="B137" s="48">
        <v>1</v>
      </c>
      <c r="C137" s="48">
        <v>0</v>
      </c>
      <c r="D137" s="48">
        <v>2018</v>
      </c>
      <c r="E137" s="48">
        <f>IF(OR($C137=0,AND($B137=2,$D137&lt;=2022)),SUMIFS('Program Inputs'!$I$21:$I$39,'Program Inputs'!$C$21:$C$39,'Bill Credit Rates'!$A137,'Program Inputs'!$D$21:$D$39,'Bill Credit Rates'!$B137,'Program Inputs'!$E$21:$E$39,'Bill Credit Rates'!E$4)*1000,#REF!*(1+SUMIFS($Q:$Q,$N:$N,$A137,$O:$O,$B137,$P:$P,E$4)))</f>
        <v>84.8</v>
      </c>
      <c r="F137" s="48">
        <f>IF(OR($C137=0,AND($B137=2,$D137&lt;=2022)),SUMIFS('Program Inputs'!$I$21:$I$39,'Program Inputs'!$C$21:$C$39,'Bill Credit Rates'!$A137,'Program Inputs'!$D$21:$D$39,'Bill Credit Rates'!$B137,'Program Inputs'!$E$21:$E$39,'Bill Credit Rates'!F$4)*1000,#REF!*(1+SUMIFS($Q:$Q,$N:$N,$A137,$O:$O,$B137,$P:$P,F$4)))</f>
        <v>84.8</v>
      </c>
      <c r="G137" s="48">
        <f>IF(OR($C137=0,AND($B137=2,$D137&lt;=2022)),SUMIFS('Program Inputs'!$I$21:$I$39,'Program Inputs'!$C$21:$C$39,'Bill Credit Rates'!$A137,'Program Inputs'!$D$21:$D$39,'Bill Credit Rates'!$B137,'Program Inputs'!$E$21:$E$39,'Bill Credit Rates'!G$4)*1000,#REF!*(1+SUMIFS($Q:$Q,$N:$N,$A137,$O:$O,$B137,$P:$P,G$4)))</f>
        <v>84.8</v>
      </c>
      <c r="H137" s="33">
        <f>SUMIFS('Program Inputs'!$F$21:$F$39,'Program Inputs'!$C$21:$C$39,'Bill Credit Rates'!$A137,'Program Inputs'!$D$21:$D$39,'Bill Credit Rates'!$B137,'Program Inputs'!$E$21:$E$39,'Bill Credit Rates'!E$4)</f>
        <v>0</v>
      </c>
      <c r="I137" s="33">
        <f>SUMIFS('Program Inputs'!$F$21:$F$39,'Program Inputs'!$C$21:$C$39,'Bill Credit Rates'!$A137,'Program Inputs'!$D$21:$D$39,'Bill Credit Rates'!$B137,'Program Inputs'!$E$21:$E$39,'Bill Credit Rates'!F$4)</f>
        <v>0.1</v>
      </c>
      <c r="J137" s="33">
        <f>SUMIFS('Program Inputs'!$F$21:$F$39,'Program Inputs'!$C$21:$C$39,'Bill Credit Rates'!$A137,'Program Inputs'!$D$21:$D$39,'Bill Credit Rates'!$B137,'Program Inputs'!$E$21:$E$39,'Bill Credit Rates'!G$4)</f>
        <v>0.85</v>
      </c>
      <c r="K137" s="48">
        <f t="shared" ref="K137:K173" si="13">E137*H137+F137*I137+G137*J137</f>
        <v>80.56</v>
      </c>
    </row>
    <row r="138" spans="1:11">
      <c r="A138" s="48" t="s">
        <v>13</v>
      </c>
      <c r="B138" s="48">
        <v>1</v>
      </c>
      <c r="C138" s="48">
        <v>1</v>
      </c>
      <c r="D138" s="48">
        <v>2019</v>
      </c>
      <c r="E138" s="48">
        <f>IF(OR($C138=0,AND($B138=2,$D138&lt;=2022)),SUMIFS('Program Inputs'!$I$21:$I$39,'Program Inputs'!$C$21:$C$39,'Bill Credit Rates'!$A138,'Program Inputs'!$D$21:$D$39,'Bill Credit Rates'!$B138,'Program Inputs'!$E$21:$E$39,'Bill Credit Rates'!E$4)*1000,E137*(1+SUMIFS($Q:$Q,$N:$N,$A138,$O:$O,$B138,$P:$P,E$4)))</f>
        <v>84.8</v>
      </c>
      <c r="F138" s="48">
        <f>IF(OR($C138=0,AND($B138=2,$D138&lt;=2022)),SUMIFS('Program Inputs'!$I$21:$I$39,'Program Inputs'!$C$21:$C$39,'Bill Credit Rates'!$A138,'Program Inputs'!$D$21:$D$39,'Bill Credit Rates'!$B138,'Program Inputs'!$E$21:$E$39,'Bill Credit Rates'!F$4)*1000,F137*(1+SUMIFS($Q:$Q,$N:$N,$A138,$O:$O,$B138,$P:$P,F$4)))</f>
        <v>84.8</v>
      </c>
      <c r="G138" s="48">
        <f>IF(OR($C138=0,AND($B138=2,$D138&lt;=2022)),SUMIFS('Program Inputs'!$I$21:$I$39,'Program Inputs'!$C$21:$C$39,'Bill Credit Rates'!$A138,'Program Inputs'!$D$21:$D$39,'Bill Credit Rates'!$B138,'Program Inputs'!$E$21:$E$39,'Bill Credit Rates'!G$4)*1000,G137*(1+SUMIFS($Q:$Q,$N:$N,$A138,$O:$O,$B138,$P:$P,G$4)))</f>
        <v>84.8</v>
      </c>
      <c r="H138" s="33">
        <f>SUMIFS('Program Inputs'!$F$21:$F$39,'Program Inputs'!$C$21:$C$39,'Bill Credit Rates'!$A138,'Program Inputs'!$D$21:$D$39,'Bill Credit Rates'!$B138,'Program Inputs'!$E$21:$E$39,'Bill Credit Rates'!E$4)</f>
        <v>0</v>
      </c>
      <c r="I138" s="33">
        <f>SUMIFS('Program Inputs'!$F$21:$F$39,'Program Inputs'!$C$21:$C$39,'Bill Credit Rates'!$A138,'Program Inputs'!$D$21:$D$39,'Bill Credit Rates'!$B138,'Program Inputs'!$E$21:$E$39,'Bill Credit Rates'!F$4)</f>
        <v>0.1</v>
      </c>
      <c r="J138" s="33">
        <f>SUMIFS('Program Inputs'!$F$21:$F$39,'Program Inputs'!$C$21:$C$39,'Bill Credit Rates'!$A138,'Program Inputs'!$D$21:$D$39,'Bill Credit Rates'!$B138,'Program Inputs'!$E$21:$E$39,'Bill Credit Rates'!G$4)</f>
        <v>0.85</v>
      </c>
      <c r="K138" s="48">
        <f t="shared" si="13"/>
        <v>80.56</v>
      </c>
    </row>
    <row r="139" spans="1:11">
      <c r="A139" s="48" t="s">
        <v>13</v>
      </c>
      <c r="B139" s="48">
        <v>1</v>
      </c>
      <c r="C139" s="48">
        <v>2</v>
      </c>
      <c r="D139" s="48">
        <v>2020</v>
      </c>
      <c r="E139" s="48">
        <f>IF(OR($C139=0,AND($B139=2,$D139&lt;=2022)),SUMIFS('Program Inputs'!$I$21:$I$39,'Program Inputs'!$C$21:$C$39,'Bill Credit Rates'!$A139,'Program Inputs'!$D$21:$D$39,'Bill Credit Rates'!$B139,'Program Inputs'!$E$21:$E$39,'Bill Credit Rates'!E$4)*1000,E138*(1+SUMIFS($Q:$Q,$N:$N,$A139,$O:$O,$B139,$P:$P,E$4)))</f>
        <v>84.8</v>
      </c>
      <c r="F139" s="48">
        <f>IF(OR($C139=0,AND($B139=2,$D139&lt;=2022)),SUMIFS('Program Inputs'!$I$21:$I$39,'Program Inputs'!$C$21:$C$39,'Bill Credit Rates'!$A139,'Program Inputs'!$D$21:$D$39,'Bill Credit Rates'!$B139,'Program Inputs'!$E$21:$E$39,'Bill Credit Rates'!F$4)*1000,F138*(1+SUMIFS($Q:$Q,$N:$N,$A139,$O:$O,$B139,$P:$P,F$4)))</f>
        <v>84.8</v>
      </c>
      <c r="G139" s="48">
        <f>IF(OR($C139=0,AND($B139=2,$D139&lt;=2022)),SUMIFS('Program Inputs'!$I$21:$I$39,'Program Inputs'!$C$21:$C$39,'Bill Credit Rates'!$A139,'Program Inputs'!$D$21:$D$39,'Bill Credit Rates'!$B139,'Program Inputs'!$E$21:$E$39,'Bill Credit Rates'!G$4)*1000,G138*(1+SUMIFS($Q:$Q,$N:$N,$A139,$O:$O,$B139,$P:$P,G$4)))</f>
        <v>84.8</v>
      </c>
      <c r="H139" s="33">
        <f>SUMIFS('Program Inputs'!$F$21:$F$39,'Program Inputs'!$C$21:$C$39,'Bill Credit Rates'!$A139,'Program Inputs'!$D$21:$D$39,'Bill Credit Rates'!$B139,'Program Inputs'!$E$21:$E$39,'Bill Credit Rates'!E$4)</f>
        <v>0</v>
      </c>
      <c r="I139" s="33">
        <f>SUMIFS('Program Inputs'!$F$21:$F$39,'Program Inputs'!$C$21:$C$39,'Bill Credit Rates'!$A139,'Program Inputs'!$D$21:$D$39,'Bill Credit Rates'!$B139,'Program Inputs'!$E$21:$E$39,'Bill Credit Rates'!F$4)</f>
        <v>0.1</v>
      </c>
      <c r="J139" s="33">
        <f>SUMIFS('Program Inputs'!$F$21:$F$39,'Program Inputs'!$C$21:$C$39,'Bill Credit Rates'!$A139,'Program Inputs'!$D$21:$D$39,'Bill Credit Rates'!$B139,'Program Inputs'!$E$21:$E$39,'Bill Credit Rates'!G$4)</f>
        <v>0.85</v>
      </c>
      <c r="K139" s="48">
        <f t="shared" si="13"/>
        <v>80.56</v>
      </c>
    </row>
    <row r="140" spans="1:11">
      <c r="A140" s="48" t="s">
        <v>13</v>
      </c>
      <c r="B140" s="48">
        <v>1</v>
      </c>
      <c r="C140" s="48">
        <v>3</v>
      </c>
      <c r="D140" s="48">
        <v>2021</v>
      </c>
      <c r="E140" s="48">
        <f>IF(OR($C140=0,AND($B140=2,$D140&lt;=2022)),SUMIFS('Program Inputs'!$I$21:$I$39,'Program Inputs'!$C$21:$C$39,'Bill Credit Rates'!$A140,'Program Inputs'!$D$21:$D$39,'Bill Credit Rates'!$B140,'Program Inputs'!$E$21:$E$39,'Bill Credit Rates'!E$4)*1000,E139*(1+SUMIFS($Q:$Q,$N:$N,$A140,$O:$O,$B140,$P:$P,E$4)))</f>
        <v>84.8</v>
      </c>
      <c r="F140" s="48">
        <f>IF(OR($C140=0,AND($B140=2,$D140&lt;=2022)),SUMIFS('Program Inputs'!$I$21:$I$39,'Program Inputs'!$C$21:$C$39,'Bill Credit Rates'!$A140,'Program Inputs'!$D$21:$D$39,'Bill Credit Rates'!$B140,'Program Inputs'!$E$21:$E$39,'Bill Credit Rates'!F$4)*1000,F139*(1+SUMIFS($Q:$Q,$N:$N,$A140,$O:$O,$B140,$P:$P,F$4)))</f>
        <v>84.8</v>
      </c>
      <c r="G140" s="48">
        <f>IF(OR($C140=0,AND($B140=2,$D140&lt;=2022)),SUMIFS('Program Inputs'!$I$21:$I$39,'Program Inputs'!$C$21:$C$39,'Bill Credit Rates'!$A140,'Program Inputs'!$D$21:$D$39,'Bill Credit Rates'!$B140,'Program Inputs'!$E$21:$E$39,'Bill Credit Rates'!G$4)*1000,G139*(1+SUMIFS($Q:$Q,$N:$N,$A140,$O:$O,$B140,$P:$P,G$4)))</f>
        <v>84.8</v>
      </c>
      <c r="H140" s="33">
        <f>SUMIFS('Program Inputs'!$F$21:$F$39,'Program Inputs'!$C$21:$C$39,'Bill Credit Rates'!$A140,'Program Inputs'!$D$21:$D$39,'Bill Credit Rates'!$B140,'Program Inputs'!$E$21:$E$39,'Bill Credit Rates'!E$4)</f>
        <v>0</v>
      </c>
      <c r="I140" s="33">
        <f>SUMIFS('Program Inputs'!$F$21:$F$39,'Program Inputs'!$C$21:$C$39,'Bill Credit Rates'!$A140,'Program Inputs'!$D$21:$D$39,'Bill Credit Rates'!$B140,'Program Inputs'!$E$21:$E$39,'Bill Credit Rates'!F$4)</f>
        <v>0.1</v>
      </c>
      <c r="J140" s="33">
        <f>SUMIFS('Program Inputs'!$F$21:$F$39,'Program Inputs'!$C$21:$C$39,'Bill Credit Rates'!$A140,'Program Inputs'!$D$21:$D$39,'Bill Credit Rates'!$B140,'Program Inputs'!$E$21:$E$39,'Bill Credit Rates'!G$4)</f>
        <v>0.85</v>
      </c>
      <c r="K140" s="48">
        <f t="shared" si="13"/>
        <v>80.56</v>
      </c>
    </row>
    <row r="141" spans="1:11">
      <c r="A141" s="48" t="s">
        <v>13</v>
      </c>
      <c r="B141" s="48">
        <v>1</v>
      </c>
      <c r="C141" s="48">
        <v>4</v>
      </c>
      <c r="D141" s="48">
        <v>2022</v>
      </c>
      <c r="E141" s="48">
        <f>IF(OR($C141=0,AND($B141=2,$D141&lt;=2022)),SUMIFS('Program Inputs'!$I$21:$I$39,'Program Inputs'!$C$21:$C$39,'Bill Credit Rates'!$A141,'Program Inputs'!$D$21:$D$39,'Bill Credit Rates'!$B141,'Program Inputs'!$E$21:$E$39,'Bill Credit Rates'!E$4)*1000,E140*(1+SUMIFS($Q:$Q,$N:$N,$A141,$O:$O,$B141,$P:$P,E$4)))</f>
        <v>84.8</v>
      </c>
      <c r="F141" s="48">
        <f>IF(OR($C141=0,AND($B141=2,$D141&lt;=2022)),SUMIFS('Program Inputs'!$I$21:$I$39,'Program Inputs'!$C$21:$C$39,'Bill Credit Rates'!$A141,'Program Inputs'!$D$21:$D$39,'Bill Credit Rates'!$B141,'Program Inputs'!$E$21:$E$39,'Bill Credit Rates'!F$4)*1000,F140*(1+SUMIFS($Q:$Q,$N:$N,$A141,$O:$O,$B141,$P:$P,F$4)))</f>
        <v>84.8</v>
      </c>
      <c r="G141" s="48">
        <f>IF(OR($C141=0,AND($B141=2,$D141&lt;=2022)),SUMIFS('Program Inputs'!$I$21:$I$39,'Program Inputs'!$C$21:$C$39,'Bill Credit Rates'!$A141,'Program Inputs'!$D$21:$D$39,'Bill Credit Rates'!$B141,'Program Inputs'!$E$21:$E$39,'Bill Credit Rates'!G$4)*1000,G140*(1+SUMIFS($Q:$Q,$N:$N,$A141,$O:$O,$B141,$P:$P,G$4)))</f>
        <v>84.8</v>
      </c>
      <c r="H141" s="33">
        <f>SUMIFS('Program Inputs'!$F$21:$F$39,'Program Inputs'!$C$21:$C$39,'Bill Credit Rates'!$A141,'Program Inputs'!$D$21:$D$39,'Bill Credit Rates'!$B141,'Program Inputs'!$E$21:$E$39,'Bill Credit Rates'!E$4)</f>
        <v>0</v>
      </c>
      <c r="I141" s="33">
        <f>SUMIFS('Program Inputs'!$F$21:$F$39,'Program Inputs'!$C$21:$C$39,'Bill Credit Rates'!$A141,'Program Inputs'!$D$21:$D$39,'Bill Credit Rates'!$B141,'Program Inputs'!$E$21:$E$39,'Bill Credit Rates'!F$4)</f>
        <v>0.1</v>
      </c>
      <c r="J141" s="33">
        <f>SUMIFS('Program Inputs'!$F$21:$F$39,'Program Inputs'!$C$21:$C$39,'Bill Credit Rates'!$A141,'Program Inputs'!$D$21:$D$39,'Bill Credit Rates'!$B141,'Program Inputs'!$E$21:$E$39,'Bill Credit Rates'!G$4)</f>
        <v>0.85</v>
      </c>
      <c r="K141" s="48">
        <f t="shared" si="13"/>
        <v>80.56</v>
      </c>
    </row>
    <row r="142" spans="1:11">
      <c r="A142" s="48" t="s">
        <v>13</v>
      </c>
      <c r="B142" s="48">
        <v>1</v>
      </c>
      <c r="C142" s="48">
        <v>5</v>
      </c>
      <c r="D142" s="48">
        <v>2023</v>
      </c>
      <c r="E142" s="48">
        <f>IF(OR($C142=0,AND($B142=2,$D142&lt;=2022)),SUMIFS('Program Inputs'!$I$21:$I$39,'Program Inputs'!$C$21:$C$39,'Bill Credit Rates'!$A142,'Program Inputs'!$D$21:$D$39,'Bill Credit Rates'!$B142,'Program Inputs'!$E$21:$E$39,'Bill Credit Rates'!E$4)*1000,E141*(1+SUMIFS($Q:$Q,$N:$N,$A142,$O:$O,$B142,$P:$P,E$4)))</f>
        <v>84.8</v>
      </c>
      <c r="F142" s="48">
        <f>IF(OR($C142=0,AND($B142=2,$D142&lt;=2022)),SUMIFS('Program Inputs'!$I$21:$I$39,'Program Inputs'!$C$21:$C$39,'Bill Credit Rates'!$A142,'Program Inputs'!$D$21:$D$39,'Bill Credit Rates'!$B142,'Program Inputs'!$E$21:$E$39,'Bill Credit Rates'!F$4)*1000,F141*(1+SUMIFS($Q:$Q,$N:$N,$A142,$O:$O,$B142,$P:$P,F$4)))</f>
        <v>84.8</v>
      </c>
      <c r="G142" s="48">
        <f>IF(OR($C142=0,AND($B142=2,$D142&lt;=2022)),SUMIFS('Program Inputs'!$I$21:$I$39,'Program Inputs'!$C$21:$C$39,'Bill Credit Rates'!$A142,'Program Inputs'!$D$21:$D$39,'Bill Credit Rates'!$B142,'Program Inputs'!$E$21:$E$39,'Bill Credit Rates'!G$4)*1000,G141*(1+SUMIFS($Q:$Q,$N:$N,$A142,$O:$O,$B142,$P:$P,G$4)))</f>
        <v>84.8</v>
      </c>
      <c r="H142" s="33">
        <f>SUMIFS('Program Inputs'!$F$21:$F$39,'Program Inputs'!$C$21:$C$39,'Bill Credit Rates'!$A142,'Program Inputs'!$D$21:$D$39,'Bill Credit Rates'!$B142,'Program Inputs'!$E$21:$E$39,'Bill Credit Rates'!E$4)</f>
        <v>0</v>
      </c>
      <c r="I142" s="33">
        <f>SUMIFS('Program Inputs'!$F$21:$F$39,'Program Inputs'!$C$21:$C$39,'Bill Credit Rates'!$A142,'Program Inputs'!$D$21:$D$39,'Bill Credit Rates'!$B142,'Program Inputs'!$E$21:$E$39,'Bill Credit Rates'!F$4)</f>
        <v>0.1</v>
      </c>
      <c r="J142" s="33">
        <f>SUMIFS('Program Inputs'!$F$21:$F$39,'Program Inputs'!$C$21:$C$39,'Bill Credit Rates'!$A142,'Program Inputs'!$D$21:$D$39,'Bill Credit Rates'!$B142,'Program Inputs'!$E$21:$E$39,'Bill Credit Rates'!G$4)</f>
        <v>0.85</v>
      </c>
      <c r="K142" s="48">
        <f t="shared" si="13"/>
        <v>80.56</v>
      </c>
    </row>
    <row r="143" spans="1:11">
      <c r="A143" s="48" t="s">
        <v>13</v>
      </c>
      <c r="B143" s="48">
        <v>1</v>
      </c>
      <c r="C143" s="48">
        <v>6</v>
      </c>
      <c r="D143" s="48">
        <v>2024</v>
      </c>
      <c r="E143" s="48">
        <f>IF(OR($C143=0,AND($B143=2,$D143&lt;=2022)),SUMIFS('Program Inputs'!$I$21:$I$39,'Program Inputs'!$C$21:$C$39,'Bill Credit Rates'!$A143,'Program Inputs'!$D$21:$D$39,'Bill Credit Rates'!$B143,'Program Inputs'!$E$21:$E$39,'Bill Credit Rates'!E$4)*1000,E142*(1+SUMIFS($Q:$Q,$N:$N,$A143,$O:$O,$B143,$P:$P,E$4)))</f>
        <v>84.8</v>
      </c>
      <c r="F143" s="48">
        <f>IF(OR($C143=0,AND($B143=2,$D143&lt;=2022)),SUMIFS('Program Inputs'!$I$21:$I$39,'Program Inputs'!$C$21:$C$39,'Bill Credit Rates'!$A143,'Program Inputs'!$D$21:$D$39,'Bill Credit Rates'!$B143,'Program Inputs'!$E$21:$E$39,'Bill Credit Rates'!F$4)*1000,F142*(1+SUMIFS($Q:$Q,$N:$N,$A143,$O:$O,$B143,$P:$P,F$4)))</f>
        <v>84.8</v>
      </c>
      <c r="G143" s="48">
        <f>IF(OR($C143=0,AND($B143=2,$D143&lt;=2022)),SUMIFS('Program Inputs'!$I$21:$I$39,'Program Inputs'!$C$21:$C$39,'Bill Credit Rates'!$A143,'Program Inputs'!$D$21:$D$39,'Bill Credit Rates'!$B143,'Program Inputs'!$E$21:$E$39,'Bill Credit Rates'!G$4)*1000,G142*(1+SUMIFS($Q:$Q,$N:$N,$A143,$O:$O,$B143,$P:$P,G$4)))</f>
        <v>84.8</v>
      </c>
      <c r="H143" s="33">
        <f>SUMIFS('Program Inputs'!$F$21:$F$39,'Program Inputs'!$C$21:$C$39,'Bill Credit Rates'!$A143,'Program Inputs'!$D$21:$D$39,'Bill Credit Rates'!$B143,'Program Inputs'!$E$21:$E$39,'Bill Credit Rates'!E$4)</f>
        <v>0</v>
      </c>
      <c r="I143" s="33">
        <f>SUMIFS('Program Inputs'!$F$21:$F$39,'Program Inputs'!$C$21:$C$39,'Bill Credit Rates'!$A143,'Program Inputs'!$D$21:$D$39,'Bill Credit Rates'!$B143,'Program Inputs'!$E$21:$E$39,'Bill Credit Rates'!F$4)</f>
        <v>0.1</v>
      </c>
      <c r="J143" s="33">
        <f>SUMIFS('Program Inputs'!$F$21:$F$39,'Program Inputs'!$C$21:$C$39,'Bill Credit Rates'!$A143,'Program Inputs'!$D$21:$D$39,'Bill Credit Rates'!$B143,'Program Inputs'!$E$21:$E$39,'Bill Credit Rates'!G$4)</f>
        <v>0.85</v>
      </c>
      <c r="K143" s="48">
        <f t="shared" si="13"/>
        <v>80.56</v>
      </c>
    </row>
    <row r="144" spans="1:11">
      <c r="A144" s="48" t="s">
        <v>13</v>
      </c>
      <c r="B144" s="48">
        <v>1</v>
      </c>
      <c r="C144" s="48">
        <v>7</v>
      </c>
      <c r="D144" s="48">
        <v>2025</v>
      </c>
      <c r="E144" s="48">
        <f>IF(OR($C144=0,AND($B144=2,$D144&lt;=2022)),SUMIFS('Program Inputs'!$I$21:$I$39,'Program Inputs'!$C$21:$C$39,'Bill Credit Rates'!$A144,'Program Inputs'!$D$21:$D$39,'Bill Credit Rates'!$B144,'Program Inputs'!$E$21:$E$39,'Bill Credit Rates'!E$4)*1000,E143*(1+SUMIFS($Q:$Q,$N:$N,$A144,$O:$O,$B144,$P:$P,E$4)))</f>
        <v>84.8</v>
      </c>
      <c r="F144" s="48">
        <f>IF(OR($C144=0,AND($B144=2,$D144&lt;=2022)),SUMIFS('Program Inputs'!$I$21:$I$39,'Program Inputs'!$C$21:$C$39,'Bill Credit Rates'!$A144,'Program Inputs'!$D$21:$D$39,'Bill Credit Rates'!$B144,'Program Inputs'!$E$21:$E$39,'Bill Credit Rates'!F$4)*1000,F143*(1+SUMIFS($Q:$Q,$N:$N,$A144,$O:$O,$B144,$P:$P,F$4)))</f>
        <v>84.8</v>
      </c>
      <c r="G144" s="48">
        <f>IF(OR($C144=0,AND($B144=2,$D144&lt;=2022)),SUMIFS('Program Inputs'!$I$21:$I$39,'Program Inputs'!$C$21:$C$39,'Bill Credit Rates'!$A144,'Program Inputs'!$D$21:$D$39,'Bill Credit Rates'!$B144,'Program Inputs'!$E$21:$E$39,'Bill Credit Rates'!G$4)*1000,G143*(1+SUMIFS($Q:$Q,$N:$N,$A144,$O:$O,$B144,$P:$P,G$4)))</f>
        <v>84.8</v>
      </c>
      <c r="H144" s="33">
        <f>SUMIFS('Program Inputs'!$F$21:$F$39,'Program Inputs'!$C$21:$C$39,'Bill Credit Rates'!$A144,'Program Inputs'!$D$21:$D$39,'Bill Credit Rates'!$B144,'Program Inputs'!$E$21:$E$39,'Bill Credit Rates'!E$4)</f>
        <v>0</v>
      </c>
      <c r="I144" s="33">
        <f>SUMIFS('Program Inputs'!$F$21:$F$39,'Program Inputs'!$C$21:$C$39,'Bill Credit Rates'!$A144,'Program Inputs'!$D$21:$D$39,'Bill Credit Rates'!$B144,'Program Inputs'!$E$21:$E$39,'Bill Credit Rates'!F$4)</f>
        <v>0.1</v>
      </c>
      <c r="J144" s="33">
        <f>SUMIFS('Program Inputs'!$F$21:$F$39,'Program Inputs'!$C$21:$C$39,'Bill Credit Rates'!$A144,'Program Inputs'!$D$21:$D$39,'Bill Credit Rates'!$B144,'Program Inputs'!$E$21:$E$39,'Bill Credit Rates'!G$4)</f>
        <v>0.85</v>
      </c>
      <c r="K144" s="48">
        <f t="shared" si="13"/>
        <v>80.56</v>
      </c>
    </row>
    <row r="145" spans="1:11">
      <c r="A145" s="48" t="s">
        <v>13</v>
      </c>
      <c r="B145" s="48">
        <v>1</v>
      </c>
      <c r="C145" s="48">
        <v>8</v>
      </c>
      <c r="D145" s="48">
        <v>2026</v>
      </c>
      <c r="E145" s="48">
        <f>IF(OR($C145=0,AND($B145=2,$D145&lt;=2022)),SUMIFS('Program Inputs'!$I$21:$I$39,'Program Inputs'!$C$21:$C$39,'Bill Credit Rates'!$A145,'Program Inputs'!$D$21:$D$39,'Bill Credit Rates'!$B145,'Program Inputs'!$E$21:$E$39,'Bill Credit Rates'!E$4)*1000,E144*(1+SUMIFS($Q:$Q,$N:$N,$A145,$O:$O,$B145,$P:$P,E$4)))</f>
        <v>84.8</v>
      </c>
      <c r="F145" s="48">
        <f>IF(OR($C145=0,AND($B145=2,$D145&lt;=2022)),SUMIFS('Program Inputs'!$I$21:$I$39,'Program Inputs'!$C$21:$C$39,'Bill Credit Rates'!$A145,'Program Inputs'!$D$21:$D$39,'Bill Credit Rates'!$B145,'Program Inputs'!$E$21:$E$39,'Bill Credit Rates'!F$4)*1000,F144*(1+SUMIFS($Q:$Q,$N:$N,$A145,$O:$O,$B145,$P:$P,F$4)))</f>
        <v>84.8</v>
      </c>
      <c r="G145" s="48">
        <f>IF(OR($C145=0,AND($B145=2,$D145&lt;=2022)),SUMIFS('Program Inputs'!$I$21:$I$39,'Program Inputs'!$C$21:$C$39,'Bill Credit Rates'!$A145,'Program Inputs'!$D$21:$D$39,'Bill Credit Rates'!$B145,'Program Inputs'!$E$21:$E$39,'Bill Credit Rates'!G$4)*1000,G144*(1+SUMIFS($Q:$Q,$N:$N,$A145,$O:$O,$B145,$P:$P,G$4)))</f>
        <v>84.8</v>
      </c>
      <c r="H145" s="33">
        <f>SUMIFS('Program Inputs'!$F$21:$F$39,'Program Inputs'!$C$21:$C$39,'Bill Credit Rates'!$A145,'Program Inputs'!$D$21:$D$39,'Bill Credit Rates'!$B145,'Program Inputs'!$E$21:$E$39,'Bill Credit Rates'!E$4)</f>
        <v>0</v>
      </c>
      <c r="I145" s="33">
        <f>SUMIFS('Program Inputs'!$F$21:$F$39,'Program Inputs'!$C$21:$C$39,'Bill Credit Rates'!$A145,'Program Inputs'!$D$21:$D$39,'Bill Credit Rates'!$B145,'Program Inputs'!$E$21:$E$39,'Bill Credit Rates'!F$4)</f>
        <v>0.1</v>
      </c>
      <c r="J145" s="33">
        <f>SUMIFS('Program Inputs'!$F$21:$F$39,'Program Inputs'!$C$21:$C$39,'Bill Credit Rates'!$A145,'Program Inputs'!$D$21:$D$39,'Bill Credit Rates'!$B145,'Program Inputs'!$E$21:$E$39,'Bill Credit Rates'!G$4)</f>
        <v>0.85</v>
      </c>
      <c r="K145" s="48">
        <f t="shared" si="13"/>
        <v>80.56</v>
      </c>
    </row>
    <row r="146" spans="1:11">
      <c r="A146" s="48" t="s">
        <v>13</v>
      </c>
      <c r="B146" s="48">
        <v>1</v>
      </c>
      <c r="C146" s="48">
        <v>9</v>
      </c>
      <c r="D146" s="48">
        <v>2027</v>
      </c>
      <c r="E146" s="48">
        <f>IF(OR($C146=0,AND($B146=2,$D146&lt;=2022)),SUMIFS('Program Inputs'!$I$21:$I$39,'Program Inputs'!$C$21:$C$39,'Bill Credit Rates'!$A146,'Program Inputs'!$D$21:$D$39,'Bill Credit Rates'!$B146,'Program Inputs'!$E$21:$E$39,'Bill Credit Rates'!E$4)*1000,E145*(1+SUMIFS($Q:$Q,$N:$N,$A146,$O:$O,$B146,$P:$P,E$4)))</f>
        <v>84.8</v>
      </c>
      <c r="F146" s="48">
        <f>IF(OR($C146=0,AND($B146=2,$D146&lt;=2022)),SUMIFS('Program Inputs'!$I$21:$I$39,'Program Inputs'!$C$21:$C$39,'Bill Credit Rates'!$A146,'Program Inputs'!$D$21:$D$39,'Bill Credit Rates'!$B146,'Program Inputs'!$E$21:$E$39,'Bill Credit Rates'!F$4)*1000,F145*(1+SUMIFS($Q:$Q,$N:$N,$A146,$O:$O,$B146,$P:$P,F$4)))</f>
        <v>84.8</v>
      </c>
      <c r="G146" s="48">
        <f>IF(OR($C146=0,AND($B146=2,$D146&lt;=2022)),SUMIFS('Program Inputs'!$I$21:$I$39,'Program Inputs'!$C$21:$C$39,'Bill Credit Rates'!$A146,'Program Inputs'!$D$21:$D$39,'Bill Credit Rates'!$B146,'Program Inputs'!$E$21:$E$39,'Bill Credit Rates'!G$4)*1000,G145*(1+SUMIFS($Q:$Q,$N:$N,$A146,$O:$O,$B146,$P:$P,G$4)))</f>
        <v>84.8</v>
      </c>
      <c r="H146" s="33">
        <f>SUMIFS('Program Inputs'!$F$21:$F$39,'Program Inputs'!$C$21:$C$39,'Bill Credit Rates'!$A146,'Program Inputs'!$D$21:$D$39,'Bill Credit Rates'!$B146,'Program Inputs'!$E$21:$E$39,'Bill Credit Rates'!E$4)</f>
        <v>0</v>
      </c>
      <c r="I146" s="33">
        <f>SUMIFS('Program Inputs'!$F$21:$F$39,'Program Inputs'!$C$21:$C$39,'Bill Credit Rates'!$A146,'Program Inputs'!$D$21:$D$39,'Bill Credit Rates'!$B146,'Program Inputs'!$E$21:$E$39,'Bill Credit Rates'!F$4)</f>
        <v>0.1</v>
      </c>
      <c r="J146" s="33">
        <f>SUMIFS('Program Inputs'!$F$21:$F$39,'Program Inputs'!$C$21:$C$39,'Bill Credit Rates'!$A146,'Program Inputs'!$D$21:$D$39,'Bill Credit Rates'!$B146,'Program Inputs'!$E$21:$E$39,'Bill Credit Rates'!G$4)</f>
        <v>0.85</v>
      </c>
      <c r="K146" s="48">
        <f t="shared" si="13"/>
        <v>80.56</v>
      </c>
    </row>
    <row r="147" spans="1:11">
      <c r="A147" s="48" t="s">
        <v>13</v>
      </c>
      <c r="B147" s="48">
        <v>1</v>
      </c>
      <c r="C147" s="48">
        <v>10</v>
      </c>
      <c r="D147" s="48">
        <v>2028</v>
      </c>
      <c r="E147" s="48">
        <f>IF(OR($C147=0,AND($B147=2,$D147&lt;=2022)),SUMIFS('Program Inputs'!$I$21:$I$39,'Program Inputs'!$C$21:$C$39,'Bill Credit Rates'!$A147,'Program Inputs'!$D$21:$D$39,'Bill Credit Rates'!$B147,'Program Inputs'!$E$21:$E$39,'Bill Credit Rates'!E$4)*1000,E146*(1+SUMIFS($Q:$Q,$N:$N,$A147,$O:$O,$B147,$P:$P,E$4)))</f>
        <v>84.8</v>
      </c>
      <c r="F147" s="48">
        <f>IF(OR($C147=0,AND($B147=2,$D147&lt;=2022)),SUMIFS('Program Inputs'!$I$21:$I$39,'Program Inputs'!$C$21:$C$39,'Bill Credit Rates'!$A147,'Program Inputs'!$D$21:$D$39,'Bill Credit Rates'!$B147,'Program Inputs'!$E$21:$E$39,'Bill Credit Rates'!F$4)*1000,F146*(1+SUMIFS($Q:$Q,$N:$N,$A147,$O:$O,$B147,$P:$P,F$4)))</f>
        <v>84.8</v>
      </c>
      <c r="G147" s="48">
        <f>IF(OR($C147=0,AND($B147=2,$D147&lt;=2022)),SUMIFS('Program Inputs'!$I$21:$I$39,'Program Inputs'!$C$21:$C$39,'Bill Credit Rates'!$A147,'Program Inputs'!$D$21:$D$39,'Bill Credit Rates'!$B147,'Program Inputs'!$E$21:$E$39,'Bill Credit Rates'!G$4)*1000,G146*(1+SUMIFS($Q:$Q,$N:$N,$A147,$O:$O,$B147,$P:$P,G$4)))</f>
        <v>84.8</v>
      </c>
      <c r="H147" s="33">
        <f>SUMIFS('Program Inputs'!$F$21:$F$39,'Program Inputs'!$C$21:$C$39,'Bill Credit Rates'!$A147,'Program Inputs'!$D$21:$D$39,'Bill Credit Rates'!$B147,'Program Inputs'!$E$21:$E$39,'Bill Credit Rates'!E$4)</f>
        <v>0</v>
      </c>
      <c r="I147" s="33">
        <f>SUMIFS('Program Inputs'!$F$21:$F$39,'Program Inputs'!$C$21:$C$39,'Bill Credit Rates'!$A147,'Program Inputs'!$D$21:$D$39,'Bill Credit Rates'!$B147,'Program Inputs'!$E$21:$E$39,'Bill Credit Rates'!F$4)</f>
        <v>0.1</v>
      </c>
      <c r="J147" s="33">
        <f>SUMIFS('Program Inputs'!$F$21:$F$39,'Program Inputs'!$C$21:$C$39,'Bill Credit Rates'!$A147,'Program Inputs'!$D$21:$D$39,'Bill Credit Rates'!$B147,'Program Inputs'!$E$21:$E$39,'Bill Credit Rates'!G$4)</f>
        <v>0.85</v>
      </c>
      <c r="K147" s="48">
        <f t="shared" si="13"/>
        <v>80.56</v>
      </c>
    </row>
    <row r="148" spans="1:11">
      <c r="A148" s="48" t="s">
        <v>13</v>
      </c>
      <c r="B148" s="48">
        <v>1</v>
      </c>
      <c r="C148" s="48">
        <v>11</v>
      </c>
      <c r="D148" s="48">
        <v>2029</v>
      </c>
      <c r="E148" s="48">
        <f>IF(OR($C148=0,AND($B148=2,$D148&lt;=2022)),SUMIFS('Program Inputs'!$I$21:$I$39,'Program Inputs'!$C$21:$C$39,'Bill Credit Rates'!$A148,'Program Inputs'!$D$21:$D$39,'Bill Credit Rates'!$B148,'Program Inputs'!$E$21:$E$39,'Bill Credit Rates'!E$4)*1000,E147*(1+SUMIFS($Q:$Q,$N:$N,$A148,$O:$O,$B148,$P:$P,E$4)))</f>
        <v>84.8</v>
      </c>
      <c r="F148" s="48">
        <f>IF(OR($C148=0,AND($B148=2,$D148&lt;=2022)),SUMIFS('Program Inputs'!$I$21:$I$39,'Program Inputs'!$C$21:$C$39,'Bill Credit Rates'!$A148,'Program Inputs'!$D$21:$D$39,'Bill Credit Rates'!$B148,'Program Inputs'!$E$21:$E$39,'Bill Credit Rates'!F$4)*1000,F147*(1+SUMIFS($Q:$Q,$N:$N,$A148,$O:$O,$B148,$P:$P,F$4)))</f>
        <v>84.8</v>
      </c>
      <c r="G148" s="48">
        <f>IF(OR($C148=0,AND($B148=2,$D148&lt;=2022)),SUMIFS('Program Inputs'!$I$21:$I$39,'Program Inputs'!$C$21:$C$39,'Bill Credit Rates'!$A148,'Program Inputs'!$D$21:$D$39,'Bill Credit Rates'!$B148,'Program Inputs'!$E$21:$E$39,'Bill Credit Rates'!G$4)*1000,G147*(1+SUMIFS($Q:$Q,$N:$N,$A148,$O:$O,$B148,$P:$P,G$4)))</f>
        <v>84.8</v>
      </c>
      <c r="H148" s="33">
        <f>SUMIFS('Program Inputs'!$F$21:$F$39,'Program Inputs'!$C$21:$C$39,'Bill Credit Rates'!$A148,'Program Inputs'!$D$21:$D$39,'Bill Credit Rates'!$B148,'Program Inputs'!$E$21:$E$39,'Bill Credit Rates'!E$4)</f>
        <v>0</v>
      </c>
      <c r="I148" s="33">
        <f>SUMIFS('Program Inputs'!$F$21:$F$39,'Program Inputs'!$C$21:$C$39,'Bill Credit Rates'!$A148,'Program Inputs'!$D$21:$D$39,'Bill Credit Rates'!$B148,'Program Inputs'!$E$21:$E$39,'Bill Credit Rates'!F$4)</f>
        <v>0.1</v>
      </c>
      <c r="J148" s="33">
        <f>SUMIFS('Program Inputs'!$F$21:$F$39,'Program Inputs'!$C$21:$C$39,'Bill Credit Rates'!$A148,'Program Inputs'!$D$21:$D$39,'Bill Credit Rates'!$B148,'Program Inputs'!$E$21:$E$39,'Bill Credit Rates'!G$4)</f>
        <v>0.85</v>
      </c>
      <c r="K148" s="48">
        <f t="shared" si="13"/>
        <v>80.56</v>
      </c>
    </row>
    <row r="149" spans="1:11">
      <c r="A149" s="48" t="s">
        <v>13</v>
      </c>
      <c r="B149" s="48">
        <v>1</v>
      </c>
      <c r="C149" s="48">
        <v>12</v>
      </c>
      <c r="D149" s="48">
        <v>2030</v>
      </c>
      <c r="E149" s="48">
        <f>IF(OR($C149=0,AND($B149=2,$D149&lt;=2022)),SUMIFS('Program Inputs'!$I$21:$I$39,'Program Inputs'!$C$21:$C$39,'Bill Credit Rates'!$A149,'Program Inputs'!$D$21:$D$39,'Bill Credit Rates'!$B149,'Program Inputs'!$E$21:$E$39,'Bill Credit Rates'!E$4)*1000,E148*(1+SUMIFS($Q:$Q,$N:$N,$A149,$O:$O,$B149,$P:$P,E$4)))</f>
        <v>84.8</v>
      </c>
      <c r="F149" s="48">
        <f>IF(OR($C149=0,AND($B149=2,$D149&lt;=2022)),SUMIFS('Program Inputs'!$I$21:$I$39,'Program Inputs'!$C$21:$C$39,'Bill Credit Rates'!$A149,'Program Inputs'!$D$21:$D$39,'Bill Credit Rates'!$B149,'Program Inputs'!$E$21:$E$39,'Bill Credit Rates'!F$4)*1000,F148*(1+SUMIFS($Q:$Q,$N:$N,$A149,$O:$O,$B149,$P:$P,F$4)))</f>
        <v>84.8</v>
      </c>
      <c r="G149" s="48">
        <f>IF(OR($C149=0,AND($B149=2,$D149&lt;=2022)),SUMIFS('Program Inputs'!$I$21:$I$39,'Program Inputs'!$C$21:$C$39,'Bill Credit Rates'!$A149,'Program Inputs'!$D$21:$D$39,'Bill Credit Rates'!$B149,'Program Inputs'!$E$21:$E$39,'Bill Credit Rates'!G$4)*1000,G148*(1+SUMIFS($Q:$Q,$N:$N,$A149,$O:$O,$B149,$P:$P,G$4)))</f>
        <v>84.8</v>
      </c>
      <c r="H149" s="33">
        <f>SUMIFS('Program Inputs'!$F$21:$F$39,'Program Inputs'!$C$21:$C$39,'Bill Credit Rates'!$A149,'Program Inputs'!$D$21:$D$39,'Bill Credit Rates'!$B149,'Program Inputs'!$E$21:$E$39,'Bill Credit Rates'!E$4)</f>
        <v>0</v>
      </c>
      <c r="I149" s="33">
        <f>SUMIFS('Program Inputs'!$F$21:$F$39,'Program Inputs'!$C$21:$C$39,'Bill Credit Rates'!$A149,'Program Inputs'!$D$21:$D$39,'Bill Credit Rates'!$B149,'Program Inputs'!$E$21:$E$39,'Bill Credit Rates'!F$4)</f>
        <v>0.1</v>
      </c>
      <c r="J149" s="33">
        <f>SUMIFS('Program Inputs'!$F$21:$F$39,'Program Inputs'!$C$21:$C$39,'Bill Credit Rates'!$A149,'Program Inputs'!$D$21:$D$39,'Bill Credit Rates'!$B149,'Program Inputs'!$E$21:$E$39,'Bill Credit Rates'!G$4)</f>
        <v>0.85</v>
      </c>
      <c r="K149" s="48">
        <f t="shared" si="13"/>
        <v>80.56</v>
      </c>
    </row>
    <row r="150" spans="1:11">
      <c r="A150" s="48" t="s">
        <v>13</v>
      </c>
      <c r="B150" s="48">
        <v>1</v>
      </c>
      <c r="C150" s="48">
        <v>13</v>
      </c>
      <c r="D150" s="48">
        <v>2031</v>
      </c>
      <c r="E150" s="48">
        <f>IF(OR($C150=0,AND($B150=2,$D150&lt;=2022)),SUMIFS('Program Inputs'!$I$21:$I$39,'Program Inputs'!$C$21:$C$39,'Bill Credit Rates'!$A150,'Program Inputs'!$D$21:$D$39,'Bill Credit Rates'!$B150,'Program Inputs'!$E$21:$E$39,'Bill Credit Rates'!E$4)*1000,E149*(1+SUMIFS($Q:$Q,$N:$N,$A150,$O:$O,$B150,$P:$P,E$4)))</f>
        <v>84.8</v>
      </c>
      <c r="F150" s="48">
        <f>IF(OR($C150=0,AND($B150=2,$D150&lt;=2022)),SUMIFS('Program Inputs'!$I$21:$I$39,'Program Inputs'!$C$21:$C$39,'Bill Credit Rates'!$A150,'Program Inputs'!$D$21:$D$39,'Bill Credit Rates'!$B150,'Program Inputs'!$E$21:$E$39,'Bill Credit Rates'!F$4)*1000,F149*(1+SUMIFS($Q:$Q,$N:$N,$A150,$O:$O,$B150,$P:$P,F$4)))</f>
        <v>84.8</v>
      </c>
      <c r="G150" s="48">
        <f>IF(OR($C150=0,AND($B150=2,$D150&lt;=2022)),SUMIFS('Program Inputs'!$I$21:$I$39,'Program Inputs'!$C$21:$C$39,'Bill Credit Rates'!$A150,'Program Inputs'!$D$21:$D$39,'Bill Credit Rates'!$B150,'Program Inputs'!$E$21:$E$39,'Bill Credit Rates'!G$4)*1000,G149*(1+SUMIFS($Q:$Q,$N:$N,$A150,$O:$O,$B150,$P:$P,G$4)))</f>
        <v>84.8</v>
      </c>
      <c r="H150" s="33">
        <f>SUMIFS('Program Inputs'!$F$21:$F$39,'Program Inputs'!$C$21:$C$39,'Bill Credit Rates'!$A150,'Program Inputs'!$D$21:$D$39,'Bill Credit Rates'!$B150,'Program Inputs'!$E$21:$E$39,'Bill Credit Rates'!E$4)</f>
        <v>0</v>
      </c>
      <c r="I150" s="33">
        <f>SUMIFS('Program Inputs'!$F$21:$F$39,'Program Inputs'!$C$21:$C$39,'Bill Credit Rates'!$A150,'Program Inputs'!$D$21:$D$39,'Bill Credit Rates'!$B150,'Program Inputs'!$E$21:$E$39,'Bill Credit Rates'!F$4)</f>
        <v>0.1</v>
      </c>
      <c r="J150" s="33">
        <f>SUMIFS('Program Inputs'!$F$21:$F$39,'Program Inputs'!$C$21:$C$39,'Bill Credit Rates'!$A150,'Program Inputs'!$D$21:$D$39,'Bill Credit Rates'!$B150,'Program Inputs'!$E$21:$E$39,'Bill Credit Rates'!G$4)</f>
        <v>0.85</v>
      </c>
      <c r="K150" s="48">
        <f t="shared" si="13"/>
        <v>80.56</v>
      </c>
    </row>
    <row r="151" spans="1:11">
      <c r="A151" s="48" t="s">
        <v>13</v>
      </c>
      <c r="B151" s="48">
        <v>1</v>
      </c>
      <c r="C151" s="48">
        <v>14</v>
      </c>
      <c r="D151" s="48">
        <v>2032</v>
      </c>
      <c r="E151" s="48">
        <f>IF(OR($C151=0,AND($B151=2,$D151&lt;=2022)),SUMIFS('Program Inputs'!$I$21:$I$39,'Program Inputs'!$C$21:$C$39,'Bill Credit Rates'!$A151,'Program Inputs'!$D$21:$D$39,'Bill Credit Rates'!$B151,'Program Inputs'!$E$21:$E$39,'Bill Credit Rates'!E$4)*1000,E150*(1+SUMIFS($Q:$Q,$N:$N,$A151,$O:$O,$B151,$P:$P,E$4)))</f>
        <v>84.8</v>
      </c>
      <c r="F151" s="48">
        <f>IF(OR($C151=0,AND($B151=2,$D151&lt;=2022)),SUMIFS('Program Inputs'!$I$21:$I$39,'Program Inputs'!$C$21:$C$39,'Bill Credit Rates'!$A151,'Program Inputs'!$D$21:$D$39,'Bill Credit Rates'!$B151,'Program Inputs'!$E$21:$E$39,'Bill Credit Rates'!F$4)*1000,F150*(1+SUMIFS($Q:$Q,$N:$N,$A151,$O:$O,$B151,$P:$P,F$4)))</f>
        <v>84.8</v>
      </c>
      <c r="G151" s="48">
        <f>IF(OR($C151=0,AND($B151=2,$D151&lt;=2022)),SUMIFS('Program Inputs'!$I$21:$I$39,'Program Inputs'!$C$21:$C$39,'Bill Credit Rates'!$A151,'Program Inputs'!$D$21:$D$39,'Bill Credit Rates'!$B151,'Program Inputs'!$E$21:$E$39,'Bill Credit Rates'!G$4)*1000,G150*(1+SUMIFS($Q:$Q,$N:$N,$A151,$O:$O,$B151,$P:$P,G$4)))</f>
        <v>84.8</v>
      </c>
      <c r="H151" s="33">
        <f>SUMIFS('Program Inputs'!$F$21:$F$39,'Program Inputs'!$C$21:$C$39,'Bill Credit Rates'!$A151,'Program Inputs'!$D$21:$D$39,'Bill Credit Rates'!$B151,'Program Inputs'!$E$21:$E$39,'Bill Credit Rates'!E$4)</f>
        <v>0</v>
      </c>
      <c r="I151" s="33">
        <f>SUMIFS('Program Inputs'!$F$21:$F$39,'Program Inputs'!$C$21:$C$39,'Bill Credit Rates'!$A151,'Program Inputs'!$D$21:$D$39,'Bill Credit Rates'!$B151,'Program Inputs'!$E$21:$E$39,'Bill Credit Rates'!F$4)</f>
        <v>0.1</v>
      </c>
      <c r="J151" s="33">
        <f>SUMIFS('Program Inputs'!$F$21:$F$39,'Program Inputs'!$C$21:$C$39,'Bill Credit Rates'!$A151,'Program Inputs'!$D$21:$D$39,'Bill Credit Rates'!$B151,'Program Inputs'!$E$21:$E$39,'Bill Credit Rates'!G$4)</f>
        <v>0.85</v>
      </c>
      <c r="K151" s="48">
        <f t="shared" si="13"/>
        <v>80.56</v>
      </c>
    </row>
    <row r="152" spans="1:11">
      <c r="A152" s="48" t="s">
        <v>13</v>
      </c>
      <c r="B152" s="48">
        <v>1</v>
      </c>
      <c r="C152" s="48">
        <v>15</v>
      </c>
      <c r="D152" s="48">
        <v>2033</v>
      </c>
      <c r="E152" s="48">
        <f>IF(OR($C152=0,AND($B152=2,$D152&lt;=2022)),SUMIFS('Program Inputs'!$I$21:$I$39,'Program Inputs'!$C$21:$C$39,'Bill Credit Rates'!$A152,'Program Inputs'!$D$21:$D$39,'Bill Credit Rates'!$B152,'Program Inputs'!$E$21:$E$39,'Bill Credit Rates'!E$4)*1000,E151*(1+SUMIFS($Q:$Q,$N:$N,$A152,$O:$O,$B152,$P:$P,E$4)))</f>
        <v>84.8</v>
      </c>
      <c r="F152" s="48">
        <f>IF(OR($C152=0,AND($B152=2,$D152&lt;=2022)),SUMIFS('Program Inputs'!$I$21:$I$39,'Program Inputs'!$C$21:$C$39,'Bill Credit Rates'!$A152,'Program Inputs'!$D$21:$D$39,'Bill Credit Rates'!$B152,'Program Inputs'!$E$21:$E$39,'Bill Credit Rates'!F$4)*1000,F151*(1+SUMIFS($Q:$Q,$N:$N,$A152,$O:$O,$B152,$P:$P,F$4)))</f>
        <v>84.8</v>
      </c>
      <c r="G152" s="48">
        <f>IF(OR($C152=0,AND($B152=2,$D152&lt;=2022)),SUMIFS('Program Inputs'!$I$21:$I$39,'Program Inputs'!$C$21:$C$39,'Bill Credit Rates'!$A152,'Program Inputs'!$D$21:$D$39,'Bill Credit Rates'!$B152,'Program Inputs'!$E$21:$E$39,'Bill Credit Rates'!G$4)*1000,G151*(1+SUMIFS($Q:$Q,$N:$N,$A152,$O:$O,$B152,$P:$P,G$4)))</f>
        <v>84.8</v>
      </c>
      <c r="H152" s="33">
        <f>SUMIFS('Program Inputs'!$F$21:$F$39,'Program Inputs'!$C$21:$C$39,'Bill Credit Rates'!$A152,'Program Inputs'!$D$21:$D$39,'Bill Credit Rates'!$B152,'Program Inputs'!$E$21:$E$39,'Bill Credit Rates'!E$4)</f>
        <v>0</v>
      </c>
      <c r="I152" s="33">
        <f>SUMIFS('Program Inputs'!$F$21:$F$39,'Program Inputs'!$C$21:$C$39,'Bill Credit Rates'!$A152,'Program Inputs'!$D$21:$D$39,'Bill Credit Rates'!$B152,'Program Inputs'!$E$21:$E$39,'Bill Credit Rates'!F$4)</f>
        <v>0.1</v>
      </c>
      <c r="J152" s="33">
        <f>SUMIFS('Program Inputs'!$F$21:$F$39,'Program Inputs'!$C$21:$C$39,'Bill Credit Rates'!$A152,'Program Inputs'!$D$21:$D$39,'Bill Credit Rates'!$B152,'Program Inputs'!$E$21:$E$39,'Bill Credit Rates'!G$4)</f>
        <v>0.85</v>
      </c>
      <c r="K152" s="48">
        <f t="shared" si="13"/>
        <v>80.56</v>
      </c>
    </row>
    <row r="153" spans="1:11">
      <c r="A153" s="48" t="s">
        <v>13</v>
      </c>
      <c r="B153" s="48">
        <v>1</v>
      </c>
      <c r="C153" s="48">
        <v>16</v>
      </c>
      <c r="D153" s="48">
        <v>2034</v>
      </c>
      <c r="E153" s="48">
        <f>IF(OR($C153=0,AND($B153=2,$D153&lt;=2022)),SUMIFS('Program Inputs'!$I$21:$I$39,'Program Inputs'!$C$21:$C$39,'Bill Credit Rates'!$A153,'Program Inputs'!$D$21:$D$39,'Bill Credit Rates'!$B153,'Program Inputs'!$E$21:$E$39,'Bill Credit Rates'!E$4)*1000,E152*(1+SUMIFS($Q:$Q,$N:$N,$A153,$O:$O,$B153,$P:$P,E$4)))</f>
        <v>84.8</v>
      </c>
      <c r="F153" s="48">
        <f>IF(OR($C153=0,AND($B153=2,$D153&lt;=2022)),SUMIFS('Program Inputs'!$I$21:$I$39,'Program Inputs'!$C$21:$C$39,'Bill Credit Rates'!$A153,'Program Inputs'!$D$21:$D$39,'Bill Credit Rates'!$B153,'Program Inputs'!$E$21:$E$39,'Bill Credit Rates'!F$4)*1000,F152*(1+SUMIFS($Q:$Q,$N:$N,$A153,$O:$O,$B153,$P:$P,F$4)))</f>
        <v>84.8</v>
      </c>
      <c r="G153" s="48">
        <f>IF(OR($C153=0,AND($B153=2,$D153&lt;=2022)),SUMIFS('Program Inputs'!$I$21:$I$39,'Program Inputs'!$C$21:$C$39,'Bill Credit Rates'!$A153,'Program Inputs'!$D$21:$D$39,'Bill Credit Rates'!$B153,'Program Inputs'!$E$21:$E$39,'Bill Credit Rates'!G$4)*1000,G152*(1+SUMIFS($Q:$Q,$N:$N,$A153,$O:$O,$B153,$P:$P,G$4)))</f>
        <v>84.8</v>
      </c>
      <c r="H153" s="33">
        <f>SUMIFS('Program Inputs'!$F$21:$F$39,'Program Inputs'!$C$21:$C$39,'Bill Credit Rates'!$A153,'Program Inputs'!$D$21:$D$39,'Bill Credit Rates'!$B153,'Program Inputs'!$E$21:$E$39,'Bill Credit Rates'!E$4)</f>
        <v>0</v>
      </c>
      <c r="I153" s="33">
        <f>SUMIFS('Program Inputs'!$F$21:$F$39,'Program Inputs'!$C$21:$C$39,'Bill Credit Rates'!$A153,'Program Inputs'!$D$21:$D$39,'Bill Credit Rates'!$B153,'Program Inputs'!$E$21:$E$39,'Bill Credit Rates'!F$4)</f>
        <v>0.1</v>
      </c>
      <c r="J153" s="33">
        <f>SUMIFS('Program Inputs'!$F$21:$F$39,'Program Inputs'!$C$21:$C$39,'Bill Credit Rates'!$A153,'Program Inputs'!$D$21:$D$39,'Bill Credit Rates'!$B153,'Program Inputs'!$E$21:$E$39,'Bill Credit Rates'!G$4)</f>
        <v>0.85</v>
      </c>
      <c r="K153" s="48">
        <f t="shared" si="13"/>
        <v>80.56</v>
      </c>
    </row>
    <row r="154" spans="1:11">
      <c r="A154" s="48" t="s">
        <v>13</v>
      </c>
      <c r="B154" s="48">
        <v>1</v>
      </c>
      <c r="C154" s="48">
        <v>17</v>
      </c>
      <c r="D154" s="48">
        <v>2035</v>
      </c>
      <c r="E154" s="48">
        <f>IF(OR($C154=0,AND($B154=2,$D154&lt;=2022)),SUMIFS('Program Inputs'!$I$21:$I$39,'Program Inputs'!$C$21:$C$39,'Bill Credit Rates'!$A154,'Program Inputs'!$D$21:$D$39,'Bill Credit Rates'!$B154,'Program Inputs'!$E$21:$E$39,'Bill Credit Rates'!E$4)*1000,E153*(1+SUMIFS($Q:$Q,$N:$N,$A154,$O:$O,$B154,$P:$P,E$4)))</f>
        <v>84.8</v>
      </c>
      <c r="F154" s="48">
        <f>IF(OR($C154=0,AND($B154=2,$D154&lt;=2022)),SUMIFS('Program Inputs'!$I$21:$I$39,'Program Inputs'!$C$21:$C$39,'Bill Credit Rates'!$A154,'Program Inputs'!$D$21:$D$39,'Bill Credit Rates'!$B154,'Program Inputs'!$E$21:$E$39,'Bill Credit Rates'!F$4)*1000,F153*(1+SUMIFS($Q:$Q,$N:$N,$A154,$O:$O,$B154,$P:$P,F$4)))</f>
        <v>84.8</v>
      </c>
      <c r="G154" s="48">
        <f>IF(OR($C154=0,AND($B154=2,$D154&lt;=2022)),SUMIFS('Program Inputs'!$I$21:$I$39,'Program Inputs'!$C$21:$C$39,'Bill Credit Rates'!$A154,'Program Inputs'!$D$21:$D$39,'Bill Credit Rates'!$B154,'Program Inputs'!$E$21:$E$39,'Bill Credit Rates'!G$4)*1000,G153*(1+SUMIFS($Q:$Q,$N:$N,$A154,$O:$O,$B154,$P:$P,G$4)))</f>
        <v>84.8</v>
      </c>
      <c r="H154" s="33">
        <f>SUMIFS('Program Inputs'!$F$21:$F$39,'Program Inputs'!$C$21:$C$39,'Bill Credit Rates'!$A154,'Program Inputs'!$D$21:$D$39,'Bill Credit Rates'!$B154,'Program Inputs'!$E$21:$E$39,'Bill Credit Rates'!E$4)</f>
        <v>0</v>
      </c>
      <c r="I154" s="33">
        <f>SUMIFS('Program Inputs'!$F$21:$F$39,'Program Inputs'!$C$21:$C$39,'Bill Credit Rates'!$A154,'Program Inputs'!$D$21:$D$39,'Bill Credit Rates'!$B154,'Program Inputs'!$E$21:$E$39,'Bill Credit Rates'!F$4)</f>
        <v>0.1</v>
      </c>
      <c r="J154" s="33">
        <f>SUMIFS('Program Inputs'!$F$21:$F$39,'Program Inputs'!$C$21:$C$39,'Bill Credit Rates'!$A154,'Program Inputs'!$D$21:$D$39,'Bill Credit Rates'!$B154,'Program Inputs'!$E$21:$E$39,'Bill Credit Rates'!G$4)</f>
        <v>0.85</v>
      </c>
      <c r="K154" s="48">
        <f t="shared" si="13"/>
        <v>80.56</v>
      </c>
    </row>
    <row r="155" spans="1:11">
      <c r="A155" s="48" t="s">
        <v>13</v>
      </c>
      <c r="B155" s="48">
        <v>1</v>
      </c>
      <c r="C155" s="48">
        <v>18</v>
      </c>
      <c r="D155" s="48">
        <v>2036</v>
      </c>
      <c r="E155" s="48">
        <f>IF(OR($C155=0,AND($B155=2,$D155&lt;=2022)),SUMIFS('Program Inputs'!$I$21:$I$39,'Program Inputs'!$C$21:$C$39,'Bill Credit Rates'!$A155,'Program Inputs'!$D$21:$D$39,'Bill Credit Rates'!$B155,'Program Inputs'!$E$21:$E$39,'Bill Credit Rates'!E$4)*1000,E154*(1+SUMIFS($Q:$Q,$N:$N,$A155,$O:$O,$B155,$P:$P,E$4)))</f>
        <v>84.8</v>
      </c>
      <c r="F155" s="48">
        <f>IF(OR($C155=0,AND($B155=2,$D155&lt;=2022)),SUMIFS('Program Inputs'!$I$21:$I$39,'Program Inputs'!$C$21:$C$39,'Bill Credit Rates'!$A155,'Program Inputs'!$D$21:$D$39,'Bill Credit Rates'!$B155,'Program Inputs'!$E$21:$E$39,'Bill Credit Rates'!F$4)*1000,F154*(1+SUMIFS($Q:$Q,$N:$N,$A155,$O:$O,$B155,$P:$P,F$4)))</f>
        <v>84.8</v>
      </c>
      <c r="G155" s="48">
        <f>IF(OR($C155=0,AND($B155=2,$D155&lt;=2022)),SUMIFS('Program Inputs'!$I$21:$I$39,'Program Inputs'!$C$21:$C$39,'Bill Credit Rates'!$A155,'Program Inputs'!$D$21:$D$39,'Bill Credit Rates'!$B155,'Program Inputs'!$E$21:$E$39,'Bill Credit Rates'!G$4)*1000,G154*(1+SUMIFS($Q:$Q,$N:$N,$A155,$O:$O,$B155,$P:$P,G$4)))</f>
        <v>84.8</v>
      </c>
      <c r="H155" s="33">
        <f>SUMIFS('Program Inputs'!$F$21:$F$39,'Program Inputs'!$C$21:$C$39,'Bill Credit Rates'!$A155,'Program Inputs'!$D$21:$D$39,'Bill Credit Rates'!$B155,'Program Inputs'!$E$21:$E$39,'Bill Credit Rates'!E$4)</f>
        <v>0</v>
      </c>
      <c r="I155" s="33">
        <f>SUMIFS('Program Inputs'!$F$21:$F$39,'Program Inputs'!$C$21:$C$39,'Bill Credit Rates'!$A155,'Program Inputs'!$D$21:$D$39,'Bill Credit Rates'!$B155,'Program Inputs'!$E$21:$E$39,'Bill Credit Rates'!F$4)</f>
        <v>0.1</v>
      </c>
      <c r="J155" s="33">
        <f>SUMIFS('Program Inputs'!$F$21:$F$39,'Program Inputs'!$C$21:$C$39,'Bill Credit Rates'!$A155,'Program Inputs'!$D$21:$D$39,'Bill Credit Rates'!$B155,'Program Inputs'!$E$21:$E$39,'Bill Credit Rates'!G$4)</f>
        <v>0.85</v>
      </c>
      <c r="K155" s="48">
        <f t="shared" si="13"/>
        <v>80.56</v>
      </c>
    </row>
    <row r="156" spans="1:11">
      <c r="A156" s="48" t="s">
        <v>13</v>
      </c>
      <c r="B156" s="48">
        <v>1</v>
      </c>
      <c r="C156" s="48">
        <v>19</v>
      </c>
      <c r="D156" s="48">
        <v>2037</v>
      </c>
      <c r="E156" s="48">
        <f>IF(OR($C156=0,AND($B156=2,$D156&lt;=2022)),SUMIFS('Program Inputs'!$I$21:$I$39,'Program Inputs'!$C$21:$C$39,'Bill Credit Rates'!$A156,'Program Inputs'!$D$21:$D$39,'Bill Credit Rates'!$B156,'Program Inputs'!$E$21:$E$39,'Bill Credit Rates'!E$4)*1000,E155*(1+SUMIFS($Q:$Q,$N:$N,$A156,$O:$O,$B156,$P:$P,E$4)))</f>
        <v>84.8</v>
      </c>
      <c r="F156" s="48">
        <f>IF(OR($C156=0,AND($B156=2,$D156&lt;=2022)),SUMIFS('Program Inputs'!$I$21:$I$39,'Program Inputs'!$C$21:$C$39,'Bill Credit Rates'!$A156,'Program Inputs'!$D$21:$D$39,'Bill Credit Rates'!$B156,'Program Inputs'!$E$21:$E$39,'Bill Credit Rates'!F$4)*1000,F155*(1+SUMIFS($Q:$Q,$N:$N,$A156,$O:$O,$B156,$P:$P,F$4)))</f>
        <v>84.8</v>
      </c>
      <c r="G156" s="48">
        <f>IF(OR($C156=0,AND($B156=2,$D156&lt;=2022)),SUMIFS('Program Inputs'!$I$21:$I$39,'Program Inputs'!$C$21:$C$39,'Bill Credit Rates'!$A156,'Program Inputs'!$D$21:$D$39,'Bill Credit Rates'!$B156,'Program Inputs'!$E$21:$E$39,'Bill Credit Rates'!G$4)*1000,G155*(1+SUMIFS($Q:$Q,$N:$N,$A156,$O:$O,$B156,$P:$P,G$4)))</f>
        <v>84.8</v>
      </c>
      <c r="H156" s="33">
        <f>SUMIFS('Program Inputs'!$F$21:$F$39,'Program Inputs'!$C$21:$C$39,'Bill Credit Rates'!$A156,'Program Inputs'!$D$21:$D$39,'Bill Credit Rates'!$B156,'Program Inputs'!$E$21:$E$39,'Bill Credit Rates'!E$4)</f>
        <v>0</v>
      </c>
      <c r="I156" s="33">
        <f>SUMIFS('Program Inputs'!$F$21:$F$39,'Program Inputs'!$C$21:$C$39,'Bill Credit Rates'!$A156,'Program Inputs'!$D$21:$D$39,'Bill Credit Rates'!$B156,'Program Inputs'!$E$21:$E$39,'Bill Credit Rates'!F$4)</f>
        <v>0.1</v>
      </c>
      <c r="J156" s="33">
        <f>SUMIFS('Program Inputs'!$F$21:$F$39,'Program Inputs'!$C$21:$C$39,'Bill Credit Rates'!$A156,'Program Inputs'!$D$21:$D$39,'Bill Credit Rates'!$B156,'Program Inputs'!$E$21:$E$39,'Bill Credit Rates'!G$4)</f>
        <v>0.85</v>
      </c>
      <c r="K156" s="48">
        <f t="shared" si="13"/>
        <v>80.56</v>
      </c>
    </row>
    <row r="157" spans="1:11">
      <c r="A157" s="48" t="s">
        <v>13</v>
      </c>
      <c r="B157" s="48">
        <v>1</v>
      </c>
      <c r="C157" s="48">
        <v>20</v>
      </c>
      <c r="D157" s="48">
        <v>2038</v>
      </c>
      <c r="E157" s="48">
        <f>IF(OR($C157=0,AND($B157=2,$D157&lt;=2022)),SUMIFS('Program Inputs'!$I$21:$I$39,'Program Inputs'!$C$21:$C$39,'Bill Credit Rates'!$A157,'Program Inputs'!$D$21:$D$39,'Bill Credit Rates'!$B157,'Program Inputs'!$E$21:$E$39,'Bill Credit Rates'!E$4)*1000,E156*(1+SUMIFS($Q:$Q,$N:$N,$A157,$O:$O,$B157,$P:$P,E$4)))</f>
        <v>84.8</v>
      </c>
      <c r="F157" s="48">
        <f>IF(OR($C157=0,AND($B157=2,$D157&lt;=2022)),SUMIFS('Program Inputs'!$I$21:$I$39,'Program Inputs'!$C$21:$C$39,'Bill Credit Rates'!$A157,'Program Inputs'!$D$21:$D$39,'Bill Credit Rates'!$B157,'Program Inputs'!$E$21:$E$39,'Bill Credit Rates'!F$4)*1000,F156*(1+SUMIFS($Q:$Q,$N:$N,$A157,$O:$O,$B157,$P:$P,F$4)))</f>
        <v>84.8</v>
      </c>
      <c r="G157" s="48">
        <f>IF(OR($C157=0,AND($B157=2,$D157&lt;=2022)),SUMIFS('Program Inputs'!$I$21:$I$39,'Program Inputs'!$C$21:$C$39,'Bill Credit Rates'!$A157,'Program Inputs'!$D$21:$D$39,'Bill Credit Rates'!$B157,'Program Inputs'!$E$21:$E$39,'Bill Credit Rates'!G$4)*1000,G156*(1+SUMIFS($Q:$Q,$N:$N,$A157,$O:$O,$B157,$P:$P,G$4)))</f>
        <v>84.8</v>
      </c>
      <c r="H157" s="33">
        <f>SUMIFS('Program Inputs'!$F$21:$F$39,'Program Inputs'!$C$21:$C$39,'Bill Credit Rates'!$A157,'Program Inputs'!$D$21:$D$39,'Bill Credit Rates'!$B157,'Program Inputs'!$E$21:$E$39,'Bill Credit Rates'!E$4)</f>
        <v>0</v>
      </c>
      <c r="I157" s="33">
        <f>SUMIFS('Program Inputs'!$F$21:$F$39,'Program Inputs'!$C$21:$C$39,'Bill Credit Rates'!$A157,'Program Inputs'!$D$21:$D$39,'Bill Credit Rates'!$B157,'Program Inputs'!$E$21:$E$39,'Bill Credit Rates'!F$4)</f>
        <v>0.1</v>
      </c>
      <c r="J157" s="33">
        <f>SUMIFS('Program Inputs'!$F$21:$F$39,'Program Inputs'!$C$21:$C$39,'Bill Credit Rates'!$A157,'Program Inputs'!$D$21:$D$39,'Bill Credit Rates'!$B157,'Program Inputs'!$E$21:$E$39,'Bill Credit Rates'!G$4)</f>
        <v>0.85</v>
      </c>
      <c r="K157" s="48">
        <f t="shared" si="13"/>
        <v>80.56</v>
      </c>
    </row>
    <row r="158" spans="1:11">
      <c r="A158" s="48" t="s">
        <v>13</v>
      </c>
      <c r="B158" s="48">
        <v>1</v>
      </c>
      <c r="C158" s="48">
        <v>21</v>
      </c>
      <c r="D158" s="48">
        <v>2039</v>
      </c>
      <c r="E158" s="48">
        <f>IF(OR($C158=0,AND($B158=2,$D158&lt;=2022)),SUMIFS('Program Inputs'!$I$21:$I$39,'Program Inputs'!$C$21:$C$39,'Bill Credit Rates'!$A158,'Program Inputs'!$D$21:$D$39,'Bill Credit Rates'!$B158,'Program Inputs'!$E$21:$E$39,'Bill Credit Rates'!E$4)*1000,E157*(1+SUMIFS($Q:$Q,$N:$N,$A158,$O:$O,$B158,$P:$P,E$4)))</f>
        <v>84.8</v>
      </c>
      <c r="F158" s="48">
        <f>IF(OR($C158=0,AND($B158=2,$D158&lt;=2022)),SUMIFS('Program Inputs'!$I$21:$I$39,'Program Inputs'!$C$21:$C$39,'Bill Credit Rates'!$A158,'Program Inputs'!$D$21:$D$39,'Bill Credit Rates'!$B158,'Program Inputs'!$E$21:$E$39,'Bill Credit Rates'!F$4)*1000,F157*(1+SUMIFS($Q:$Q,$N:$N,$A158,$O:$O,$B158,$P:$P,F$4)))</f>
        <v>84.8</v>
      </c>
      <c r="G158" s="48">
        <f>IF(OR($C158=0,AND($B158=2,$D158&lt;=2022)),SUMIFS('Program Inputs'!$I$21:$I$39,'Program Inputs'!$C$21:$C$39,'Bill Credit Rates'!$A158,'Program Inputs'!$D$21:$D$39,'Bill Credit Rates'!$B158,'Program Inputs'!$E$21:$E$39,'Bill Credit Rates'!G$4)*1000,G157*(1+SUMIFS($Q:$Q,$N:$N,$A158,$O:$O,$B158,$P:$P,G$4)))</f>
        <v>84.8</v>
      </c>
      <c r="H158" s="33">
        <f>SUMIFS('Program Inputs'!$F$21:$F$39,'Program Inputs'!$C$21:$C$39,'Bill Credit Rates'!$A158,'Program Inputs'!$D$21:$D$39,'Bill Credit Rates'!$B158,'Program Inputs'!$E$21:$E$39,'Bill Credit Rates'!E$4)</f>
        <v>0</v>
      </c>
      <c r="I158" s="33">
        <f>SUMIFS('Program Inputs'!$F$21:$F$39,'Program Inputs'!$C$21:$C$39,'Bill Credit Rates'!$A158,'Program Inputs'!$D$21:$D$39,'Bill Credit Rates'!$B158,'Program Inputs'!$E$21:$E$39,'Bill Credit Rates'!F$4)</f>
        <v>0.1</v>
      </c>
      <c r="J158" s="33">
        <f>SUMIFS('Program Inputs'!$F$21:$F$39,'Program Inputs'!$C$21:$C$39,'Bill Credit Rates'!$A158,'Program Inputs'!$D$21:$D$39,'Bill Credit Rates'!$B158,'Program Inputs'!$E$21:$E$39,'Bill Credit Rates'!G$4)</f>
        <v>0.85</v>
      </c>
      <c r="K158" s="48">
        <f t="shared" ref="K158:K162" si="14">E158*H158+F158*I158+G158*J158</f>
        <v>80.56</v>
      </c>
    </row>
    <row r="159" spans="1:11">
      <c r="A159" s="48" t="s">
        <v>13</v>
      </c>
      <c r="B159" s="48">
        <v>1</v>
      </c>
      <c r="C159" s="48">
        <v>22</v>
      </c>
      <c r="D159" s="48">
        <v>2040</v>
      </c>
      <c r="E159" s="48">
        <f>IF(OR($C159=0,AND($B159=2,$D159&lt;=2022)),SUMIFS('Program Inputs'!$I$21:$I$39,'Program Inputs'!$C$21:$C$39,'Bill Credit Rates'!$A159,'Program Inputs'!$D$21:$D$39,'Bill Credit Rates'!$B159,'Program Inputs'!$E$21:$E$39,'Bill Credit Rates'!E$4)*1000,E158*(1+SUMIFS($Q:$Q,$N:$N,$A159,$O:$O,$B159,$P:$P,E$4)))</f>
        <v>84.8</v>
      </c>
      <c r="F159" s="48">
        <f>IF(OR($C159=0,AND($B159=2,$D159&lt;=2022)),SUMIFS('Program Inputs'!$I$21:$I$39,'Program Inputs'!$C$21:$C$39,'Bill Credit Rates'!$A159,'Program Inputs'!$D$21:$D$39,'Bill Credit Rates'!$B159,'Program Inputs'!$E$21:$E$39,'Bill Credit Rates'!F$4)*1000,F158*(1+SUMIFS($Q:$Q,$N:$N,$A159,$O:$O,$B159,$P:$P,F$4)))</f>
        <v>84.8</v>
      </c>
      <c r="G159" s="48">
        <f>IF(OR($C159=0,AND($B159=2,$D159&lt;=2022)),SUMIFS('Program Inputs'!$I$21:$I$39,'Program Inputs'!$C$21:$C$39,'Bill Credit Rates'!$A159,'Program Inputs'!$D$21:$D$39,'Bill Credit Rates'!$B159,'Program Inputs'!$E$21:$E$39,'Bill Credit Rates'!G$4)*1000,G158*(1+SUMIFS($Q:$Q,$N:$N,$A159,$O:$O,$B159,$P:$P,G$4)))</f>
        <v>84.8</v>
      </c>
      <c r="H159" s="33">
        <f>SUMIFS('Program Inputs'!$F$21:$F$39,'Program Inputs'!$C$21:$C$39,'Bill Credit Rates'!$A159,'Program Inputs'!$D$21:$D$39,'Bill Credit Rates'!$B159,'Program Inputs'!$E$21:$E$39,'Bill Credit Rates'!E$4)</f>
        <v>0</v>
      </c>
      <c r="I159" s="33">
        <f>SUMIFS('Program Inputs'!$F$21:$F$39,'Program Inputs'!$C$21:$C$39,'Bill Credit Rates'!$A159,'Program Inputs'!$D$21:$D$39,'Bill Credit Rates'!$B159,'Program Inputs'!$E$21:$E$39,'Bill Credit Rates'!F$4)</f>
        <v>0.1</v>
      </c>
      <c r="J159" s="33">
        <f>SUMIFS('Program Inputs'!$F$21:$F$39,'Program Inputs'!$C$21:$C$39,'Bill Credit Rates'!$A159,'Program Inputs'!$D$21:$D$39,'Bill Credit Rates'!$B159,'Program Inputs'!$E$21:$E$39,'Bill Credit Rates'!G$4)</f>
        <v>0.85</v>
      </c>
      <c r="K159" s="48">
        <f t="shared" si="14"/>
        <v>80.56</v>
      </c>
    </row>
    <row r="160" spans="1:11">
      <c r="A160" s="48" t="s">
        <v>13</v>
      </c>
      <c r="B160" s="48">
        <v>1</v>
      </c>
      <c r="C160" s="48">
        <v>23</v>
      </c>
      <c r="D160" s="48">
        <v>2041</v>
      </c>
      <c r="E160" s="48">
        <f>IF(OR($C160=0,AND($B160=2,$D160&lt;=2022)),SUMIFS('Program Inputs'!$I$21:$I$39,'Program Inputs'!$C$21:$C$39,'Bill Credit Rates'!$A160,'Program Inputs'!$D$21:$D$39,'Bill Credit Rates'!$B160,'Program Inputs'!$E$21:$E$39,'Bill Credit Rates'!E$4)*1000,E159*(1+SUMIFS($Q:$Q,$N:$N,$A160,$O:$O,$B160,$P:$P,E$4)))</f>
        <v>84.8</v>
      </c>
      <c r="F160" s="48">
        <f>IF(OR($C160=0,AND($B160=2,$D160&lt;=2022)),SUMIFS('Program Inputs'!$I$21:$I$39,'Program Inputs'!$C$21:$C$39,'Bill Credit Rates'!$A160,'Program Inputs'!$D$21:$D$39,'Bill Credit Rates'!$B160,'Program Inputs'!$E$21:$E$39,'Bill Credit Rates'!F$4)*1000,F159*(1+SUMIFS($Q:$Q,$N:$N,$A160,$O:$O,$B160,$P:$P,F$4)))</f>
        <v>84.8</v>
      </c>
      <c r="G160" s="48">
        <f>IF(OR($C160=0,AND($B160=2,$D160&lt;=2022)),SUMIFS('Program Inputs'!$I$21:$I$39,'Program Inputs'!$C$21:$C$39,'Bill Credit Rates'!$A160,'Program Inputs'!$D$21:$D$39,'Bill Credit Rates'!$B160,'Program Inputs'!$E$21:$E$39,'Bill Credit Rates'!G$4)*1000,G159*(1+SUMIFS($Q:$Q,$N:$N,$A160,$O:$O,$B160,$P:$P,G$4)))</f>
        <v>84.8</v>
      </c>
      <c r="H160" s="33">
        <f>SUMIFS('Program Inputs'!$F$21:$F$39,'Program Inputs'!$C$21:$C$39,'Bill Credit Rates'!$A160,'Program Inputs'!$D$21:$D$39,'Bill Credit Rates'!$B160,'Program Inputs'!$E$21:$E$39,'Bill Credit Rates'!E$4)</f>
        <v>0</v>
      </c>
      <c r="I160" s="33">
        <f>SUMIFS('Program Inputs'!$F$21:$F$39,'Program Inputs'!$C$21:$C$39,'Bill Credit Rates'!$A160,'Program Inputs'!$D$21:$D$39,'Bill Credit Rates'!$B160,'Program Inputs'!$E$21:$E$39,'Bill Credit Rates'!F$4)</f>
        <v>0.1</v>
      </c>
      <c r="J160" s="33">
        <f>SUMIFS('Program Inputs'!$F$21:$F$39,'Program Inputs'!$C$21:$C$39,'Bill Credit Rates'!$A160,'Program Inputs'!$D$21:$D$39,'Bill Credit Rates'!$B160,'Program Inputs'!$E$21:$E$39,'Bill Credit Rates'!G$4)</f>
        <v>0.85</v>
      </c>
      <c r="K160" s="48">
        <f t="shared" si="14"/>
        <v>80.56</v>
      </c>
    </row>
    <row r="161" spans="1:11">
      <c r="A161" s="48" t="s">
        <v>13</v>
      </c>
      <c r="B161" s="48">
        <v>1</v>
      </c>
      <c r="C161" s="48">
        <v>24</v>
      </c>
      <c r="D161" s="48">
        <v>2042</v>
      </c>
      <c r="E161" s="48">
        <f>IF(OR($C161=0,AND($B161=2,$D161&lt;=2022)),SUMIFS('Program Inputs'!$I$21:$I$39,'Program Inputs'!$C$21:$C$39,'Bill Credit Rates'!$A161,'Program Inputs'!$D$21:$D$39,'Bill Credit Rates'!$B161,'Program Inputs'!$E$21:$E$39,'Bill Credit Rates'!E$4)*1000,E160*(1+SUMIFS($Q:$Q,$N:$N,$A161,$O:$O,$B161,$P:$P,E$4)))</f>
        <v>84.8</v>
      </c>
      <c r="F161" s="48">
        <f>IF(OR($C161=0,AND($B161=2,$D161&lt;=2022)),SUMIFS('Program Inputs'!$I$21:$I$39,'Program Inputs'!$C$21:$C$39,'Bill Credit Rates'!$A161,'Program Inputs'!$D$21:$D$39,'Bill Credit Rates'!$B161,'Program Inputs'!$E$21:$E$39,'Bill Credit Rates'!F$4)*1000,F160*(1+SUMIFS($Q:$Q,$N:$N,$A161,$O:$O,$B161,$P:$P,F$4)))</f>
        <v>84.8</v>
      </c>
      <c r="G161" s="48">
        <f>IF(OR($C161=0,AND($B161=2,$D161&lt;=2022)),SUMIFS('Program Inputs'!$I$21:$I$39,'Program Inputs'!$C$21:$C$39,'Bill Credit Rates'!$A161,'Program Inputs'!$D$21:$D$39,'Bill Credit Rates'!$B161,'Program Inputs'!$E$21:$E$39,'Bill Credit Rates'!G$4)*1000,G160*(1+SUMIFS($Q:$Q,$N:$N,$A161,$O:$O,$B161,$P:$P,G$4)))</f>
        <v>84.8</v>
      </c>
      <c r="H161" s="33">
        <f>SUMIFS('Program Inputs'!$F$21:$F$39,'Program Inputs'!$C$21:$C$39,'Bill Credit Rates'!$A161,'Program Inputs'!$D$21:$D$39,'Bill Credit Rates'!$B161,'Program Inputs'!$E$21:$E$39,'Bill Credit Rates'!E$4)</f>
        <v>0</v>
      </c>
      <c r="I161" s="33">
        <f>SUMIFS('Program Inputs'!$F$21:$F$39,'Program Inputs'!$C$21:$C$39,'Bill Credit Rates'!$A161,'Program Inputs'!$D$21:$D$39,'Bill Credit Rates'!$B161,'Program Inputs'!$E$21:$E$39,'Bill Credit Rates'!F$4)</f>
        <v>0.1</v>
      </c>
      <c r="J161" s="33">
        <f>SUMIFS('Program Inputs'!$F$21:$F$39,'Program Inputs'!$C$21:$C$39,'Bill Credit Rates'!$A161,'Program Inputs'!$D$21:$D$39,'Bill Credit Rates'!$B161,'Program Inputs'!$E$21:$E$39,'Bill Credit Rates'!G$4)</f>
        <v>0.85</v>
      </c>
      <c r="K161" s="48">
        <f t="shared" si="14"/>
        <v>80.56</v>
      </c>
    </row>
    <row r="162" spans="1:11">
      <c r="A162" s="48" t="s">
        <v>13</v>
      </c>
      <c r="B162" s="48">
        <v>1</v>
      </c>
      <c r="C162" s="48">
        <v>25</v>
      </c>
      <c r="D162" s="48">
        <v>2043</v>
      </c>
      <c r="E162" s="48">
        <f>IF(OR($C162=0,AND($B162=2,$D162&lt;=2022)),SUMIFS('Program Inputs'!$I$21:$I$39,'Program Inputs'!$C$21:$C$39,'Bill Credit Rates'!$A162,'Program Inputs'!$D$21:$D$39,'Bill Credit Rates'!$B162,'Program Inputs'!$E$21:$E$39,'Bill Credit Rates'!E$4)*1000,E161*(1+SUMIFS($Q:$Q,$N:$N,$A162,$O:$O,$B162,$P:$P,E$4)))</f>
        <v>84.8</v>
      </c>
      <c r="F162" s="48">
        <f>IF(OR($C162=0,AND($B162=2,$D162&lt;=2022)),SUMIFS('Program Inputs'!$I$21:$I$39,'Program Inputs'!$C$21:$C$39,'Bill Credit Rates'!$A162,'Program Inputs'!$D$21:$D$39,'Bill Credit Rates'!$B162,'Program Inputs'!$E$21:$E$39,'Bill Credit Rates'!F$4)*1000,F161*(1+SUMIFS($Q:$Q,$N:$N,$A162,$O:$O,$B162,$P:$P,F$4)))</f>
        <v>84.8</v>
      </c>
      <c r="G162" s="48">
        <f>IF(OR($C162=0,AND($B162=2,$D162&lt;=2022)),SUMIFS('Program Inputs'!$I$21:$I$39,'Program Inputs'!$C$21:$C$39,'Bill Credit Rates'!$A162,'Program Inputs'!$D$21:$D$39,'Bill Credit Rates'!$B162,'Program Inputs'!$E$21:$E$39,'Bill Credit Rates'!G$4)*1000,G161*(1+SUMIFS($Q:$Q,$N:$N,$A162,$O:$O,$B162,$P:$P,G$4)))</f>
        <v>84.8</v>
      </c>
      <c r="H162" s="33">
        <f>SUMIFS('Program Inputs'!$F$21:$F$39,'Program Inputs'!$C$21:$C$39,'Bill Credit Rates'!$A162,'Program Inputs'!$D$21:$D$39,'Bill Credit Rates'!$B162,'Program Inputs'!$E$21:$E$39,'Bill Credit Rates'!E$4)</f>
        <v>0</v>
      </c>
      <c r="I162" s="33">
        <f>SUMIFS('Program Inputs'!$F$21:$F$39,'Program Inputs'!$C$21:$C$39,'Bill Credit Rates'!$A162,'Program Inputs'!$D$21:$D$39,'Bill Credit Rates'!$B162,'Program Inputs'!$E$21:$E$39,'Bill Credit Rates'!F$4)</f>
        <v>0.1</v>
      </c>
      <c r="J162" s="33">
        <f>SUMIFS('Program Inputs'!$F$21:$F$39,'Program Inputs'!$C$21:$C$39,'Bill Credit Rates'!$A162,'Program Inputs'!$D$21:$D$39,'Bill Credit Rates'!$B162,'Program Inputs'!$E$21:$E$39,'Bill Credit Rates'!G$4)</f>
        <v>0.85</v>
      </c>
      <c r="K162" s="48">
        <f t="shared" si="14"/>
        <v>80.56</v>
      </c>
    </row>
    <row r="163" spans="1:11">
      <c r="A163" s="48" t="s">
        <v>13</v>
      </c>
      <c r="B163" s="48">
        <v>1</v>
      </c>
      <c r="C163" s="48">
        <v>26</v>
      </c>
      <c r="D163" s="48">
        <v>2044</v>
      </c>
      <c r="E163" s="48">
        <f>IF(OR($C163=0,AND($B163=2,$D163&lt;=2022)),SUMIFS('Program Inputs'!$I$21:$I$39,'Program Inputs'!$C$21:$C$39,'Bill Credit Rates'!$A163,'Program Inputs'!$D$21:$D$39,'Bill Credit Rates'!$B163,'Program Inputs'!$E$21:$E$39,'Bill Credit Rates'!E$4)*1000,E162*(1+SUMIFS($Q:$Q,$N:$N,$A163,$O:$O,$B163,$P:$P,E$4)))</f>
        <v>84.8</v>
      </c>
      <c r="F163" s="48">
        <f>IF(OR($C163=0,AND($B163=2,$D163&lt;=2022)),SUMIFS('Program Inputs'!$I$21:$I$39,'Program Inputs'!$C$21:$C$39,'Bill Credit Rates'!$A163,'Program Inputs'!$D$21:$D$39,'Bill Credit Rates'!$B163,'Program Inputs'!$E$21:$E$39,'Bill Credit Rates'!F$4)*1000,F162*(1+SUMIFS($Q:$Q,$N:$N,$A163,$O:$O,$B163,$P:$P,F$4)))</f>
        <v>84.8</v>
      </c>
      <c r="G163" s="48">
        <f>IF(OR($C163=0,AND($B163=2,$D163&lt;=2022)),SUMIFS('Program Inputs'!$I$21:$I$39,'Program Inputs'!$C$21:$C$39,'Bill Credit Rates'!$A163,'Program Inputs'!$D$21:$D$39,'Bill Credit Rates'!$B163,'Program Inputs'!$E$21:$E$39,'Bill Credit Rates'!G$4)*1000,G162*(1+SUMIFS($Q:$Q,$N:$N,$A163,$O:$O,$B163,$P:$P,G$4)))</f>
        <v>84.8</v>
      </c>
      <c r="H163" s="33">
        <f>SUMIFS('Program Inputs'!$F$21:$F$39,'Program Inputs'!$C$21:$C$39,'Bill Credit Rates'!$A163,'Program Inputs'!$D$21:$D$39,'Bill Credit Rates'!$B163,'Program Inputs'!$E$21:$E$39,'Bill Credit Rates'!E$4)</f>
        <v>0</v>
      </c>
      <c r="I163" s="33">
        <f>SUMIFS('Program Inputs'!$F$21:$F$39,'Program Inputs'!$C$21:$C$39,'Bill Credit Rates'!$A163,'Program Inputs'!$D$21:$D$39,'Bill Credit Rates'!$B163,'Program Inputs'!$E$21:$E$39,'Bill Credit Rates'!F$4)</f>
        <v>0.1</v>
      </c>
      <c r="J163" s="33">
        <f>SUMIFS('Program Inputs'!$F$21:$F$39,'Program Inputs'!$C$21:$C$39,'Bill Credit Rates'!$A163,'Program Inputs'!$D$21:$D$39,'Bill Credit Rates'!$B163,'Program Inputs'!$E$21:$E$39,'Bill Credit Rates'!G$4)</f>
        <v>0.85</v>
      </c>
      <c r="K163" s="48">
        <f t="shared" ref="K163" si="15">E163*H163+F163*I163+G163*J163</f>
        <v>80.56</v>
      </c>
    </row>
    <row r="164" spans="1:11">
      <c r="A164" s="48" t="s">
        <v>13</v>
      </c>
      <c r="B164" s="48">
        <v>1</v>
      </c>
      <c r="C164" s="48">
        <v>27</v>
      </c>
      <c r="D164" s="48">
        <v>2045</v>
      </c>
      <c r="E164" s="48">
        <f>IF(OR($C164=0,AND($B164=2,$D164&lt;=2022)),SUMIFS('Program Inputs'!$I$21:$I$39,'Program Inputs'!$C$21:$C$39,'Bill Credit Rates'!$A164,'Program Inputs'!$D$21:$D$39,'Bill Credit Rates'!$B164,'Program Inputs'!$E$21:$E$39,'Bill Credit Rates'!E$4)*1000,E163*(1+SUMIFS($Q:$Q,$N:$N,$A164,$O:$O,$B164,$P:$P,E$4)))</f>
        <v>84.8</v>
      </c>
      <c r="F164" s="48">
        <f>IF(OR($C164=0,AND($B164=2,$D164&lt;=2022)),SUMIFS('Program Inputs'!$I$21:$I$39,'Program Inputs'!$C$21:$C$39,'Bill Credit Rates'!$A164,'Program Inputs'!$D$21:$D$39,'Bill Credit Rates'!$B164,'Program Inputs'!$E$21:$E$39,'Bill Credit Rates'!F$4)*1000,F163*(1+SUMIFS($Q:$Q,$N:$N,$A164,$O:$O,$B164,$P:$P,F$4)))</f>
        <v>84.8</v>
      </c>
      <c r="G164" s="48">
        <f>IF(OR($C164=0,AND($B164=2,$D164&lt;=2022)),SUMIFS('Program Inputs'!$I$21:$I$39,'Program Inputs'!$C$21:$C$39,'Bill Credit Rates'!$A164,'Program Inputs'!$D$21:$D$39,'Bill Credit Rates'!$B164,'Program Inputs'!$E$21:$E$39,'Bill Credit Rates'!G$4)*1000,G163*(1+SUMIFS($Q:$Q,$N:$N,$A164,$O:$O,$B164,$P:$P,G$4)))</f>
        <v>84.8</v>
      </c>
      <c r="H164" s="33">
        <f>SUMIFS('Program Inputs'!$F$21:$F$39,'Program Inputs'!$C$21:$C$39,'Bill Credit Rates'!$A164,'Program Inputs'!$D$21:$D$39,'Bill Credit Rates'!$B164,'Program Inputs'!$E$21:$E$39,'Bill Credit Rates'!E$4)</f>
        <v>0</v>
      </c>
      <c r="I164" s="33">
        <f>SUMIFS('Program Inputs'!$F$21:$F$39,'Program Inputs'!$C$21:$C$39,'Bill Credit Rates'!$A164,'Program Inputs'!$D$21:$D$39,'Bill Credit Rates'!$B164,'Program Inputs'!$E$21:$E$39,'Bill Credit Rates'!F$4)</f>
        <v>0.1</v>
      </c>
      <c r="J164" s="33">
        <f>SUMIFS('Program Inputs'!$F$21:$F$39,'Program Inputs'!$C$21:$C$39,'Bill Credit Rates'!$A164,'Program Inputs'!$D$21:$D$39,'Bill Credit Rates'!$B164,'Program Inputs'!$E$21:$E$39,'Bill Credit Rates'!G$4)</f>
        <v>0.85</v>
      </c>
      <c r="K164" s="48">
        <f t="shared" ref="K164:K169" si="16">E164*H164+F164*I164+G164*J164</f>
        <v>80.56</v>
      </c>
    </row>
    <row r="165" spans="1:11">
      <c r="A165" s="48" t="s">
        <v>13</v>
      </c>
      <c r="B165" s="48">
        <v>1</v>
      </c>
      <c r="C165" s="48">
        <v>28</v>
      </c>
      <c r="D165" s="48">
        <v>2046</v>
      </c>
      <c r="E165" s="48">
        <f>IF(OR($C165=0,AND($B165=2,$D165&lt;=2022)),SUMIFS('Program Inputs'!$I$21:$I$39,'Program Inputs'!$C$21:$C$39,'Bill Credit Rates'!$A165,'Program Inputs'!$D$21:$D$39,'Bill Credit Rates'!$B165,'Program Inputs'!$E$21:$E$39,'Bill Credit Rates'!E$4)*1000,E164*(1+SUMIFS($Q:$Q,$N:$N,$A165,$O:$O,$B165,$P:$P,E$4)))</f>
        <v>84.8</v>
      </c>
      <c r="F165" s="48">
        <f>IF(OR($C165=0,AND($B165=2,$D165&lt;=2022)),SUMIFS('Program Inputs'!$I$21:$I$39,'Program Inputs'!$C$21:$C$39,'Bill Credit Rates'!$A165,'Program Inputs'!$D$21:$D$39,'Bill Credit Rates'!$B165,'Program Inputs'!$E$21:$E$39,'Bill Credit Rates'!F$4)*1000,F164*(1+SUMIFS($Q:$Q,$N:$N,$A165,$O:$O,$B165,$P:$P,F$4)))</f>
        <v>84.8</v>
      </c>
      <c r="G165" s="48">
        <f>IF(OR($C165=0,AND($B165=2,$D165&lt;=2022)),SUMIFS('Program Inputs'!$I$21:$I$39,'Program Inputs'!$C$21:$C$39,'Bill Credit Rates'!$A165,'Program Inputs'!$D$21:$D$39,'Bill Credit Rates'!$B165,'Program Inputs'!$E$21:$E$39,'Bill Credit Rates'!G$4)*1000,G164*(1+SUMIFS($Q:$Q,$N:$N,$A165,$O:$O,$B165,$P:$P,G$4)))</f>
        <v>84.8</v>
      </c>
      <c r="H165" s="33">
        <f>SUMIFS('Program Inputs'!$F$21:$F$39,'Program Inputs'!$C$21:$C$39,'Bill Credit Rates'!$A165,'Program Inputs'!$D$21:$D$39,'Bill Credit Rates'!$B165,'Program Inputs'!$E$21:$E$39,'Bill Credit Rates'!E$4)</f>
        <v>0</v>
      </c>
      <c r="I165" s="33">
        <f>SUMIFS('Program Inputs'!$F$21:$F$39,'Program Inputs'!$C$21:$C$39,'Bill Credit Rates'!$A165,'Program Inputs'!$D$21:$D$39,'Bill Credit Rates'!$B165,'Program Inputs'!$E$21:$E$39,'Bill Credit Rates'!F$4)</f>
        <v>0.1</v>
      </c>
      <c r="J165" s="33">
        <f>SUMIFS('Program Inputs'!$F$21:$F$39,'Program Inputs'!$C$21:$C$39,'Bill Credit Rates'!$A165,'Program Inputs'!$D$21:$D$39,'Bill Credit Rates'!$B165,'Program Inputs'!$E$21:$E$39,'Bill Credit Rates'!G$4)</f>
        <v>0.85</v>
      </c>
      <c r="K165" s="48">
        <f t="shared" si="16"/>
        <v>80.56</v>
      </c>
    </row>
    <row r="166" spans="1:11">
      <c r="A166" s="48" t="s">
        <v>13</v>
      </c>
      <c r="B166" s="48">
        <v>1</v>
      </c>
      <c r="C166" s="48">
        <v>29</v>
      </c>
      <c r="D166" s="48">
        <v>2047</v>
      </c>
      <c r="E166" s="48">
        <f>IF(OR($C166=0,AND($B166=2,$D166&lt;=2022)),SUMIFS('Program Inputs'!$I$21:$I$39,'Program Inputs'!$C$21:$C$39,'Bill Credit Rates'!$A166,'Program Inputs'!$D$21:$D$39,'Bill Credit Rates'!$B166,'Program Inputs'!$E$21:$E$39,'Bill Credit Rates'!E$4)*1000,E165*(1+SUMIFS($Q:$Q,$N:$N,$A166,$O:$O,$B166,$P:$P,E$4)))</f>
        <v>84.8</v>
      </c>
      <c r="F166" s="48">
        <f>IF(OR($C166=0,AND($B166=2,$D166&lt;=2022)),SUMIFS('Program Inputs'!$I$21:$I$39,'Program Inputs'!$C$21:$C$39,'Bill Credit Rates'!$A166,'Program Inputs'!$D$21:$D$39,'Bill Credit Rates'!$B166,'Program Inputs'!$E$21:$E$39,'Bill Credit Rates'!F$4)*1000,F165*(1+SUMIFS($Q:$Q,$N:$N,$A166,$O:$O,$B166,$P:$P,F$4)))</f>
        <v>84.8</v>
      </c>
      <c r="G166" s="48">
        <f>IF(OR($C166=0,AND($B166=2,$D166&lt;=2022)),SUMIFS('Program Inputs'!$I$21:$I$39,'Program Inputs'!$C$21:$C$39,'Bill Credit Rates'!$A166,'Program Inputs'!$D$21:$D$39,'Bill Credit Rates'!$B166,'Program Inputs'!$E$21:$E$39,'Bill Credit Rates'!G$4)*1000,G165*(1+SUMIFS($Q:$Q,$N:$N,$A166,$O:$O,$B166,$P:$P,G$4)))</f>
        <v>84.8</v>
      </c>
      <c r="H166" s="33">
        <f>SUMIFS('Program Inputs'!$F$21:$F$39,'Program Inputs'!$C$21:$C$39,'Bill Credit Rates'!$A166,'Program Inputs'!$D$21:$D$39,'Bill Credit Rates'!$B166,'Program Inputs'!$E$21:$E$39,'Bill Credit Rates'!E$4)</f>
        <v>0</v>
      </c>
      <c r="I166" s="33">
        <f>SUMIFS('Program Inputs'!$F$21:$F$39,'Program Inputs'!$C$21:$C$39,'Bill Credit Rates'!$A166,'Program Inputs'!$D$21:$D$39,'Bill Credit Rates'!$B166,'Program Inputs'!$E$21:$E$39,'Bill Credit Rates'!F$4)</f>
        <v>0.1</v>
      </c>
      <c r="J166" s="33">
        <f>SUMIFS('Program Inputs'!$F$21:$F$39,'Program Inputs'!$C$21:$C$39,'Bill Credit Rates'!$A166,'Program Inputs'!$D$21:$D$39,'Bill Credit Rates'!$B166,'Program Inputs'!$E$21:$E$39,'Bill Credit Rates'!G$4)</f>
        <v>0.85</v>
      </c>
      <c r="K166" s="48">
        <f t="shared" si="16"/>
        <v>80.56</v>
      </c>
    </row>
    <row r="167" spans="1:11">
      <c r="A167" s="48" t="s">
        <v>13</v>
      </c>
      <c r="B167" s="48">
        <v>1</v>
      </c>
      <c r="C167" s="48">
        <v>30</v>
      </c>
      <c r="D167" s="48">
        <v>2048</v>
      </c>
      <c r="E167" s="48">
        <f>IF(OR($C167=0,AND($B167=2,$D167&lt;=2022)),SUMIFS('Program Inputs'!$I$21:$I$39,'Program Inputs'!$C$21:$C$39,'Bill Credit Rates'!$A167,'Program Inputs'!$D$21:$D$39,'Bill Credit Rates'!$B167,'Program Inputs'!$E$21:$E$39,'Bill Credit Rates'!E$4)*1000,E166*(1+SUMIFS($Q:$Q,$N:$N,$A167,$O:$O,$B167,$P:$P,E$4)))</f>
        <v>84.8</v>
      </c>
      <c r="F167" s="48">
        <f>IF(OR($C167=0,AND($B167=2,$D167&lt;=2022)),SUMIFS('Program Inputs'!$I$21:$I$39,'Program Inputs'!$C$21:$C$39,'Bill Credit Rates'!$A167,'Program Inputs'!$D$21:$D$39,'Bill Credit Rates'!$B167,'Program Inputs'!$E$21:$E$39,'Bill Credit Rates'!F$4)*1000,F166*(1+SUMIFS($Q:$Q,$N:$N,$A167,$O:$O,$B167,$P:$P,F$4)))</f>
        <v>84.8</v>
      </c>
      <c r="G167" s="48">
        <f>IF(OR($C167=0,AND($B167=2,$D167&lt;=2022)),SUMIFS('Program Inputs'!$I$21:$I$39,'Program Inputs'!$C$21:$C$39,'Bill Credit Rates'!$A167,'Program Inputs'!$D$21:$D$39,'Bill Credit Rates'!$B167,'Program Inputs'!$E$21:$E$39,'Bill Credit Rates'!G$4)*1000,G166*(1+SUMIFS($Q:$Q,$N:$N,$A167,$O:$O,$B167,$P:$P,G$4)))</f>
        <v>84.8</v>
      </c>
      <c r="H167" s="33">
        <f>SUMIFS('Program Inputs'!$F$21:$F$39,'Program Inputs'!$C$21:$C$39,'Bill Credit Rates'!$A167,'Program Inputs'!$D$21:$D$39,'Bill Credit Rates'!$B167,'Program Inputs'!$E$21:$E$39,'Bill Credit Rates'!E$4)</f>
        <v>0</v>
      </c>
      <c r="I167" s="33">
        <f>SUMIFS('Program Inputs'!$F$21:$F$39,'Program Inputs'!$C$21:$C$39,'Bill Credit Rates'!$A167,'Program Inputs'!$D$21:$D$39,'Bill Credit Rates'!$B167,'Program Inputs'!$E$21:$E$39,'Bill Credit Rates'!F$4)</f>
        <v>0.1</v>
      </c>
      <c r="J167" s="33">
        <f>SUMIFS('Program Inputs'!$F$21:$F$39,'Program Inputs'!$C$21:$C$39,'Bill Credit Rates'!$A167,'Program Inputs'!$D$21:$D$39,'Bill Credit Rates'!$B167,'Program Inputs'!$E$21:$E$39,'Bill Credit Rates'!G$4)</f>
        <v>0.85</v>
      </c>
      <c r="K167" s="48">
        <f t="shared" si="16"/>
        <v>80.56</v>
      </c>
    </row>
    <row r="168" spans="1:11">
      <c r="A168" s="48" t="s">
        <v>13</v>
      </c>
      <c r="B168" s="48">
        <v>1</v>
      </c>
      <c r="C168" s="48">
        <v>31</v>
      </c>
      <c r="D168" s="48">
        <v>2049</v>
      </c>
      <c r="E168" s="48">
        <f>IF(OR($C168=0,AND($B168=2,$D168&lt;=2022)),SUMIFS('Program Inputs'!$I$21:$I$39,'Program Inputs'!$C$21:$C$39,'Bill Credit Rates'!$A168,'Program Inputs'!$D$21:$D$39,'Bill Credit Rates'!$B168,'Program Inputs'!$E$21:$E$39,'Bill Credit Rates'!E$4)*1000,E167*(1+SUMIFS($Q:$Q,$N:$N,$A168,$O:$O,$B168,$P:$P,E$4)))</f>
        <v>84.8</v>
      </c>
      <c r="F168" s="48">
        <f>IF(OR($C168=0,AND($B168=2,$D168&lt;=2022)),SUMIFS('Program Inputs'!$I$21:$I$39,'Program Inputs'!$C$21:$C$39,'Bill Credit Rates'!$A168,'Program Inputs'!$D$21:$D$39,'Bill Credit Rates'!$B168,'Program Inputs'!$E$21:$E$39,'Bill Credit Rates'!F$4)*1000,F167*(1+SUMIFS($Q:$Q,$N:$N,$A168,$O:$O,$B168,$P:$P,F$4)))</f>
        <v>84.8</v>
      </c>
      <c r="G168" s="48">
        <f>IF(OR($C168=0,AND($B168=2,$D168&lt;=2022)),SUMIFS('Program Inputs'!$I$21:$I$39,'Program Inputs'!$C$21:$C$39,'Bill Credit Rates'!$A168,'Program Inputs'!$D$21:$D$39,'Bill Credit Rates'!$B168,'Program Inputs'!$E$21:$E$39,'Bill Credit Rates'!G$4)*1000,G167*(1+SUMIFS($Q:$Q,$N:$N,$A168,$O:$O,$B168,$P:$P,G$4)))</f>
        <v>84.8</v>
      </c>
      <c r="H168" s="33">
        <f>SUMIFS('Program Inputs'!$F$21:$F$39,'Program Inputs'!$C$21:$C$39,'Bill Credit Rates'!$A168,'Program Inputs'!$D$21:$D$39,'Bill Credit Rates'!$B168,'Program Inputs'!$E$21:$E$39,'Bill Credit Rates'!E$4)</f>
        <v>0</v>
      </c>
      <c r="I168" s="33">
        <f>SUMIFS('Program Inputs'!$F$21:$F$39,'Program Inputs'!$C$21:$C$39,'Bill Credit Rates'!$A168,'Program Inputs'!$D$21:$D$39,'Bill Credit Rates'!$B168,'Program Inputs'!$E$21:$E$39,'Bill Credit Rates'!F$4)</f>
        <v>0.1</v>
      </c>
      <c r="J168" s="33">
        <f>SUMIFS('Program Inputs'!$F$21:$F$39,'Program Inputs'!$C$21:$C$39,'Bill Credit Rates'!$A168,'Program Inputs'!$D$21:$D$39,'Bill Credit Rates'!$B168,'Program Inputs'!$E$21:$E$39,'Bill Credit Rates'!G$4)</f>
        <v>0.85</v>
      </c>
      <c r="K168" s="48">
        <f t="shared" si="16"/>
        <v>80.56</v>
      </c>
    </row>
    <row r="169" spans="1:11">
      <c r="A169" s="48" t="s">
        <v>13</v>
      </c>
      <c r="B169" s="48">
        <v>1</v>
      </c>
      <c r="C169" s="48">
        <v>32</v>
      </c>
      <c r="D169" s="48">
        <v>2050</v>
      </c>
      <c r="E169" s="48">
        <f>IF(OR($C169=0,AND($B169=2,$D169&lt;=2022)),SUMIFS('Program Inputs'!$I$21:$I$39,'Program Inputs'!$C$21:$C$39,'Bill Credit Rates'!$A169,'Program Inputs'!$D$21:$D$39,'Bill Credit Rates'!$B169,'Program Inputs'!$E$21:$E$39,'Bill Credit Rates'!E$4)*1000,E168*(1+SUMIFS($Q:$Q,$N:$N,$A169,$O:$O,$B169,$P:$P,E$4)))</f>
        <v>84.8</v>
      </c>
      <c r="F169" s="48">
        <f>IF(OR($C169=0,AND($B169=2,$D169&lt;=2022)),SUMIFS('Program Inputs'!$I$21:$I$39,'Program Inputs'!$C$21:$C$39,'Bill Credit Rates'!$A169,'Program Inputs'!$D$21:$D$39,'Bill Credit Rates'!$B169,'Program Inputs'!$E$21:$E$39,'Bill Credit Rates'!F$4)*1000,F168*(1+SUMIFS($Q:$Q,$N:$N,$A169,$O:$O,$B169,$P:$P,F$4)))</f>
        <v>84.8</v>
      </c>
      <c r="G169" s="48">
        <f>IF(OR($C169=0,AND($B169=2,$D169&lt;=2022)),SUMIFS('Program Inputs'!$I$21:$I$39,'Program Inputs'!$C$21:$C$39,'Bill Credit Rates'!$A169,'Program Inputs'!$D$21:$D$39,'Bill Credit Rates'!$B169,'Program Inputs'!$E$21:$E$39,'Bill Credit Rates'!G$4)*1000,G168*(1+SUMIFS($Q:$Q,$N:$N,$A169,$O:$O,$B169,$P:$P,G$4)))</f>
        <v>84.8</v>
      </c>
      <c r="H169" s="33">
        <f>SUMIFS('Program Inputs'!$F$21:$F$39,'Program Inputs'!$C$21:$C$39,'Bill Credit Rates'!$A169,'Program Inputs'!$D$21:$D$39,'Bill Credit Rates'!$B169,'Program Inputs'!$E$21:$E$39,'Bill Credit Rates'!E$4)</f>
        <v>0</v>
      </c>
      <c r="I169" s="33">
        <f>SUMIFS('Program Inputs'!$F$21:$F$39,'Program Inputs'!$C$21:$C$39,'Bill Credit Rates'!$A169,'Program Inputs'!$D$21:$D$39,'Bill Credit Rates'!$B169,'Program Inputs'!$E$21:$E$39,'Bill Credit Rates'!F$4)</f>
        <v>0.1</v>
      </c>
      <c r="J169" s="33">
        <f>SUMIFS('Program Inputs'!$F$21:$F$39,'Program Inputs'!$C$21:$C$39,'Bill Credit Rates'!$A169,'Program Inputs'!$D$21:$D$39,'Bill Credit Rates'!$B169,'Program Inputs'!$E$21:$E$39,'Bill Credit Rates'!G$4)</f>
        <v>0.85</v>
      </c>
      <c r="K169" s="48">
        <f t="shared" si="16"/>
        <v>80.56</v>
      </c>
    </row>
    <row r="170" spans="1:11">
      <c r="A170" s="48" t="s">
        <v>13</v>
      </c>
      <c r="B170" s="48">
        <v>2</v>
      </c>
      <c r="C170" s="48">
        <v>0</v>
      </c>
      <c r="D170" s="48">
        <v>2018</v>
      </c>
      <c r="E170" s="48">
        <f>IF(OR($C170=0,AND($B170=2,$D170&lt;=2022)),SUMIFS('Program Inputs'!$I$21:$I$39,'Program Inputs'!$C$21:$C$39,'Bill Credit Rates'!$A170,'Program Inputs'!$D$21:$D$39,'Bill Credit Rates'!$B170,'Program Inputs'!$E$21:$E$39,'Bill Credit Rates'!E$4)*1000,E169*(1+SUMIFS($Q:$Q,$N:$N,$A170,$O:$O,$B170,$P:$P,E$4)))</f>
        <v>84.8</v>
      </c>
      <c r="F170" s="48">
        <f>IF(OR($C170=0,AND($B170=2,$D170&lt;=2022)),SUMIFS('Program Inputs'!$I$21:$I$39,'Program Inputs'!$C$21:$C$39,'Bill Credit Rates'!$A170,'Program Inputs'!$D$21:$D$39,'Bill Credit Rates'!$B170,'Program Inputs'!$E$21:$E$39,'Bill Credit Rates'!F$4)*1000,F169*(1+SUMIFS($Q:$Q,$N:$N,$A170,$O:$O,$B170,$P:$P,F$4)))</f>
        <v>84.8</v>
      </c>
      <c r="G170" s="48">
        <f>IF(OR($C170=0,AND($B170=2,$D170&lt;=2022)),SUMIFS('Program Inputs'!$I$21:$I$39,'Program Inputs'!$C$21:$C$39,'Bill Credit Rates'!$A170,'Program Inputs'!$D$21:$D$39,'Bill Credit Rates'!$B170,'Program Inputs'!$E$21:$E$39,'Bill Credit Rates'!G$4)*1000,G169*(1+SUMIFS($Q:$Q,$N:$N,$A170,$O:$O,$B170,$P:$P,G$4)))</f>
        <v>76.319999999999993</v>
      </c>
      <c r="H170" s="33">
        <f>SUMIFS('Program Inputs'!$F$21:$F$39,'Program Inputs'!$C$21:$C$39,'Bill Credit Rates'!$A170,'Program Inputs'!$D$21:$D$39,'Bill Credit Rates'!$B170,'Program Inputs'!$E$21:$E$39,'Bill Credit Rates'!E$4)</f>
        <v>0.4</v>
      </c>
      <c r="I170" s="33">
        <f>SUMIFS('Program Inputs'!$F$21:$F$39,'Program Inputs'!$C$21:$C$39,'Bill Credit Rates'!$A170,'Program Inputs'!$D$21:$D$39,'Bill Credit Rates'!$B170,'Program Inputs'!$E$21:$E$39,'Bill Credit Rates'!F$4)</f>
        <v>0.1</v>
      </c>
      <c r="J170" s="33">
        <f>SUMIFS('Program Inputs'!$F$21:$F$39,'Program Inputs'!$C$21:$C$39,'Bill Credit Rates'!$A170,'Program Inputs'!$D$21:$D$39,'Bill Credit Rates'!$B170,'Program Inputs'!$E$21:$E$39,'Bill Credit Rates'!G$4)</f>
        <v>0.45</v>
      </c>
      <c r="K170" s="48">
        <f t="shared" si="13"/>
        <v>76.744</v>
      </c>
    </row>
    <row r="171" spans="1:11">
      <c r="A171" s="48" t="s">
        <v>13</v>
      </c>
      <c r="B171" s="48">
        <v>2</v>
      </c>
      <c r="C171" s="48">
        <v>1</v>
      </c>
      <c r="D171" s="48">
        <v>2019</v>
      </c>
      <c r="E171" s="48">
        <f>IF(OR($C171=0,AND($B171=2,$D171&lt;=2022)),SUMIFS('Program Inputs'!$I$21:$I$39,'Program Inputs'!$C$21:$C$39,'Bill Credit Rates'!$A171,'Program Inputs'!$D$21:$D$39,'Bill Credit Rates'!$B171,'Program Inputs'!$E$21:$E$39,'Bill Credit Rates'!E$4)*1000,E170*(1+SUMIFS($Q:$Q,$N:$N,$A171,$O:$O,$B171,$P:$P,E$4)))</f>
        <v>84.8</v>
      </c>
      <c r="F171" s="48">
        <f>IF(OR($C171=0,AND($B171=2,$D171&lt;=2022)),SUMIFS('Program Inputs'!$I$21:$I$39,'Program Inputs'!$C$21:$C$39,'Bill Credit Rates'!$A171,'Program Inputs'!$D$21:$D$39,'Bill Credit Rates'!$B171,'Program Inputs'!$E$21:$E$39,'Bill Credit Rates'!F$4)*1000,F170*(1+SUMIFS($Q:$Q,$N:$N,$A171,$O:$O,$B171,$P:$P,F$4)))</f>
        <v>84.8</v>
      </c>
      <c r="G171" s="48">
        <f>IF(OR($C171=0,AND($B171=2,$D171&lt;=2022)),SUMIFS('Program Inputs'!$I$21:$I$39,'Program Inputs'!$C$21:$C$39,'Bill Credit Rates'!$A171,'Program Inputs'!$D$21:$D$39,'Bill Credit Rates'!$B171,'Program Inputs'!$E$21:$E$39,'Bill Credit Rates'!G$4)*1000,G170*(1+SUMIFS($Q:$Q,$N:$N,$A171,$O:$O,$B171,$P:$P,G$4)))</f>
        <v>76.319999999999993</v>
      </c>
      <c r="H171" s="33">
        <f>SUMIFS('Program Inputs'!$F$21:$F$39,'Program Inputs'!$C$21:$C$39,'Bill Credit Rates'!$A171,'Program Inputs'!$D$21:$D$39,'Bill Credit Rates'!$B171,'Program Inputs'!$E$21:$E$39,'Bill Credit Rates'!E$4)</f>
        <v>0.4</v>
      </c>
      <c r="I171" s="33">
        <f>SUMIFS('Program Inputs'!$F$21:$F$39,'Program Inputs'!$C$21:$C$39,'Bill Credit Rates'!$A171,'Program Inputs'!$D$21:$D$39,'Bill Credit Rates'!$B171,'Program Inputs'!$E$21:$E$39,'Bill Credit Rates'!F$4)</f>
        <v>0.1</v>
      </c>
      <c r="J171" s="33">
        <f>SUMIFS('Program Inputs'!$F$21:$F$39,'Program Inputs'!$C$21:$C$39,'Bill Credit Rates'!$A171,'Program Inputs'!$D$21:$D$39,'Bill Credit Rates'!$B171,'Program Inputs'!$E$21:$E$39,'Bill Credit Rates'!G$4)</f>
        <v>0.45</v>
      </c>
      <c r="K171" s="48">
        <f t="shared" si="13"/>
        <v>76.744</v>
      </c>
    </row>
    <row r="172" spans="1:11">
      <c r="A172" s="48" t="s">
        <v>13</v>
      </c>
      <c r="B172" s="48">
        <v>2</v>
      </c>
      <c r="C172" s="48">
        <v>2</v>
      </c>
      <c r="D172" s="48">
        <v>2020</v>
      </c>
      <c r="E172" s="48">
        <f>IF(OR($C172=0,AND($B172=2,$D172&lt;=2022)),SUMIFS('Program Inputs'!$I$21:$I$39,'Program Inputs'!$C$21:$C$39,'Bill Credit Rates'!$A172,'Program Inputs'!$D$21:$D$39,'Bill Credit Rates'!$B172,'Program Inputs'!$E$21:$E$39,'Bill Credit Rates'!E$4)*1000,E171*(1+SUMIFS($Q:$Q,$N:$N,$A172,$O:$O,$B172,$P:$P,E$4)))</f>
        <v>84.8</v>
      </c>
      <c r="F172" s="48">
        <f>IF(OR($C172=0,AND($B172=2,$D172&lt;=2022)),SUMIFS('Program Inputs'!$I$21:$I$39,'Program Inputs'!$C$21:$C$39,'Bill Credit Rates'!$A172,'Program Inputs'!$D$21:$D$39,'Bill Credit Rates'!$B172,'Program Inputs'!$E$21:$E$39,'Bill Credit Rates'!F$4)*1000,F171*(1+SUMIFS($Q:$Q,$N:$N,$A172,$O:$O,$B172,$P:$P,F$4)))</f>
        <v>84.8</v>
      </c>
      <c r="G172" s="48">
        <f>IF(OR($C172=0,AND($B172=2,$D172&lt;=2022)),SUMIFS('Program Inputs'!$I$21:$I$39,'Program Inputs'!$C$21:$C$39,'Bill Credit Rates'!$A172,'Program Inputs'!$D$21:$D$39,'Bill Credit Rates'!$B172,'Program Inputs'!$E$21:$E$39,'Bill Credit Rates'!G$4)*1000,G171*(1+SUMIFS($Q:$Q,$N:$N,$A172,$O:$O,$B172,$P:$P,G$4)))</f>
        <v>76.319999999999993</v>
      </c>
      <c r="H172" s="33">
        <f>SUMIFS('Program Inputs'!$F$21:$F$39,'Program Inputs'!$C$21:$C$39,'Bill Credit Rates'!$A172,'Program Inputs'!$D$21:$D$39,'Bill Credit Rates'!$B172,'Program Inputs'!$E$21:$E$39,'Bill Credit Rates'!E$4)</f>
        <v>0.4</v>
      </c>
      <c r="I172" s="33">
        <f>SUMIFS('Program Inputs'!$F$21:$F$39,'Program Inputs'!$C$21:$C$39,'Bill Credit Rates'!$A172,'Program Inputs'!$D$21:$D$39,'Bill Credit Rates'!$B172,'Program Inputs'!$E$21:$E$39,'Bill Credit Rates'!F$4)</f>
        <v>0.1</v>
      </c>
      <c r="J172" s="33">
        <f>SUMIFS('Program Inputs'!$F$21:$F$39,'Program Inputs'!$C$21:$C$39,'Bill Credit Rates'!$A172,'Program Inputs'!$D$21:$D$39,'Bill Credit Rates'!$B172,'Program Inputs'!$E$21:$E$39,'Bill Credit Rates'!G$4)</f>
        <v>0.45</v>
      </c>
      <c r="K172" s="48">
        <f t="shared" si="13"/>
        <v>76.744</v>
      </c>
    </row>
    <row r="173" spans="1:11">
      <c r="A173" s="48" t="s">
        <v>13</v>
      </c>
      <c r="B173" s="48">
        <v>2</v>
      </c>
      <c r="C173" s="48">
        <v>3</v>
      </c>
      <c r="D173" s="48">
        <v>2021</v>
      </c>
      <c r="E173" s="48">
        <f>IF(OR($C173=0,AND($B173=2,$D173&lt;=2022)),SUMIFS('Program Inputs'!$I$21:$I$39,'Program Inputs'!$C$21:$C$39,'Bill Credit Rates'!$A173,'Program Inputs'!$D$21:$D$39,'Bill Credit Rates'!$B173,'Program Inputs'!$E$21:$E$39,'Bill Credit Rates'!E$4)*1000,E172*(1+SUMIFS($Q:$Q,$N:$N,$A173,$O:$O,$B173,$P:$P,E$4)))</f>
        <v>84.8</v>
      </c>
      <c r="F173" s="48">
        <f>IF(OR($C173=0,AND($B173=2,$D173&lt;=2022)),SUMIFS('Program Inputs'!$I$21:$I$39,'Program Inputs'!$C$21:$C$39,'Bill Credit Rates'!$A173,'Program Inputs'!$D$21:$D$39,'Bill Credit Rates'!$B173,'Program Inputs'!$E$21:$E$39,'Bill Credit Rates'!F$4)*1000,F172*(1+SUMIFS($Q:$Q,$N:$N,$A173,$O:$O,$B173,$P:$P,F$4)))</f>
        <v>84.8</v>
      </c>
      <c r="G173" s="48">
        <f>IF(OR($C173=0,AND($B173=2,$D173&lt;=2022)),SUMIFS('Program Inputs'!$I$21:$I$39,'Program Inputs'!$C$21:$C$39,'Bill Credit Rates'!$A173,'Program Inputs'!$D$21:$D$39,'Bill Credit Rates'!$B173,'Program Inputs'!$E$21:$E$39,'Bill Credit Rates'!G$4)*1000,G172*(1+SUMIFS($Q:$Q,$N:$N,$A173,$O:$O,$B173,$P:$P,G$4)))</f>
        <v>76.319999999999993</v>
      </c>
      <c r="H173" s="33">
        <f>SUMIFS('Program Inputs'!$F$21:$F$39,'Program Inputs'!$C$21:$C$39,'Bill Credit Rates'!$A173,'Program Inputs'!$D$21:$D$39,'Bill Credit Rates'!$B173,'Program Inputs'!$E$21:$E$39,'Bill Credit Rates'!E$4)</f>
        <v>0.4</v>
      </c>
      <c r="I173" s="33">
        <f>SUMIFS('Program Inputs'!$F$21:$F$39,'Program Inputs'!$C$21:$C$39,'Bill Credit Rates'!$A173,'Program Inputs'!$D$21:$D$39,'Bill Credit Rates'!$B173,'Program Inputs'!$E$21:$E$39,'Bill Credit Rates'!F$4)</f>
        <v>0.1</v>
      </c>
      <c r="J173" s="33">
        <f>SUMIFS('Program Inputs'!$F$21:$F$39,'Program Inputs'!$C$21:$C$39,'Bill Credit Rates'!$A173,'Program Inputs'!$D$21:$D$39,'Bill Credit Rates'!$B173,'Program Inputs'!$E$21:$E$39,'Bill Credit Rates'!G$4)</f>
        <v>0.45</v>
      </c>
      <c r="K173" s="48">
        <f t="shared" si="13"/>
        <v>76.744</v>
      </c>
    </row>
    <row r="174" spans="1:11">
      <c r="A174" s="48" t="s">
        <v>13</v>
      </c>
      <c r="B174" s="48">
        <v>2</v>
      </c>
      <c r="C174" s="48">
        <v>4</v>
      </c>
      <c r="D174" s="48">
        <v>2022</v>
      </c>
      <c r="E174" s="48">
        <f>IF(OR($C174=0,AND($B174=2,$D174&lt;=2022)),SUMIFS('Program Inputs'!$I$21:$I$39,'Program Inputs'!$C$21:$C$39,'Bill Credit Rates'!$A174,'Program Inputs'!$D$21:$D$39,'Bill Credit Rates'!$B174,'Program Inputs'!$E$21:$E$39,'Bill Credit Rates'!E$4)*1000,E173*(1+SUMIFS($Q:$Q,$N:$N,$A174,$O:$O,$B174,$P:$P,E$4)))</f>
        <v>84.8</v>
      </c>
      <c r="F174" s="48">
        <f>IF(OR($C174=0,AND($B174=2,$D174&lt;=2022)),SUMIFS('Program Inputs'!$I$21:$I$39,'Program Inputs'!$C$21:$C$39,'Bill Credit Rates'!$A174,'Program Inputs'!$D$21:$D$39,'Bill Credit Rates'!$B174,'Program Inputs'!$E$21:$E$39,'Bill Credit Rates'!F$4)*1000,F173*(1+SUMIFS($Q:$Q,$N:$N,$A174,$O:$O,$B174,$P:$P,F$4)))</f>
        <v>84.8</v>
      </c>
      <c r="G174" s="48">
        <f>IF(OR($C174=0,AND($B174=2,$D174&lt;=2022)),SUMIFS('Program Inputs'!$I$21:$I$39,'Program Inputs'!$C$21:$C$39,'Bill Credit Rates'!$A174,'Program Inputs'!$D$21:$D$39,'Bill Credit Rates'!$B174,'Program Inputs'!$E$21:$E$39,'Bill Credit Rates'!G$4)*1000,G173*(1+SUMIFS($Q:$Q,$N:$N,$A174,$O:$O,$B174,$P:$P,G$4)))</f>
        <v>76.319999999999993</v>
      </c>
      <c r="H174" s="33">
        <f>SUMIFS('Program Inputs'!$F$21:$F$39,'Program Inputs'!$C$21:$C$39,'Bill Credit Rates'!$A174,'Program Inputs'!$D$21:$D$39,'Bill Credit Rates'!$B174,'Program Inputs'!$E$21:$E$39,'Bill Credit Rates'!E$4)</f>
        <v>0.4</v>
      </c>
      <c r="I174" s="33">
        <f>SUMIFS('Program Inputs'!$F$21:$F$39,'Program Inputs'!$C$21:$C$39,'Bill Credit Rates'!$A174,'Program Inputs'!$D$21:$D$39,'Bill Credit Rates'!$B174,'Program Inputs'!$E$21:$E$39,'Bill Credit Rates'!F$4)</f>
        <v>0.1</v>
      </c>
      <c r="J174" s="33">
        <f>SUMIFS('Program Inputs'!$F$21:$F$39,'Program Inputs'!$C$21:$C$39,'Bill Credit Rates'!$A174,'Program Inputs'!$D$21:$D$39,'Bill Credit Rates'!$B174,'Program Inputs'!$E$21:$E$39,'Bill Credit Rates'!G$4)</f>
        <v>0.45</v>
      </c>
      <c r="K174" s="48">
        <f t="shared" ref="K174:K190" si="17">E174*H174+F174*I174+G174*J174</f>
        <v>76.744</v>
      </c>
    </row>
    <row r="175" spans="1:11">
      <c r="A175" s="48" t="s">
        <v>13</v>
      </c>
      <c r="B175" s="48">
        <v>2</v>
      </c>
      <c r="C175" s="48">
        <v>5</v>
      </c>
      <c r="D175" s="48">
        <v>2023</v>
      </c>
      <c r="E175" s="48">
        <f>IF(OR($C175=0,AND($B175=2,$D175&lt;=2022)),SUMIFS('Program Inputs'!$I$21:$I$39,'Program Inputs'!$C$21:$C$39,'Bill Credit Rates'!$A175,'Program Inputs'!$D$21:$D$39,'Bill Credit Rates'!$B175,'Program Inputs'!$E$21:$E$39,'Bill Credit Rates'!E$4)*1000,E174*(1+SUMIFS($Q:$Q,$N:$N,$A175,$O:$O,$B175,$P:$P,E$4)))</f>
        <v>86.495999999999995</v>
      </c>
      <c r="F175" s="48">
        <f>IF(OR($C175=0,AND($B175=2,$D175&lt;=2022)),SUMIFS('Program Inputs'!$I$21:$I$39,'Program Inputs'!$C$21:$C$39,'Bill Credit Rates'!$A175,'Program Inputs'!$D$21:$D$39,'Bill Credit Rates'!$B175,'Program Inputs'!$E$21:$E$39,'Bill Credit Rates'!F$4)*1000,F174*(1+SUMIFS($Q:$Q,$N:$N,$A175,$O:$O,$B175,$P:$P,F$4)))</f>
        <v>86.495999999999995</v>
      </c>
      <c r="G175" s="48">
        <f>IF(OR($C175=0,AND($B175=2,$D175&lt;=2022)),SUMIFS('Program Inputs'!$I$21:$I$39,'Program Inputs'!$C$21:$C$39,'Bill Credit Rates'!$A175,'Program Inputs'!$D$21:$D$39,'Bill Credit Rates'!$B175,'Program Inputs'!$E$21:$E$39,'Bill Credit Rates'!G$4)*1000,G174*(1+SUMIFS($Q:$Q,$N:$N,$A175,$O:$O,$B175,$P:$P,G$4)))</f>
        <v>77.846399999999988</v>
      </c>
      <c r="H175" s="33">
        <f>SUMIFS('Program Inputs'!$F$21:$F$39,'Program Inputs'!$C$21:$C$39,'Bill Credit Rates'!$A175,'Program Inputs'!$D$21:$D$39,'Bill Credit Rates'!$B175,'Program Inputs'!$E$21:$E$39,'Bill Credit Rates'!E$4)</f>
        <v>0.4</v>
      </c>
      <c r="I175" s="33">
        <f>SUMIFS('Program Inputs'!$F$21:$F$39,'Program Inputs'!$C$21:$C$39,'Bill Credit Rates'!$A175,'Program Inputs'!$D$21:$D$39,'Bill Credit Rates'!$B175,'Program Inputs'!$E$21:$E$39,'Bill Credit Rates'!F$4)</f>
        <v>0.1</v>
      </c>
      <c r="J175" s="33">
        <f>SUMIFS('Program Inputs'!$F$21:$F$39,'Program Inputs'!$C$21:$C$39,'Bill Credit Rates'!$A175,'Program Inputs'!$D$21:$D$39,'Bill Credit Rates'!$B175,'Program Inputs'!$E$21:$E$39,'Bill Credit Rates'!G$4)</f>
        <v>0.45</v>
      </c>
      <c r="K175" s="48">
        <f t="shared" si="17"/>
        <v>78.278879999999987</v>
      </c>
    </row>
    <row r="176" spans="1:11">
      <c r="A176" s="48" t="s">
        <v>13</v>
      </c>
      <c r="B176" s="48">
        <v>2</v>
      </c>
      <c r="C176" s="48">
        <v>6</v>
      </c>
      <c r="D176" s="48">
        <v>2024</v>
      </c>
      <c r="E176" s="48">
        <f>IF(OR($C176=0,AND($B176=2,$D176&lt;=2022)),SUMIFS('Program Inputs'!$I$21:$I$39,'Program Inputs'!$C$21:$C$39,'Bill Credit Rates'!$A176,'Program Inputs'!$D$21:$D$39,'Bill Credit Rates'!$B176,'Program Inputs'!$E$21:$E$39,'Bill Credit Rates'!E$4)*1000,E175*(1+SUMIFS($Q:$Q,$N:$N,$A176,$O:$O,$B176,$P:$P,E$4)))</f>
        <v>88.225920000000002</v>
      </c>
      <c r="F176" s="48">
        <f>IF(OR($C176=0,AND($B176=2,$D176&lt;=2022)),SUMIFS('Program Inputs'!$I$21:$I$39,'Program Inputs'!$C$21:$C$39,'Bill Credit Rates'!$A176,'Program Inputs'!$D$21:$D$39,'Bill Credit Rates'!$B176,'Program Inputs'!$E$21:$E$39,'Bill Credit Rates'!F$4)*1000,F175*(1+SUMIFS($Q:$Q,$N:$N,$A176,$O:$O,$B176,$P:$P,F$4)))</f>
        <v>88.225920000000002</v>
      </c>
      <c r="G176" s="48">
        <f>IF(OR($C176=0,AND($B176=2,$D176&lt;=2022)),SUMIFS('Program Inputs'!$I$21:$I$39,'Program Inputs'!$C$21:$C$39,'Bill Credit Rates'!$A176,'Program Inputs'!$D$21:$D$39,'Bill Credit Rates'!$B176,'Program Inputs'!$E$21:$E$39,'Bill Credit Rates'!G$4)*1000,G175*(1+SUMIFS($Q:$Q,$N:$N,$A176,$O:$O,$B176,$P:$P,G$4)))</f>
        <v>79.403327999999988</v>
      </c>
      <c r="H176" s="33">
        <f>SUMIFS('Program Inputs'!$F$21:$F$39,'Program Inputs'!$C$21:$C$39,'Bill Credit Rates'!$A176,'Program Inputs'!$D$21:$D$39,'Bill Credit Rates'!$B176,'Program Inputs'!$E$21:$E$39,'Bill Credit Rates'!E$4)</f>
        <v>0.4</v>
      </c>
      <c r="I176" s="33">
        <f>SUMIFS('Program Inputs'!$F$21:$F$39,'Program Inputs'!$C$21:$C$39,'Bill Credit Rates'!$A176,'Program Inputs'!$D$21:$D$39,'Bill Credit Rates'!$B176,'Program Inputs'!$E$21:$E$39,'Bill Credit Rates'!F$4)</f>
        <v>0.1</v>
      </c>
      <c r="J176" s="33">
        <f>SUMIFS('Program Inputs'!$F$21:$F$39,'Program Inputs'!$C$21:$C$39,'Bill Credit Rates'!$A176,'Program Inputs'!$D$21:$D$39,'Bill Credit Rates'!$B176,'Program Inputs'!$E$21:$E$39,'Bill Credit Rates'!G$4)</f>
        <v>0.45</v>
      </c>
      <c r="K176" s="48">
        <f t="shared" si="17"/>
        <v>79.844457599999998</v>
      </c>
    </row>
    <row r="177" spans="1:11">
      <c r="A177" s="48" t="s">
        <v>13</v>
      </c>
      <c r="B177" s="48">
        <v>2</v>
      </c>
      <c r="C177" s="48">
        <v>7</v>
      </c>
      <c r="D177" s="48">
        <v>2025</v>
      </c>
      <c r="E177" s="48">
        <f>IF(OR($C177=0,AND($B177=2,$D177&lt;=2022)),SUMIFS('Program Inputs'!$I$21:$I$39,'Program Inputs'!$C$21:$C$39,'Bill Credit Rates'!$A177,'Program Inputs'!$D$21:$D$39,'Bill Credit Rates'!$B177,'Program Inputs'!$E$21:$E$39,'Bill Credit Rates'!E$4)*1000,E176*(1+SUMIFS($Q:$Q,$N:$N,$A177,$O:$O,$B177,$P:$P,E$4)))</f>
        <v>89.990438400000002</v>
      </c>
      <c r="F177" s="48">
        <f>IF(OR($C177=0,AND($B177=2,$D177&lt;=2022)),SUMIFS('Program Inputs'!$I$21:$I$39,'Program Inputs'!$C$21:$C$39,'Bill Credit Rates'!$A177,'Program Inputs'!$D$21:$D$39,'Bill Credit Rates'!$B177,'Program Inputs'!$E$21:$E$39,'Bill Credit Rates'!F$4)*1000,F176*(1+SUMIFS($Q:$Q,$N:$N,$A177,$O:$O,$B177,$P:$P,F$4)))</f>
        <v>89.990438400000002</v>
      </c>
      <c r="G177" s="48">
        <f>IF(OR($C177=0,AND($B177=2,$D177&lt;=2022)),SUMIFS('Program Inputs'!$I$21:$I$39,'Program Inputs'!$C$21:$C$39,'Bill Credit Rates'!$A177,'Program Inputs'!$D$21:$D$39,'Bill Credit Rates'!$B177,'Program Inputs'!$E$21:$E$39,'Bill Credit Rates'!G$4)*1000,G176*(1+SUMIFS($Q:$Q,$N:$N,$A177,$O:$O,$B177,$P:$P,G$4)))</f>
        <v>80.991394559999989</v>
      </c>
      <c r="H177" s="33">
        <f>SUMIFS('Program Inputs'!$F$21:$F$39,'Program Inputs'!$C$21:$C$39,'Bill Credit Rates'!$A177,'Program Inputs'!$D$21:$D$39,'Bill Credit Rates'!$B177,'Program Inputs'!$E$21:$E$39,'Bill Credit Rates'!E$4)</f>
        <v>0.4</v>
      </c>
      <c r="I177" s="33">
        <f>SUMIFS('Program Inputs'!$F$21:$F$39,'Program Inputs'!$C$21:$C$39,'Bill Credit Rates'!$A177,'Program Inputs'!$D$21:$D$39,'Bill Credit Rates'!$B177,'Program Inputs'!$E$21:$E$39,'Bill Credit Rates'!F$4)</f>
        <v>0.1</v>
      </c>
      <c r="J177" s="33">
        <f>SUMIFS('Program Inputs'!$F$21:$F$39,'Program Inputs'!$C$21:$C$39,'Bill Credit Rates'!$A177,'Program Inputs'!$D$21:$D$39,'Bill Credit Rates'!$B177,'Program Inputs'!$E$21:$E$39,'Bill Credit Rates'!G$4)</f>
        <v>0.45</v>
      </c>
      <c r="K177" s="48">
        <f t="shared" si="17"/>
        <v>81.441346751999987</v>
      </c>
    </row>
    <row r="178" spans="1:11">
      <c r="A178" s="48" t="s">
        <v>13</v>
      </c>
      <c r="B178" s="48">
        <v>2</v>
      </c>
      <c r="C178" s="48">
        <v>8</v>
      </c>
      <c r="D178" s="48">
        <v>2026</v>
      </c>
      <c r="E178" s="48">
        <f>IF(OR($C178=0,AND($B178=2,$D178&lt;=2022)),SUMIFS('Program Inputs'!$I$21:$I$39,'Program Inputs'!$C$21:$C$39,'Bill Credit Rates'!$A178,'Program Inputs'!$D$21:$D$39,'Bill Credit Rates'!$B178,'Program Inputs'!$E$21:$E$39,'Bill Credit Rates'!E$4)*1000,E177*(1+SUMIFS($Q:$Q,$N:$N,$A178,$O:$O,$B178,$P:$P,E$4)))</f>
        <v>91.790247168000008</v>
      </c>
      <c r="F178" s="48">
        <f>IF(OR($C178=0,AND($B178=2,$D178&lt;=2022)),SUMIFS('Program Inputs'!$I$21:$I$39,'Program Inputs'!$C$21:$C$39,'Bill Credit Rates'!$A178,'Program Inputs'!$D$21:$D$39,'Bill Credit Rates'!$B178,'Program Inputs'!$E$21:$E$39,'Bill Credit Rates'!F$4)*1000,F177*(1+SUMIFS($Q:$Q,$N:$N,$A178,$O:$O,$B178,$P:$P,F$4)))</f>
        <v>91.790247168000008</v>
      </c>
      <c r="G178" s="48">
        <f>IF(OR($C178=0,AND($B178=2,$D178&lt;=2022)),SUMIFS('Program Inputs'!$I$21:$I$39,'Program Inputs'!$C$21:$C$39,'Bill Credit Rates'!$A178,'Program Inputs'!$D$21:$D$39,'Bill Credit Rates'!$B178,'Program Inputs'!$E$21:$E$39,'Bill Credit Rates'!G$4)*1000,G177*(1+SUMIFS($Q:$Q,$N:$N,$A178,$O:$O,$B178,$P:$P,G$4)))</f>
        <v>82.611222451199993</v>
      </c>
      <c r="H178" s="33">
        <f>SUMIFS('Program Inputs'!$F$21:$F$39,'Program Inputs'!$C$21:$C$39,'Bill Credit Rates'!$A178,'Program Inputs'!$D$21:$D$39,'Bill Credit Rates'!$B178,'Program Inputs'!$E$21:$E$39,'Bill Credit Rates'!E$4)</f>
        <v>0.4</v>
      </c>
      <c r="I178" s="33">
        <f>SUMIFS('Program Inputs'!$F$21:$F$39,'Program Inputs'!$C$21:$C$39,'Bill Credit Rates'!$A178,'Program Inputs'!$D$21:$D$39,'Bill Credit Rates'!$B178,'Program Inputs'!$E$21:$E$39,'Bill Credit Rates'!F$4)</f>
        <v>0.1</v>
      </c>
      <c r="J178" s="33">
        <f>SUMIFS('Program Inputs'!$F$21:$F$39,'Program Inputs'!$C$21:$C$39,'Bill Credit Rates'!$A178,'Program Inputs'!$D$21:$D$39,'Bill Credit Rates'!$B178,'Program Inputs'!$E$21:$E$39,'Bill Credit Rates'!G$4)</f>
        <v>0.45</v>
      </c>
      <c r="K178" s="48">
        <f t="shared" si="17"/>
        <v>83.070173687040011</v>
      </c>
    </row>
    <row r="179" spans="1:11">
      <c r="A179" s="48" t="s">
        <v>13</v>
      </c>
      <c r="B179" s="48">
        <v>2</v>
      </c>
      <c r="C179" s="48">
        <v>9</v>
      </c>
      <c r="D179" s="48">
        <v>2027</v>
      </c>
      <c r="E179" s="48">
        <f>IF(OR($C179=0,AND($B179=2,$D179&lt;=2022)),SUMIFS('Program Inputs'!$I$21:$I$39,'Program Inputs'!$C$21:$C$39,'Bill Credit Rates'!$A179,'Program Inputs'!$D$21:$D$39,'Bill Credit Rates'!$B179,'Program Inputs'!$E$21:$E$39,'Bill Credit Rates'!E$4)*1000,E178*(1+SUMIFS($Q:$Q,$N:$N,$A179,$O:$O,$B179,$P:$P,E$4)))</f>
        <v>93.626052111360011</v>
      </c>
      <c r="F179" s="48">
        <f>IF(OR($C179=0,AND($B179=2,$D179&lt;=2022)),SUMIFS('Program Inputs'!$I$21:$I$39,'Program Inputs'!$C$21:$C$39,'Bill Credit Rates'!$A179,'Program Inputs'!$D$21:$D$39,'Bill Credit Rates'!$B179,'Program Inputs'!$E$21:$E$39,'Bill Credit Rates'!F$4)*1000,F178*(1+SUMIFS($Q:$Q,$N:$N,$A179,$O:$O,$B179,$P:$P,F$4)))</f>
        <v>93.626052111360011</v>
      </c>
      <c r="G179" s="48">
        <f>IF(OR($C179=0,AND($B179=2,$D179&lt;=2022)),SUMIFS('Program Inputs'!$I$21:$I$39,'Program Inputs'!$C$21:$C$39,'Bill Credit Rates'!$A179,'Program Inputs'!$D$21:$D$39,'Bill Credit Rates'!$B179,'Program Inputs'!$E$21:$E$39,'Bill Credit Rates'!G$4)*1000,G178*(1+SUMIFS($Q:$Q,$N:$N,$A179,$O:$O,$B179,$P:$P,G$4)))</f>
        <v>84.263446900223997</v>
      </c>
      <c r="H179" s="33">
        <f>SUMIFS('Program Inputs'!$F$21:$F$39,'Program Inputs'!$C$21:$C$39,'Bill Credit Rates'!$A179,'Program Inputs'!$D$21:$D$39,'Bill Credit Rates'!$B179,'Program Inputs'!$E$21:$E$39,'Bill Credit Rates'!E$4)</f>
        <v>0.4</v>
      </c>
      <c r="I179" s="33">
        <f>SUMIFS('Program Inputs'!$F$21:$F$39,'Program Inputs'!$C$21:$C$39,'Bill Credit Rates'!$A179,'Program Inputs'!$D$21:$D$39,'Bill Credit Rates'!$B179,'Program Inputs'!$E$21:$E$39,'Bill Credit Rates'!F$4)</f>
        <v>0.1</v>
      </c>
      <c r="J179" s="33">
        <f>SUMIFS('Program Inputs'!$F$21:$F$39,'Program Inputs'!$C$21:$C$39,'Bill Credit Rates'!$A179,'Program Inputs'!$D$21:$D$39,'Bill Credit Rates'!$B179,'Program Inputs'!$E$21:$E$39,'Bill Credit Rates'!G$4)</f>
        <v>0.45</v>
      </c>
      <c r="K179" s="48">
        <f t="shared" si="17"/>
        <v>84.731577160780802</v>
      </c>
    </row>
    <row r="180" spans="1:11">
      <c r="A180" s="48" t="s">
        <v>13</v>
      </c>
      <c r="B180" s="48">
        <v>2</v>
      </c>
      <c r="C180" s="48">
        <v>10</v>
      </c>
      <c r="D180" s="48">
        <v>2028</v>
      </c>
      <c r="E180" s="48">
        <f>IF(OR($C180=0,AND($B180=2,$D180&lt;=2022)),SUMIFS('Program Inputs'!$I$21:$I$39,'Program Inputs'!$C$21:$C$39,'Bill Credit Rates'!$A180,'Program Inputs'!$D$21:$D$39,'Bill Credit Rates'!$B180,'Program Inputs'!$E$21:$E$39,'Bill Credit Rates'!E$4)*1000,E179*(1+SUMIFS($Q:$Q,$N:$N,$A180,$O:$O,$B180,$P:$P,E$4)))</f>
        <v>95.498573153587216</v>
      </c>
      <c r="F180" s="48">
        <f>IF(OR($C180=0,AND($B180=2,$D180&lt;=2022)),SUMIFS('Program Inputs'!$I$21:$I$39,'Program Inputs'!$C$21:$C$39,'Bill Credit Rates'!$A180,'Program Inputs'!$D$21:$D$39,'Bill Credit Rates'!$B180,'Program Inputs'!$E$21:$E$39,'Bill Credit Rates'!F$4)*1000,F179*(1+SUMIFS($Q:$Q,$N:$N,$A180,$O:$O,$B180,$P:$P,F$4)))</f>
        <v>95.498573153587216</v>
      </c>
      <c r="G180" s="48">
        <f>IF(OR($C180=0,AND($B180=2,$D180&lt;=2022)),SUMIFS('Program Inputs'!$I$21:$I$39,'Program Inputs'!$C$21:$C$39,'Bill Credit Rates'!$A180,'Program Inputs'!$D$21:$D$39,'Bill Credit Rates'!$B180,'Program Inputs'!$E$21:$E$39,'Bill Credit Rates'!G$4)*1000,G179*(1+SUMIFS($Q:$Q,$N:$N,$A180,$O:$O,$B180,$P:$P,G$4)))</f>
        <v>85.94871583822848</v>
      </c>
      <c r="H180" s="33">
        <f>SUMIFS('Program Inputs'!$F$21:$F$39,'Program Inputs'!$C$21:$C$39,'Bill Credit Rates'!$A180,'Program Inputs'!$D$21:$D$39,'Bill Credit Rates'!$B180,'Program Inputs'!$E$21:$E$39,'Bill Credit Rates'!E$4)</f>
        <v>0.4</v>
      </c>
      <c r="I180" s="33">
        <f>SUMIFS('Program Inputs'!$F$21:$F$39,'Program Inputs'!$C$21:$C$39,'Bill Credit Rates'!$A180,'Program Inputs'!$D$21:$D$39,'Bill Credit Rates'!$B180,'Program Inputs'!$E$21:$E$39,'Bill Credit Rates'!F$4)</f>
        <v>0.1</v>
      </c>
      <c r="J180" s="33">
        <f>SUMIFS('Program Inputs'!$F$21:$F$39,'Program Inputs'!$C$21:$C$39,'Bill Credit Rates'!$A180,'Program Inputs'!$D$21:$D$39,'Bill Credit Rates'!$B180,'Program Inputs'!$E$21:$E$39,'Bill Credit Rates'!G$4)</f>
        <v>0.45</v>
      </c>
      <c r="K180" s="48">
        <f t="shared" si="17"/>
        <v>86.426208703996423</v>
      </c>
    </row>
    <row r="181" spans="1:11">
      <c r="A181" s="48" t="s">
        <v>13</v>
      </c>
      <c r="B181" s="48">
        <v>2</v>
      </c>
      <c r="C181" s="48">
        <v>11</v>
      </c>
      <c r="D181" s="48">
        <v>2029</v>
      </c>
      <c r="E181" s="48">
        <f>IF(OR($C181=0,AND($B181=2,$D181&lt;=2022)),SUMIFS('Program Inputs'!$I$21:$I$39,'Program Inputs'!$C$21:$C$39,'Bill Credit Rates'!$A181,'Program Inputs'!$D$21:$D$39,'Bill Credit Rates'!$B181,'Program Inputs'!$E$21:$E$39,'Bill Credit Rates'!E$4)*1000,E180*(1+SUMIFS($Q:$Q,$N:$N,$A181,$O:$O,$B181,$P:$P,E$4)))</f>
        <v>97.408544616658958</v>
      </c>
      <c r="F181" s="48">
        <f>IF(OR($C181=0,AND($B181=2,$D181&lt;=2022)),SUMIFS('Program Inputs'!$I$21:$I$39,'Program Inputs'!$C$21:$C$39,'Bill Credit Rates'!$A181,'Program Inputs'!$D$21:$D$39,'Bill Credit Rates'!$B181,'Program Inputs'!$E$21:$E$39,'Bill Credit Rates'!F$4)*1000,F180*(1+SUMIFS($Q:$Q,$N:$N,$A181,$O:$O,$B181,$P:$P,F$4)))</f>
        <v>97.408544616658958</v>
      </c>
      <c r="G181" s="48">
        <f>IF(OR($C181=0,AND($B181=2,$D181&lt;=2022)),SUMIFS('Program Inputs'!$I$21:$I$39,'Program Inputs'!$C$21:$C$39,'Bill Credit Rates'!$A181,'Program Inputs'!$D$21:$D$39,'Bill Credit Rates'!$B181,'Program Inputs'!$E$21:$E$39,'Bill Credit Rates'!G$4)*1000,G180*(1+SUMIFS($Q:$Q,$N:$N,$A181,$O:$O,$B181,$P:$P,G$4)))</f>
        <v>87.667690154993053</v>
      </c>
      <c r="H181" s="33">
        <f>SUMIFS('Program Inputs'!$F$21:$F$39,'Program Inputs'!$C$21:$C$39,'Bill Credit Rates'!$A181,'Program Inputs'!$D$21:$D$39,'Bill Credit Rates'!$B181,'Program Inputs'!$E$21:$E$39,'Bill Credit Rates'!E$4)</f>
        <v>0.4</v>
      </c>
      <c r="I181" s="33">
        <f>SUMIFS('Program Inputs'!$F$21:$F$39,'Program Inputs'!$C$21:$C$39,'Bill Credit Rates'!$A181,'Program Inputs'!$D$21:$D$39,'Bill Credit Rates'!$B181,'Program Inputs'!$E$21:$E$39,'Bill Credit Rates'!F$4)</f>
        <v>0.1</v>
      </c>
      <c r="J181" s="33">
        <f>SUMIFS('Program Inputs'!$F$21:$F$39,'Program Inputs'!$C$21:$C$39,'Bill Credit Rates'!$A181,'Program Inputs'!$D$21:$D$39,'Bill Credit Rates'!$B181,'Program Inputs'!$E$21:$E$39,'Bill Credit Rates'!G$4)</f>
        <v>0.45</v>
      </c>
      <c r="K181" s="48">
        <f t="shared" si="17"/>
        <v>88.154732878076359</v>
      </c>
    </row>
    <row r="182" spans="1:11">
      <c r="A182" s="48" t="s">
        <v>13</v>
      </c>
      <c r="B182" s="48">
        <v>2</v>
      </c>
      <c r="C182" s="48">
        <v>12</v>
      </c>
      <c r="D182" s="48">
        <v>2030</v>
      </c>
      <c r="E182" s="48">
        <f>IF(OR($C182=0,AND($B182=2,$D182&lt;=2022)),SUMIFS('Program Inputs'!$I$21:$I$39,'Program Inputs'!$C$21:$C$39,'Bill Credit Rates'!$A182,'Program Inputs'!$D$21:$D$39,'Bill Credit Rates'!$B182,'Program Inputs'!$E$21:$E$39,'Bill Credit Rates'!E$4)*1000,E181*(1+SUMIFS($Q:$Q,$N:$N,$A182,$O:$O,$B182,$P:$P,E$4)))</f>
        <v>99.356715508992139</v>
      </c>
      <c r="F182" s="48">
        <f>IF(OR($C182=0,AND($B182=2,$D182&lt;=2022)),SUMIFS('Program Inputs'!$I$21:$I$39,'Program Inputs'!$C$21:$C$39,'Bill Credit Rates'!$A182,'Program Inputs'!$D$21:$D$39,'Bill Credit Rates'!$B182,'Program Inputs'!$E$21:$E$39,'Bill Credit Rates'!F$4)*1000,F181*(1+SUMIFS($Q:$Q,$N:$N,$A182,$O:$O,$B182,$P:$P,F$4)))</f>
        <v>99.356715508992139</v>
      </c>
      <c r="G182" s="48">
        <f>IF(OR($C182=0,AND($B182=2,$D182&lt;=2022)),SUMIFS('Program Inputs'!$I$21:$I$39,'Program Inputs'!$C$21:$C$39,'Bill Credit Rates'!$A182,'Program Inputs'!$D$21:$D$39,'Bill Credit Rates'!$B182,'Program Inputs'!$E$21:$E$39,'Bill Credit Rates'!G$4)*1000,G181*(1+SUMIFS($Q:$Q,$N:$N,$A182,$O:$O,$B182,$P:$P,G$4)))</f>
        <v>89.421043958092909</v>
      </c>
      <c r="H182" s="33">
        <f>SUMIFS('Program Inputs'!$F$21:$F$39,'Program Inputs'!$C$21:$C$39,'Bill Credit Rates'!$A182,'Program Inputs'!$D$21:$D$39,'Bill Credit Rates'!$B182,'Program Inputs'!$E$21:$E$39,'Bill Credit Rates'!E$4)</f>
        <v>0.4</v>
      </c>
      <c r="I182" s="33">
        <f>SUMIFS('Program Inputs'!$F$21:$F$39,'Program Inputs'!$C$21:$C$39,'Bill Credit Rates'!$A182,'Program Inputs'!$D$21:$D$39,'Bill Credit Rates'!$B182,'Program Inputs'!$E$21:$E$39,'Bill Credit Rates'!F$4)</f>
        <v>0.1</v>
      </c>
      <c r="J182" s="33">
        <f>SUMIFS('Program Inputs'!$F$21:$F$39,'Program Inputs'!$C$21:$C$39,'Bill Credit Rates'!$A182,'Program Inputs'!$D$21:$D$39,'Bill Credit Rates'!$B182,'Program Inputs'!$E$21:$E$39,'Bill Credit Rates'!G$4)</f>
        <v>0.45</v>
      </c>
      <c r="K182" s="48">
        <f t="shared" si="17"/>
        <v>89.917827535637883</v>
      </c>
    </row>
    <row r="183" spans="1:11">
      <c r="A183" s="48" t="s">
        <v>13</v>
      </c>
      <c r="B183" s="48">
        <v>2</v>
      </c>
      <c r="C183" s="48">
        <v>13</v>
      </c>
      <c r="D183" s="48">
        <v>2031</v>
      </c>
      <c r="E183" s="48">
        <f>IF(OR($C183=0,AND($B183=2,$D183&lt;=2022)),SUMIFS('Program Inputs'!$I$21:$I$39,'Program Inputs'!$C$21:$C$39,'Bill Credit Rates'!$A183,'Program Inputs'!$D$21:$D$39,'Bill Credit Rates'!$B183,'Program Inputs'!$E$21:$E$39,'Bill Credit Rates'!E$4)*1000,E182*(1+SUMIFS($Q:$Q,$N:$N,$A183,$O:$O,$B183,$P:$P,E$4)))</f>
        <v>101.34384981917198</v>
      </c>
      <c r="F183" s="48">
        <f>IF(OR($C183=0,AND($B183=2,$D183&lt;=2022)),SUMIFS('Program Inputs'!$I$21:$I$39,'Program Inputs'!$C$21:$C$39,'Bill Credit Rates'!$A183,'Program Inputs'!$D$21:$D$39,'Bill Credit Rates'!$B183,'Program Inputs'!$E$21:$E$39,'Bill Credit Rates'!F$4)*1000,F182*(1+SUMIFS($Q:$Q,$N:$N,$A183,$O:$O,$B183,$P:$P,F$4)))</f>
        <v>101.34384981917198</v>
      </c>
      <c r="G183" s="48">
        <f>IF(OR($C183=0,AND($B183=2,$D183&lt;=2022)),SUMIFS('Program Inputs'!$I$21:$I$39,'Program Inputs'!$C$21:$C$39,'Bill Credit Rates'!$A183,'Program Inputs'!$D$21:$D$39,'Bill Credit Rates'!$B183,'Program Inputs'!$E$21:$E$39,'Bill Credit Rates'!G$4)*1000,G182*(1+SUMIFS($Q:$Q,$N:$N,$A183,$O:$O,$B183,$P:$P,G$4)))</f>
        <v>91.209464837254771</v>
      </c>
      <c r="H183" s="33">
        <f>SUMIFS('Program Inputs'!$F$21:$F$39,'Program Inputs'!$C$21:$C$39,'Bill Credit Rates'!$A183,'Program Inputs'!$D$21:$D$39,'Bill Credit Rates'!$B183,'Program Inputs'!$E$21:$E$39,'Bill Credit Rates'!E$4)</f>
        <v>0.4</v>
      </c>
      <c r="I183" s="33">
        <f>SUMIFS('Program Inputs'!$F$21:$F$39,'Program Inputs'!$C$21:$C$39,'Bill Credit Rates'!$A183,'Program Inputs'!$D$21:$D$39,'Bill Credit Rates'!$B183,'Program Inputs'!$E$21:$E$39,'Bill Credit Rates'!F$4)</f>
        <v>0.1</v>
      </c>
      <c r="J183" s="33">
        <f>SUMIFS('Program Inputs'!$F$21:$F$39,'Program Inputs'!$C$21:$C$39,'Bill Credit Rates'!$A183,'Program Inputs'!$D$21:$D$39,'Bill Credit Rates'!$B183,'Program Inputs'!$E$21:$E$39,'Bill Credit Rates'!G$4)</f>
        <v>0.45</v>
      </c>
      <c r="K183" s="48">
        <f t="shared" si="17"/>
        <v>91.716184086350637</v>
      </c>
    </row>
    <row r="184" spans="1:11">
      <c r="A184" s="48" t="s">
        <v>13</v>
      </c>
      <c r="B184" s="48">
        <v>2</v>
      </c>
      <c r="C184" s="48">
        <v>14</v>
      </c>
      <c r="D184" s="48">
        <v>2032</v>
      </c>
      <c r="E184" s="48">
        <f>IF(OR($C184=0,AND($B184=2,$D184&lt;=2022)),SUMIFS('Program Inputs'!$I$21:$I$39,'Program Inputs'!$C$21:$C$39,'Bill Credit Rates'!$A184,'Program Inputs'!$D$21:$D$39,'Bill Credit Rates'!$B184,'Program Inputs'!$E$21:$E$39,'Bill Credit Rates'!E$4)*1000,E183*(1+SUMIFS($Q:$Q,$N:$N,$A184,$O:$O,$B184,$P:$P,E$4)))</f>
        <v>103.37072681555541</v>
      </c>
      <c r="F184" s="48">
        <f>IF(OR($C184=0,AND($B184=2,$D184&lt;=2022)),SUMIFS('Program Inputs'!$I$21:$I$39,'Program Inputs'!$C$21:$C$39,'Bill Credit Rates'!$A184,'Program Inputs'!$D$21:$D$39,'Bill Credit Rates'!$B184,'Program Inputs'!$E$21:$E$39,'Bill Credit Rates'!F$4)*1000,F183*(1+SUMIFS($Q:$Q,$N:$N,$A184,$O:$O,$B184,$P:$P,F$4)))</f>
        <v>103.37072681555541</v>
      </c>
      <c r="G184" s="48">
        <f>IF(OR($C184=0,AND($B184=2,$D184&lt;=2022)),SUMIFS('Program Inputs'!$I$21:$I$39,'Program Inputs'!$C$21:$C$39,'Bill Credit Rates'!$A184,'Program Inputs'!$D$21:$D$39,'Bill Credit Rates'!$B184,'Program Inputs'!$E$21:$E$39,'Bill Credit Rates'!G$4)*1000,G183*(1+SUMIFS($Q:$Q,$N:$N,$A184,$O:$O,$B184,$P:$P,G$4)))</f>
        <v>93.033654133999875</v>
      </c>
      <c r="H184" s="33">
        <f>SUMIFS('Program Inputs'!$F$21:$F$39,'Program Inputs'!$C$21:$C$39,'Bill Credit Rates'!$A184,'Program Inputs'!$D$21:$D$39,'Bill Credit Rates'!$B184,'Program Inputs'!$E$21:$E$39,'Bill Credit Rates'!E$4)</f>
        <v>0.4</v>
      </c>
      <c r="I184" s="33">
        <f>SUMIFS('Program Inputs'!$F$21:$F$39,'Program Inputs'!$C$21:$C$39,'Bill Credit Rates'!$A184,'Program Inputs'!$D$21:$D$39,'Bill Credit Rates'!$B184,'Program Inputs'!$E$21:$E$39,'Bill Credit Rates'!F$4)</f>
        <v>0.1</v>
      </c>
      <c r="J184" s="33">
        <f>SUMIFS('Program Inputs'!$F$21:$F$39,'Program Inputs'!$C$21:$C$39,'Bill Credit Rates'!$A184,'Program Inputs'!$D$21:$D$39,'Bill Credit Rates'!$B184,'Program Inputs'!$E$21:$E$39,'Bill Credit Rates'!G$4)</f>
        <v>0.45</v>
      </c>
      <c r="K184" s="48">
        <f t="shared" si="17"/>
        <v>93.550507768077651</v>
      </c>
    </row>
    <row r="185" spans="1:11">
      <c r="A185" s="48" t="s">
        <v>13</v>
      </c>
      <c r="B185" s="48">
        <v>2</v>
      </c>
      <c r="C185" s="48">
        <v>15</v>
      </c>
      <c r="D185" s="48">
        <v>2033</v>
      </c>
      <c r="E185" s="48">
        <f>IF(OR($C185=0,AND($B185=2,$D185&lt;=2022)),SUMIFS('Program Inputs'!$I$21:$I$39,'Program Inputs'!$C$21:$C$39,'Bill Credit Rates'!$A185,'Program Inputs'!$D$21:$D$39,'Bill Credit Rates'!$B185,'Program Inputs'!$E$21:$E$39,'Bill Credit Rates'!E$4)*1000,E184*(1+SUMIFS($Q:$Q,$N:$N,$A185,$O:$O,$B185,$P:$P,E$4)))</f>
        <v>105.43814135186652</v>
      </c>
      <c r="F185" s="48">
        <f>IF(OR($C185=0,AND($B185=2,$D185&lt;=2022)),SUMIFS('Program Inputs'!$I$21:$I$39,'Program Inputs'!$C$21:$C$39,'Bill Credit Rates'!$A185,'Program Inputs'!$D$21:$D$39,'Bill Credit Rates'!$B185,'Program Inputs'!$E$21:$E$39,'Bill Credit Rates'!F$4)*1000,F184*(1+SUMIFS($Q:$Q,$N:$N,$A185,$O:$O,$B185,$P:$P,F$4)))</f>
        <v>105.43814135186652</v>
      </c>
      <c r="G185" s="48">
        <f>IF(OR($C185=0,AND($B185=2,$D185&lt;=2022)),SUMIFS('Program Inputs'!$I$21:$I$39,'Program Inputs'!$C$21:$C$39,'Bill Credit Rates'!$A185,'Program Inputs'!$D$21:$D$39,'Bill Credit Rates'!$B185,'Program Inputs'!$E$21:$E$39,'Bill Credit Rates'!G$4)*1000,G184*(1+SUMIFS($Q:$Q,$N:$N,$A185,$O:$O,$B185,$P:$P,G$4)))</f>
        <v>94.894327216679869</v>
      </c>
      <c r="H185" s="33">
        <f>SUMIFS('Program Inputs'!$F$21:$F$39,'Program Inputs'!$C$21:$C$39,'Bill Credit Rates'!$A185,'Program Inputs'!$D$21:$D$39,'Bill Credit Rates'!$B185,'Program Inputs'!$E$21:$E$39,'Bill Credit Rates'!E$4)</f>
        <v>0.4</v>
      </c>
      <c r="I185" s="33">
        <f>SUMIFS('Program Inputs'!$F$21:$F$39,'Program Inputs'!$C$21:$C$39,'Bill Credit Rates'!$A185,'Program Inputs'!$D$21:$D$39,'Bill Credit Rates'!$B185,'Program Inputs'!$E$21:$E$39,'Bill Credit Rates'!F$4)</f>
        <v>0.1</v>
      </c>
      <c r="J185" s="33">
        <f>SUMIFS('Program Inputs'!$F$21:$F$39,'Program Inputs'!$C$21:$C$39,'Bill Credit Rates'!$A185,'Program Inputs'!$D$21:$D$39,'Bill Credit Rates'!$B185,'Program Inputs'!$E$21:$E$39,'Bill Credit Rates'!G$4)</f>
        <v>0.45</v>
      </c>
      <c r="K185" s="48">
        <f t="shared" si="17"/>
        <v>95.421517923439211</v>
      </c>
    </row>
    <row r="186" spans="1:11">
      <c r="A186" s="48" t="s">
        <v>13</v>
      </c>
      <c r="B186" s="48">
        <v>2</v>
      </c>
      <c r="C186" s="48">
        <v>16</v>
      </c>
      <c r="D186" s="48">
        <v>2034</v>
      </c>
      <c r="E186" s="48">
        <f>IF(OR($C186=0,AND($B186=2,$D186&lt;=2022)),SUMIFS('Program Inputs'!$I$21:$I$39,'Program Inputs'!$C$21:$C$39,'Bill Credit Rates'!$A186,'Program Inputs'!$D$21:$D$39,'Bill Credit Rates'!$B186,'Program Inputs'!$E$21:$E$39,'Bill Credit Rates'!E$4)*1000,E185*(1+SUMIFS($Q:$Q,$N:$N,$A186,$O:$O,$B186,$P:$P,E$4)))</f>
        <v>107.54690417890386</v>
      </c>
      <c r="F186" s="48">
        <f>IF(OR($C186=0,AND($B186=2,$D186&lt;=2022)),SUMIFS('Program Inputs'!$I$21:$I$39,'Program Inputs'!$C$21:$C$39,'Bill Credit Rates'!$A186,'Program Inputs'!$D$21:$D$39,'Bill Credit Rates'!$B186,'Program Inputs'!$E$21:$E$39,'Bill Credit Rates'!F$4)*1000,F185*(1+SUMIFS($Q:$Q,$N:$N,$A186,$O:$O,$B186,$P:$P,F$4)))</f>
        <v>107.54690417890386</v>
      </c>
      <c r="G186" s="48">
        <f>IF(OR($C186=0,AND($B186=2,$D186&lt;=2022)),SUMIFS('Program Inputs'!$I$21:$I$39,'Program Inputs'!$C$21:$C$39,'Bill Credit Rates'!$A186,'Program Inputs'!$D$21:$D$39,'Bill Credit Rates'!$B186,'Program Inputs'!$E$21:$E$39,'Bill Credit Rates'!G$4)*1000,G185*(1+SUMIFS($Q:$Q,$N:$N,$A186,$O:$O,$B186,$P:$P,G$4)))</f>
        <v>96.792213761013471</v>
      </c>
      <c r="H186" s="33">
        <f>SUMIFS('Program Inputs'!$F$21:$F$39,'Program Inputs'!$C$21:$C$39,'Bill Credit Rates'!$A186,'Program Inputs'!$D$21:$D$39,'Bill Credit Rates'!$B186,'Program Inputs'!$E$21:$E$39,'Bill Credit Rates'!E$4)</f>
        <v>0.4</v>
      </c>
      <c r="I186" s="33">
        <f>SUMIFS('Program Inputs'!$F$21:$F$39,'Program Inputs'!$C$21:$C$39,'Bill Credit Rates'!$A186,'Program Inputs'!$D$21:$D$39,'Bill Credit Rates'!$B186,'Program Inputs'!$E$21:$E$39,'Bill Credit Rates'!F$4)</f>
        <v>0.1</v>
      </c>
      <c r="J186" s="33">
        <f>SUMIFS('Program Inputs'!$F$21:$F$39,'Program Inputs'!$C$21:$C$39,'Bill Credit Rates'!$A186,'Program Inputs'!$D$21:$D$39,'Bill Credit Rates'!$B186,'Program Inputs'!$E$21:$E$39,'Bill Credit Rates'!G$4)</f>
        <v>0.45</v>
      </c>
      <c r="K186" s="48">
        <f t="shared" si="17"/>
        <v>97.329948281908003</v>
      </c>
    </row>
    <row r="187" spans="1:11">
      <c r="A187" s="48" t="s">
        <v>13</v>
      </c>
      <c r="B187" s="48">
        <v>2</v>
      </c>
      <c r="C187" s="48">
        <v>17</v>
      </c>
      <c r="D187" s="48">
        <v>2035</v>
      </c>
      <c r="E187" s="48">
        <f>IF(OR($C187=0,AND($B187=2,$D187&lt;=2022)),SUMIFS('Program Inputs'!$I$21:$I$39,'Program Inputs'!$C$21:$C$39,'Bill Credit Rates'!$A187,'Program Inputs'!$D$21:$D$39,'Bill Credit Rates'!$B187,'Program Inputs'!$E$21:$E$39,'Bill Credit Rates'!E$4)*1000,E186*(1+SUMIFS($Q:$Q,$N:$N,$A187,$O:$O,$B187,$P:$P,E$4)))</f>
        <v>109.69784226248194</v>
      </c>
      <c r="F187" s="48">
        <f>IF(OR($C187=0,AND($B187=2,$D187&lt;=2022)),SUMIFS('Program Inputs'!$I$21:$I$39,'Program Inputs'!$C$21:$C$39,'Bill Credit Rates'!$A187,'Program Inputs'!$D$21:$D$39,'Bill Credit Rates'!$B187,'Program Inputs'!$E$21:$E$39,'Bill Credit Rates'!F$4)*1000,F186*(1+SUMIFS($Q:$Q,$N:$N,$A187,$O:$O,$B187,$P:$P,F$4)))</f>
        <v>109.69784226248194</v>
      </c>
      <c r="G187" s="48">
        <f>IF(OR($C187=0,AND($B187=2,$D187&lt;=2022)),SUMIFS('Program Inputs'!$I$21:$I$39,'Program Inputs'!$C$21:$C$39,'Bill Credit Rates'!$A187,'Program Inputs'!$D$21:$D$39,'Bill Credit Rates'!$B187,'Program Inputs'!$E$21:$E$39,'Bill Credit Rates'!G$4)*1000,G186*(1+SUMIFS($Q:$Q,$N:$N,$A187,$O:$O,$B187,$P:$P,G$4)))</f>
        <v>98.728058036233747</v>
      </c>
      <c r="H187" s="33">
        <f>SUMIFS('Program Inputs'!$F$21:$F$39,'Program Inputs'!$C$21:$C$39,'Bill Credit Rates'!$A187,'Program Inputs'!$D$21:$D$39,'Bill Credit Rates'!$B187,'Program Inputs'!$E$21:$E$39,'Bill Credit Rates'!E$4)</f>
        <v>0.4</v>
      </c>
      <c r="I187" s="33">
        <f>SUMIFS('Program Inputs'!$F$21:$F$39,'Program Inputs'!$C$21:$C$39,'Bill Credit Rates'!$A187,'Program Inputs'!$D$21:$D$39,'Bill Credit Rates'!$B187,'Program Inputs'!$E$21:$E$39,'Bill Credit Rates'!F$4)</f>
        <v>0.1</v>
      </c>
      <c r="J187" s="33">
        <f>SUMIFS('Program Inputs'!$F$21:$F$39,'Program Inputs'!$C$21:$C$39,'Bill Credit Rates'!$A187,'Program Inputs'!$D$21:$D$39,'Bill Credit Rates'!$B187,'Program Inputs'!$E$21:$E$39,'Bill Credit Rates'!G$4)</f>
        <v>0.45</v>
      </c>
      <c r="K187" s="48">
        <f t="shared" si="17"/>
        <v>99.276547247546148</v>
      </c>
    </row>
    <row r="188" spans="1:11">
      <c r="A188" s="48" t="s">
        <v>13</v>
      </c>
      <c r="B188" s="48">
        <v>2</v>
      </c>
      <c r="C188" s="48">
        <v>18</v>
      </c>
      <c r="D188" s="48">
        <v>2036</v>
      </c>
      <c r="E188" s="48">
        <f>IF(OR($C188=0,AND($B188=2,$D188&lt;=2022)),SUMIFS('Program Inputs'!$I$21:$I$39,'Program Inputs'!$C$21:$C$39,'Bill Credit Rates'!$A188,'Program Inputs'!$D$21:$D$39,'Bill Credit Rates'!$B188,'Program Inputs'!$E$21:$E$39,'Bill Credit Rates'!E$4)*1000,E187*(1+SUMIFS($Q:$Q,$N:$N,$A188,$O:$O,$B188,$P:$P,E$4)))</f>
        <v>111.89179910773159</v>
      </c>
      <c r="F188" s="48">
        <f>IF(OR($C188=0,AND($B188=2,$D188&lt;=2022)),SUMIFS('Program Inputs'!$I$21:$I$39,'Program Inputs'!$C$21:$C$39,'Bill Credit Rates'!$A188,'Program Inputs'!$D$21:$D$39,'Bill Credit Rates'!$B188,'Program Inputs'!$E$21:$E$39,'Bill Credit Rates'!F$4)*1000,F187*(1+SUMIFS($Q:$Q,$N:$N,$A188,$O:$O,$B188,$P:$P,F$4)))</f>
        <v>111.89179910773159</v>
      </c>
      <c r="G188" s="48">
        <f>IF(OR($C188=0,AND($B188=2,$D188&lt;=2022)),SUMIFS('Program Inputs'!$I$21:$I$39,'Program Inputs'!$C$21:$C$39,'Bill Credit Rates'!$A188,'Program Inputs'!$D$21:$D$39,'Bill Credit Rates'!$B188,'Program Inputs'!$E$21:$E$39,'Bill Credit Rates'!G$4)*1000,G187*(1+SUMIFS($Q:$Q,$N:$N,$A188,$O:$O,$B188,$P:$P,G$4)))</f>
        <v>100.70261919695842</v>
      </c>
      <c r="H188" s="33">
        <f>SUMIFS('Program Inputs'!$F$21:$F$39,'Program Inputs'!$C$21:$C$39,'Bill Credit Rates'!$A188,'Program Inputs'!$D$21:$D$39,'Bill Credit Rates'!$B188,'Program Inputs'!$E$21:$E$39,'Bill Credit Rates'!E$4)</f>
        <v>0.4</v>
      </c>
      <c r="I188" s="33">
        <f>SUMIFS('Program Inputs'!$F$21:$F$39,'Program Inputs'!$C$21:$C$39,'Bill Credit Rates'!$A188,'Program Inputs'!$D$21:$D$39,'Bill Credit Rates'!$B188,'Program Inputs'!$E$21:$E$39,'Bill Credit Rates'!F$4)</f>
        <v>0.1</v>
      </c>
      <c r="J188" s="33">
        <f>SUMIFS('Program Inputs'!$F$21:$F$39,'Program Inputs'!$C$21:$C$39,'Bill Credit Rates'!$A188,'Program Inputs'!$D$21:$D$39,'Bill Credit Rates'!$B188,'Program Inputs'!$E$21:$E$39,'Bill Credit Rates'!G$4)</f>
        <v>0.45</v>
      </c>
      <c r="K188" s="48">
        <f t="shared" si="17"/>
        <v>101.26207819249709</v>
      </c>
    </row>
    <row r="189" spans="1:11">
      <c r="A189" s="48" t="s">
        <v>13</v>
      </c>
      <c r="B189" s="48">
        <v>2</v>
      </c>
      <c r="C189" s="48">
        <v>19</v>
      </c>
      <c r="D189" s="48">
        <v>2037</v>
      </c>
      <c r="E189" s="48">
        <f>IF(OR($C189=0,AND($B189=2,$D189&lt;=2022)),SUMIFS('Program Inputs'!$I$21:$I$39,'Program Inputs'!$C$21:$C$39,'Bill Credit Rates'!$A189,'Program Inputs'!$D$21:$D$39,'Bill Credit Rates'!$B189,'Program Inputs'!$E$21:$E$39,'Bill Credit Rates'!E$4)*1000,E188*(1+SUMIFS($Q:$Q,$N:$N,$A189,$O:$O,$B189,$P:$P,E$4)))</f>
        <v>114.12963508988622</v>
      </c>
      <c r="F189" s="48">
        <f>IF(OR($C189=0,AND($B189=2,$D189&lt;=2022)),SUMIFS('Program Inputs'!$I$21:$I$39,'Program Inputs'!$C$21:$C$39,'Bill Credit Rates'!$A189,'Program Inputs'!$D$21:$D$39,'Bill Credit Rates'!$B189,'Program Inputs'!$E$21:$E$39,'Bill Credit Rates'!F$4)*1000,F188*(1+SUMIFS($Q:$Q,$N:$N,$A189,$O:$O,$B189,$P:$P,F$4)))</f>
        <v>114.12963508988622</v>
      </c>
      <c r="G189" s="48">
        <f>IF(OR($C189=0,AND($B189=2,$D189&lt;=2022)),SUMIFS('Program Inputs'!$I$21:$I$39,'Program Inputs'!$C$21:$C$39,'Bill Credit Rates'!$A189,'Program Inputs'!$D$21:$D$39,'Bill Credit Rates'!$B189,'Program Inputs'!$E$21:$E$39,'Bill Credit Rates'!G$4)*1000,G188*(1+SUMIFS($Q:$Q,$N:$N,$A189,$O:$O,$B189,$P:$P,G$4)))</f>
        <v>102.7166715808976</v>
      </c>
      <c r="H189" s="33">
        <f>SUMIFS('Program Inputs'!$F$21:$F$39,'Program Inputs'!$C$21:$C$39,'Bill Credit Rates'!$A189,'Program Inputs'!$D$21:$D$39,'Bill Credit Rates'!$B189,'Program Inputs'!$E$21:$E$39,'Bill Credit Rates'!E$4)</f>
        <v>0.4</v>
      </c>
      <c r="I189" s="33">
        <f>SUMIFS('Program Inputs'!$F$21:$F$39,'Program Inputs'!$C$21:$C$39,'Bill Credit Rates'!$A189,'Program Inputs'!$D$21:$D$39,'Bill Credit Rates'!$B189,'Program Inputs'!$E$21:$E$39,'Bill Credit Rates'!F$4)</f>
        <v>0.1</v>
      </c>
      <c r="J189" s="33">
        <f>SUMIFS('Program Inputs'!$F$21:$F$39,'Program Inputs'!$C$21:$C$39,'Bill Credit Rates'!$A189,'Program Inputs'!$D$21:$D$39,'Bill Credit Rates'!$B189,'Program Inputs'!$E$21:$E$39,'Bill Credit Rates'!G$4)</f>
        <v>0.45</v>
      </c>
      <c r="K189" s="48">
        <f t="shared" si="17"/>
        <v>103.28731975634705</v>
      </c>
    </row>
    <row r="190" spans="1:11">
      <c r="A190" s="48" t="s">
        <v>13</v>
      </c>
      <c r="B190" s="48">
        <v>2</v>
      </c>
      <c r="C190" s="48">
        <v>20</v>
      </c>
      <c r="D190" s="48">
        <v>2038</v>
      </c>
      <c r="E190" s="48">
        <f>IF(OR($C190=0,AND($B190=2,$D190&lt;=2022)),SUMIFS('Program Inputs'!$I$21:$I$39,'Program Inputs'!$C$21:$C$39,'Bill Credit Rates'!$A190,'Program Inputs'!$D$21:$D$39,'Bill Credit Rates'!$B190,'Program Inputs'!$E$21:$E$39,'Bill Credit Rates'!E$4)*1000,E189*(1+SUMIFS($Q:$Q,$N:$N,$A190,$O:$O,$B190,$P:$P,E$4)))</f>
        <v>116.41222779168395</v>
      </c>
      <c r="F190" s="48">
        <f>IF(OR($C190=0,AND($B190=2,$D190&lt;=2022)),SUMIFS('Program Inputs'!$I$21:$I$39,'Program Inputs'!$C$21:$C$39,'Bill Credit Rates'!$A190,'Program Inputs'!$D$21:$D$39,'Bill Credit Rates'!$B190,'Program Inputs'!$E$21:$E$39,'Bill Credit Rates'!F$4)*1000,F189*(1+SUMIFS($Q:$Q,$N:$N,$A190,$O:$O,$B190,$P:$P,F$4)))</f>
        <v>116.41222779168395</v>
      </c>
      <c r="G190" s="48">
        <f>IF(OR($C190=0,AND($B190=2,$D190&lt;=2022)),SUMIFS('Program Inputs'!$I$21:$I$39,'Program Inputs'!$C$21:$C$39,'Bill Credit Rates'!$A190,'Program Inputs'!$D$21:$D$39,'Bill Credit Rates'!$B190,'Program Inputs'!$E$21:$E$39,'Bill Credit Rates'!G$4)*1000,G189*(1+SUMIFS($Q:$Q,$N:$N,$A190,$O:$O,$B190,$P:$P,G$4)))</f>
        <v>104.77100501251554</v>
      </c>
      <c r="H190" s="33">
        <f>SUMIFS('Program Inputs'!$F$21:$F$39,'Program Inputs'!$C$21:$C$39,'Bill Credit Rates'!$A190,'Program Inputs'!$D$21:$D$39,'Bill Credit Rates'!$B190,'Program Inputs'!$E$21:$E$39,'Bill Credit Rates'!E$4)</f>
        <v>0.4</v>
      </c>
      <c r="I190" s="33">
        <f>SUMIFS('Program Inputs'!$F$21:$F$39,'Program Inputs'!$C$21:$C$39,'Bill Credit Rates'!$A190,'Program Inputs'!$D$21:$D$39,'Bill Credit Rates'!$B190,'Program Inputs'!$E$21:$E$39,'Bill Credit Rates'!F$4)</f>
        <v>0.1</v>
      </c>
      <c r="J190" s="33">
        <f>SUMIFS('Program Inputs'!$F$21:$F$39,'Program Inputs'!$C$21:$C$39,'Bill Credit Rates'!$A190,'Program Inputs'!$D$21:$D$39,'Bill Credit Rates'!$B190,'Program Inputs'!$E$21:$E$39,'Bill Credit Rates'!G$4)</f>
        <v>0.45</v>
      </c>
      <c r="K190" s="48">
        <f t="shared" si="17"/>
        <v>105.35306615147397</v>
      </c>
    </row>
    <row r="191" spans="1:11">
      <c r="A191" s="48" t="s">
        <v>13</v>
      </c>
      <c r="B191" s="48">
        <v>2</v>
      </c>
      <c r="C191" s="48">
        <v>21</v>
      </c>
      <c r="D191" s="48">
        <v>2039</v>
      </c>
      <c r="E191" s="48">
        <f>IF(OR($C191=0,AND($B191=2,$D191&lt;=2022)),SUMIFS('Program Inputs'!$I$21:$I$39,'Program Inputs'!$C$21:$C$39,'Bill Credit Rates'!$A191,'Program Inputs'!$D$21:$D$39,'Bill Credit Rates'!$B191,'Program Inputs'!$E$21:$E$39,'Bill Credit Rates'!E$4)*1000,E190*(1+SUMIFS($Q:$Q,$N:$N,$A191,$O:$O,$B191,$P:$P,E$4)))</f>
        <v>118.74047234751762</v>
      </c>
      <c r="F191" s="48">
        <f>IF(OR($C191=0,AND($B191=2,$D191&lt;=2022)),SUMIFS('Program Inputs'!$I$21:$I$39,'Program Inputs'!$C$21:$C$39,'Bill Credit Rates'!$A191,'Program Inputs'!$D$21:$D$39,'Bill Credit Rates'!$B191,'Program Inputs'!$E$21:$E$39,'Bill Credit Rates'!F$4)*1000,F190*(1+SUMIFS($Q:$Q,$N:$N,$A191,$O:$O,$B191,$P:$P,F$4)))</f>
        <v>118.74047234751762</v>
      </c>
      <c r="G191" s="48">
        <f>IF(OR($C191=0,AND($B191=2,$D191&lt;=2022)),SUMIFS('Program Inputs'!$I$21:$I$39,'Program Inputs'!$C$21:$C$39,'Bill Credit Rates'!$A191,'Program Inputs'!$D$21:$D$39,'Bill Credit Rates'!$B191,'Program Inputs'!$E$21:$E$39,'Bill Credit Rates'!G$4)*1000,G190*(1+SUMIFS($Q:$Q,$N:$N,$A191,$O:$O,$B191,$P:$P,G$4)))</f>
        <v>106.86642511276585</v>
      </c>
      <c r="H191" s="33">
        <f>SUMIFS('Program Inputs'!$F$21:$F$39,'Program Inputs'!$C$21:$C$39,'Bill Credit Rates'!$A191,'Program Inputs'!$D$21:$D$39,'Bill Credit Rates'!$B191,'Program Inputs'!$E$21:$E$39,'Bill Credit Rates'!E$4)</f>
        <v>0.4</v>
      </c>
      <c r="I191" s="33">
        <f>SUMIFS('Program Inputs'!$F$21:$F$39,'Program Inputs'!$C$21:$C$39,'Bill Credit Rates'!$A191,'Program Inputs'!$D$21:$D$39,'Bill Credit Rates'!$B191,'Program Inputs'!$E$21:$E$39,'Bill Credit Rates'!F$4)</f>
        <v>0.1</v>
      </c>
      <c r="J191" s="33">
        <f>SUMIFS('Program Inputs'!$F$21:$F$39,'Program Inputs'!$C$21:$C$39,'Bill Credit Rates'!$A191,'Program Inputs'!$D$21:$D$39,'Bill Credit Rates'!$B191,'Program Inputs'!$E$21:$E$39,'Bill Credit Rates'!G$4)</f>
        <v>0.45</v>
      </c>
      <c r="K191" s="48">
        <f t="shared" ref="K191:K195" si="18">E191*H191+F191*I191+G191*J191</f>
        <v>107.46012747450345</v>
      </c>
    </row>
    <row r="192" spans="1:11">
      <c r="A192" s="48" t="s">
        <v>13</v>
      </c>
      <c r="B192" s="48">
        <v>2</v>
      </c>
      <c r="C192" s="48">
        <v>22</v>
      </c>
      <c r="D192" s="48">
        <v>2040</v>
      </c>
      <c r="E192" s="48">
        <f>IF(OR($C192=0,AND($B192=2,$D192&lt;=2022)),SUMIFS('Program Inputs'!$I$21:$I$39,'Program Inputs'!$C$21:$C$39,'Bill Credit Rates'!$A192,'Program Inputs'!$D$21:$D$39,'Bill Credit Rates'!$B192,'Program Inputs'!$E$21:$E$39,'Bill Credit Rates'!E$4)*1000,E191*(1+SUMIFS($Q:$Q,$N:$N,$A192,$O:$O,$B192,$P:$P,E$4)))</f>
        <v>121.11528179446798</v>
      </c>
      <c r="F192" s="48">
        <f>IF(OR($C192=0,AND($B192=2,$D192&lt;=2022)),SUMIFS('Program Inputs'!$I$21:$I$39,'Program Inputs'!$C$21:$C$39,'Bill Credit Rates'!$A192,'Program Inputs'!$D$21:$D$39,'Bill Credit Rates'!$B192,'Program Inputs'!$E$21:$E$39,'Bill Credit Rates'!F$4)*1000,F191*(1+SUMIFS($Q:$Q,$N:$N,$A192,$O:$O,$B192,$P:$P,F$4)))</f>
        <v>121.11528179446798</v>
      </c>
      <c r="G192" s="48">
        <f>IF(OR($C192=0,AND($B192=2,$D192&lt;=2022)),SUMIFS('Program Inputs'!$I$21:$I$39,'Program Inputs'!$C$21:$C$39,'Bill Credit Rates'!$A192,'Program Inputs'!$D$21:$D$39,'Bill Credit Rates'!$B192,'Program Inputs'!$E$21:$E$39,'Bill Credit Rates'!G$4)*1000,G191*(1+SUMIFS($Q:$Q,$N:$N,$A192,$O:$O,$B192,$P:$P,G$4)))</f>
        <v>109.00375361502117</v>
      </c>
      <c r="H192" s="33">
        <f>SUMIFS('Program Inputs'!$F$21:$F$39,'Program Inputs'!$C$21:$C$39,'Bill Credit Rates'!$A192,'Program Inputs'!$D$21:$D$39,'Bill Credit Rates'!$B192,'Program Inputs'!$E$21:$E$39,'Bill Credit Rates'!E$4)</f>
        <v>0.4</v>
      </c>
      <c r="I192" s="33">
        <f>SUMIFS('Program Inputs'!$F$21:$F$39,'Program Inputs'!$C$21:$C$39,'Bill Credit Rates'!$A192,'Program Inputs'!$D$21:$D$39,'Bill Credit Rates'!$B192,'Program Inputs'!$E$21:$E$39,'Bill Credit Rates'!F$4)</f>
        <v>0.1</v>
      </c>
      <c r="J192" s="33">
        <f>SUMIFS('Program Inputs'!$F$21:$F$39,'Program Inputs'!$C$21:$C$39,'Bill Credit Rates'!$A192,'Program Inputs'!$D$21:$D$39,'Bill Credit Rates'!$B192,'Program Inputs'!$E$21:$E$39,'Bill Credit Rates'!G$4)</f>
        <v>0.45</v>
      </c>
      <c r="K192" s="48">
        <f t="shared" si="18"/>
        <v>109.60933002399352</v>
      </c>
    </row>
    <row r="193" spans="1:11">
      <c r="A193" s="48" t="s">
        <v>13</v>
      </c>
      <c r="B193" s="48">
        <v>2</v>
      </c>
      <c r="C193" s="48">
        <v>23</v>
      </c>
      <c r="D193" s="48">
        <v>2041</v>
      </c>
      <c r="E193" s="48">
        <f>IF(OR($C193=0,AND($B193=2,$D193&lt;=2022)),SUMIFS('Program Inputs'!$I$21:$I$39,'Program Inputs'!$C$21:$C$39,'Bill Credit Rates'!$A193,'Program Inputs'!$D$21:$D$39,'Bill Credit Rates'!$B193,'Program Inputs'!$E$21:$E$39,'Bill Credit Rates'!E$4)*1000,E192*(1+SUMIFS($Q:$Q,$N:$N,$A193,$O:$O,$B193,$P:$P,E$4)))</f>
        <v>123.53758743035733</v>
      </c>
      <c r="F193" s="48">
        <f>IF(OR($C193=0,AND($B193=2,$D193&lt;=2022)),SUMIFS('Program Inputs'!$I$21:$I$39,'Program Inputs'!$C$21:$C$39,'Bill Credit Rates'!$A193,'Program Inputs'!$D$21:$D$39,'Bill Credit Rates'!$B193,'Program Inputs'!$E$21:$E$39,'Bill Credit Rates'!F$4)*1000,F192*(1+SUMIFS($Q:$Q,$N:$N,$A193,$O:$O,$B193,$P:$P,F$4)))</f>
        <v>123.53758743035733</v>
      </c>
      <c r="G193" s="48">
        <f>IF(OR($C193=0,AND($B193=2,$D193&lt;=2022)),SUMIFS('Program Inputs'!$I$21:$I$39,'Program Inputs'!$C$21:$C$39,'Bill Credit Rates'!$A193,'Program Inputs'!$D$21:$D$39,'Bill Credit Rates'!$B193,'Program Inputs'!$E$21:$E$39,'Bill Credit Rates'!G$4)*1000,G192*(1+SUMIFS($Q:$Q,$N:$N,$A193,$O:$O,$B193,$P:$P,G$4)))</f>
        <v>111.18382868732159</v>
      </c>
      <c r="H193" s="33">
        <f>SUMIFS('Program Inputs'!$F$21:$F$39,'Program Inputs'!$C$21:$C$39,'Bill Credit Rates'!$A193,'Program Inputs'!$D$21:$D$39,'Bill Credit Rates'!$B193,'Program Inputs'!$E$21:$E$39,'Bill Credit Rates'!E$4)</f>
        <v>0.4</v>
      </c>
      <c r="I193" s="33">
        <f>SUMIFS('Program Inputs'!$F$21:$F$39,'Program Inputs'!$C$21:$C$39,'Bill Credit Rates'!$A193,'Program Inputs'!$D$21:$D$39,'Bill Credit Rates'!$B193,'Program Inputs'!$E$21:$E$39,'Bill Credit Rates'!F$4)</f>
        <v>0.1</v>
      </c>
      <c r="J193" s="33">
        <f>SUMIFS('Program Inputs'!$F$21:$F$39,'Program Inputs'!$C$21:$C$39,'Bill Credit Rates'!$A193,'Program Inputs'!$D$21:$D$39,'Bill Credit Rates'!$B193,'Program Inputs'!$E$21:$E$39,'Bill Credit Rates'!G$4)</f>
        <v>0.45</v>
      </c>
      <c r="K193" s="48">
        <f t="shared" si="18"/>
        <v>111.80151662447338</v>
      </c>
    </row>
    <row r="194" spans="1:11">
      <c r="A194" s="48" t="s">
        <v>13</v>
      </c>
      <c r="B194" s="48">
        <v>2</v>
      </c>
      <c r="C194" s="48">
        <v>24</v>
      </c>
      <c r="D194" s="48">
        <v>2042</v>
      </c>
      <c r="E194" s="48">
        <f>IF(OR($C194=0,AND($B194=2,$D194&lt;=2022)),SUMIFS('Program Inputs'!$I$21:$I$39,'Program Inputs'!$C$21:$C$39,'Bill Credit Rates'!$A194,'Program Inputs'!$D$21:$D$39,'Bill Credit Rates'!$B194,'Program Inputs'!$E$21:$E$39,'Bill Credit Rates'!E$4)*1000,E193*(1+SUMIFS($Q:$Q,$N:$N,$A194,$O:$O,$B194,$P:$P,E$4)))</f>
        <v>126.00833917896448</v>
      </c>
      <c r="F194" s="48">
        <f>IF(OR($C194=0,AND($B194=2,$D194&lt;=2022)),SUMIFS('Program Inputs'!$I$21:$I$39,'Program Inputs'!$C$21:$C$39,'Bill Credit Rates'!$A194,'Program Inputs'!$D$21:$D$39,'Bill Credit Rates'!$B194,'Program Inputs'!$E$21:$E$39,'Bill Credit Rates'!F$4)*1000,F193*(1+SUMIFS($Q:$Q,$N:$N,$A194,$O:$O,$B194,$P:$P,F$4)))</f>
        <v>126.00833917896448</v>
      </c>
      <c r="G194" s="48">
        <f>IF(OR($C194=0,AND($B194=2,$D194&lt;=2022)),SUMIFS('Program Inputs'!$I$21:$I$39,'Program Inputs'!$C$21:$C$39,'Bill Credit Rates'!$A194,'Program Inputs'!$D$21:$D$39,'Bill Credit Rates'!$B194,'Program Inputs'!$E$21:$E$39,'Bill Credit Rates'!G$4)*1000,G193*(1+SUMIFS($Q:$Q,$N:$N,$A194,$O:$O,$B194,$P:$P,G$4)))</f>
        <v>113.40750526106802</v>
      </c>
      <c r="H194" s="33">
        <f>SUMIFS('Program Inputs'!$F$21:$F$39,'Program Inputs'!$C$21:$C$39,'Bill Credit Rates'!$A194,'Program Inputs'!$D$21:$D$39,'Bill Credit Rates'!$B194,'Program Inputs'!$E$21:$E$39,'Bill Credit Rates'!E$4)</f>
        <v>0.4</v>
      </c>
      <c r="I194" s="33">
        <f>SUMIFS('Program Inputs'!$F$21:$F$39,'Program Inputs'!$C$21:$C$39,'Bill Credit Rates'!$A194,'Program Inputs'!$D$21:$D$39,'Bill Credit Rates'!$B194,'Program Inputs'!$E$21:$E$39,'Bill Credit Rates'!F$4)</f>
        <v>0.1</v>
      </c>
      <c r="J194" s="33">
        <f>SUMIFS('Program Inputs'!$F$21:$F$39,'Program Inputs'!$C$21:$C$39,'Bill Credit Rates'!$A194,'Program Inputs'!$D$21:$D$39,'Bill Credit Rates'!$B194,'Program Inputs'!$E$21:$E$39,'Bill Credit Rates'!G$4)</f>
        <v>0.45</v>
      </c>
      <c r="K194" s="48">
        <f t="shared" si="18"/>
        <v>114.03754695696286</v>
      </c>
    </row>
    <row r="195" spans="1:11">
      <c r="A195" s="48" t="s">
        <v>13</v>
      </c>
      <c r="B195" s="48">
        <v>2</v>
      </c>
      <c r="C195" s="48">
        <v>25</v>
      </c>
      <c r="D195" s="48">
        <v>2043</v>
      </c>
      <c r="E195" s="48">
        <f>IF(OR($C195=0,AND($B195=2,$D195&lt;=2022)),SUMIFS('Program Inputs'!$I$21:$I$39,'Program Inputs'!$C$21:$C$39,'Bill Credit Rates'!$A195,'Program Inputs'!$D$21:$D$39,'Bill Credit Rates'!$B195,'Program Inputs'!$E$21:$E$39,'Bill Credit Rates'!E$4)*1000,E194*(1+SUMIFS($Q:$Q,$N:$N,$A195,$O:$O,$B195,$P:$P,E$4)))</f>
        <v>128.52850596254376</v>
      </c>
      <c r="F195" s="48">
        <f>IF(OR($C195=0,AND($B195=2,$D195&lt;=2022)),SUMIFS('Program Inputs'!$I$21:$I$39,'Program Inputs'!$C$21:$C$39,'Bill Credit Rates'!$A195,'Program Inputs'!$D$21:$D$39,'Bill Credit Rates'!$B195,'Program Inputs'!$E$21:$E$39,'Bill Credit Rates'!F$4)*1000,F194*(1+SUMIFS($Q:$Q,$N:$N,$A195,$O:$O,$B195,$P:$P,F$4)))</f>
        <v>128.52850596254376</v>
      </c>
      <c r="G195" s="48">
        <f>IF(OR($C195=0,AND($B195=2,$D195&lt;=2022)),SUMIFS('Program Inputs'!$I$21:$I$39,'Program Inputs'!$C$21:$C$39,'Bill Credit Rates'!$A195,'Program Inputs'!$D$21:$D$39,'Bill Credit Rates'!$B195,'Program Inputs'!$E$21:$E$39,'Bill Credit Rates'!G$4)*1000,G194*(1+SUMIFS($Q:$Q,$N:$N,$A195,$O:$O,$B195,$P:$P,G$4)))</f>
        <v>115.67565536628939</v>
      </c>
      <c r="H195" s="33">
        <f>SUMIFS('Program Inputs'!$F$21:$F$39,'Program Inputs'!$C$21:$C$39,'Bill Credit Rates'!$A195,'Program Inputs'!$D$21:$D$39,'Bill Credit Rates'!$B195,'Program Inputs'!$E$21:$E$39,'Bill Credit Rates'!E$4)</f>
        <v>0.4</v>
      </c>
      <c r="I195" s="33">
        <f>SUMIFS('Program Inputs'!$F$21:$F$39,'Program Inputs'!$C$21:$C$39,'Bill Credit Rates'!$A195,'Program Inputs'!$D$21:$D$39,'Bill Credit Rates'!$B195,'Program Inputs'!$E$21:$E$39,'Bill Credit Rates'!F$4)</f>
        <v>0.1</v>
      </c>
      <c r="J195" s="33">
        <f>SUMIFS('Program Inputs'!$F$21:$F$39,'Program Inputs'!$C$21:$C$39,'Bill Credit Rates'!$A195,'Program Inputs'!$D$21:$D$39,'Bill Credit Rates'!$B195,'Program Inputs'!$E$21:$E$39,'Bill Credit Rates'!G$4)</f>
        <v>0.45</v>
      </c>
      <c r="K195" s="48">
        <f t="shared" si="18"/>
        <v>116.31829789610211</v>
      </c>
    </row>
    <row r="196" spans="1:11">
      <c r="A196" s="48" t="s">
        <v>13</v>
      </c>
      <c r="B196" s="48">
        <v>2</v>
      </c>
      <c r="C196" s="48">
        <v>26</v>
      </c>
      <c r="D196" s="48">
        <v>2044</v>
      </c>
      <c r="E196" s="48">
        <f>IF(OR($C196=0,AND($B196=2,$D196&lt;=2022)),SUMIFS('Program Inputs'!$I$21:$I$39,'Program Inputs'!$C$21:$C$39,'Bill Credit Rates'!$A196,'Program Inputs'!$D$21:$D$39,'Bill Credit Rates'!$B196,'Program Inputs'!$E$21:$E$39,'Bill Credit Rates'!E$4)*1000,E195*(1+SUMIFS($Q:$Q,$N:$N,$A196,$O:$O,$B196,$P:$P,E$4)))</f>
        <v>131.09907608179464</v>
      </c>
      <c r="F196" s="48">
        <f>IF(OR($C196=0,AND($B196=2,$D196&lt;=2022)),SUMIFS('Program Inputs'!$I$21:$I$39,'Program Inputs'!$C$21:$C$39,'Bill Credit Rates'!$A196,'Program Inputs'!$D$21:$D$39,'Bill Credit Rates'!$B196,'Program Inputs'!$E$21:$E$39,'Bill Credit Rates'!F$4)*1000,F195*(1+SUMIFS($Q:$Q,$N:$N,$A196,$O:$O,$B196,$P:$P,F$4)))</f>
        <v>131.09907608179464</v>
      </c>
      <c r="G196" s="48">
        <f>IF(OR($C196=0,AND($B196=2,$D196&lt;=2022)),SUMIFS('Program Inputs'!$I$21:$I$39,'Program Inputs'!$C$21:$C$39,'Bill Credit Rates'!$A196,'Program Inputs'!$D$21:$D$39,'Bill Credit Rates'!$B196,'Program Inputs'!$E$21:$E$39,'Bill Credit Rates'!G$4)*1000,G195*(1+SUMIFS($Q:$Q,$N:$N,$A196,$O:$O,$B196,$P:$P,G$4)))</f>
        <v>117.98916847361518</v>
      </c>
      <c r="H196" s="33">
        <f>SUMIFS('Program Inputs'!$F$21:$F$39,'Program Inputs'!$C$21:$C$39,'Bill Credit Rates'!$A196,'Program Inputs'!$D$21:$D$39,'Bill Credit Rates'!$B196,'Program Inputs'!$E$21:$E$39,'Bill Credit Rates'!E$4)</f>
        <v>0.4</v>
      </c>
      <c r="I196" s="33">
        <f>SUMIFS('Program Inputs'!$F$21:$F$39,'Program Inputs'!$C$21:$C$39,'Bill Credit Rates'!$A196,'Program Inputs'!$D$21:$D$39,'Bill Credit Rates'!$B196,'Program Inputs'!$E$21:$E$39,'Bill Credit Rates'!F$4)</f>
        <v>0.1</v>
      </c>
      <c r="J196" s="33">
        <f>SUMIFS('Program Inputs'!$F$21:$F$39,'Program Inputs'!$C$21:$C$39,'Bill Credit Rates'!$A196,'Program Inputs'!$D$21:$D$39,'Bill Credit Rates'!$B196,'Program Inputs'!$E$21:$E$39,'Bill Credit Rates'!G$4)</f>
        <v>0.45</v>
      </c>
      <c r="K196" s="48">
        <f t="shared" ref="K196" si="19">E196*H196+F196*I196+G196*J196</f>
        <v>118.64466385402415</v>
      </c>
    </row>
    <row r="197" spans="1:11">
      <c r="A197" s="48" t="s">
        <v>13</v>
      </c>
      <c r="B197" s="48">
        <v>2</v>
      </c>
      <c r="C197" s="48">
        <v>27</v>
      </c>
      <c r="D197" s="48">
        <v>2045</v>
      </c>
      <c r="E197" s="48">
        <f>IF(OR($C197=0,AND($B197=2,$D197&lt;=2022)),SUMIFS('Program Inputs'!$I$21:$I$39,'Program Inputs'!$C$21:$C$39,'Bill Credit Rates'!$A197,'Program Inputs'!$D$21:$D$39,'Bill Credit Rates'!$B197,'Program Inputs'!$E$21:$E$39,'Bill Credit Rates'!E$4)*1000,E196*(1+SUMIFS($Q:$Q,$N:$N,$A197,$O:$O,$B197,$P:$P,E$4)))</f>
        <v>133.72105760343052</v>
      </c>
      <c r="F197" s="48">
        <f>IF(OR($C197=0,AND($B197=2,$D197&lt;=2022)),SUMIFS('Program Inputs'!$I$21:$I$39,'Program Inputs'!$C$21:$C$39,'Bill Credit Rates'!$A197,'Program Inputs'!$D$21:$D$39,'Bill Credit Rates'!$B197,'Program Inputs'!$E$21:$E$39,'Bill Credit Rates'!F$4)*1000,F196*(1+SUMIFS($Q:$Q,$N:$N,$A197,$O:$O,$B197,$P:$P,F$4)))</f>
        <v>133.72105760343052</v>
      </c>
      <c r="G197" s="48">
        <f>IF(OR($C197=0,AND($B197=2,$D197&lt;=2022)),SUMIFS('Program Inputs'!$I$21:$I$39,'Program Inputs'!$C$21:$C$39,'Bill Credit Rates'!$A197,'Program Inputs'!$D$21:$D$39,'Bill Credit Rates'!$B197,'Program Inputs'!$E$21:$E$39,'Bill Credit Rates'!G$4)*1000,G196*(1+SUMIFS($Q:$Q,$N:$N,$A197,$O:$O,$B197,$P:$P,G$4)))</f>
        <v>120.34895184308749</v>
      </c>
      <c r="H197" s="33">
        <f>SUMIFS('Program Inputs'!$F$21:$F$39,'Program Inputs'!$C$21:$C$39,'Bill Credit Rates'!$A197,'Program Inputs'!$D$21:$D$39,'Bill Credit Rates'!$B197,'Program Inputs'!$E$21:$E$39,'Bill Credit Rates'!E$4)</f>
        <v>0.4</v>
      </c>
      <c r="I197" s="33">
        <f>SUMIFS('Program Inputs'!$F$21:$F$39,'Program Inputs'!$C$21:$C$39,'Bill Credit Rates'!$A197,'Program Inputs'!$D$21:$D$39,'Bill Credit Rates'!$B197,'Program Inputs'!$E$21:$E$39,'Bill Credit Rates'!F$4)</f>
        <v>0.1</v>
      </c>
      <c r="J197" s="33">
        <f>SUMIFS('Program Inputs'!$F$21:$F$39,'Program Inputs'!$C$21:$C$39,'Bill Credit Rates'!$A197,'Program Inputs'!$D$21:$D$39,'Bill Credit Rates'!$B197,'Program Inputs'!$E$21:$E$39,'Bill Credit Rates'!G$4)</f>
        <v>0.45</v>
      </c>
      <c r="K197" s="48">
        <f t="shared" ref="K197:K202" si="20">E197*H197+F197*I197+G197*J197</f>
        <v>121.01755713110464</v>
      </c>
    </row>
    <row r="198" spans="1:11">
      <c r="A198" s="48" t="s">
        <v>13</v>
      </c>
      <c r="B198" s="48">
        <v>2</v>
      </c>
      <c r="C198" s="48">
        <v>28</v>
      </c>
      <c r="D198" s="48">
        <v>2046</v>
      </c>
      <c r="E198" s="48">
        <f>IF(OR($C198=0,AND($B198=2,$D198&lt;=2022)),SUMIFS('Program Inputs'!$I$21:$I$39,'Program Inputs'!$C$21:$C$39,'Bill Credit Rates'!$A198,'Program Inputs'!$D$21:$D$39,'Bill Credit Rates'!$B198,'Program Inputs'!$E$21:$E$39,'Bill Credit Rates'!E$4)*1000,E197*(1+SUMIFS($Q:$Q,$N:$N,$A198,$O:$O,$B198,$P:$P,E$4)))</f>
        <v>136.39547875549914</v>
      </c>
      <c r="F198" s="48">
        <f>IF(OR($C198=0,AND($B198=2,$D198&lt;=2022)),SUMIFS('Program Inputs'!$I$21:$I$39,'Program Inputs'!$C$21:$C$39,'Bill Credit Rates'!$A198,'Program Inputs'!$D$21:$D$39,'Bill Credit Rates'!$B198,'Program Inputs'!$E$21:$E$39,'Bill Credit Rates'!F$4)*1000,F197*(1+SUMIFS($Q:$Q,$N:$N,$A198,$O:$O,$B198,$P:$P,F$4)))</f>
        <v>136.39547875549914</v>
      </c>
      <c r="G198" s="48">
        <f>IF(OR($C198=0,AND($B198=2,$D198&lt;=2022)),SUMIFS('Program Inputs'!$I$21:$I$39,'Program Inputs'!$C$21:$C$39,'Bill Credit Rates'!$A198,'Program Inputs'!$D$21:$D$39,'Bill Credit Rates'!$B198,'Program Inputs'!$E$21:$E$39,'Bill Credit Rates'!G$4)*1000,G197*(1+SUMIFS($Q:$Q,$N:$N,$A198,$O:$O,$B198,$P:$P,G$4)))</f>
        <v>122.75593087994925</v>
      </c>
      <c r="H198" s="33">
        <f>SUMIFS('Program Inputs'!$F$21:$F$39,'Program Inputs'!$C$21:$C$39,'Bill Credit Rates'!$A198,'Program Inputs'!$D$21:$D$39,'Bill Credit Rates'!$B198,'Program Inputs'!$E$21:$E$39,'Bill Credit Rates'!E$4)</f>
        <v>0.4</v>
      </c>
      <c r="I198" s="33">
        <f>SUMIFS('Program Inputs'!$F$21:$F$39,'Program Inputs'!$C$21:$C$39,'Bill Credit Rates'!$A198,'Program Inputs'!$D$21:$D$39,'Bill Credit Rates'!$B198,'Program Inputs'!$E$21:$E$39,'Bill Credit Rates'!F$4)</f>
        <v>0.1</v>
      </c>
      <c r="J198" s="33">
        <f>SUMIFS('Program Inputs'!$F$21:$F$39,'Program Inputs'!$C$21:$C$39,'Bill Credit Rates'!$A198,'Program Inputs'!$D$21:$D$39,'Bill Credit Rates'!$B198,'Program Inputs'!$E$21:$E$39,'Bill Credit Rates'!G$4)</f>
        <v>0.45</v>
      </c>
      <c r="K198" s="48">
        <f t="shared" si="20"/>
        <v>123.43790827372673</v>
      </c>
    </row>
    <row r="199" spans="1:11">
      <c r="A199" s="48" t="s">
        <v>13</v>
      </c>
      <c r="B199" s="48">
        <v>2</v>
      </c>
      <c r="C199" s="48">
        <v>29</v>
      </c>
      <c r="D199" s="48">
        <v>2047</v>
      </c>
      <c r="E199" s="48">
        <f>IF(OR($C199=0,AND($B199=2,$D199&lt;=2022)),SUMIFS('Program Inputs'!$I$21:$I$39,'Program Inputs'!$C$21:$C$39,'Bill Credit Rates'!$A199,'Program Inputs'!$D$21:$D$39,'Bill Credit Rates'!$B199,'Program Inputs'!$E$21:$E$39,'Bill Credit Rates'!E$4)*1000,E198*(1+SUMIFS($Q:$Q,$N:$N,$A199,$O:$O,$B199,$P:$P,E$4)))</f>
        <v>139.12338833060912</v>
      </c>
      <c r="F199" s="48">
        <f>IF(OR($C199=0,AND($B199=2,$D199&lt;=2022)),SUMIFS('Program Inputs'!$I$21:$I$39,'Program Inputs'!$C$21:$C$39,'Bill Credit Rates'!$A199,'Program Inputs'!$D$21:$D$39,'Bill Credit Rates'!$B199,'Program Inputs'!$E$21:$E$39,'Bill Credit Rates'!F$4)*1000,F198*(1+SUMIFS($Q:$Q,$N:$N,$A199,$O:$O,$B199,$P:$P,F$4)))</f>
        <v>139.12338833060912</v>
      </c>
      <c r="G199" s="48">
        <f>IF(OR($C199=0,AND($B199=2,$D199&lt;=2022)),SUMIFS('Program Inputs'!$I$21:$I$39,'Program Inputs'!$C$21:$C$39,'Bill Credit Rates'!$A199,'Program Inputs'!$D$21:$D$39,'Bill Credit Rates'!$B199,'Program Inputs'!$E$21:$E$39,'Bill Credit Rates'!G$4)*1000,G198*(1+SUMIFS($Q:$Q,$N:$N,$A199,$O:$O,$B199,$P:$P,G$4)))</f>
        <v>125.21104949754823</v>
      </c>
      <c r="H199" s="33">
        <f>SUMIFS('Program Inputs'!$F$21:$F$39,'Program Inputs'!$C$21:$C$39,'Bill Credit Rates'!$A199,'Program Inputs'!$D$21:$D$39,'Bill Credit Rates'!$B199,'Program Inputs'!$E$21:$E$39,'Bill Credit Rates'!E$4)</f>
        <v>0.4</v>
      </c>
      <c r="I199" s="33">
        <f>SUMIFS('Program Inputs'!$F$21:$F$39,'Program Inputs'!$C$21:$C$39,'Bill Credit Rates'!$A199,'Program Inputs'!$D$21:$D$39,'Bill Credit Rates'!$B199,'Program Inputs'!$E$21:$E$39,'Bill Credit Rates'!F$4)</f>
        <v>0.1</v>
      </c>
      <c r="J199" s="33">
        <f>SUMIFS('Program Inputs'!$F$21:$F$39,'Program Inputs'!$C$21:$C$39,'Bill Credit Rates'!$A199,'Program Inputs'!$D$21:$D$39,'Bill Credit Rates'!$B199,'Program Inputs'!$E$21:$E$39,'Bill Credit Rates'!G$4)</f>
        <v>0.45</v>
      </c>
      <c r="K199" s="48">
        <f t="shared" si="20"/>
        <v>125.90666643920127</v>
      </c>
    </row>
    <row r="200" spans="1:11">
      <c r="A200" s="48" t="s">
        <v>13</v>
      </c>
      <c r="B200" s="48">
        <v>2</v>
      </c>
      <c r="C200" s="48">
        <v>30</v>
      </c>
      <c r="D200" s="48">
        <v>2048</v>
      </c>
      <c r="E200" s="48">
        <f>IF(OR($C200=0,AND($B200=2,$D200&lt;=2022)),SUMIFS('Program Inputs'!$I$21:$I$39,'Program Inputs'!$C$21:$C$39,'Bill Credit Rates'!$A200,'Program Inputs'!$D$21:$D$39,'Bill Credit Rates'!$B200,'Program Inputs'!$E$21:$E$39,'Bill Credit Rates'!E$4)*1000,E199*(1+SUMIFS($Q:$Q,$N:$N,$A200,$O:$O,$B200,$P:$P,E$4)))</f>
        <v>141.90585609722129</v>
      </c>
      <c r="F200" s="48">
        <f>IF(OR($C200=0,AND($B200=2,$D200&lt;=2022)),SUMIFS('Program Inputs'!$I$21:$I$39,'Program Inputs'!$C$21:$C$39,'Bill Credit Rates'!$A200,'Program Inputs'!$D$21:$D$39,'Bill Credit Rates'!$B200,'Program Inputs'!$E$21:$E$39,'Bill Credit Rates'!F$4)*1000,F199*(1+SUMIFS($Q:$Q,$N:$N,$A200,$O:$O,$B200,$P:$P,F$4)))</f>
        <v>141.90585609722129</v>
      </c>
      <c r="G200" s="48">
        <f>IF(OR($C200=0,AND($B200=2,$D200&lt;=2022)),SUMIFS('Program Inputs'!$I$21:$I$39,'Program Inputs'!$C$21:$C$39,'Bill Credit Rates'!$A200,'Program Inputs'!$D$21:$D$39,'Bill Credit Rates'!$B200,'Program Inputs'!$E$21:$E$39,'Bill Credit Rates'!G$4)*1000,G199*(1+SUMIFS($Q:$Q,$N:$N,$A200,$O:$O,$B200,$P:$P,G$4)))</f>
        <v>127.7152704874992</v>
      </c>
      <c r="H200" s="33">
        <f>SUMIFS('Program Inputs'!$F$21:$F$39,'Program Inputs'!$C$21:$C$39,'Bill Credit Rates'!$A200,'Program Inputs'!$D$21:$D$39,'Bill Credit Rates'!$B200,'Program Inputs'!$E$21:$E$39,'Bill Credit Rates'!E$4)</f>
        <v>0.4</v>
      </c>
      <c r="I200" s="33">
        <f>SUMIFS('Program Inputs'!$F$21:$F$39,'Program Inputs'!$C$21:$C$39,'Bill Credit Rates'!$A200,'Program Inputs'!$D$21:$D$39,'Bill Credit Rates'!$B200,'Program Inputs'!$E$21:$E$39,'Bill Credit Rates'!F$4)</f>
        <v>0.1</v>
      </c>
      <c r="J200" s="33">
        <f>SUMIFS('Program Inputs'!$F$21:$F$39,'Program Inputs'!$C$21:$C$39,'Bill Credit Rates'!$A200,'Program Inputs'!$D$21:$D$39,'Bill Credit Rates'!$B200,'Program Inputs'!$E$21:$E$39,'Bill Credit Rates'!G$4)</f>
        <v>0.45</v>
      </c>
      <c r="K200" s="48">
        <f t="shared" si="20"/>
        <v>128.42479976798529</v>
      </c>
    </row>
    <row r="201" spans="1:11">
      <c r="A201" s="48" t="s">
        <v>13</v>
      </c>
      <c r="B201" s="48">
        <v>2</v>
      </c>
      <c r="C201" s="48">
        <v>31</v>
      </c>
      <c r="D201" s="48">
        <v>2049</v>
      </c>
      <c r="E201" s="48">
        <f>IF(OR($C201=0,AND($B201=2,$D201&lt;=2022)),SUMIFS('Program Inputs'!$I$21:$I$39,'Program Inputs'!$C$21:$C$39,'Bill Credit Rates'!$A201,'Program Inputs'!$D$21:$D$39,'Bill Credit Rates'!$B201,'Program Inputs'!$E$21:$E$39,'Bill Credit Rates'!E$4)*1000,E200*(1+SUMIFS($Q:$Q,$N:$N,$A201,$O:$O,$B201,$P:$P,E$4)))</f>
        <v>144.74397321916572</v>
      </c>
      <c r="F201" s="48">
        <f>IF(OR($C201=0,AND($B201=2,$D201&lt;=2022)),SUMIFS('Program Inputs'!$I$21:$I$39,'Program Inputs'!$C$21:$C$39,'Bill Credit Rates'!$A201,'Program Inputs'!$D$21:$D$39,'Bill Credit Rates'!$B201,'Program Inputs'!$E$21:$E$39,'Bill Credit Rates'!F$4)*1000,F200*(1+SUMIFS($Q:$Q,$N:$N,$A201,$O:$O,$B201,$P:$P,F$4)))</f>
        <v>144.74397321916572</v>
      </c>
      <c r="G201" s="48">
        <f>IF(OR($C201=0,AND($B201=2,$D201&lt;=2022)),SUMIFS('Program Inputs'!$I$21:$I$39,'Program Inputs'!$C$21:$C$39,'Bill Credit Rates'!$A201,'Program Inputs'!$D$21:$D$39,'Bill Credit Rates'!$B201,'Program Inputs'!$E$21:$E$39,'Bill Credit Rates'!G$4)*1000,G200*(1+SUMIFS($Q:$Q,$N:$N,$A201,$O:$O,$B201,$P:$P,G$4)))</f>
        <v>130.26957589724918</v>
      </c>
      <c r="H201" s="33">
        <f>SUMIFS('Program Inputs'!$F$21:$F$39,'Program Inputs'!$C$21:$C$39,'Bill Credit Rates'!$A201,'Program Inputs'!$D$21:$D$39,'Bill Credit Rates'!$B201,'Program Inputs'!$E$21:$E$39,'Bill Credit Rates'!E$4)</f>
        <v>0.4</v>
      </c>
      <c r="I201" s="33">
        <f>SUMIFS('Program Inputs'!$F$21:$F$39,'Program Inputs'!$C$21:$C$39,'Bill Credit Rates'!$A201,'Program Inputs'!$D$21:$D$39,'Bill Credit Rates'!$B201,'Program Inputs'!$E$21:$E$39,'Bill Credit Rates'!F$4)</f>
        <v>0.1</v>
      </c>
      <c r="J201" s="33">
        <f>SUMIFS('Program Inputs'!$F$21:$F$39,'Program Inputs'!$C$21:$C$39,'Bill Credit Rates'!$A201,'Program Inputs'!$D$21:$D$39,'Bill Credit Rates'!$B201,'Program Inputs'!$E$21:$E$39,'Bill Credit Rates'!G$4)</f>
        <v>0.45</v>
      </c>
      <c r="K201" s="48">
        <f t="shared" si="20"/>
        <v>130.993295763345</v>
      </c>
    </row>
    <row r="202" spans="1:11">
      <c r="A202" s="48" t="s">
        <v>13</v>
      </c>
      <c r="B202" s="48">
        <v>2</v>
      </c>
      <c r="C202" s="48">
        <v>32</v>
      </c>
      <c r="D202" s="48">
        <v>2050</v>
      </c>
      <c r="E202" s="48">
        <f>IF(OR($C202=0,AND($B202=2,$D202&lt;=2022)),SUMIFS('Program Inputs'!$I$21:$I$39,'Program Inputs'!$C$21:$C$39,'Bill Credit Rates'!$A202,'Program Inputs'!$D$21:$D$39,'Bill Credit Rates'!$B202,'Program Inputs'!$E$21:$E$39,'Bill Credit Rates'!E$4)*1000,E201*(1+SUMIFS($Q:$Q,$N:$N,$A202,$O:$O,$B202,$P:$P,E$4)))</f>
        <v>147.63885268354903</v>
      </c>
      <c r="F202" s="48">
        <f>IF(OR($C202=0,AND($B202=2,$D202&lt;=2022)),SUMIFS('Program Inputs'!$I$21:$I$39,'Program Inputs'!$C$21:$C$39,'Bill Credit Rates'!$A202,'Program Inputs'!$D$21:$D$39,'Bill Credit Rates'!$B202,'Program Inputs'!$E$21:$E$39,'Bill Credit Rates'!F$4)*1000,F201*(1+SUMIFS($Q:$Q,$N:$N,$A202,$O:$O,$B202,$P:$P,F$4)))</f>
        <v>147.63885268354903</v>
      </c>
      <c r="G202" s="48">
        <f>IF(OR($C202=0,AND($B202=2,$D202&lt;=2022)),SUMIFS('Program Inputs'!$I$21:$I$39,'Program Inputs'!$C$21:$C$39,'Bill Credit Rates'!$A202,'Program Inputs'!$D$21:$D$39,'Bill Credit Rates'!$B202,'Program Inputs'!$E$21:$E$39,'Bill Credit Rates'!G$4)*1000,G201*(1+SUMIFS($Q:$Q,$N:$N,$A202,$O:$O,$B202,$P:$P,G$4)))</f>
        <v>132.87496741519416</v>
      </c>
      <c r="H202" s="33">
        <f>SUMIFS('Program Inputs'!$F$21:$F$39,'Program Inputs'!$C$21:$C$39,'Bill Credit Rates'!$A202,'Program Inputs'!$D$21:$D$39,'Bill Credit Rates'!$B202,'Program Inputs'!$E$21:$E$39,'Bill Credit Rates'!E$4)</f>
        <v>0.4</v>
      </c>
      <c r="I202" s="33">
        <f>SUMIFS('Program Inputs'!$F$21:$F$39,'Program Inputs'!$C$21:$C$39,'Bill Credit Rates'!$A202,'Program Inputs'!$D$21:$D$39,'Bill Credit Rates'!$B202,'Program Inputs'!$E$21:$E$39,'Bill Credit Rates'!F$4)</f>
        <v>0.1</v>
      </c>
      <c r="J202" s="33">
        <f>SUMIFS('Program Inputs'!$F$21:$F$39,'Program Inputs'!$C$21:$C$39,'Bill Credit Rates'!$A202,'Program Inputs'!$D$21:$D$39,'Bill Credit Rates'!$B202,'Program Inputs'!$E$21:$E$39,'Bill Credit Rates'!G$4)</f>
        <v>0.45</v>
      </c>
      <c r="K202" s="48">
        <f t="shared" si="20"/>
        <v>133.6131616786119</v>
      </c>
    </row>
  </sheetData>
  <mergeCells count="2">
    <mergeCell ref="E3:G3"/>
    <mergeCell ref="H3:J3"/>
  </mergeCells>
  <pageMargins left="0.7" right="0.7" top="0.75" bottom="0.75" header="0.3" footer="0.3"/>
  <headerFooter>
    <oddFooter>&amp;C_x000D_&amp;1#&amp;"Calibri"&amp;10&amp;K000000 Level 3 - Restricted</oddFooter>
  </headerFooter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854F-E76C-4DCE-872E-043F291D41F0}">
  <sheetPr codeName="Sheet37">
    <tabColor theme="4" tint="0.39997558519241921"/>
  </sheetPr>
  <dimension ref="A1:AB86"/>
  <sheetViews>
    <sheetView topLeftCell="C2" workbookViewId="0">
      <selection activeCell="K8" sqref="K8"/>
    </sheetView>
  </sheetViews>
  <sheetFormatPr defaultRowHeight="15"/>
  <cols>
    <col min="1" max="1" width="16.42578125" hidden="1" customWidth="1"/>
    <col min="2" max="2" width="22.5703125" hidden="1" customWidth="1"/>
    <col min="3" max="14" width="18.42578125" customWidth="1"/>
    <col min="15" max="15" width="18.42578125" style="35" customWidth="1"/>
    <col min="16" max="24" width="18.42578125" customWidth="1"/>
    <col min="25" max="25" width="29.5703125" customWidth="1"/>
    <col min="26" max="26" width="41.5703125" customWidth="1"/>
    <col min="27" max="28" width="18.42578125" customWidth="1"/>
  </cols>
  <sheetData>
    <row r="1" spans="1:28" hidden="1">
      <c r="B1" t="s">
        <v>200</v>
      </c>
      <c r="C1" s="227"/>
      <c r="D1" s="9"/>
      <c r="F1" s="9"/>
      <c r="G1" s="9"/>
      <c r="M1" s="225">
        <f ca="1">TODAY()</f>
        <v>46248</v>
      </c>
      <c r="N1" s="227"/>
      <c r="O1" s="320"/>
      <c r="P1" s="9"/>
      <c r="Y1" s="9"/>
      <c r="Z1" s="9"/>
      <c r="AA1" s="9"/>
      <c r="AB1" s="9"/>
    </row>
    <row r="2" spans="1:28" ht="23.25" customHeight="1">
      <c r="B2" t="b">
        <f>COUNTIF(E7:E200,"&lt;&gt;")=COUNTIF('PA Fees by Project'!E4:E201,"&lt;&gt;")</f>
        <v>1</v>
      </c>
      <c r="C2" s="230"/>
      <c r="D2" s="224"/>
      <c r="E2" s="224"/>
      <c r="F2" s="314"/>
      <c r="H2" s="314"/>
      <c r="I2" s="314"/>
      <c r="J2" s="229"/>
      <c r="K2" s="229"/>
      <c r="L2" s="229"/>
      <c r="M2" s="224"/>
      <c r="N2" s="228"/>
      <c r="O2" s="259"/>
      <c r="P2" s="228"/>
      <c r="Q2" s="228"/>
      <c r="R2" s="259"/>
      <c r="S2" s="314"/>
      <c r="T2" s="314"/>
      <c r="U2" s="314"/>
      <c r="V2" s="314"/>
      <c r="W2" s="314"/>
      <c r="X2" s="226"/>
      <c r="Y2" s="226"/>
      <c r="Z2" s="226" t="s">
        <v>201</v>
      </c>
      <c r="AA2" s="226"/>
      <c r="AB2" s="226"/>
    </row>
    <row r="3" spans="1:28" ht="23.25">
      <c r="A3" s="263"/>
      <c r="B3" s="263"/>
      <c r="C3" s="230"/>
      <c r="D3" s="224"/>
      <c r="E3" s="314" t="s">
        <v>202</v>
      </c>
      <c r="F3" s="315"/>
      <c r="G3" s="316"/>
      <c r="H3" s="228"/>
      <c r="I3" s="228"/>
      <c r="J3" s="228"/>
      <c r="K3" s="228"/>
      <c r="L3" s="228"/>
      <c r="M3" s="224"/>
      <c r="N3" s="228"/>
      <c r="O3" s="259"/>
      <c r="P3" s="228"/>
      <c r="Q3" s="228"/>
      <c r="R3" s="259"/>
      <c r="S3" s="228"/>
      <c r="T3" s="259"/>
      <c r="U3" s="259"/>
      <c r="V3" s="259"/>
      <c r="W3" s="259"/>
      <c r="X3" s="259"/>
      <c r="Y3" s="259"/>
      <c r="Z3" s="226"/>
      <c r="AA3" s="226"/>
      <c r="AB3" s="226"/>
    </row>
    <row r="4" spans="1:28" ht="23.25">
      <c r="A4" s="263"/>
      <c r="B4" s="263"/>
      <c r="C4" s="230"/>
      <c r="D4" s="224"/>
      <c r="E4" s="224"/>
      <c r="F4" s="242"/>
      <c r="G4" s="242"/>
      <c r="H4" s="242"/>
      <c r="I4" s="229"/>
      <c r="J4" s="229"/>
      <c r="K4" s="229"/>
      <c r="L4" s="229"/>
      <c r="M4" s="224"/>
      <c r="N4" s="228"/>
      <c r="O4" s="259"/>
      <c r="P4" s="228"/>
      <c r="Q4" s="228"/>
      <c r="R4" s="259"/>
      <c r="S4" s="228"/>
      <c r="T4" s="226"/>
      <c r="U4" s="226"/>
      <c r="V4" s="226"/>
      <c r="W4" s="226"/>
      <c r="X4" s="226"/>
      <c r="Y4" s="226"/>
      <c r="Z4" s="226"/>
      <c r="AA4" s="226"/>
      <c r="AB4" s="226"/>
    </row>
    <row r="5" spans="1:28" ht="23.25">
      <c r="A5" s="263"/>
      <c r="B5" s="263"/>
      <c r="C5" s="232"/>
      <c r="D5" s="233"/>
      <c r="E5" s="233"/>
      <c r="F5" s="234"/>
      <c r="G5" s="234"/>
      <c r="H5" s="235"/>
      <c r="I5" s="236"/>
      <c r="J5" s="236"/>
      <c r="K5" s="236"/>
      <c r="L5" s="236"/>
      <c r="M5" s="233"/>
      <c r="N5" s="237"/>
      <c r="O5" s="317"/>
      <c r="P5" s="237"/>
      <c r="Q5" s="237"/>
      <c r="R5" s="237"/>
      <c r="S5" s="237"/>
      <c r="T5" s="238"/>
      <c r="U5" s="238"/>
      <c r="V5" s="238"/>
      <c r="W5" s="238"/>
      <c r="X5" s="238"/>
      <c r="Y5" s="238"/>
      <c r="Z5" s="238"/>
      <c r="AA5" s="238"/>
      <c r="AB5" s="238"/>
    </row>
    <row r="6" spans="1:28" ht="105">
      <c r="A6" s="264" t="s">
        <v>203</v>
      </c>
      <c r="B6" s="264" t="s">
        <v>204</v>
      </c>
      <c r="C6" s="239" t="s">
        <v>205</v>
      </c>
      <c r="D6" s="240" t="s">
        <v>79</v>
      </c>
      <c r="E6" s="241" t="s">
        <v>105</v>
      </c>
      <c r="F6" s="240" t="s">
        <v>206</v>
      </c>
      <c r="G6" s="240" t="s">
        <v>107</v>
      </c>
      <c r="H6" s="240" t="s">
        <v>207</v>
      </c>
      <c r="I6" s="240" t="s">
        <v>208</v>
      </c>
      <c r="J6" s="240" t="s">
        <v>92</v>
      </c>
      <c r="K6" s="240" t="s">
        <v>80</v>
      </c>
      <c r="L6" s="240" t="s">
        <v>209</v>
      </c>
      <c r="M6" s="240" t="s">
        <v>210</v>
      </c>
      <c r="N6" s="239" t="s">
        <v>211</v>
      </c>
      <c r="O6" s="318" t="s">
        <v>212</v>
      </c>
      <c r="P6" s="240" t="s">
        <v>213</v>
      </c>
      <c r="Q6" s="240" t="s">
        <v>214</v>
      </c>
      <c r="R6" s="240" t="s">
        <v>215</v>
      </c>
      <c r="S6" s="240" t="s">
        <v>216</v>
      </c>
      <c r="T6" s="240" t="s">
        <v>217</v>
      </c>
      <c r="U6" s="240" t="s">
        <v>218</v>
      </c>
      <c r="V6" s="239" t="s">
        <v>219</v>
      </c>
      <c r="W6" s="239" t="s">
        <v>220</v>
      </c>
      <c r="X6" s="240" t="s">
        <v>221</v>
      </c>
      <c r="Y6" s="240" t="s">
        <v>222</v>
      </c>
      <c r="Z6" s="240" t="s">
        <v>223</v>
      </c>
      <c r="AA6" s="240" t="s">
        <v>224</v>
      </c>
      <c r="AB6" s="240" t="s">
        <v>225</v>
      </c>
    </row>
    <row r="7" spans="1:28" ht="57.75">
      <c r="A7" s="263" t="str">
        <f>IF(ISNA(MATCH(E7,'Project Operational Timelines'!C:C,0)),"Missing","Present")</f>
        <v>Present</v>
      </c>
      <c r="B7" s="263" t="str">
        <f>IF(ISNA(MATCH(E7,'PA Fees by Project'!E:E,0)),"Missing","Present")</f>
        <v>Present</v>
      </c>
      <c r="C7" s="246" t="s">
        <v>226</v>
      </c>
      <c r="D7" s="245" t="s">
        <v>12</v>
      </c>
      <c r="E7" s="231" t="s">
        <v>170</v>
      </c>
      <c r="F7" s="245" t="s">
        <v>227</v>
      </c>
      <c r="G7" s="245" t="s">
        <v>228</v>
      </c>
      <c r="H7" s="245" t="s">
        <v>229</v>
      </c>
      <c r="I7" s="245" t="s">
        <v>230</v>
      </c>
      <c r="J7" s="247">
        <v>2</v>
      </c>
      <c r="K7" s="245" t="s">
        <v>83</v>
      </c>
      <c r="L7" s="243">
        <v>951</v>
      </c>
      <c r="M7" s="248">
        <v>44666</v>
      </c>
      <c r="N7" s="249" t="s">
        <v>231</v>
      </c>
      <c r="O7" s="249" t="s">
        <v>228</v>
      </c>
      <c r="P7" s="249">
        <v>45720</v>
      </c>
      <c r="Q7" s="250">
        <f ca="1">IF(G7&lt;&gt;"Operational",($M$1-M7)/30.4, G7)</f>
        <v>52.039473684210527</v>
      </c>
      <c r="R7" s="250" t="s">
        <v>232</v>
      </c>
      <c r="S7" s="250">
        <f t="shared" ref="S7:S70" si="0">IF(G7&lt;&gt;"Pre-Certified",ROUND((P7-M7)/30.4, 0), "Not Yet Certified")</f>
        <v>35</v>
      </c>
      <c r="T7" s="247" t="s">
        <v>233</v>
      </c>
      <c r="U7" s="251">
        <v>45785</v>
      </c>
      <c r="V7" s="252">
        <f t="shared" ref="V7:V27" si="1">IF(U7="Data Not Available","Data Not Available",ROUND((U7-M7)/30.4,))</f>
        <v>37</v>
      </c>
      <c r="W7" s="254" t="s">
        <v>83</v>
      </c>
      <c r="X7" s="231" t="s">
        <v>84</v>
      </c>
      <c r="Y7" s="245" t="s">
        <v>234</v>
      </c>
      <c r="Z7" s="245" t="s">
        <v>235</v>
      </c>
      <c r="AA7" s="244" t="s">
        <v>236</v>
      </c>
      <c r="AB7" s="245" t="s">
        <v>237</v>
      </c>
    </row>
    <row r="8" spans="1:28" ht="29.25">
      <c r="A8" s="263" t="str">
        <f>IF(ISNA(MATCH(E8,'Project Operational Timelines'!C:C,0)),"Missing","Present")</f>
        <v>Present</v>
      </c>
      <c r="B8" s="263" t="str">
        <f>IF(ISNA(MATCH(E8,'PA Fees by Project'!E:E,0)),"Missing","Present")</f>
        <v>Present</v>
      </c>
      <c r="C8" s="246" t="s">
        <v>238</v>
      </c>
      <c r="D8" s="245" t="s">
        <v>12</v>
      </c>
      <c r="E8" s="231" t="s">
        <v>175</v>
      </c>
      <c r="F8" s="245" t="s">
        <v>239</v>
      </c>
      <c r="G8" s="245" t="s">
        <v>240</v>
      </c>
      <c r="H8" s="245" t="s">
        <v>241</v>
      </c>
      <c r="I8" s="245" t="s">
        <v>242</v>
      </c>
      <c r="J8" s="247">
        <v>2</v>
      </c>
      <c r="K8" s="245" t="s">
        <v>84</v>
      </c>
      <c r="L8" s="243">
        <v>1375</v>
      </c>
      <c r="M8" s="248">
        <v>45604</v>
      </c>
      <c r="N8" s="249" t="s">
        <v>243</v>
      </c>
      <c r="O8" s="249">
        <v>46150</v>
      </c>
      <c r="P8" s="249" t="s">
        <v>244</v>
      </c>
      <c r="Q8" s="250">
        <f t="shared" ref="Q8:Q71" ca="1" si="2">IF(G8&lt;&gt;"Operational",($M$1-M8)/30.4, G8)</f>
        <v>21.184210526315791</v>
      </c>
      <c r="R8" s="250" t="s">
        <v>232</v>
      </c>
      <c r="S8" s="250" t="str">
        <f t="shared" si="0"/>
        <v>Not Yet Certified</v>
      </c>
      <c r="T8" s="247" t="s">
        <v>245</v>
      </c>
      <c r="U8" s="251">
        <v>46107</v>
      </c>
      <c r="V8" s="252">
        <f t="shared" si="1"/>
        <v>17</v>
      </c>
      <c r="W8" s="254" t="s">
        <v>83</v>
      </c>
      <c r="X8" s="231" t="s">
        <v>84</v>
      </c>
      <c r="Y8" s="245" t="s">
        <v>83</v>
      </c>
      <c r="Z8" s="245" t="s">
        <v>83</v>
      </c>
      <c r="AA8" s="244" t="s">
        <v>246</v>
      </c>
      <c r="AB8" s="245" t="s">
        <v>247</v>
      </c>
    </row>
    <row r="9" spans="1:28" ht="43.5">
      <c r="A9" s="263" t="str">
        <f>IF(ISNA(MATCH(E9,'Project Operational Timelines'!C:C,0)),"Missing","Present")</f>
        <v>Present</v>
      </c>
      <c r="B9" s="263" t="str">
        <f>IF(ISNA(MATCH(E9,'PA Fees by Project'!E:E,0)),"Missing","Present")</f>
        <v>Present</v>
      </c>
      <c r="C9" s="246" t="s">
        <v>248</v>
      </c>
      <c r="D9" s="245" t="s">
        <v>12</v>
      </c>
      <c r="E9" s="231" t="s">
        <v>133</v>
      </c>
      <c r="F9" s="245" t="s">
        <v>249</v>
      </c>
      <c r="G9" s="245" t="s">
        <v>250</v>
      </c>
      <c r="H9" s="245" t="s">
        <v>229</v>
      </c>
      <c r="I9" s="245" t="s">
        <v>230</v>
      </c>
      <c r="J9" s="247">
        <v>2</v>
      </c>
      <c r="K9" s="245" t="s">
        <v>83</v>
      </c>
      <c r="L9" s="243">
        <v>2250</v>
      </c>
      <c r="M9" s="248">
        <v>44666</v>
      </c>
      <c r="N9" s="249" t="s">
        <v>251</v>
      </c>
      <c r="O9" s="249" t="s">
        <v>250</v>
      </c>
      <c r="P9" s="249">
        <v>45455</v>
      </c>
      <c r="Q9" s="250" t="str">
        <f t="shared" si="2"/>
        <v>Operational</v>
      </c>
      <c r="R9" s="251">
        <v>45555</v>
      </c>
      <c r="S9" s="250">
        <f t="shared" si="0"/>
        <v>26</v>
      </c>
      <c r="T9" s="247" t="s">
        <v>252</v>
      </c>
      <c r="U9" s="251">
        <v>45464</v>
      </c>
      <c r="V9" s="252">
        <f t="shared" si="1"/>
        <v>26</v>
      </c>
      <c r="W9" s="254" t="s">
        <v>83</v>
      </c>
      <c r="X9" s="231" t="s">
        <v>84</v>
      </c>
      <c r="Y9" s="245" t="s">
        <v>253</v>
      </c>
      <c r="Z9" s="245" t="s">
        <v>254</v>
      </c>
      <c r="AA9" s="244" t="s">
        <v>255</v>
      </c>
      <c r="AB9" s="245" t="s">
        <v>237</v>
      </c>
    </row>
    <row r="10" spans="1:28" ht="43.5">
      <c r="A10" s="263" t="str">
        <f>IF(ISNA(MATCH(E10,'Project Operational Timelines'!C:C,0)),"Missing","Present")</f>
        <v>Present</v>
      </c>
      <c r="B10" s="263" t="str">
        <f>IF(ISNA(MATCH(E10,'PA Fees by Project'!E:E,0)),"Missing","Present")</f>
        <v>Present</v>
      </c>
      <c r="C10" s="246" t="s">
        <v>256</v>
      </c>
      <c r="D10" s="245" t="s">
        <v>11</v>
      </c>
      <c r="E10" s="231" t="s">
        <v>144</v>
      </c>
      <c r="F10" s="245" t="s">
        <v>257</v>
      </c>
      <c r="G10" s="245" t="s">
        <v>240</v>
      </c>
      <c r="H10" s="245" t="s">
        <v>258</v>
      </c>
      <c r="I10" s="245" t="s">
        <v>259</v>
      </c>
      <c r="J10" s="247">
        <v>2</v>
      </c>
      <c r="K10" s="245" t="s">
        <v>83</v>
      </c>
      <c r="L10" s="243">
        <v>2500</v>
      </c>
      <c r="M10" s="248">
        <v>45122</v>
      </c>
      <c r="N10" s="249" t="s">
        <v>260</v>
      </c>
      <c r="O10" s="248">
        <v>45925</v>
      </c>
      <c r="P10" s="249" t="s">
        <v>244</v>
      </c>
      <c r="Q10" s="250">
        <f t="shared" ca="1" si="2"/>
        <v>37.039473684210527</v>
      </c>
      <c r="R10" s="250" t="s">
        <v>232</v>
      </c>
      <c r="S10" s="250" t="str">
        <f t="shared" si="0"/>
        <v>Not Yet Certified</v>
      </c>
      <c r="T10" s="249" t="s">
        <v>261</v>
      </c>
      <c r="U10" s="249">
        <v>45925</v>
      </c>
      <c r="V10" s="252">
        <f t="shared" si="1"/>
        <v>26</v>
      </c>
      <c r="W10" s="253" t="s">
        <v>83</v>
      </c>
      <c r="X10" s="231" t="s">
        <v>84</v>
      </c>
      <c r="Y10" s="245" t="s">
        <v>262</v>
      </c>
      <c r="Z10" s="245" t="s">
        <v>262</v>
      </c>
      <c r="AA10" s="244" t="s">
        <v>263</v>
      </c>
      <c r="AB10" s="245" t="s">
        <v>237</v>
      </c>
    </row>
    <row r="11" spans="1:28" ht="29.25">
      <c r="A11" s="263" t="str">
        <f>IF(ISNA(MATCH(E11,'Project Operational Timelines'!C:C,0)),"Missing","Present")</f>
        <v>Present</v>
      </c>
      <c r="B11" s="263" t="str">
        <f>IF(ISNA(MATCH(E11,'PA Fees by Project'!E:E,0)),"Missing","Present")</f>
        <v>Present</v>
      </c>
      <c r="C11" s="246" t="s">
        <v>264</v>
      </c>
      <c r="D11" s="245" t="s">
        <v>11</v>
      </c>
      <c r="E11" s="231" t="s">
        <v>162</v>
      </c>
      <c r="F11" s="245" t="s">
        <v>265</v>
      </c>
      <c r="G11" s="245" t="s">
        <v>250</v>
      </c>
      <c r="H11" s="245" t="s">
        <v>266</v>
      </c>
      <c r="I11" s="245" t="s">
        <v>267</v>
      </c>
      <c r="J11" s="247">
        <v>2</v>
      </c>
      <c r="K11" s="245" t="s">
        <v>83</v>
      </c>
      <c r="L11" s="243">
        <v>2970</v>
      </c>
      <c r="M11" s="248">
        <v>44666</v>
      </c>
      <c r="N11" s="249" t="s">
        <v>268</v>
      </c>
      <c r="O11" s="249" t="s">
        <v>250</v>
      </c>
      <c r="P11" s="249">
        <v>45468</v>
      </c>
      <c r="Q11" s="250" t="str">
        <f t="shared" si="2"/>
        <v>Operational</v>
      </c>
      <c r="R11" s="251">
        <v>45474</v>
      </c>
      <c r="S11" s="250">
        <f t="shared" si="0"/>
        <v>26</v>
      </c>
      <c r="T11" s="249">
        <v>44727</v>
      </c>
      <c r="U11" s="249">
        <v>45275</v>
      </c>
      <c r="V11" s="252">
        <f t="shared" si="1"/>
        <v>20</v>
      </c>
      <c r="W11" s="253" t="s">
        <v>83</v>
      </c>
      <c r="X11" s="231" t="s">
        <v>84</v>
      </c>
      <c r="Y11" s="245" t="s">
        <v>269</v>
      </c>
      <c r="Z11" s="245" t="s">
        <v>270</v>
      </c>
      <c r="AA11" s="244" t="s">
        <v>271</v>
      </c>
      <c r="AB11" s="245" t="s">
        <v>237</v>
      </c>
    </row>
    <row r="12" spans="1:28" ht="72">
      <c r="A12" s="263" t="str">
        <f>IF(ISNA(MATCH(E12,'Project Operational Timelines'!C:C,0)),"Missing","Present")</f>
        <v>Present</v>
      </c>
      <c r="B12" s="263" t="str">
        <f>IF(ISNA(MATCH(E12,'PA Fees by Project'!E:E,0)),"Missing","Present")</f>
        <v>Present</v>
      </c>
      <c r="C12" s="246" t="s">
        <v>272</v>
      </c>
      <c r="D12" s="245" t="s">
        <v>11</v>
      </c>
      <c r="E12" s="231" t="s">
        <v>161</v>
      </c>
      <c r="F12" s="245" t="s">
        <v>273</v>
      </c>
      <c r="G12" s="245" t="s">
        <v>250</v>
      </c>
      <c r="H12" s="245" t="s">
        <v>274</v>
      </c>
      <c r="I12" s="245" t="s">
        <v>230</v>
      </c>
      <c r="J12" s="247">
        <v>1</v>
      </c>
      <c r="K12" s="245" t="s">
        <v>83</v>
      </c>
      <c r="L12" s="243">
        <v>2970</v>
      </c>
      <c r="M12" s="248">
        <v>43948</v>
      </c>
      <c r="N12" s="249" t="s">
        <v>275</v>
      </c>
      <c r="O12" s="249" t="s">
        <v>250</v>
      </c>
      <c r="P12" s="249">
        <v>45637</v>
      </c>
      <c r="Q12" s="250" t="str">
        <f t="shared" si="2"/>
        <v>Operational</v>
      </c>
      <c r="R12" s="251">
        <v>45642</v>
      </c>
      <c r="S12" s="250">
        <f t="shared" si="0"/>
        <v>56</v>
      </c>
      <c r="T12" s="249" t="s">
        <v>276</v>
      </c>
      <c r="U12" s="249">
        <v>45499</v>
      </c>
      <c r="V12" s="252">
        <f t="shared" si="1"/>
        <v>51</v>
      </c>
      <c r="W12" s="253" t="s">
        <v>83</v>
      </c>
      <c r="X12" s="245" t="s">
        <v>84</v>
      </c>
      <c r="Y12" s="245" t="s">
        <v>277</v>
      </c>
      <c r="Z12" s="245" t="s">
        <v>278</v>
      </c>
      <c r="AA12" s="244" t="s">
        <v>279</v>
      </c>
      <c r="AB12" s="245" t="s">
        <v>237</v>
      </c>
    </row>
    <row r="13" spans="1:28" ht="29.25">
      <c r="A13" s="263" t="str">
        <f>IF(ISNA(MATCH(E13,'Project Operational Timelines'!C:C,0)),"Missing","Present")</f>
        <v>Present</v>
      </c>
      <c r="B13" s="263" t="str">
        <f>IF(ISNA(MATCH(E13,'PA Fees by Project'!E:E,0)),"Missing","Present")</f>
        <v>Present</v>
      </c>
      <c r="C13" s="246" t="s">
        <v>280</v>
      </c>
      <c r="D13" s="245" t="s">
        <v>12</v>
      </c>
      <c r="E13" s="231" t="s">
        <v>172</v>
      </c>
      <c r="F13" s="245" t="s">
        <v>281</v>
      </c>
      <c r="G13" s="245" t="s">
        <v>250</v>
      </c>
      <c r="H13" s="245" t="s">
        <v>229</v>
      </c>
      <c r="I13" s="245" t="s">
        <v>229</v>
      </c>
      <c r="J13" s="247">
        <v>2</v>
      </c>
      <c r="K13" s="245" t="s">
        <v>83</v>
      </c>
      <c r="L13" s="243">
        <v>1350</v>
      </c>
      <c r="M13" s="248">
        <v>44896</v>
      </c>
      <c r="N13" s="249" t="s">
        <v>243</v>
      </c>
      <c r="O13" s="249" t="s">
        <v>250</v>
      </c>
      <c r="P13" s="249">
        <v>45483</v>
      </c>
      <c r="Q13" s="250" t="str">
        <f t="shared" si="2"/>
        <v>Operational</v>
      </c>
      <c r="R13" s="251">
        <v>45665</v>
      </c>
      <c r="S13" s="250">
        <f t="shared" si="0"/>
        <v>19</v>
      </c>
      <c r="T13" s="249">
        <v>45226</v>
      </c>
      <c r="U13" s="258">
        <v>45434</v>
      </c>
      <c r="V13" s="252">
        <f t="shared" si="1"/>
        <v>18</v>
      </c>
      <c r="W13" s="253" t="s">
        <v>83</v>
      </c>
      <c r="X13" s="231" t="s">
        <v>83</v>
      </c>
      <c r="Y13" s="245" t="s">
        <v>83</v>
      </c>
      <c r="Z13" s="245" t="s">
        <v>83</v>
      </c>
      <c r="AA13" s="244" t="s">
        <v>282</v>
      </c>
      <c r="AB13" s="245" t="s">
        <v>237</v>
      </c>
    </row>
    <row r="14" spans="1:28" ht="57.75">
      <c r="A14" s="263" t="str">
        <f>IF(ISNA(MATCH(E14,'Project Operational Timelines'!C:C,0)),"Missing","Present")</f>
        <v>Present</v>
      </c>
      <c r="B14" s="263" t="str">
        <f>IF(ISNA(MATCH(E14,'PA Fees by Project'!E:E,0)),"Missing","Present")</f>
        <v>Present</v>
      </c>
      <c r="C14" s="246" t="s">
        <v>283</v>
      </c>
      <c r="D14" s="245" t="s">
        <v>11</v>
      </c>
      <c r="E14" s="231" t="s">
        <v>137</v>
      </c>
      <c r="F14" s="245" t="s">
        <v>284</v>
      </c>
      <c r="G14" s="245" t="s">
        <v>240</v>
      </c>
      <c r="H14" s="245" t="s">
        <v>241</v>
      </c>
      <c r="I14" s="245" t="s">
        <v>241</v>
      </c>
      <c r="J14" s="247">
        <v>2</v>
      </c>
      <c r="K14" s="245" t="s">
        <v>83</v>
      </c>
      <c r="L14" s="243">
        <v>1000</v>
      </c>
      <c r="M14" s="248">
        <v>45429</v>
      </c>
      <c r="N14" s="249">
        <v>45978</v>
      </c>
      <c r="O14" s="249">
        <v>46343</v>
      </c>
      <c r="P14" s="249" t="s">
        <v>244</v>
      </c>
      <c r="Q14" s="250">
        <f t="shared" ca="1" si="2"/>
        <v>26.940789473684212</v>
      </c>
      <c r="R14" s="251" t="s">
        <v>232</v>
      </c>
      <c r="S14" s="250" t="str">
        <f t="shared" si="0"/>
        <v>Not Yet Certified</v>
      </c>
      <c r="T14" s="249" t="s">
        <v>245</v>
      </c>
      <c r="U14" s="258">
        <v>46386</v>
      </c>
      <c r="V14" s="252">
        <f t="shared" si="1"/>
        <v>31</v>
      </c>
      <c r="W14" s="253" t="s">
        <v>84</v>
      </c>
      <c r="X14" s="231" t="s">
        <v>83</v>
      </c>
      <c r="Y14" s="245" t="s">
        <v>84</v>
      </c>
      <c r="Z14" s="245" t="s">
        <v>285</v>
      </c>
      <c r="AA14" s="244" t="s">
        <v>286</v>
      </c>
      <c r="AB14" s="245" t="s">
        <v>287</v>
      </c>
    </row>
    <row r="15" spans="1:28" ht="43.5">
      <c r="A15" s="263" t="str">
        <f>IF(ISNA(MATCH(E15,'Project Operational Timelines'!C:C,0)),"Missing","Present")</f>
        <v>Present</v>
      </c>
      <c r="B15" s="263" t="str">
        <f>IF(ISNA(MATCH(E15,'PA Fees by Project'!E:E,0)),"Missing","Present")</f>
        <v>Present</v>
      </c>
      <c r="C15" s="246" t="s">
        <v>288</v>
      </c>
      <c r="D15" s="245" t="s">
        <v>12</v>
      </c>
      <c r="E15" s="231" t="s">
        <v>141</v>
      </c>
      <c r="F15" s="245" t="s">
        <v>289</v>
      </c>
      <c r="G15" s="245" t="s">
        <v>240</v>
      </c>
      <c r="H15" s="245" t="s">
        <v>290</v>
      </c>
      <c r="I15" s="245" t="s">
        <v>290</v>
      </c>
      <c r="J15" s="247">
        <v>2</v>
      </c>
      <c r="K15" s="245" t="s">
        <v>83</v>
      </c>
      <c r="L15" s="243">
        <v>2400</v>
      </c>
      <c r="M15" s="248">
        <v>44681</v>
      </c>
      <c r="N15" s="249">
        <v>45253</v>
      </c>
      <c r="O15" s="248">
        <v>45925</v>
      </c>
      <c r="P15" s="249" t="s">
        <v>244</v>
      </c>
      <c r="Q15" s="250">
        <f t="shared" ca="1" si="2"/>
        <v>51.546052631578952</v>
      </c>
      <c r="R15" s="250" t="s">
        <v>232</v>
      </c>
      <c r="S15" s="250" t="str">
        <f t="shared" si="0"/>
        <v>Not Yet Certified</v>
      </c>
      <c r="T15" s="249" t="s">
        <v>291</v>
      </c>
      <c r="U15" s="251">
        <v>45930</v>
      </c>
      <c r="V15" s="252">
        <f t="shared" si="1"/>
        <v>41</v>
      </c>
      <c r="W15" s="253" t="s">
        <v>83</v>
      </c>
      <c r="X15" s="231" t="s">
        <v>83</v>
      </c>
      <c r="Y15" s="245" t="s">
        <v>292</v>
      </c>
      <c r="Z15" s="245" t="s">
        <v>285</v>
      </c>
      <c r="AA15" s="244" t="s">
        <v>293</v>
      </c>
      <c r="AB15" s="245" t="s">
        <v>237</v>
      </c>
    </row>
    <row r="16" spans="1:28" ht="43.5">
      <c r="A16" s="263" t="str">
        <f>IF(ISNA(MATCH(E16,'Project Operational Timelines'!C:C,0)),"Missing","Present")</f>
        <v>Present</v>
      </c>
      <c r="B16" s="263" t="str">
        <f>IF(ISNA(MATCH(E16,'PA Fees by Project'!E:E,0)),"Missing","Present")</f>
        <v>Present</v>
      </c>
      <c r="C16" s="246" t="s">
        <v>294</v>
      </c>
      <c r="D16" s="245" t="s">
        <v>12</v>
      </c>
      <c r="E16" s="231" t="s">
        <v>138</v>
      </c>
      <c r="F16" s="245" t="s">
        <v>295</v>
      </c>
      <c r="G16" s="245" t="s">
        <v>240</v>
      </c>
      <c r="H16" s="245" t="s">
        <v>290</v>
      </c>
      <c r="I16" s="245" t="s">
        <v>290</v>
      </c>
      <c r="J16" s="247">
        <v>2</v>
      </c>
      <c r="K16" s="245" t="s">
        <v>83</v>
      </c>
      <c r="L16" s="243">
        <v>2990</v>
      </c>
      <c r="M16" s="248">
        <v>44681</v>
      </c>
      <c r="N16" s="249">
        <v>45253</v>
      </c>
      <c r="O16" s="248">
        <v>45930</v>
      </c>
      <c r="P16" s="249" t="s">
        <v>244</v>
      </c>
      <c r="Q16" s="250">
        <f t="shared" ca="1" si="2"/>
        <v>51.546052631578952</v>
      </c>
      <c r="R16" s="250" t="s">
        <v>232</v>
      </c>
      <c r="S16" s="250" t="str">
        <f t="shared" si="0"/>
        <v>Not Yet Certified</v>
      </c>
      <c r="T16" s="249">
        <v>45128</v>
      </c>
      <c r="U16" s="251">
        <v>45930</v>
      </c>
      <c r="V16" s="252">
        <f t="shared" si="1"/>
        <v>41</v>
      </c>
      <c r="W16" s="253" t="s">
        <v>83</v>
      </c>
      <c r="X16" s="231" t="s">
        <v>83</v>
      </c>
      <c r="Y16" s="245" t="s">
        <v>292</v>
      </c>
      <c r="Z16" s="245" t="s">
        <v>285</v>
      </c>
      <c r="AA16" s="244" t="s">
        <v>293</v>
      </c>
      <c r="AB16" s="245" t="s">
        <v>237</v>
      </c>
    </row>
    <row r="17" spans="1:28" ht="43.5">
      <c r="A17" s="263" t="str">
        <f>IF(ISNA(MATCH(E17,'Project Operational Timelines'!C:C,0)),"Missing","Present")</f>
        <v>Present</v>
      </c>
      <c r="B17" s="263" t="str">
        <f>IF(ISNA(MATCH(E17,'PA Fees by Project'!E:E,0)),"Missing","Present")</f>
        <v>Present</v>
      </c>
      <c r="C17" s="246" t="s">
        <v>296</v>
      </c>
      <c r="D17" s="245" t="s">
        <v>11</v>
      </c>
      <c r="E17" s="231" t="s">
        <v>145</v>
      </c>
      <c r="F17" s="245" t="s">
        <v>297</v>
      </c>
      <c r="G17" s="245" t="s">
        <v>250</v>
      </c>
      <c r="H17" s="245" t="s">
        <v>258</v>
      </c>
      <c r="I17" s="245" t="s">
        <v>230</v>
      </c>
      <c r="J17" s="247">
        <v>2</v>
      </c>
      <c r="K17" s="245" t="s">
        <v>83</v>
      </c>
      <c r="L17" s="243">
        <v>2500</v>
      </c>
      <c r="M17" s="248">
        <v>44666</v>
      </c>
      <c r="N17" s="249">
        <v>45153</v>
      </c>
      <c r="O17" s="249" t="s">
        <v>250</v>
      </c>
      <c r="P17" s="249">
        <v>45637</v>
      </c>
      <c r="Q17" s="250" t="str">
        <f t="shared" si="2"/>
        <v>Operational</v>
      </c>
      <c r="R17" s="251">
        <v>45793</v>
      </c>
      <c r="S17" s="250">
        <f t="shared" si="0"/>
        <v>32</v>
      </c>
      <c r="T17" s="249" t="s">
        <v>298</v>
      </c>
      <c r="U17" s="249">
        <v>45630</v>
      </c>
      <c r="V17" s="252">
        <f t="shared" si="1"/>
        <v>32</v>
      </c>
      <c r="W17" s="253" t="s">
        <v>83</v>
      </c>
      <c r="X17" s="231" t="s">
        <v>84</v>
      </c>
      <c r="Y17" s="245" t="s">
        <v>299</v>
      </c>
      <c r="Z17" s="245" t="s">
        <v>83</v>
      </c>
      <c r="AA17" s="244" t="s">
        <v>279</v>
      </c>
      <c r="AB17" s="245" t="s">
        <v>237</v>
      </c>
    </row>
    <row r="18" spans="1:28" ht="29.25">
      <c r="A18" s="263" t="str">
        <f>IF(ISNA(MATCH(E18,'Project Operational Timelines'!C:C,0)),"Missing","Present")</f>
        <v>Present</v>
      </c>
      <c r="B18" s="263" t="str">
        <f>IF(ISNA(MATCH(E18,'PA Fees by Project'!E:E,0)),"Missing","Present")</f>
        <v>Present</v>
      </c>
      <c r="C18" s="246" t="s">
        <v>300</v>
      </c>
      <c r="D18" s="245" t="s">
        <v>12</v>
      </c>
      <c r="E18" s="231" t="s">
        <v>176</v>
      </c>
      <c r="F18" s="245" t="s">
        <v>301</v>
      </c>
      <c r="G18" s="245" t="s">
        <v>240</v>
      </c>
      <c r="H18" s="245" t="s">
        <v>302</v>
      </c>
      <c r="I18" s="245" t="s">
        <v>302</v>
      </c>
      <c r="J18" s="247">
        <v>2</v>
      </c>
      <c r="K18" s="245" t="s">
        <v>84</v>
      </c>
      <c r="L18" s="243">
        <v>332</v>
      </c>
      <c r="M18" s="248">
        <v>45733</v>
      </c>
      <c r="N18" s="249" t="s">
        <v>243</v>
      </c>
      <c r="O18" s="249">
        <v>46282</v>
      </c>
      <c r="P18" s="249" t="s">
        <v>244</v>
      </c>
      <c r="Q18" s="250">
        <f t="shared" ca="1" si="2"/>
        <v>16.940789473684212</v>
      </c>
      <c r="R18" s="251" t="s">
        <v>232</v>
      </c>
      <c r="S18" s="250" t="str">
        <f t="shared" si="0"/>
        <v>Not Yet Certified</v>
      </c>
      <c r="T18" s="247" t="s">
        <v>245</v>
      </c>
      <c r="U18" s="249" t="s">
        <v>303</v>
      </c>
      <c r="V18" s="256" t="str">
        <f t="shared" si="1"/>
        <v>Data Not Available</v>
      </c>
      <c r="W18" s="254" t="s">
        <v>83</v>
      </c>
      <c r="X18" s="231" t="s">
        <v>83</v>
      </c>
      <c r="Y18" s="231" t="s">
        <v>83</v>
      </c>
      <c r="Z18" s="231" t="s">
        <v>83</v>
      </c>
      <c r="AA18" s="244" t="s">
        <v>304</v>
      </c>
      <c r="AB18" s="245" t="s">
        <v>237</v>
      </c>
    </row>
    <row r="19" spans="1:28" ht="43.5">
      <c r="A19" s="263" t="str">
        <f>IF(ISNA(MATCH(E19,'Project Operational Timelines'!C:C,0)),"Missing","Present")</f>
        <v>Present</v>
      </c>
      <c r="B19" s="263" t="str">
        <f>IF(ISNA(MATCH(E19,'PA Fees by Project'!E:E,0)),"Missing","Present")</f>
        <v>Present</v>
      </c>
      <c r="C19" s="246" t="s">
        <v>305</v>
      </c>
      <c r="D19" s="245" t="s">
        <v>12</v>
      </c>
      <c r="E19" s="231" t="s">
        <v>152</v>
      </c>
      <c r="F19" s="245" t="s">
        <v>306</v>
      </c>
      <c r="G19" s="245" t="s">
        <v>240</v>
      </c>
      <c r="H19" s="245" t="s">
        <v>266</v>
      </c>
      <c r="I19" s="245" t="s">
        <v>229</v>
      </c>
      <c r="J19" s="247">
        <v>2</v>
      </c>
      <c r="K19" s="245" t="s">
        <v>83</v>
      </c>
      <c r="L19" s="243">
        <v>1500</v>
      </c>
      <c r="M19" s="248">
        <v>44666</v>
      </c>
      <c r="N19" s="249" t="s">
        <v>307</v>
      </c>
      <c r="O19" s="248">
        <v>45962</v>
      </c>
      <c r="P19" s="249" t="s">
        <v>244</v>
      </c>
      <c r="Q19" s="250">
        <f t="shared" ca="1" si="2"/>
        <v>52.039473684210527</v>
      </c>
      <c r="R19" s="250" t="s">
        <v>232</v>
      </c>
      <c r="S19" s="250" t="str">
        <f t="shared" si="0"/>
        <v>Not Yet Certified</v>
      </c>
      <c r="T19" s="247" t="s">
        <v>308</v>
      </c>
      <c r="U19" s="251">
        <v>45632</v>
      </c>
      <c r="V19" s="252">
        <f t="shared" si="1"/>
        <v>32</v>
      </c>
      <c r="W19" s="253" t="s">
        <v>84</v>
      </c>
      <c r="X19" s="231" t="s">
        <v>84</v>
      </c>
      <c r="Y19" s="245" t="s">
        <v>83</v>
      </c>
      <c r="Z19" s="245" t="s">
        <v>309</v>
      </c>
      <c r="AA19" s="244" t="s">
        <v>310</v>
      </c>
      <c r="AB19" s="245" t="s">
        <v>237</v>
      </c>
    </row>
    <row r="20" spans="1:28" ht="57.75">
      <c r="A20" s="263" t="str">
        <f>IF(ISNA(MATCH(E20,'Project Operational Timelines'!C:C,0)),"Missing","Present")</f>
        <v>Present</v>
      </c>
      <c r="B20" s="263" t="str">
        <f>IF(ISNA(MATCH(E20,'PA Fees by Project'!E:E,0)),"Missing","Present")</f>
        <v>Present</v>
      </c>
      <c r="C20" s="246" t="s">
        <v>311</v>
      </c>
      <c r="D20" s="245" t="s">
        <v>12</v>
      </c>
      <c r="E20" s="231" t="s">
        <v>153</v>
      </c>
      <c r="F20" s="245" t="s">
        <v>312</v>
      </c>
      <c r="G20" s="245" t="s">
        <v>240</v>
      </c>
      <c r="H20" s="245" t="s">
        <v>266</v>
      </c>
      <c r="I20" s="245" t="s">
        <v>313</v>
      </c>
      <c r="J20" s="247">
        <v>1</v>
      </c>
      <c r="K20" s="245" t="s">
        <v>83</v>
      </c>
      <c r="L20" s="243">
        <v>2125</v>
      </c>
      <c r="M20" s="248">
        <v>44194</v>
      </c>
      <c r="N20" s="247" t="s">
        <v>314</v>
      </c>
      <c r="O20" s="248">
        <v>45962</v>
      </c>
      <c r="P20" s="249" t="s">
        <v>244</v>
      </c>
      <c r="Q20" s="250">
        <f t="shared" ca="1" si="2"/>
        <v>67.56578947368422</v>
      </c>
      <c r="R20" s="250" t="s">
        <v>232</v>
      </c>
      <c r="S20" s="250" t="str">
        <f t="shared" si="0"/>
        <v>Not Yet Certified</v>
      </c>
      <c r="T20" s="247" t="s">
        <v>315</v>
      </c>
      <c r="U20" s="258">
        <v>45541</v>
      </c>
      <c r="V20" s="252">
        <f t="shared" si="1"/>
        <v>44</v>
      </c>
      <c r="W20" s="253" t="s">
        <v>84</v>
      </c>
      <c r="X20" s="231" t="s">
        <v>84</v>
      </c>
      <c r="Y20" s="245" t="s">
        <v>316</v>
      </c>
      <c r="Z20" s="245" t="s">
        <v>309</v>
      </c>
      <c r="AA20" s="244" t="s">
        <v>310</v>
      </c>
      <c r="AB20" s="245" t="s">
        <v>237</v>
      </c>
    </row>
    <row r="21" spans="1:28" ht="43.5">
      <c r="A21" s="263" t="str">
        <f>IF(ISNA(MATCH(E21,'Project Operational Timelines'!C:C,0)),"Missing","Present")</f>
        <v>Present</v>
      </c>
      <c r="B21" s="263" t="str">
        <f>IF(ISNA(MATCH(E21,'PA Fees by Project'!E:E,0)),"Missing","Present")</f>
        <v>Present</v>
      </c>
      <c r="C21" s="246" t="s">
        <v>317</v>
      </c>
      <c r="D21" s="245" t="s">
        <v>12</v>
      </c>
      <c r="E21" s="231" t="s">
        <v>155</v>
      </c>
      <c r="F21" s="245" t="s">
        <v>318</v>
      </c>
      <c r="G21" s="245" t="s">
        <v>240</v>
      </c>
      <c r="H21" s="245" t="s">
        <v>266</v>
      </c>
      <c r="I21" s="245" t="s">
        <v>267</v>
      </c>
      <c r="J21" s="247">
        <v>2</v>
      </c>
      <c r="K21" s="245" t="s">
        <v>83</v>
      </c>
      <c r="L21" s="243">
        <v>1000</v>
      </c>
      <c r="M21" s="248">
        <v>44692</v>
      </c>
      <c r="N21" s="249" t="s">
        <v>319</v>
      </c>
      <c r="O21" s="248">
        <v>46199</v>
      </c>
      <c r="P21" s="249" t="s">
        <v>244</v>
      </c>
      <c r="Q21" s="250">
        <f t="shared" ca="1" si="2"/>
        <v>51.184210526315795</v>
      </c>
      <c r="R21" s="250" t="s">
        <v>232</v>
      </c>
      <c r="S21" s="250" t="str">
        <f t="shared" si="0"/>
        <v>Not Yet Certified</v>
      </c>
      <c r="T21" s="247" t="s">
        <v>320</v>
      </c>
      <c r="U21" s="258">
        <v>46164</v>
      </c>
      <c r="V21" s="252">
        <f t="shared" si="1"/>
        <v>48</v>
      </c>
      <c r="W21" s="254" t="s">
        <v>83</v>
      </c>
      <c r="X21" s="231" t="s">
        <v>84</v>
      </c>
      <c r="Y21" s="245" t="s">
        <v>321</v>
      </c>
      <c r="Z21" s="245" t="s">
        <v>322</v>
      </c>
      <c r="AA21" s="244" t="s">
        <v>323</v>
      </c>
      <c r="AB21" s="245" t="s">
        <v>237</v>
      </c>
    </row>
    <row r="22" spans="1:28" ht="43.5">
      <c r="A22" s="263" t="str">
        <f>IF(ISNA(MATCH(E22,'Project Operational Timelines'!C:C,0)),"Missing","Present")</f>
        <v>Present</v>
      </c>
      <c r="B22" s="263" t="str">
        <f>IF(ISNA(MATCH(E22,'PA Fees by Project'!E:E,0)),"Missing","Present")</f>
        <v>Present</v>
      </c>
      <c r="C22" s="246" t="s">
        <v>324</v>
      </c>
      <c r="D22" s="245" t="s">
        <v>12</v>
      </c>
      <c r="E22" s="231" t="s">
        <v>154</v>
      </c>
      <c r="F22" s="245" t="s">
        <v>325</v>
      </c>
      <c r="G22" s="245" t="s">
        <v>240</v>
      </c>
      <c r="H22" s="245" t="s">
        <v>266</v>
      </c>
      <c r="I22" s="245" t="s">
        <v>267</v>
      </c>
      <c r="J22" s="247">
        <v>2</v>
      </c>
      <c r="K22" s="245" t="s">
        <v>83</v>
      </c>
      <c r="L22" s="243">
        <v>1500</v>
      </c>
      <c r="M22" s="248">
        <v>44692</v>
      </c>
      <c r="N22" s="249" t="s">
        <v>326</v>
      </c>
      <c r="O22" s="248">
        <v>46199</v>
      </c>
      <c r="P22" s="249" t="s">
        <v>244</v>
      </c>
      <c r="Q22" s="250">
        <f t="shared" ca="1" si="2"/>
        <v>51.184210526315795</v>
      </c>
      <c r="R22" s="250" t="s">
        <v>232</v>
      </c>
      <c r="S22" s="250" t="str">
        <f t="shared" si="0"/>
        <v>Not Yet Certified</v>
      </c>
      <c r="T22" s="247" t="s">
        <v>320</v>
      </c>
      <c r="U22" s="258">
        <v>46164</v>
      </c>
      <c r="V22" s="252">
        <f t="shared" si="1"/>
        <v>48</v>
      </c>
      <c r="W22" s="254" t="s">
        <v>83</v>
      </c>
      <c r="X22" s="231" t="s">
        <v>84</v>
      </c>
      <c r="Y22" s="245" t="s">
        <v>321</v>
      </c>
      <c r="Z22" s="245" t="s">
        <v>322</v>
      </c>
      <c r="AA22" s="244" t="s">
        <v>323</v>
      </c>
      <c r="AB22" s="245" t="s">
        <v>237</v>
      </c>
    </row>
    <row r="23" spans="1:28" ht="29.25">
      <c r="A23" s="263" t="str">
        <f>IF(ISNA(MATCH(E23,'Project Operational Timelines'!C:C,0)),"Missing","Present")</f>
        <v>Present</v>
      </c>
      <c r="B23" s="263" t="str">
        <f>IF(ISNA(MATCH(E23,'PA Fees by Project'!E:E,0)),"Missing","Present")</f>
        <v>Present</v>
      </c>
      <c r="C23" s="246" t="s">
        <v>327</v>
      </c>
      <c r="D23" s="245" t="s">
        <v>11</v>
      </c>
      <c r="E23" s="231" t="s">
        <v>109</v>
      </c>
      <c r="F23" s="245" t="s">
        <v>328</v>
      </c>
      <c r="G23" s="231" t="s">
        <v>250</v>
      </c>
      <c r="H23" s="245" t="s">
        <v>258</v>
      </c>
      <c r="I23" s="245" t="s">
        <v>329</v>
      </c>
      <c r="J23" s="247">
        <v>1</v>
      </c>
      <c r="K23" s="245" t="s">
        <v>83</v>
      </c>
      <c r="L23" s="243">
        <v>2500</v>
      </c>
      <c r="M23" s="248">
        <v>43948</v>
      </c>
      <c r="N23" s="247" t="s">
        <v>330</v>
      </c>
      <c r="O23" s="251" t="s">
        <v>250</v>
      </c>
      <c r="P23" s="249">
        <v>44895</v>
      </c>
      <c r="Q23" s="250" t="str">
        <f t="shared" si="2"/>
        <v>Operational</v>
      </c>
      <c r="R23" s="251">
        <v>44910</v>
      </c>
      <c r="S23" s="250">
        <f t="shared" si="0"/>
        <v>31</v>
      </c>
      <c r="T23" s="249" t="s">
        <v>331</v>
      </c>
      <c r="U23" s="249">
        <v>44908</v>
      </c>
      <c r="V23" s="252">
        <f t="shared" si="1"/>
        <v>32</v>
      </c>
      <c r="W23" s="253" t="s">
        <v>83</v>
      </c>
      <c r="X23" s="231" t="s">
        <v>84</v>
      </c>
      <c r="Y23" s="245" t="s">
        <v>332</v>
      </c>
      <c r="Z23" s="245" t="s">
        <v>83</v>
      </c>
      <c r="AA23" s="244" t="s">
        <v>333</v>
      </c>
      <c r="AB23" s="245" t="s">
        <v>237</v>
      </c>
    </row>
    <row r="24" spans="1:28" ht="43.5">
      <c r="A24" s="263" t="str">
        <f>IF(ISNA(MATCH(E24,'Project Operational Timelines'!C:C,0)),"Missing","Present")</f>
        <v>Present</v>
      </c>
      <c r="B24" s="263" t="str">
        <f>IF(ISNA(MATCH(E24,'PA Fees by Project'!E:E,0)),"Missing","Present")</f>
        <v>Present</v>
      </c>
      <c r="C24" s="246" t="s">
        <v>334</v>
      </c>
      <c r="D24" s="245" t="s">
        <v>12</v>
      </c>
      <c r="E24" s="231" t="s">
        <v>151</v>
      </c>
      <c r="F24" s="245" t="s">
        <v>335</v>
      </c>
      <c r="G24" s="245" t="s">
        <v>250</v>
      </c>
      <c r="H24" s="245" t="s">
        <v>229</v>
      </c>
      <c r="I24" s="245" t="s">
        <v>230</v>
      </c>
      <c r="J24" s="247">
        <v>2</v>
      </c>
      <c r="K24" s="245" t="s">
        <v>83</v>
      </c>
      <c r="L24" s="243">
        <v>2990</v>
      </c>
      <c r="M24" s="248">
        <v>44666</v>
      </c>
      <c r="N24" s="249" t="s">
        <v>336</v>
      </c>
      <c r="O24" s="249" t="s">
        <v>250</v>
      </c>
      <c r="P24" s="249">
        <v>45637</v>
      </c>
      <c r="Q24" s="250" t="str">
        <f t="shared" si="2"/>
        <v>Operational</v>
      </c>
      <c r="R24" s="251">
        <v>45792</v>
      </c>
      <c r="S24" s="250">
        <f t="shared" si="0"/>
        <v>32</v>
      </c>
      <c r="T24" s="247" t="s">
        <v>337</v>
      </c>
      <c r="U24" s="258">
        <v>45583</v>
      </c>
      <c r="V24" s="252">
        <f t="shared" si="1"/>
        <v>30</v>
      </c>
      <c r="W24" s="253" t="s">
        <v>83</v>
      </c>
      <c r="X24" s="231" t="s">
        <v>84</v>
      </c>
      <c r="Y24" s="245" t="s">
        <v>299</v>
      </c>
      <c r="Z24" s="245" t="s">
        <v>270</v>
      </c>
      <c r="AA24" s="244" t="s">
        <v>279</v>
      </c>
      <c r="AB24" s="245" t="s">
        <v>237</v>
      </c>
    </row>
    <row r="25" spans="1:28" ht="29.25">
      <c r="A25" s="263" t="str">
        <f>IF(ISNA(MATCH(E25,'Project Operational Timelines'!C:C,0)),"Missing","Present")</f>
        <v>Present</v>
      </c>
      <c r="B25" s="263" t="str">
        <f>IF(ISNA(MATCH(E25,'PA Fees by Project'!E:E,0)),"Missing","Present")</f>
        <v>Present</v>
      </c>
      <c r="C25" s="246" t="s">
        <v>338</v>
      </c>
      <c r="D25" s="245" t="s">
        <v>12</v>
      </c>
      <c r="E25" s="231" t="s">
        <v>110</v>
      </c>
      <c r="F25" s="245" t="s">
        <v>339</v>
      </c>
      <c r="G25" s="231" t="s">
        <v>250</v>
      </c>
      <c r="H25" s="231" t="s">
        <v>229</v>
      </c>
      <c r="I25" s="245" t="s">
        <v>313</v>
      </c>
      <c r="J25" s="247">
        <v>1</v>
      </c>
      <c r="K25" s="245" t="s">
        <v>84</v>
      </c>
      <c r="L25" s="243">
        <v>359</v>
      </c>
      <c r="M25" s="248">
        <v>44406</v>
      </c>
      <c r="N25" s="249">
        <v>44953</v>
      </c>
      <c r="O25" s="251" t="s">
        <v>250</v>
      </c>
      <c r="P25" s="249">
        <v>44909</v>
      </c>
      <c r="Q25" s="250" t="str">
        <f t="shared" si="2"/>
        <v>Operational</v>
      </c>
      <c r="R25" s="251">
        <v>45063</v>
      </c>
      <c r="S25" s="250">
        <f t="shared" si="0"/>
        <v>17</v>
      </c>
      <c r="T25" s="247" t="s">
        <v>245</v>
      </c>
      <c r="U25" s="251">
        <v>44852</v>
      </c>
      <c r="V25" s="252">
        <f t="shared" si="1"/>
        <v>15</v>
      </c>
      <c r="W25" s="253" t="s">
        <v>83</v>
      </c>
      <c r="X25" s="231" t="s">
        <v>84</v>
      </c>
      <c r="Y25" s="245" t="s">
        <v>332</v>
      </c>
      <c r="Z25" s="245" t="s">
        <v>83</v>
      </c>
      <c r="AA25" s="244" t="s">
        <v>340</v>
      </c>
      <c r="AB25" s="245" t="s">
        <v>237</v>
      </c>
    </row>
    <row r="26" spans="1:28" ht="57.75">
      <c r="A26" s="263" t="str">
        <f>IF(ISNA(MATCH(E26,'Project Operational Timelines'!C:C,0)),"Missing","Present")</f>
        <v>Present</v>
      </c>
      <c r="B26" s="263" t="str">
        <f>IF(ISNA(MATCH(E26,'PA Fees by Project'!E:E,0)),"Missing","Present")</f>
        <v>Present</v>
      </c>
      <c r="C26" s="246" t="s">
        <v>341</v>
      </c>
      <c r="D26" s="245" t="s">
        <v>11</v>
      </c>
      <c r="E26" s="231" t="s">
        <v>167</v>
      </c>
      <c r="F26" s="245" t="s">
        <v>342</v>
      </c>
      <c r="G26" s="245" t="s">
        <v>250</v>
      </c>
      <c r="H26" s="245" t="s">
        <v>343</v>
      </c>
      <c r="I26" s="245" t="s">
        <v>230</v>
      </c>
      <c r="J26" s="247">
        <v>1</v>
      </c>
      <c r="K26" s="245" t="s">
        <v>83</v>
      </c>
      <c r="L26" s="243">
        <v>2565</v>
      </c>
      <c r="M26" s="248">
        <v>43948</v>
      </c>
      <c r="N26" s="249" t="s">
        <v>344</v>
      </c>
      <c r="O26" s="249" t="s">
        <v>250</v>
      </c>
      <c r="P26" s="257">
        <v>45595</v>
      </c>
      <c r="Q26" s="250" t="str">
        <f t="shared" si="2"/>
        <v>Operational</v>
      </c>
      <c r="R26" s="251">
        <v>45597</v>
      </c>
      <c r="S26" s="250">
        <f t="shared" si="0"/>
        <v>54</v>
      </c>
      <c r="T26" s="249" t="s">
        <v>345</v>
      </c>
      <c r="U26" s="249">
        <v>45497</v>
      </c>
      <c r="V26" s="252">
        <f t="shared" si="1"/>
        <v>51</v>
      </c>
      <c r="W26" s="254" t="s">
        <v>83</v>
      </c>
      <c r="X26" s="231" t="s">
        <v>84</v>
      </c>
      <c r="Y26" s="245" t="s">
        <v>346</v>
      </c>
      <c r="Z26" s="245" t="s">
        <v>278</v>
      </c>
      <c r="AA26" s="244" t="s">
        <v>347</v>
      </c>
      <c r="AB26" s="245" t="s">
        <v>237</v>
      </c>
    </row>
    <row r="27" spans="1:28" ht="43.5">
      <c r="A27" s="263" t="str">
        <f>IF(ISNA(MATCH(E27,'Project Operational Timelines'!C:C,0)),"Missing","Present")</f>
        <v>Present</v>
      </c>
      <c r="B27" s="263" t="str">
        <f>IF(ISNA(MATCH(E27,'PA Fees by Project'!E:E,0)),"Missing","Present")</f>
        <v>Present</v>
      </c>
      <c r="C27" s="246" t="s">
        <v>348</v>
      </c>
      <c r="D27" s="245" t="s">
        <v>12</v>
      </c>
      <c r="E27" s="231" t="s">
        <v>173</v>
      </c>
      <c r="F27" s="245" t="s">
        <v>349</v>
      </c>
      <c r="G27" s="245" t="s">
        <v>240</v>
      </c>
      <c r="H27" s="245" t="s">
        <v>266</v>
      </c>
      <c r="I27" s="245" t="s">
        <v>241</v>
      </c>
      <c r="J27" s="247">
        <v>2</v>
      </c>
      <c r="K27" s="245" t="s">
        <v>83</v>
      </c>
      <c r="L27" s="243">
        <v>1250</v>
      </c>
      <c r="M27" s="248">
        <v>44896</v>
      </c>
      <c r="N27" s="249" t="s">
        <v>350</v>
      </c>
      <c r="O27" s="248">
        <v>46083</v>
      </c>
      <c r="P27" s="249" t="s">
        <v>244</v>
      </c>
      <c r="Q27" s="250">
        <f t="shared" ca="1" si="2"/>
        <v>44.473684210526315</v>
      </c>
      <c r="R27" s="250" t="s">
        <v>232</v>
      </c>
      <c r="S27" s="250" t="str">
        <f t="shared" si="0"/>
        <v>Not Yet Certified</v>
      </c>
      <c r="T27" s="247" t="s">
        <v>351</v>
      </c>
      <c r="U27" s="251">
        <v>46172</v>
      </c>
      <c r="V27" s="252">
        <f t="shared" si="1"/>
        <v>42</v>
      </c>
      <c r="W27" s="253" t="s">
        <v>83</v>
      </c>
      <c r="X27" s="231" t="s">
        <v>84</v>
      </c>
      <c r="Y27" s="245" t="s">
        <v>352</v>
      </c>
      <c r="Z27" s="245" t="s">
        <v>83</v>
      </c>
      <c r="AA27" s="244" t="s">
        <v>323</v>
      </c>
      <c r="AB27" s="245" t="s">
        <v>237</v>
      </c>
    </row>
    <row r="28" spans="1:28" ht="29.25">
      <c r="A28" s="263" t="str">
        <f>IF(ISNA(MATCH(E28,'Project Operational Timelines'!C:C,0)),"Missing","Present")</f>
        <v>Present</v>
      </c>
      <c r="B28" s="263" t="str">
        <f>IF(ISNA(MATCH(E28,'PA Fees by Project'!E:E,0)),"Missing","Present")</f>
        <v>Present</v>
      </c>
      <c r="C28" s="246" t="s">
        <v>353</v>
      </c>
      <c r="D28" s="245" t="s">
        <v>12</v>
      </c>
      <c r="E28" s="231" t="s">
        <v>177</v>
      </c>
      <c r="F28" s="245" t="s">
        <v>354</v>
      </c>
      <c r="G28" s="245" t="s">
        <v>240</v>
      </c>
      <c r="H28" s="245" t="s">
        <v>241</v>
      </c>
      <c r="I28" s="245" t="s">
        <v>241</v>
      </c>
      <c r="J28" s="247">
        <v>2</v>
      </c>
      <c r="K28" s="245" t="s">
        <v>83</v>
      </c>
      <c r="L28" s="319">
        <v>1000</v>
      </c>
      <c r="M28" s="248">
        <v>45619</v>
      </c>
      <c r="N28" s="249" t="s">
        <v>243</v>
      </c>
      <c r="O28" s="249">
        <v>46165</v>
      </c>
      <c r="P28" s="247" t="s">
        <v>244</v>
      </c>
      <c r="Q28" s="250">
        <f t="shared" ca="1" si="2"/>
        <v>20.690789473684212</v>
      </c>
      <c r="R28" s="250" t="s">
        <v>232</v>
      </c>
      <c r="S28" s="250" t="str">
        <f t="shared" si="0"/>
        <v>Not Yet Certified</v>
      </c>
      <c r="T28" s="251" t="s">
        <v>245</v>
      </c>
      <c r="U28" s="249">
        <v>46119</v>
      </c>
      <c r="V28" s="249" t="s">
        <v>303</v>
      </c>
      <c r="W28" s="255" t="s">
        <v>83</v>
      </c>
      <c r="X28" s="245" t="s">
        <v>83</v>
      </c>
      <c r="Y28" s="245" t="s">
        <v>83</v>
      </c>
      <c r="Z28" s="245" t="s">
        <v>83</v>
      </c>
      <c r="AA28" s="244" t="s">
        <v>355</v>
      </c>
      <c r="AB28" s="245" t="s">
        <v>237</v>
      </c>
    </row>
    <row r="29" spans="1:28" ht="43.5">
      <c r="A29" s="263" t="str">
        <f>IF(ISNA(MATCH(E29,'Project Operational Timelines'!C:C,0)),"Missing","Present")</f>
        <v>Present</v>
      </c>
      <c r="B29" s="263" t="str">
        <f>IF(ISNA(MATCH(E29,'PA Fees by Project'!E:E,0)),"Missing","Present")</f>
        <v>Present</v>
      </c>
      <c r="C29" s="246" t="s">
        <v>356</v>
      </c>
      <c r="D29" s="245" t="s">
        <v>11</v>
      </c>
      <c r="E29" s="231" t="s">
        <v>188</v>
      </c>
      <c r="F29" s="245" t="s">
        <v>357</v>
      </c>
      <c r="G29" s="245" t="s">
        <v>240</v>
      </c>
      <c r="H29" s="245" t="s">
        <v>358</v>
      </c>
      <c r="I29" s="245" t="s">
        <v>359</v>
      </c>
      <c r="J29" s="247">
        <v>2</v>
      </c>
      <c r="K29" s="245" t="s">
        <v>84</v>
      </c>
      <c r="L29" s="243">
        <v>1200</v>
      </c>
      <c r="M29" s="248">
        <v>45771</v>
      </c>
      <c r="N29" s="249" t="s">
        <v>243</v>
      </c>
      <c r="O29" s="249">
        <v>46319</v>
      </c>
      <c r="P29" s="249" t="s">
        <v>244</v>
      </c>
      <c r="Q29" s="250">
        <f t="shared" ca="1" si="2"/>
        <v>15.690789473684211</v>
      </c>
      <c r="R29" s="251" t="s">
        <v>232</v>
      </c>
      <c r="S29" s="250" t="str">
        <f t="shared" si="0"/>
        <v>Not Yet Certified</v>
      </c>
      <c r="T29" s="247" t="s">
        <v>245</v>
      </c>
      <c r="U29" s="247" t="s">
        <v>245</v>
      </c>
      <c r="V29" s="247" t="s">
        <v>245</v>
      </c>
      <c r="W29" s="253" t="s">
        <v>83</v>
      </c>
      <c r="X29" s="231" t="s">
        <v>83</v>
      </c>
      <c r="Y29" s="245" t="s">
        <v>83</v>
      </c>
      <c r="Z29" s="245" t="s">
        <v>83</v>
      </c>
      <c r="AA29" s="244" t="s">
        <v>360</v>
      </c>
      <c r="AB29" s="245" t="s">
        <v>237</v>
      </c>
    </row>
    <row r="30" spans="1:28" ht="29.25">
      <c r="A30" s="263" t="str">
        <f>IF(ISNA(MATCH(E30,'Project Operational Timelines'!C:C,0)),"Missing","Present")</f>
        <v>Present</v>
      </c>
      <c r="B30" s="263" t="str">
        <f>IF(ISNA(MATCH(E30,'PA Fees by Project'!E:E,0)),"Missing","Present")</f>
        <v>Present</v>
      </c>
      <c r="C30" s="246" t="s">
        <v>361</v>
      </c>
      <c r="D30" s="245" t="s">
        <v>11</v>
      </c>
      <c r="E30" s="231" t="s">
        <v>158</v>
      </c>
      <c r="F30" s="245" t="s">
        <v>362</v>
      </c>
      <c r="G30" s="245" t="s">
        <v>250</v>
      </c>
      <c r="H30" s="245" t="s">
        <v>343</v>
      </c>
      <c r="I30" s="245" t="s">
        <v>230</v>
      </c>
      <c r="J30" s="247">
        <v>2</v>
      </c>
      <c r="K30" s="245" t="s">
        <v>83</v>
      </c>
      <c r="L30" s="243">
        <v>1260</v>
      </c>
      <c r="M30" s="248">
        <v>44681</v>
      </c>
      <c r="N30" s="249" t="s">
        <v>363</v>
      </c>
      <c r="O30" s="249" t="s">
        <v>250</v>
      </c>
      <c r="P30" s="249">
        <v>45637</v>
      </c>
      <c r="Q30" s="250" t="str">
        <f t="shared" si="2"/>
        <v>Operational</v>
      </c>
      <c r="R30" s="251">
        <v>45642</v>
      </c>
      <c r="S30" s="250">
        <f t="shared" si="0"/>
        <v>31</v>
      </c>
      <c r="T30" s="249" t="s">
        <v>364</v>
      </c>
      <c r="U30" s="249">
        <v>45561</v>
      </c>
      <c r="V30" s="252">
        <f t="shared" ref="V30:V48" si="3">IF(U30="Data Not Available","Data Not Available",ROUND((U30-M30)/30.4,))</f>
        <v>29</v>
      </c>
      <c r="W30" s="253" t="s">
        <v>83</v>
      </c>
      <c r="X30" s="231" t="s">
        <v>84</v>
      </c>
      <c r="Y30" s="245" t="s">
        <v>234</v>
      </c>
      <c r="Z30" s="245" t="s">
        <v>278</v>
      </c>
      <c r="AA30" s="244" t="s">
        <v>279</v>
      </c>
      <c r="AB30" s="245" t="s">
        <v>237</v>
      </c>
    </row>
    <row r="31" spans="1:28" ht="43.5">
      <c r="A31" s="263" t="str">
        <f>IF(ISNA(MATCH(E31,'Project Operational Timelines'!C:C,0)),"Missing","Present")</f>
        <v>Present</v>
      </c>
      <c r="B31" s="263" t="str">
        <f>IF(ISNA(MATCH(E31,'PA Fees by Project'!E:E,0)),"Missing","Present")</f>
        <v>Present</v>
      </c>
      <c r="C31" s="246" t="s">
        <v>365</v>
      </c>
      <c r="D31" s="245" t="s">
        <v>11</v>
      </c>
      <c r="E31" s="231" t="s">
        <v>111</v>
      </c>
      <c r="F31" s="245" t="s">
        <v>366</v>
      </c>
      <c r="G31" s="231" t="s">
        <v>250</v>
      </c>
      <c r="H31" s="231" t="s">
        <v>229</v>
      </c>
      <c r="I31" s="245" t="s">
        <v>329</v>
      </c>
      <c r="J31" s="247">
        <v>1</v>
      </c>
      <c r="K31" s="245" t="s">
        <v>83</v>
      </c>
      <c r="L31" s="243">
        <v>2500</v>
      </c>
      <c r="M31" s="248">
        <v>43948</v>
      </c>
      <c r="N31" s="247" t="s">
        <v>367</v>
      </c>
      <c r="O31" s="251" t="s">
        <v>250</v>
      </c>
      <c r="P31" s="249">
        <v>44895</v>
      </c>
      <c r="Q31" s="250" t="str">
        <f t="shared" si="2"/>
        <v>Operational</v>
      </c>
      <c r="R31" s="251">
        <v>44910</v>
      </c>
      <c r="S31" s="250">
        <f t="shared" si="0"/>
        <v>31</v>
      </c>
      <c r="T31" s="249">
        <v>44018</v>
      </c>
      <c r="U31" s="249">
        <v>44348</v>
      </c>
      <c r="V31" s="256">
        <f t="shared" si="3"/>
        <v>13</v>
      </c>
      <c r="W31" s="253" t="s">
        <v>83</v>
      </c>
      <c r="X31" s="231" t="s">
        <v>84</v>
      </c>
      <c r="Y31" s="245" t="s">
        <v>332</v>
      </c>
      <c r="Z31" s="245" t="s">
        <v>83</v>
      </c>
      <c r="AA31" s="244" t="s">
        <v>333</v>
      </c>
      <c r="AB31" s="245" t="s">
        <v>237</v>
      </c>
    </row>
    <row r="32" spans="1:28" ht="29.25">
      <c r="A32" s="263" t="str">
        <f>IF(ISNA(MATCH(E32,'Project Operational Timelines'!C:C,0)),"Missing","Present")</f>
        <v>Present</v>
      </c>
      <c r="B32" s="263" t="str">
        <f>IF(ISNA(MATCH(E32,'PA Fees by Project'!E:E,0)),"Missing","Present")</f>
        <v>Present</v>
      </c>
      <c r="C32" s="246" t="s">
        <v>368</v>
      </c>
      <c r="D32" s="245" t="s">
        <v>11</v>
      </c>
      <c r="E32" s="231" t="s">
        <v>178</v>
      </c>
      <c r="F32" s="245" t="s">
        <v>369</v>
      </c>
      <c r="G32" s="231" t="s">
        <v>240</v>
      </c>
      <c r="H32" s="231" t="s">
        <v>370</v>
      </c>
      <c r="I32" s="245" t="s">
        <v>370</v>
      </c>
      <c r="J32" s="247">
        <v>2</v>
      </c>
      <c r="K32" s="245" t="s">
        <v>84</v>
      </c>
      <c r="L32" s="243">
        <v>2800</v>
      </c>
      <c r="M32" s="248">
        <v>45443</v>
      </c>
      <c r="N32" s="249" t="s">
        <v>243</v>
      </c>
      <c r="O32" s="248">
        <v>45992</v>
      </c>
      <c r="P32" s="249" t="s">
        <v>244</v>
      </c>
      <c r="Q32" s="250">
        <f t="shared" ca="1" si="2"/>
        <v>26.48026315789474</v>
      </c>
      <c r="R32" s="250" t="s">
        <v>232</v>
      </c>
      <c r="S32" s="250" t="str">
        <f t="shared" si="0"/>
        <v>Not Yet Certified</v>
      </c>
      <c r="T32" s="247" t="s">
        <v>245</v>
      </c>
      <c r="U32" s="249">
        <v>45894</v>
      </c>
      <c r="V32" s="256">
        <f t="shared" si="3"/>
        <v>15</v>
      </c>
      <c r="W32" s="253" t="s">
        <v>83</v>
      </c>
      <c r="X32" s="231" t="s">
        <v>83</v>
      </c>
      <c r="Y32" s="245" t="s">
        <v>83</v>
      </c>
      <c r="Z32" s="245" t="s">
        <v>83</v>
      </c>
      <c r="AA32" s="244" t="s">
        <v>371</v>
      </c>
      <c r="AB32" s="245" t="s">
        <v>237</v>
      </c>
    </row>
    <row r="33" spans="1:28" ht="29.25">
      <c r="A33" s="263" t="str">
        <f>IF(ISNA(MATCH(E33,'Project Operational Timelines'!C:C,0)),"Missing","Present")</f>
        <v>Present</v>
      </c>
      <c r="B33" s="263" t="str">
        <f>IF(ISNA(MATCH(E33,'PA Fees by Project'!E:E,0)),"Missing","Present")</f>
        <v>Present</v>
      </c>
      <c r="C33" s="246" t="s">
        <v>372</v>
      </c>
      <c r="D33" s="231" t="s">
        <v>11</v>
      </c>
      <c r="E33" s="231" t="s">
        <v>179</v>
      </c>
      <c r="F33" s="231" t="s">
        <v>373</v>
      </c>
      <c r="G33" s="245" t="s">
        <v>240</v>
      </c>
      <c r="H33" s="245" t="s">
        <v>241</v>
      </c>
      <c r="I33" s="245" t="s">
        <v>241</v>
      </c>
      <c r="J33" s="247">
        <v>2</v>
      </c>
      <c r="K33" s="245" t="s">
        <v>83</v>
      </c>
      <c r="L33" s="243">
        <v>2750</v>
      </c>
      <c r="M33" s="248">
        <v>45589</v>
      </c>
      <c r="N33" s="249" t="s">
        <v>243</v>
      </c>
      <c r="O33" s="248">
        <v>46136</v>
      </c>
      <c r="P33" s="249" t="s">
        <v>244</v>
      </c>
      <c r="Q33" s="250">
        <f t="shared" ca="1" si="2"/>
        <v>21.67763157894737</v>
      </c>
      <c r="R33" s="250" t="s">
        <v>232</v>
      </c>
      <c r="S33" s="250" t="str">
        <f t="shared" si="0"/>
        <v>Not Yet Certified</v>
      </c>
      <c r="T33" s="247" t="s">
        <v>245</v>
      </c>
      <c r="U33" s="249" t="s">
        <v>303</v>
      </c>
      <c r="V33" s="256" t="str">
        <f t="shared" si="3"/>
        <v>Data Not Available</v>
      </c>
      <c r="W33" s="253" t="s">
        <v>83</v>
      </c>
      <c r="X33" s="231" t="s">
        <v>83</v>
      </c>
      <c r="Y33" s="245" t="s">
        <v>83</v>
      </c>
      <c r="Z33" s="245" t="s">
        <v>83</v>
      </c>
      <c r="AA33" s="244" t="s">
        <v>374</v>
      </c>
      <c r="AB33" s="245" t="s">
        <v>237</v>
      </c>
    </row>
    <row r="34" spans="1:28" ht="43.5">
      <c r="A34" s="263" t="str">
        <f>IF(ISNA(MATCH(E34,'Project Operational Timelines'!C:C,0)),"Missing","Present")</f>
        <v>Present</v>
      </c>
      <c r="B34" s="263" t="str">
        <f>IF(ISNA(MATCH(E34,'PA Fees by Project'!E:E,0)),"Missing","Present")</f>
        <v>Present</v>
      </c>
      <c r="C34" s="246" t="s">
        <v>375</v>
      </c>
      <c r="D34" s="245" t="s">
        <v>11</v>
      </c>
      <c r="E34" s="231" t="s">
        <v>189</v>
      </c>
      <c r="F34" s="245" t="s">
        <v>376</v>
      </c>
      <c r="G34" s="245" t="s">
        <v>240</v>
      </c>
      <c r="H34" s="245" t="s">
        <v>377</v>
      </c>
      <c r="I34" s="245" t="s">
        <v>377</v>
      </c>
      <c r="J34" s="247">
        <v>2</v>
      </c>
      <c r="K34" s="245" t="s">
        <v>84</v>
      </c>
      <c r="L34" s="243">
        <v>2750</v>
      </c>
      <c r="M34" s="248">
        <v>45752</v>
      </c>
      <c r="N34" s="249" t="s">
        <v>243</v>
      </c>
      <c r="O34" s="249">
        <v>46300</v>
      </c>
      <c r="P34" s="249">
        <v>46300</v>
      </c>
      <c r="Q34" s="250">
        <f t="shared" ca="1" si="2"/>
        <v>16.315789473684212</v>
      </c>
      <c r="R34" s="251" t="s">
        <v>232</v>
      </c>
      <c r="S34" s="250" t="str">
        <f t="shared" si="0"/>
        <v>Not Yet Certified</v>
      </c>
      <c r="T34" s="249" t="s">
        <v>303</v>
      </c>
      <c r="U34" s="249">
        <v>46203</v>
      </c>
      <c r="V34" s="252">
        <f t="shared" si="3"/>
        <v>15</v>
      </c>
      <c r="W34" s="254" t="s">
        <v>83</v>
      </c>
      <c r="X34" s="231" t="s">
        <v>83</v>
      </c>
      <c r="Y34" s="231" t="s">
        <v>83</v>
      </c>
      <c r="Z34" s="231" t="s">
        <v>83</v>
      </c>
      <c r="AA34" s="244" t="s">
        <v>378</v>
      </c>
      <c r="AB34" s="245" t="s">
        <v>237</v>
      </c>
    </row>
    <row r="35" spans="1:28" ht="72">
      <c r="A35" s="263" t="str">
        <f>IF(ISNA(MATCH(E35,'Project Operational Timelines'!C:C,0)),"Missing","Present")</f>
        <v>Present</v>
      </c>
      <c r="B35" s="263" t="str">
        <f>IF(ISNA(MATCH(E35,'PA Fees by Project'!E:E,0)),"Missing","Present")</f>
        <v>Present</v>
      </c>
      <c r="C35" s="246" t="s">
        <v>379</v>
      </c>
      <c r="D35" s="245" t="s">
        <v>11</v>
      </c>
      <c r="E35" s="231" t="s">
        <v>160</v>
      </c>
      <c r="F35" s="245" t="s">
        <v>380</v>
      </c>
      <c r="G35" s="245" t="s">
        <v>250</v>
      </c>
      <c r="H35" s="245" t="s">
        <v>343</v>
      </c>
      <c r="I35" s="245" t="s">
        <v>230</v>
      </c>
      <c r="J35" s="247">
        <v>1</v>
      </c>
      <c r="K35" s="245" t="s">
        <v>83</v>
      </c>
      <c r="L35" s="243">
        <v>1980</v>
      </c>
      <c r="M35" s="248">
        <v>43948</v>
      </c>
      <c r="N35" s="247" t="s">
        <v>381</v>
      </c>
      <c r="O35" s="249" t="s">
        <v>250</v>
      </c>
      <c r="P35" s="249">
        <v>45637</v>
      </c>
      <c r="Q35" s="250" t="str">
        <f t="shared" si="2"/>
        <v>Operational</v>
      </c>
      <c r="R35" s="251">
        <v>45642</v>
      </c>
      <c r="S35" s="250">
        <f t="shared" si="0"/>
        <v>56</v>
      </c>
      <c r="T35" s="249" t="s">
        <v>382</v>
      </c>
      <c r="U35" s="249">
        <v>45693</v>
      </c>
      <c r="V35" s="252">
        <f t="shared" si="3"/>
        <v>57</v>
      </c>
      <c r="W35" s="253" t="s">
        <v>83</v>
      </c>
      <c r="X35" s="231" t="s">
        <v>84</v>
      </c>
      <c r="Y35" s="245" t="s">
        <v>383</v>
      </c>
      <c r="Z35" s="245" t="s">
        <v>270</v>
      </c>
      <c r="AA35" s="244" t="s">
        <v>279</v>
      </c>
      <c r="AB35" s="245" t="s">
        <v>237</v>
      </c>
    </row>
    <row r="36" spans="1:28" ht="29.25">
      <c r="A36" s="263" t="str">
        <f>IF(ISNA(MATCH(E36,'Project Operational Timelines'!C:C,0)),"Missing","Present")</f>
        <v>Present</v>
      </c>
      <c r="B36" s="263" t="str">
        <f>IF(ISNA(MATCH(E36,'PA Fees by Project'!E:E,0)),"Missing","Present")</f>
        <v>Present</v>
      </c>
      <c r="C36" s="246" t="s">
        <v>384</v>
      </c>
      <c r="D36" s="245" t="s">
        <v>11</v>
      </c>
      <c r="E36" s="231" t="s">
        <v>112</v>
      </c>
      <c r="F36" s="245" t="s">
        <v>385</v>
      </c>
      <c r="G36" s="231" t="s">
        <v>250</v>
      </c>
      <c r="H36" s="231" t="s">
        <v>386</v>
      </c>
      <c r="I36" s="245" t="s">
        <v>386</v>
      </c>
      <c r="J36" s="247">
        <v>1</v>
      </c>
      <c r="K36" s="245" t="s">
        <v>83</v>
      </c>
      <c r="L36" s="243">
        <v>1848</v>
      </c>
      <c r="M36" s="248">
        <v>43958</v>
      </c>
      <c r="N36" s="249">
        <v>44552</v>
      </c>
      <c r="O36" s="251" t="s">
        <v>250</v>
      </c>
      <c r="P36" s="249">
        <v>44238</v>
      </c>
      <c r="Q36" s="250" t="str">
        <f t="shared" si="2"/>
        <v>Operational</v>
      </c>
      <c r="R36" s="251">
        <v>44256</v>
      </c>
      <c r="S36" s="250">
        <f t="shared" si="0"/>
        <v>9</v>
      </c>
      <c r="T36" s="249" t="s">
        <v>387</v>
      </c>
      <c r="U36" s="249">
        <v>44238</v>
      </c>
      <c r="V36" s="252">
        <f t="shared" si="3"/>
        <v>9</v>
      </c>
      <c r="W36" s="253" t="s">
        <v>83</v>
      </c>
      <c r="X36" s="231" t="s">
        <v>83</v>
      </c>
      <c r="Y36" s="245" t="s">
        <v>83</v>
      </c>
      <c r="Z36" s="245" t="s">
        <v>83</v>
      </c>
      <c r="AA36" s="244" t="s">
        <v>388</v>
      </c>
      <c r="AB36" s="245" t="s">
        <v>237</v>
      </c>
    </row>
    <row r="37" spans="1:28" ht="29.25">
      <c r="A37" s="263" t="str">
        <f>IF(ISNA(MATCH(E37,'Project Operational Timelines'!C:C,0)),"Missing","Present")</f>
        <v>Present</v>
      </c>
      <c r="B37" s="263" t="str">
        <f>IF(ISNA(MATCH(E37,'PA Fees by Project'!E:E,0)),"Missing","Present")</f>
        <v>Present</v>
      </c>
      <c r="C37" s="246" t="s">
        <v>389</v>
      </c>
      <c r="D37" s="245" t="s">
        <v>12</v>
      </c>
      <c r="E37" s="231" t="s">
        <v>180</v>
      </c>
      <c r="F37" s="245" t="s">
        <v>390</v>
      </c>
      <c r="G37" s="245" t="s">
        <v>240</v>
      </c>
      <c r="H37" s="245" t="s">
        <v>302</v>
      </c>
      <c r="I37" s="245" t="s">
        <v>302</v>
      </c>
      <c r="J37" s="247">
        <v>2</v>
      </c>
      <c r="K37" s="245" t="s">
        <v>84</v>
      </c>
      <c r="L37" s="243">
        <v>332</v>
      </c>
      <c r="M37" s="248">
        <v>45733</v>
      </c>
      <c r="N37" s="249" t="s">
        <v>243</v>
      </c>
      <c r="O37" s="249">
        <v>46282</v>
      </c>
      <c r="P37" s="249" t="s">
        <v>244</v>
      </c>
      <c r="Q37" s="250">
        <f t="shared" ca="1" si="2"/>
        <v>16.940789473684212</v>
      </c>
      <c r="R37" s="251" t="s">
        <v>232</v>
      </c>
      <c r="S37" s="250" t="str">
        <f t="shared" si="0"/>
        <v>Not Yet Certified</v>
      </c>
      <c r="T37" s="247" t="s">
        <v>245</v>
      </c>
      <c r="U37" s="249" t="s">
        <v>303</v>
      </c>
      <c r="V37" s="256" t="str">
        <f t="shared" si="3"/>
        <v>Data Not Available</v>
      </c>
      <c r="W37" s="254" t="s">
        <v>83</v>
      </c>
      <c r="X37" s="231" t="s">
        <v>83</v>
      </c>
      <c r="Y37" s="231" t="s">
        <v>83</v>
      </c>
      <c r="Z37" s="231" t="s">
        <v>83</v>
      </c>
      <c r="AA37" s="244" t="s">
        <v>304</v>
      </c>
      <c r="AB37" s="245" t="s">
        <v>237</v>
      </c>
    </row>
    <row r="38" spans="1:28" ht="29.25">
      <c r="A38" s="263" t="str">
        <f>IF(ISNA(MATCH(E38,'Project Operational Timelines'!C:C,0)),"Missing","Present")</f>
        <v>Present</v>
      </c>
      <c r="B38" s="263" t="str">
        <f>IF(ISNA(MATCH(E38,'PA Fees by Project'!E:E,0)),"Missing","Present")</f>
        <v>Present</v>
      </c>
      <c r="C38" s="246" t="s">
        <v>391</v>
      </c>
      <c r="D38" s="245" t="s">
        <v>11</v>
      </c>
      <c r="E38" s="231" t="s">
        <v>181</v>
      </c>
      <c r="F38" s="245" t="s">
        <v>392</v>
      </c>
      <c r="G38" s="245" t="s">
        <v>240</v>
      </c>
      <c r="H38" s="245" t="s">
        <v>393</v>
      </c>
      <c r="I38" s="245" t="s">
        <v>393</v>
      </c>
      <c r="J38" s="247">
        <v>2</v>
      </c>
      <c r="K38" s="245" t="s">
        <v>84</v>
      </c>
      <c r="L38" s="243">
        <v>3000</v>
      </c>
      <c r="M38" s="248">
        <v>45733</v>
      </c>
      <c r="N38" s="249" t="s">
        <v>243</v>
      </c>
      <c r="O38" s="249">
        <v>46282</v>
      </c>
      <c r="P38" s="249" t="s">
        <v>244</v>
      </c>
      <c r="Q38" s="250">
        <f t="shared" ca="1" si="2"/>
        <v>16.940789473684212</v>
      </c>
      <c r="R38" s="251" t="s">
        <v>232</v>
      </c>
      <c r="S38" s="250" t="str">
        <f t="shared" si="0"/>
        <v>Not Yet Certified</v>
      </c>
      <c r="T38" s="247" t="s">
        <v>245</v>
      </c>
      <c r="U38" s="249" t="s">
        <v>303</v>
      </c>
      <c r="V38" s="256" t="str">
        <f t="shared" si="3"/>
        <v>Data Not Available</v>
      </c>
      <c r="W38" s="254" t="s">
        <v>83</v>
      </c>
      <c r="X38" s="231" t="s">
        <v>83</v>
      </c>
      <c r="Y38" s="231" t="s">
        <v>83</v>
      </c>
      <c r="Z38" s="231" t="s">
        <v>83</v>
      </c>
      <c r="AA38" s="244" t="s">
        <v>304</v>
      </c>
      <c r="AB38" s="245" t="s">
        <v>237</v>
      </c>
    </row>
    <row r="39" spans="1:28" ht="29.25">
      <c r="A39" s="263" t="str">
        <f>IF(ISNA(MATCH(E39,'Project Operational Timelines'!C:C,0)),"Missing","Present")</f>
        <v>Present</v>
      </c>
      <c r="B39" s="263" t="str">
        <f>IF(ISNA(MATCH(E39,'PA Fees by Project'!E:E,0)),"Missing","Present")</f>
        <v>Present</v>
      </c>
      <c r="C39" s="246" t="s">
        <v>394</v>
      </c>
      <c r="D39" s="245" t="s">
        <v>11</v>
      </c>
      <c r="E39" s="231" t="s">
        <v>113</v>
      </c>
      <c r="F39" s="245" t="s">
        <v>395</v>
      </c>
      <c r="G39" s="231" t="s">
        <v>250</v>
      </c>
      <c r="H39" s="231" t="s">
        <v>229</v>
      </c>
      <c r="I39" s="245" t="s">
        <v>329</v>
      </c>
      <c r="J39" s="247">
        <v>1</v>
      </c>
      <c r="K39" s="245" t="s">
        <v>83</v>
      </c>
      <c r="L39" s="243">
        <v>1750</v>
      </c>
      <c r="M39" s="248">
        <v>43948</v>
      </c>
      <c r="N39" s="247" t="s">
        <v>396</v>
      </c>
      <c r="O39" s="251" t="s">
        <v>250</v>
      </c>
      <c r="P39" s="249">
        <v>44895</v>
      </c>
      <c r="Q39" s="250" t="str">
        <f t="shared" si="2"/>
        <v>Operational</v>
      </c>
      <c r="R39" s="251">
        <v>44910</v>
      </c>
      <c r="S39" s="250">
        <f t="shared" si="0"/>
        <v>31</v>
      </c>
      <c r="T39" s="247" t="s">
        <v>397</v>
      </c>
      <c r="U39" s="249">
        <v>45426</v>
      </c>
      <c r="V39" s="252">
        <f t="shared" si="3"/>
        <v>49</v>
      </c>
      <c r="W39" s="253" t="s">
        <v>83</v>
      </c>
      <c r="X39" s="231" t="s">
        <v>84</v>
      </c>
      <c r="Y39" s="245" t="s">
        <v>332</v>
      </c>
      <c r="Z39" s="245" t="s">
        <v>83</v>
      </c>
      <c r="AA39" s="244" t="s">
        <v>333</v>
      </c>
      <c r="AB39" s="245" t="s">
        <v>237</v>
      </c>
    </row>
    <row r="40" spans="1:28" ht="43.5">
      <c r="A40" s="263" t="str">
        <f>IF(ISNA(MATCH(E40,'Project Operational Timelines'!C:C,0)),"Missing","Present")</f>
        <v>Present</v>
      </c>
      <c r="B40" s="263" t="str">
        <f>IF(ISNA(MATCH(E40,'PA Fees by Project'!E:E,0)),"Missing","Present")</f>
        <v>Present</v>
      </c>
      <c r="C40" s="246" t="s">
        <v>398</v>
      </c>
      <c r="D40" s="245" t="s">
        <v>12</v>
      </c>
      <c r="E40" s="231" t="s">
        <v>157</v>
      </c>
      <c r="F40" s="245" t="s">
        <v>399</v>
      </c>
      <c r="G40" s="231" t="s">
        <v>228</v>
      </c>
      <c r="H40" s="231" t="s">
        <v>359</v>
      </c>
      <c r="I40" s="245" t="s">
        <v>359</v>
      </c>
      <c r="J40" s="247">
        <v>1</v>
      </c>
      <c r="K40" s="245" t="s">
        <v>84</v>
      </c>
      <c r="L40" s="243">
        <v>1000</v>
      </c>
      <c r="M40" s="248">
        <v>43948</v>
      </c>
      <c r="N40" s="247" t="s">
        <v>400</v>
      </c>
      <c r="O40" s="251" t="s">
        <v>228</v>
      </c>
      <c r="P40" s="249">
        <v>45595</v>
      </c>
      <c r="Q40" s="250">
        <f t="shared" ca="1" si="2"/>
        <v>75.65789473684211</v>
      </c>
      <c r="R40" s="251" t="s">
        <v>232</v>
      </c>
      <c r="S40" s="250">
        <f t="shared" si="0"/>
        <v>54</v>
      </c>
      <c r="T40" s="247">
        <v>44711</v>
      </c>
      <c r="U40" s="249">
        <v>45548</v>
      </c>
      <c r="V40" s="252">
        <f t="shared" si="3"/>
        <v>53</v>
      </c>
      <c r="W40" s="253" t="s">
        <v>83</v>
      </c>
      <c r="X40" s="231" t="s">
        <v>83</v>
      </c>
      <c r="Y40" s="245" t="s">
        <v>401</v>
      </c>
      <c r="Z40" s="245" t="s">
        <v>84</v>
      </c>
      <c r="AA40" s="244" t="s">
        <v>402</v>
      </c>
      <c r="AB40" s="245" t="s">
        <v>403</v>
      </c>
    </row>
    <row r="41" spans="1:28" ht="29.25">
      <c r="A41" s="263" t="str">
        <f>IF(ISNA(MATCH(E41,'Project Operational Timelines'!C:C,0)),"Missing","Present")</f>
        <v>Present</v>
      </c>
      <c r="B41" s="263" t="str">
        <f>IF(ISNA(MATCH(E41,'PA Fees by Project'!E:E,0)),"Missing","Present")</f>
        <v>Present</v>
      </c>
      <c r="C41" s="246" t="s">
        <v>404</v>
      </c>
      <c r="D41" s="245" t="s">
        <v>12</v>
      </c>
      <c r="E41" s="231" t="s">
        <v>169</v>
      </c>
      <c r="F41" s="245" t="s">
        <v>405</v>
      </c>
      <c r="G41" s="245" t="s">
        <v>250</v>
      </c>
      <c r="H41" s="245" t="s">
        <v>406</v>
      </c>
      <c r="I41" s="245" t="s">
        <v>267</v>
      </c>
      <c r="J41" s="247">
        <v>2</v>
      </c>
      <c r="K41" s="245" t="s">
        <v>83</v>
      </c>
      <c r="L41" s="243">
        <v>2875</v>
      </c>
      <c r="M41" s="248">
        <v>44666</v>
      </c>
      <c r="N41" s="249">
        <v>45214</v>
      </c>
      <c r="O41" s="249" t="s">
        <v>250</v>
      </c>
      <c r="P41" s="249">
        <v>45468</v>
      </c>
      <c r="Q41" s="250" t="str">
        <f t="shared" si="2"/>
        <v>Operational</v>
      </c>
      <c r="R41" s="251">
        <v>45474</v>
      </c>
      <c r="S41" s="250">
        <f t="shared" si="0"/>
        <v>26</v>
      </c>
      <c r="T41" s="247" t="s">
        <v>245</v>
      </c>
      <c r="U41" s="251">
        <v>44855</v>
      </c>
      <c r="V41" s="252">
        <f t="shared" si="3"/>
        <v>6</v>
      </c>
      <c r="W41" s="253" t="s">
        <v>83</v>
      </c>
      <c r="X41" s="231" t="s">
        <v>84</v>
      </c>
      <c r="Y41" s="245" t="s">
        <v>83</v>
      </c>
      <c r="Z41" s="245" t="s">
        <v>278</v>
      </c>
      <c r="AA41" s="244" t="s">
        <v>271</v>
      </c>
      <c r="AB41" s="245" t="s">
        <v>237</v>
      </c>
    </row>
    <row r="42" spans="1:28" ht="43.5">
      <c r="A42" s="263" t="str">
        <f>IF(ISNA(MATCH(E42,'Project Operational Timelines'!C:C,0)),"Missing","Present")</f>
        <v>Present</v>
      </c>
      <c r="B42" s="263" t="str">
        <f>IF(ISNA(MATCH(E42,'PA Fees by Project'!E:E,0)),"Missing","Present")</f>
        <v>Present</v>
      </c>
      <c r="C42" s="246" t="s">
        <v>407</v>
      </c>
      <c r="D42" s="245" t="s">
        <v>11</v>
      </c>
      <c r="E42" s="231" t="s">
        <v>148</v>
      </c>
      <c r="F42" s="245" t="s">
        <v>408</v>
      </c>
      <c r="G42" s="245" t="s">
        <v>250</v>
      </c>
      <c r="H42" s="245" t="s">
        <v>258</v>
      </c>
      <c r="I42" s="245" t="s">
        <v>230</v>
      </c>
      <c r="J42" s="247">
        <v>2</v>
      </c>
      <c r="K42" s="245" t="s">
        <v>83</v>
      </c>
      <c r="L42" s="243">
        <v>2500</v>
      </c>
      <c r="M42" s="248">
        <v>44666</v>
      </c>
      <c r="N42" s="249" t="s">
        <v>409</v>
      </c>
      <c r="O42" s="249" t="s">
        <v>250</v>
      </c>
      <c r="P42" s="249">
        <v>45637</v>
      </c>
      <c r="Q42" s="250" t="str">
        <f t="shared" si="2"/>
        <v>Operational</v>
      </c>
      <c r="R42" s="251">
        <v>45642</v>
      </c>
      <c r="S42" s="250">
        <f t="shared" si="0"/>
        <v>32</v>
      </c>
      <c r="T42" s="249" t="s">
        <v>410</v>
      </c>
      <c r="U42" s="249">
        <v>45596</v>
      </c>
      <c r="V42" s="252">
        <f t="shared" si="3"/>
        <v>31</v>
      </c>
      <c r="W42" s="253" t="s">
        <v>83</v>
      </c>
      <c r="X42" s="231" t="s">
        <v>84</v>
      </c>
      <c r="Y42" s="245" t="s">
        <v>299</v>
      </c>
      <c r="Z42" s="245" t="s">
        <v>83</v>
      </c>
      <c r="AA42" s="244" t="s">
        <v>279</v>
      </c>
      <c r="AB42" s="245" t="s">
        <v>237</v>
      </c>
    </row>
    <row r="43" spans="1:28" ht="43.5">
      <c r="A43" s="263" t="str">
        <f>IF(ISNA(MATCH(E43,'Project Operational Timelines'!C:C,0)),"Missing","Present")</f>
        <v>Present</v>
      </c>
      <c r="B43" s="263" t="str">
        <f>IF(ISNA(MATCH(E43,'PA Fees by Project'!E:E,0)),"Missing","Present")</f>
        <v>Present</v>
      </c>
      <c r="C43" s="246" t="s">
        <v>411</v>
      </c>
      <c r="D43" s="245" t="s">
        <v>12</v>
      </c>
      <c r="E43" s="231" t="s">
        <v>114</v>
      </c>
      <c r="F43" s="245" t="s">
        <v>412</v>
      </c>
      <c r="G43" s="231" t="s">
        <v>250</v>
      </c>
      <c r="H43" s="231" t="s">
        <v>229</v>
      </c>
      <c r="I43" s="245" t="s">
        <v>229</v>
      </c>
      <c r="J43" s="247">
        <v>2</v>
      </c>
      <c r="K43" s="245" t="s">
        <v>83</v>
      </c>
      <c r="L43" s="243">
        <v>567</v>
      </c>
      <c r="M43" s="248">
        <v>44666</v>
      </c>
      <c r="N43" s="249">
        <v>45214</v>
      </c>
      <c r="O43" s="249" t="s">
        <v>250</v>
      </c>
      <c r="P43" s="249">
        <v>44909</v>
      </c>
      <c r="Q43" s="250" t="str">
        <f t="shared" si="2"/>
        <v>Operational</v>
      </c>
      <c r="R43" s="251">
        <v>45139</v>
      </c>
      <c r="S43" s="250">
        <f t="shared" si="0"/>
        <v>8</v>
      </c>
      <c r="T43" s="247" t="s">
        <v>413</v>
      </c>
      <c r="U43" s="251">
        <v>44879</v>
      </c>
      <c r="V43" s="252">
        <f t="shared" si="3"/>
        <v>7</v>
      </c>
      <c r="W43" s="253" t="s">
        <v>83</v>
      </c>
      <c r="X43" s="231" t="s">
        <v>83</v>
      </c>
      <c r="Y43" s="245" t="s">
        <v>83</v>
      </c>
      <c r="Z43" s="245" t="s">
        <v>83</v>
      </c>
      <c r="AA43" s="244" t="s">
        <v>414</v>
      </c>
      <c r="AB43" s="245" t="s">
        <v>237</v>
      </c>
    </row>
    <row r="44" spans="1:28" ht="29.25">
      <c r="A44" s="263" t="str">
        <f>IF(ISNA(MATCH(E44,'Project Operational Timelines'!C:C,0)),"Missing","Present")</f>
        <v>Present</v>
      </c>
      <c r="B44" s="263" t="str">
        <f>IF(ISNA(MATCH(E44,'PA Fees by Project'!E:E,0)),"Missing","Present")</f>
        <v>Present</v>
      </c>
      <c r="C44" s="246" t="s">
        <v>415</v>
      </c>
      <c r="D44" s="245" t="s">
        <v>12</v>
      </c>
      <c r="E44" s="231" t="s">
        <v>182</v>
      </c>
      <c r="F44" s="245" t="s">
        <v>416</v>
      </c>
      <c r="G44" s="245" t="s">
        <v>240</v>
      </c>
      <c r="H44" s="245" t="s">
        <v>302</v>
      </c>
      <c r="I44" s="245" t="s">
        <v>302</v>
      </c>
      <c r="J44" s="247">
        <v>2</v>
      </c>
      <c r="K44" s="245" t="s">
        <v>84</v>
      </c>
      <c r="L44" s="243">
        <v>332</v>
      </c>
      <c r="M44" s="248">
        <v>45733</v>
      </c>
      <c r="N44" s="249" t="s">
        <v>243</v>
      </c>
      <c r="O44" s="249">
        <v>46282</v>
      </c>
      <c r="P44" s="249" t="s">
        <v>244</v>
      </c>
      <c r="Q44" s="250">
        <f t="shared" ca="1" si="2"/>
        <v>16.940789473684212</v>
      </c>
      <c r="R44" s="251" t="s">
        <v>232</v>
      </c>
      <c r="S44" s="250" t="str">
        <f t="shared" si="0"/>
        <v>Not Yet Certified</v>
      </c>
      <c r="T44" s="247" t="s">
        <v>245</v>
      </c>
      <c r="U44" s="249" t="s">
        <v>303</v>
      </c>
      <c r="V44" s="256" t="str">
        <f t="shared" si="3"/>
        <v>Data Not Available</v>
      </c>
      <c r="W44" s="254" t="s">
        <v>83</v>
      </c>
      <c r="X44" s="231" t="s">
        <v>83</v>
      </c>
      <c r="Y44" s="231" t="s">
        <v>83</v>
      </c>
      <c r="Z44" s="231" t="s">
        <v>83</v>
      </c>
      <c r="AA44" s="244" t="s">
        <v>304</v>
      </c>
      <c r="AB44" s="245" t="s">
        <v>237</v>
      </c>
    </row>
    <row r="45" spans="1:28" ht="29.25">
      <c r="A45" s="263" t="str">
        <f>IF(ISNA(MATCH(E45,'Project Operational Timelines'!C:C,0)),"Missing","Present")</f>
        <v>Present</v>
      </c>
      <c r="B45" s="263" t="str">
        <f>IF(ISNA(MATCH(E45,'PA Fees by Project'!E:E,0)),"Missing","Present")</f>
        <v>Present</v>
      </c>
      <c r="C45" s="246" t="s">
        <v>417</v>
      </c>
      <c r="D45" s="245" t="s">
        <v>12</v>
      </c>
      <c r="E45" s="231" t="s">
        <v>183</v>
      </c>
      <c r="F45" s="245" t="s">
        <v>418</v>
      </c>
      <c r="G45" s="245" t="s">
        <v>240</v>
      </c>
      <c r="H45" s="245" t="s">
        <v>302</v>
      </c>
      <c r="I45" s="245" t="s">
        <v>302</v>
      </c>
      <c r="J45" s="247">
        <v>2</v>
      </c>
      <c r="K45" s="245" t="s">
        <v>84</v>
      </c>
      <c r="L45" s="243">
        <v>250</v>
      </c>
      <c r="M45" s="248">
        <v>45733</v>
      </c>
      <c r="N45" s="249" t="s">
        <v>243</v>
      </c>
      <c r="O45" s="249">
        <v>46282</v>
      </c>
      <c r="P45" s="249" t="s">
        <v>244</v>
      </c>
      <c r="Q45" s="250">
        <f t="shared" ca="1" si="2"/>
        <v>16.940789473684212</v>
      </c>
      <c r="R45" s="251" t="s">
        <v>232</v>
      </c>
      <c r="S45" s="250" t="str">
        <f t="shared" si="0"/>
        <v>Not Yet Certified</v>
      </c>
      <c r="T45" s="247" t="s">
        <v>245</v>
      </c>
      <c r="U45" s="249" t="s">
        <v>303</v>
      </c>
      <c r="V45" s="256" t="str">
        <f t="shared" si="3"/>
        <v>Data Not Available</v>
      </c>
      <c r="W45" s="254" t="s">
        <v>83</v>
      </c>
      <c r="X45" s="231" t="s">
        <v>83</v>
      </c>
      <c r="Y45" s="231" t="s">
        <v>83</v>
      </c>
      <c r="Z45" s="231" t="s">
        <v>83</v>
      </c>
      <c r="AA45" s="244" t="s">
        <v>304</v>
      </c>
      <c r="AB45" s="245" t="s">
        <v>237</v>
      </c>
    </row>
    <row r="46" spans="1:28" ht="29.25">
      <c r="A46" s="263" t="str">
        <f>IF(ISNA(MATCH(E46,'Project Operational Timelines'!C:C,0)),"Missing","Present")</f>
        <v>Present</v>
      </c>
      <c r="B46" s="263" t="str">
        <f>IF(ISNA(MATCH(E46,'PA Fees by Project'!E:E,0)),"Missing","Present")</f>
        <v>Present</v>
      </c>
      <c r="C46" s="246" t="s">
        <v>419</v>
      </c>
      <c r="D46" s="245" t="s">
        <v>11</v>
      </c>
      <c r="E46" s="231" t="s">
        <v>115</v>
      </c>
      <c r="F46" s="245" t="s">
        <v>420</v>
      </c>
      <c r="G46" s="231" t="s">
        <v>250</v>
      </c>
      <c r="H46" s="231" t="s">
        <v>421</v>
      </c>
      <c r="I46" s="245" t="s">
        <v>421</v>
      </c>
      <c r="J46" s="247">
        <v>1</v>
      </c>
      <c r="K46" s="245" t="s">
        <v>84</v>
      </c>
      <c r="L46" s="243">
        <v>40</v>
      </c>
      <c r="M46" s="248">
        <v>43948</v>
      </c>
      <c r="N46" s="249" t="s">
        <v>422</v>
      </c>
      <c r="O46" s="249" t="s">
        <v>250</v>
      </c>
      <c r="P46" s="249">
        <v>44699</v>
      </c>
      <c r="Q46" s="250" t="str">
        <f t="shared" si="2"/>
        <v>Operational</v>
      </c>
      <c r="R46" s="251">
        <v>44715</v>
      </c>
      <c r="S46" s="250">
        <f t="shared" si="0"/>
        <v>25</v>
      </c>
      <c r="T46" s="249">
        <v>44104</v>
      </c>
      <c r="U46" s="249">
        <v>44788</v>
      </c>
      <c r="V46" s="252">
        <f t="shared" si="3"/>
        <v>28</v>
      </c>
      <c r="W46" s="253" t="s">
        <v>83</v>
      </c>
      <c r="X46" s="231" t="s">
        <v>83</v>
      </c>
      <c r="Y46" s="245" t="s">
        <v>423</v>
      </c>
      <c r="Z46" s="245" t="s">
        <v>83</v>
      </c>
      <c r="AA46" s="244" t="s">
        <v>424</v>
      </c>
      <c r="AB46" s="245" t="s">
        <v>237</v>
      </c>
    </row>
    <row r="47" spans="1:28" ht="43.5">
      <c r="A47" s="263" t="str">
        <f>IF(ISNA(MATCH(E47,'Project Operational Timelines'!C:C,0)),"Missing","Present")</f>
        <v>Present</v>
      </c>
      <c r="B47" s="263" t="str">
        <f>IF(ISNA(MATCH(E47,'PA Fees by Project'!E:E,0)),"Missing","Present")</f>
        <v>Present</v>
      </c>
      <c r="C47" s="246" t="s">
        <v>425</v>
      </c>
      <c r="D47" s="245" t="s">
        <v>11</v>
      </c>
      <c r="E47" s="231" t="s">
        <v>116</v>
      </c>
      <c r="F47" s="245" t="s">
        <v>426</v>
      </c>
      <c r="G47" s="231" t="s">
        <v>250</v>
      </c>
      <c r="H47" s="231" t="s">
        <v>427</v>
      </c>
      <c r="I47" s="245" t="s">
        <v>427</v>
      </c>
      <c r="J47" s="247">
        <v>1</v>
      </c>
      <c r="K47" s="245" t="s">
        <v>83</v>
      </c>
      <c r="L47" s="243">
        <v>2000</v>
      </c>
      <c r="M47" s="248">
        <v>43948</v>
      </c>
      <c r="N47" s="249" t="s">
        <v>428</v>
      </c>
      <c r="O47" s="251" t="s">
        <v>250</v>
      </c>
      <c r="P47" s="249">
        <v>44895</v>
      </c>
      <c r="Q47" s="250" t="str">
        <f t="shared" si="2"/>
        <v>Operational</v>
      </c>
      <c r="R47" s="251">
        <v>44910</v>
      </c>
      <c r="S47" s="250">
        <f t="shared" si="0"/>
        <v>31</v>
      </c>
      <c r="T47" s="249" t="s">
        <v>429</v>
      </c>
      <c r="U47" s="249">
        <v>44908</v>
      </c>
      <c r="V47" s="252">
        <f t="shared" si="3"/>
        <v>32</v>
      </c>
      <c r="W47" s="253" t="s">
        <v>83</v>
      </c>
      <c r="X47" s="231" t="s">
        <v>84</v>
      </c>
      <c r="Y47" s="245" t="s">
        <v>332</v>
      </c>
      <c r="Z47" s="245" t="s">
        <v>83</v>
      </c>
      <c r="AA47" s="244" t="s">
        <v>333</v>
      </c>
      <c r="AB47" s="245" t="s">
        <v>237</v>
      </c>
    </row>
    <row r="48" spans="1:28" ht="72">
      <c r="A48" s="263" t="str">
        <f>IF(ISNA(MATCH(E48,'Project Operational Timelines'!C:C,0)),"Missing","Present")</f>
        <v>Present</v>
      </c>
      <c r="B48" s="263" t="str">
        <f>IF(ISNA(MATCH(E48,'PA Fees by Project'!E:E,0)),"Missing","Present")</f>
        <v>Present</v>
      </c>
      <c r="C48" s="246" t="s">
        <v>430</v>
      </c>
      <c r="D48" s="245" t="s">
        <v>12</v>
      </c>
      <c r="E48" s="231" t="s">
        <v>146</v>
      </c>
      <c r="F48" s="245" t="s">
        <v>431</v>
      </c>
      <c r="G48" s="231" t="s">
        <v>240</v>
      </c>
      <c r="H48" s="231" t="s">
        <v>432</v>
      </c>
      <c r="I48" s="245" t="s">
        <v>432</v>
      </c>
      <c r="J48" s="247">
        <v>2</v>
      </c>
      <c r="K48" s="245" t="s">
        <v>83</v>
      </c>
      <c r="L48" s="243">
        <v>2250</v>
      </c>
      <c r="M48" s="248">
        <v>44666</v>
      </c>
      <c r="N48" s="249" t="s">
        <v>433</v>
      </c>
      <c r="O48" s="251">
        <v>45961</v>
      </c>
      <c r="P48" s="249" t="s">
        <v>244</v>
      </c>
      <c r="Q48" s="250">
        <f t="shared" ca="1" si="2"/>
        <v>52.039473684210527</v>
      </c>
      <c r="R48" s="251" t="s">
        <v>232</v>
      </c>
      <c r="S48" s="250" t="str">
        <f t="shared" si="0"/>
        <v>Not Yet Certified</v>
      </c>
      <c r="T48" s="249" t="s">
        <v>434</v>
      </c>
      <c r="U48" s="249">
        <v>45926</v>
      </c>
      <c r="V48" s="252">
        <f t="shared" si="3"/>
        <v>41</v>
      </c>
      <c r="W48" s="253" t="s">
        <v>83</v>
      </c>
      <c r="X48" s="231" t="s">
        <v>83</v>
      </c>
      <c r="Y48" s="245" t="s">
        <v>435</v>
      </c>
      <c r="Z48" s="245" t="s">
        <v>436</v>
      </c>
      <c r="AA48" s="244" t="s">
        <v>286</v>
      </c>
      <c r="AB48" s="245" t="s">
        <v>437</v>
      </c>
    </row>
    <row r="49" spans="1:28" ht="43.5">
      <c r="A49" s="263" t="str">
        <f>IF(ISNA(MATCH(E49,'Project Operational Timelines'!C:C,0)),"Missing","Present")</f>
        <v>Present</v>
      </c>
      <c r="B49" s="263" t="str">
        <f>IF(ISNA(MATCH(E49,'PA Fees by Project'!E:E,0)),"Missing","Present")</f>
        <v>Present</v>
      </c>
      <c r="C49" s="246" t="s">
        <v>438</v>
      </c>
      <c r="D49" s="245" t="s">
        <v>11</v>
      </c>
      <c r="E49" s="231" t="s">
        <v>142</v>
      </c>
      <c r="F49" s="245" t="s">
        <v>439</v>
      </c>
      <c r="G49" s="231" t="s">
        <v>240</v>
      </c>
      <c r="H49" s="231" t="s">
        <v>258</v>
      </c>
      <c r="I49" s="245" t="s">
        <v>259</v>
      </c>
      <c r="J49" s="247">
        <v>2</v>
      </c>
      <c r="K49" s="245" t="s">
        <v>83</v>
      </c>
      <c r="L49" s="243">
        <v>2985</v>
      </c>
      <c r="M49" s="248">
        <v>45283</v>
      </c>
      <c r="N49" s="249">
        <v>45831</v>
      </c>
      <c r="O49" s="251">
        <v>46014</v>
      </c>
      <c r="P49" s="249" t="s">
        <v>244</v>
      </c>
      <c r="Q49" s="250">
        <f t="shared" ca="1" si="2"/>
        <v>31.743421052631579</v>
      </c>
      <c r="R49" s="251" t="s">
        <v>232</v>
      </c>
      <c r="S49" s="250" t="str">
        <f t="shared" si="0"/>
        <v>Not Yet Certified</v>
      </c>
      <c r="T49" s="249" t="s">
        <v>245</v>
      </c>
      <c r="U49" s="249" t="s">
        <v>440</v>
      </c>
      <c r="V49" s="252" t="s">
        <v>245</v>
      </c>
      <c r="W49" s="253" t="s">
        <v>83</v>
      </c>
      <c r="X49" s="231" t="s">
        <v>83</v>
      </c>
      <c r="Y49" s="245" t="s">
        <v>83</v>
      </c>
      <c r="Z49" s="245" t="s">
        <v>83</v>
      </c>
      <c r="AA49" s="244" t="s">
        <v>441</v>
      </c>
      <c r="AB49" s="245" t="s">
        <v>442</v>
      </c>
    </row>
    <row r="50" spans="1:28" ht="57.75">
      <c r="A50" s="263" t="str">
        <f>IF(ISNA(MATCH(E50,'Project Operational Timelines'!C:C,0)),"Missing","Present")</f>
        <v>Present</v>
      </c>
      <c r="B50" s="263" t="str">
        <f>IF(ISNA(MATCH(E50,'PA Fees by Project'!E:E,0)),"Missing","Present")</f>
        <v>Present</v>
      </c>
      <c r="C50" s="246" t="s">
        <v>443</v>
      </c>
      <c r="D50" s="245" t="s">
        <v>12</v>
      </c>
      <c r="E50" s="231" t="s">
        <v>117</v>
      </c>
      <c r="F50" s="245" t="s">
        <v>444</v>
      </c>
      <c r="G50" s="231" t="s">
        <v>250</v>
      </c>
      <c r="H50" s="231" t="s">
        <v>229</v>
      </c>
      <c r="I50" s="245" t="s">
        <v>329</v>
      </c>
      <c r="J50" s="247">
        <v>1</v>
      </c>
      <c r="K50" s="245" t="s">
        <v>83</v>
      </c>
      <c r="L50" s="243">
        <v>2800</v>
      </c>
      <c r="M50" s="248">
        <v>44152</v>
      </c>
      <c r="N50" s="249" t="s">
        <v>445</v>
      </c>
      <c r="O50" s="251" t="s">
        <v>250</v>
      </c>
      <c r="P50" s="249">
        <v>45289</v>
      </c>
      <c r="Q50" s="250" t="str">
        <f t="shared" si="2"/>
        <v>Operational</v>
      </c>
      <c r="R50" s="251">
        <v>45415</v>
      </c>
      <c r="S50" s="250">
        <f t="shared" si="0"/>
        <v>37</v>
      </c>
      <c r="T50" s="249" t="s">
        <v>446</v>
      </c>
      <c r="U50" s="249">
        <v>45169</v>
      </c>
      <c r="V50" s="252">
        <f t="shared" ref="V50:V66" si="4">IF(U50="Data Not Available","Data Not Available",ROUND((U50-M50)/30.4,))</f>
        <v>33</v>
      </c>
      <c r="W50" s="253" t="s">
        <v>83</v>
      </c>
      <c r="X50" s="231" t="s">
        <v>84</v>
      </c>
      <c r="Y50" s="245" t="s">
        <v>277</v>
      </c>
      <c r="Z50" s="245" t="s">
        <v>447</v>
      </c>
      <c r="AA50" s="244" t="s">
        <v>448</v>
      </c>
      <c r="AB50" s="245" t="s">
        <v>237</v>
      </c>
    </row>
    <row r="51" spans="1:28" ht="29.25">
      <c r="A51" s="263" t="str">
        <f>IF(ISNA(MATCH(E51,'Project Operational Timelines'!C:C,0)),"Missing","Present")</f>
        <v>Present</v>
      </c>
      <c r="B51" s="263" t="str">
        <f>IF(ISNA(MATCH(E51,'PA Fees by Project'!E:E,0)),"Missing","Present")</f>
        <v>Present</v>
      </c>
      <c r="C51" s="246" t="s">
        <v>449</v>
      </c>
      <c r="D51" s="245" t="s">
        <v>12</v>
      </c>
      <c r="E51" s="231" t="s">
        <v>184</v>
      </c>
      <c r="F51" s="245" t="s">
        <v>450</v>
      </c>
      <c r="G51" s="231" t="s">
        <v>240</v>
      </c>
      <c r="H51" s="231" t="s">
        <v>241</v>
      </c>
      <c r="I51" s="245" t="s">
        <v>242</v>
      </c>
      <c r="J51" s="247">
        <v>2</v>
      </c>
      <c r="K51" s="245" t="s">
        <v>84</v>
      </c>
      <c r="L51" s="243">
        <v>1100</v>
      </c>
      <c r="M51" s="248">
        <v>45604</v>
      </c>
      <c r="N51" s="249" t="s">
        <v>243</v>
      </c>
      <c r="O51" s="251">
        <v>46150</v>
      </c>
      <c r="P51" s="249" t="s">
        <v>244</v>
      </c>
      <c r="Q51" s="250">
        <f t="shared" ca="1" si="2"/>
        <v>21.184210526315791</v>
      </c>
      <c r="R51" s="251" t="s">
        <v>232</v>
      </c>
      <c r="S51" s="250" t="str">
        <f t="shared" si="0"/>
        <v>Not Yet Certified</v>
      </c>
      <c r="T51" s="249">
        <v>45930</v>
      </c>
      <c r="U51" s="249">
        <v>46010</v>
      </c>
      <c r="V51" s="252">
        <f t="shared" si="4"/>
        <v>13</v>
      </c>
      <c r="W51" s="253" t="s">
        <v>83</v>
      </c>
      <c r="X51" s="231" t="s">
        <v>84</v>
      </c>
      <c r="Y51" s="245" t="s">
        <v>83</v>
      </c>
      <c r="Z51" s="245" t="s">
        <v>83</v>
      </c>
      <c r="AA51" s="244" t="s">
        <v>246</v>
      </c>
      <c r="AB51" s="245" t="s">
        <v>247</v>
      </c>
    </row>
    <row r="52" spans="1:28" ht="72">
      <c r="A52" s="263" t="str">
        <f>IF(ISNA(MATCH(E52,'Project Operational Timelines'!C:C,0)),"Missing","Present")</f>
        <v>Present</v>
      </c>
      <c r="B52" s="263" t="str">
        <f>IF(ISNA(MATCH(E52,'PA Fees by Project'!E:E,0)),"Missing","Present")</f>
        <v>Present</v>
      </c>
      <c r="C52" s="246" t="s">
        <v>451</v>
      </c>
      <c r="D52" s="245" t="s">
        <v>12</v>
      </c>
      <c r="E52" s="231" t="s">
        <v>164</v>
      </c>
      <c r="F52" s="245" t="s">
        <v>452</v>
      </c>
      <c r="G52" s="245" t="s">
        <v>250</v>
      </c>
      <c r="H52" s="245" t="s">
        <v>266</v>
      </c>
      <c r="I52" s="245" t="s">
        <v>267</v>
      </c>
      <c r="J52" s="247">
        <v>1</v>
      </c>
      <c r="K52" s="245" t="s">
        <v>83</v>
      </c>
      <c r="L52" s="243">
        <v>2875</v>
      </c>
      <c r="M52" s="248">
        <v>44194</v>
      </c>
      <c r="N52" s="247" t="s">
        <v>453</v>
      </c>
      <c r="O52" s="249" t="s">
        <v>250</v>
      </c>
      <c r="P52" s="249">
        <v>45679</v>
      </c>
      <c r="Q52" s="250" t="str">
        <f t="shared" si="2"/>
        <v>Operational</v>
      </c>
      <c r="R52" s="251">
        <v>45748</v>
      </c>
      <c r="S52" s="250">
        <f t="shared" si="0"/>
        <v>49</v>
      </c>
      <c r="T52" s="249" t="s">
        <v>454</v>
      </c>
      <c r="U52" s="251">
        <v>45583</v>
      </c>
      <c r="V52" s="252">
        <f t="shared" si="4"/>
        <v>46</v>
      </c>
      <c r="W52" s="253" t="s">
        <v>83</v>
      </c>
      <c r="X52" s="231" t="s">
        <v>84</v>
      </c>
      <c r="Y52" s="245" t="s">
        <v>455</v>
      </c>
      <c r="Z52" s="245" t="s">
        <v>456</v>
      </c>
      <c r="AA52" s="244" t="s">
        <v>457</v>
      </c>
      <c r="AB52" s="245" t="s">
        <v>237</v>
      </c>
    </row>
    <row r="53" spans="1:28" ht="43.5">
      <c r="A53" s="263" t="str">
        <f>IF(ISNA(MATCH(E53,'Project Operational Timelines'!C:C,0)),"Missing","Present")</f>
        <v>Present</v>
      </c>
      <c r="B53" s="263" t="str">
        <f>IF(ISNA(MATCH(E53,'PA Fees by Project'!E:E,0)),"Missing","Present")</f>
        <v>Present</v>
      </c>
      <c r="C53" s="246" t="s">
        <v>458</v>
      </c>
      <c r="D53" s="245" t="s">
        <v>11</v>
      </c>
      <c r="E53" s="231" t="s">
        <v>149</v>
      </c>
      <c r="F53" s="245" t="s">
        <v>459</v>
      </c>
      <c r="G53" s="245" t="s">
        <v>250</v>
      </c>
      <c r="H53" s="245" t="s">
        <v>406</v>
      </c>
      <c r="I53" s="245" t="s">
        <v>230</v>
      </c>
      <c r="J53" s="247">
        <v>2</v>
      </c>
      <c r="K53" s="245" t="s">
        <v>83</v>
      </c>
      <c r="L53" s="243">
        <v>1900</v>
      </c>
      <c r="M53" s="248">
        <v>44666</v>
      </c>
      <c r="N53" s="249" t="s">
        <v>460</v>
      </c>
      <c r="O53" s="249" t="s">
        <v>250</v>
      </c>
      <c r="P53" s="249">
        <v>45637</v>
      </c>
      <c r="Q53" s="250" t="str">
        <f t="shared" si="2"/>
        <v>Operational</v>
      </c>
      <c r="R53" s="251">
        <v>45642</v>
      </c>
      <c r="S53" s="250">
        <f t="shared" si="0"/>
        <v>32</v>
      </c>
      <c r="T53" s="260" t="s">
        <v>461</v>
      </c>
      <c r="U53" s="249">
        <v>45535</v>
      </c>
      <c r="V53" s="252">
        <f t="shared" si="4"/>
        <v>29</v>
      </c>
      <c r="W53" s="253" t="s">
        <v>83</v>
      </c>
      <c r="X53" s="231" t="s">
        <v>84</v>
      </c>
      <c r="Y53" s="245" t="s">
        <v>435</v>
      </c>
      <c r="Z53" s="245" t="s">
        <v>83</v>
      </c>
      <c r="AA53" s="244" t="s">
        <v>279</v>
      </c>
      <c r="AB53" s="245" t="s">
        <v>237</v>
      </c>
    </row>
    <row r="54" spans="1:28" ht="43.5">
      <c r="A54" s="263" t="str">
        <f>IF(ISNA(MATCH(E54,'Project Operational Timelines'!C:C,0)),"Missing","Present")</f>
        <v>Present</v>
      </c>
      <c r="B54" s="263" t="str">
        <f>IF(ISNA(MATCH(E54,'PA Fees by Project'!E:E,0)),"Missing","Present")</f>
        <v>Present</v>
      </c>
      <c r="C54" s="246" t="s">
        <v>462</v>
      </c>
      <c r="D54" s="245" t="s">
        <v>12</v>
      </c>
      <c r="E54" s="231" t="s">
        <v>185</v>
      </c>
      <c r="F54" s="245" t="s">
        <v>463</v>
      </c>
      <c r="G54" s="245" t="s">
        <v>240</v>
      </c>
      <c r="H54" s="245" t="s">
        <v>359</v>
      </c>
      <c r="I54" s="245" t="s">
        <v>359</v>
      </c>
      <c r="J54" s="247">
        <v>2</v>
      </c>
      <c r="K54" s="245" t="s">
        <v>84</v>
      </c>
      <c r="L54" s="243">
        <v>800</v>
      </c>
      <c r="M54" s="248">
        <v>45733</v>
      </c>
      <c r="N54" s="249" t="s">
        <v>243</v>
      </c>
      <c r="O54" s="249">
        <v>46282</v>
      </c>
      <c r="P54" s="249" t="s">
        <v>244</v>
      </c>
      <c r="Q54" s="250">
        <f t="shared" ca="1" si="2"/>
        <v>16.940789473684212</v>
      </c>
      <c r="R54" s="251" t="s">
        <v>232</v>
      </c>
      <c r="S54" s="250" t="str">
        <f t="shared" si="0"/>
        <v>Not Yet Certified</v>
      </c>
      <c r="T54" s="247" t="s">
        <v>245</v>
      </c>
      <c r="U54" s="249" t="s">
        <v>303</v>
      </c>
      <c r="V54" s="256" t="str">
        <f t="shared" si="4"/>
        <v>Data Not Available</v>
      </c>
      <c r="W54" s="254" t="s">
        <v>83</v>
      </c>
      <c r="X54" s="231" t="s">
        <v>83</v>
      </c>
      <c r="Y54" s="231" t="s">
        <v>83</v>
      </c>
      <c r="Z54" s="231" t="s">
        <v>83</v>
      </c>
      <c r="AA54" s="244" t="s">
        <v>304</v>
      </c>
      <c r="AB54" s="245" t="s">
        <v>237</v>
      </c>
    </row>
    <row r="55" spans="1:28" ht="57.75">
      <c r="A55" s="263" t="str">
        <f>IF(ISNA(MATCH(E55,'Project Operational Timelines'!C:C,0)),"Missing","Present")</f>
        <v>Present</v>
      </c>
      <c r="B55" s="263" t="str">
        <f>IF(ISNA(MATCH(E55,'PA Fees by Project'!E:E,0)),"Missing","Present")</f>
        <v>Present</v>
      </c>
      <c r="C55" s="246" t="s">
        <v>464</v>
      </c>
      <c r="D55" s="245" t="s">
        <v>11</v>
      </c>
      <c r="E55" s="231" t="s">
        <v>150</v>
      </c>
      <c r="F55" s="245" t="s">
        <v>465</v>
      </c>
      <c r="G55" s="245" t="s">
        <v>250</v>
      </c>
      <c r="H55" s="245" t="s">
        <v>406</v>
      </c>
      <c r="I55" s="245" t="s">
        <v>432</v>
      </c>
      <c r="J55" s="247">
        <v>2</v>
      </c>
      <c r="K55" s="245" t="s">
        <v>83</v>
      </c>
      <c r="L55" s="243">
        <v>2000</v>
      </c>
      <c r="M55" s="248">
        <v>44666</v>
      </c>
      <c r="N55" s="249" t="s">
        <v>466</v>
      </c>
      <c r="O55" s="251" t="s">
        <v>250</v>
      </c>
      <c r="P55" s="249">
        <v>45720</v>
      </c>
      <c r="Q55" s="250" t="str">
        <f t="shared" si="2"/>
        <v>Operational</v>
      </c>
      <c r="R55" s="251">
        <v>45726</v>
      </c>
      <c r="S55" s="250">
        <f t="shared" si="0"/>
        <v>35</v>
      </c>
      <c r="T55" s="249" t="s">
        <v>467</v>
      </c>
      <c r="U55" s="249">
        <v>45635</v>
      </c>
      <c r="V55" s="252">
        <f t="shared" si="4"/>
        <v>32</v>
      </c>
      <c r="W55" s="253" t="s">
        <v>83</v>
      </c>
      <c r="X55" s="231" t="s">
        <v>84</v>
      </c>
      <c r="Y55" s="245" t="s">
        <v>468</v>
      </c>
      <c r="Z55" s="245" t="s">
        <v>83</v>
      </c>
      <c r="AA55" s="244" t="s">
        <v>469</v>
      </c>
      <c r="AB55" s="245" t="s">
        <v>237</v>
      </c>
    </row>
    <row r="56" spans="1:28" ht="29.25">
      <c r="A56" s="263" t="str">
        <f>IF(ISNA(MATCH(E56,'Project Operational Timelines'!C:C,0)),"Missing","Present")</f>
        <v>Present</v>
      </c>
      <c r="B56" s="263" t="str">
        <f>IF(ISNA(MATCH(E56,'PA Fees by Project'!E:E,0)),"Missing","Present")</f>
        <v>Present</v>
      </c>
      <c r="C56" s="246" t="s">
        <v>470</v>
      </c>
      <c r="D56" s="245" t="s">
        <v>11</v>
      </c>
      <c r="E56" s="231" t="s">
        <v>118</v>
      </c>
      <c r="F56" s="245" t="s">
        <v>471</v>
      </c>
      <c r="G56" s="231" t="s">
        <v>250</v>
      </c>
      <c r="H56" s="231" t="s">
        <v>386</v>
      </c>
      <c r="I56" s="245" t="s">
        <v>386</v>
      </c>
      <c r="J56" s="247">
        <v>1</v>
      </c>
      <c r="K56" s="245" t="s">
        <v>83</v>
      </c>
      <c r="L56" s="243">
        <v>2502</v>
      </c>
      <c r="M56" s="248">
        <v>43958</v>
      </c>
      <c r="N56" s="249">
        <v>44552</v>
      </c>
      <c r="O56" s="251" t="s">
        <v>250</v>
      </c>
      <c r="P56" s="249">
        <v>44238</v>
      </c>
      <c r="Q56" s="250" t="str">
        <f t="shared" si="2"/>
        <v>Operational</v>
      </c>
      <c r="R56" s="251">
        <v>44256</v>
      </c>
      <c r="S56" s="250">
        <f t="shared" si="0"/>
        <v>9</v>
      </c>
      <c r="T56" s="249" t="s">
        <v>472</v>
      </c>
      <c r="U56" s="249">
        <v>44908</v>
      </c>
      <c r="V56" s="252">
        <f t="shared" si="4"/>
        <v>31</v>
      </c>
      <c r="W56" s="253" t="s">
        <v>83</v>
      </c>
      <c r="X56" s="231" t="s">
        <v>83</v>
      </c>
      <c r="Y56" s="245" t="s">
        <v>83</v>
      </c>
      <c r="Z56" s="245" t="s">
        <v>83</v>
      </c>
      <c r="AA56" s="244" t="s">
        <v>388</v>
      </c>
      <c r="AB56" s="245" t="s">
        <v>237</v>
      </c>
    </row>
    <row r="57" spans="1:28" ht="57.75">
      <c r="A57" s="263" t="str">
        <f>IF(ISNA(MATCH(E57,'Project Operational Timelines'!C:C,0)),"Missing","Present")</f>
        <v>Present</v>
      </c>
      <c r="B57" s="263" t="str">
        <f>IF(ISNA(MATCH(E57,'PA Fees by Project'!E:E,0)),"Missing","Present")</f>
        <v>Present</v>
      </c>
      <c r="C57" s="246" t="s">
        <v>473</v>
      </c>
      <c r="D57" s="245" t="s">
        <v>12</v>
      </c>
      <c r="E57" s="231" t="s">
        <v>156</v>
      </c>
      <c r="F57" s="245" t="s">
        <v>474</v>
      </c>
      <c r="G57" s="245" t="s">
        <v>250</v>
      </c>
      <c r="H57" s="245" t="s">
        <v>229</v>
      </c>
      <c r="I57" s="245" t="s">
        <v>230</v>
      </c>
      <c r="J57" s="247">
        <v>2</v>
      </c>
      <c r="K57" s="245" t="s">
        <v>83</v>
      </c>
      <c r="L57" s="243">
        <v>2250</v>
      </c>
      <c r="M57" s="248">
        <v>44666</v>
      </c>
      <c r="N57" s="247" t="s">
        <v>475</v>
      </c>
      <c r="O57" s="251" t="s">
        <v>250</v>
      </c>
      <c r="P57" s="257">
        <v>45595</v>
      </c>
      <c r="Q57" s="250" t="str">
        <f t="shared" si="2"/>
        <v>Operational</v>
      </c>
      <c r="R57" s="251">
        <v>45681</v>
      </c>
      <c r="S57" s="250">
        <f t="shared" si="0"/>
        <v>31</v>
      </c>
      <c r="T57" s="247" t="s">
        <v>476</v>
      </c>
      <c r="U57" s="258">
        <v>45548</v>
      </c>
      <c r="V57" s="252">
        <f t="shared" si="4"/>
        <v>29</v>
      </c>
      <c r="W57" s="253" t="s">
        <v>83</v>
      </c>
      <c r="X57" s="231" t="s">
        <v>84</v>
      </c>
      <c r="Y57" s="245" t="s">
        <v>477</v>
      </c>
      <c r="Z57" s="245" t="s">
        <v>478</v>
      </c>
      <c r="AA57" s="244" t="s">
        <v>347</v>
      </c>
      <c r="AB57" s="245" t="s">
        <v>237</v>
      </c>
    </row>
    <row r="58" spans="1:28" ht="72">
      <c r="A58" s="263" t="str">
        <f>IF(ISNA(MATCH(E58,'Project Operational Timelines'!C:C,0)),"Missing","Present")</f>
        <v>Present</v>
      </c>
      <c r="B58" s="263" t="str">
        <f>IF(ISNA(MATCH(E58,'PA Fees by Project'!E:E,0)),"Missing","Present")</f>
        <v>Present</v>
      </c>
      <c r="C58" s="246" t="s">
        <v>479</v>
      </c>
      <c r="D58" s="245" t="s">
        <v>12</v>
      </c>
      <c r="E58" s="231" t="s">
        <v>119</v>
      </c>
      <c r="F58" s="245" t="s">
        <v>480</v>
      </c>
      <c r="G58" s="231" t="s">
        <v>250</v>
      </c>
      <c r="H58" s="245" t="s">
        <v>481</v>
      </c>
      <c r="I58" s="245" t="s">
        <v>482</v>
      </c>
      <c r="J58" s="247">
        <v>1</v>
      </c>
      <c r="K58" s="245" t="s">
        <v>84</v>
      </c>
      <c r="L58" s="243">
        <v>129.6</v>
      </c>
      <c r="M58" s="248">
        <v>44140</v>
      </c>
      <c r="N58" s="249">
        <v>44684</v>
      </c>
      <c r="O58" s="251" t="s">
        <v>250</v>
      </c>
      <c r="P58" s="249">
        <v>44461</v>
      </c>
      <c r="Q58" s="250" t="str">
        <f t="shared" si="2"/>
        <v>Operational</v>
      </c>
      <c r="R58" s="251">
        <v>44634</v>
      </c>
      <c r="S58" s="250">
        <f t="shared" si="0"/>
        <v>11</v>
      </c>
      <c r="T58" s="247" t="s">
        <v>245</v>
      </c>
      <c r="U58" s="251">
        <v>44407</v>
      </c>
      <c r="V58" s="252">
        <f t="shared" si="4"/>
        <v>9</v>
      </c>
      <c r="W58" s="253" t="s">
        <v>83</v>
      </c>
      <c r="X58" s="231" t="s">
        <v>83</v>
      </c>
      <c r="Y58" s="245" t="s">
        <v>83</v>
      </c>
      <c r="Z58" s="245" t="s">
        <v>83</v>
      </c>
      <c r="AA58" s="244" t="s">
        <v>483</v>
      </c>
      <c r="AB58" s="245" t="s">
        <v>237</v>
      </c>
    </row>
    <row r="59" spans="1:28" ht="57.75">
      <c r="A59" s="263" t="str">
        <f>IF(ISNA(MATCH(E59,'Project Operational Timelines'!C:C,0)),"Missing","Present")</f>
        <v>Present</v>
      </c>
      <c r="B59" s="263" t="str">
        <f>IF(ISNA(MATCH(E59,'PA Fees by Project'!E:E,0)),"Missing","Present")</f>
        <v>Present</v>
      </c>
      <c r="C59" s="246" t="s">
        <v>484</v>
      </c>
      <c r="D59" s="245" t="s">
        <v>12</v>
      </c>
      <c r="E59" s="231" t="s">
        <v>163</v>
      </c>
      <c r="F59" s="245" t="s">
        <v>485</v>
      </c>
      <c r="G59" s="245" t="s">
        <v>240</v>
      </c>
      <c r="H59" s="245" t="s">
        <v>486</v>
      </c>
      <c r="I59" s="245" t="s">
        <v>242</v>
      </c>
      <c r="J59" s="247">
        <v>2</v>
      </c>
      <c r="K59" s="245" t="s">
        <v>83</v>
      </c>
      <c r="L59" s="243">
        <v>999.99</v>
      </c>
      <c r="M59" s="248">
        <v>44666</v>
      </c>
      <c r="N59" s="249" t="s">
        <v>487</v>
      </c>
      <c r="O59" s="248">
        <v>45827</v>
      </c>
      <c r="P59" s="249" t="s">
        <v>244</v>
      </c>
      <c r="Q59" s="250">
        <f t="shared" ca="1" si="2"/>
        <v>52.039473684210527</v>
      </c>
      <c r="R59" s="250" t="s">
        <v>232</v>
      </c>
      <c r="S59" s="250" t="str">
        <f t="shared" si="0"/>
        <v>Not Yet Certified</v>
      </c>
      <c r="T59" s="247" t="s">
        <v>488</v>
      </c>
      <c r="U59" s="251">
        <v>45786</v>
      </c>
      <c r="V59" s="252">
        <f t="shared" si="4"/>
        <v>37</v>
      </c>
      <c r="W59" s="253" t="s">
        <v>83</v>
      </c>
      <c r="X59" s="231" t="s">
        <v>84</v>
      </c>
      <c r="Y59" s="245" t="s">
        <v>83</v>
      </c>
      <c r="Z59" s="245" t="s">
        <v>489</v>
      </c>
      <c r="AA59" s="244" t="s">
        <v>310</v>
      </c>
      <c r="AB59" s="245" t="s">
        <v>237</v>
      </c>
    </row>
    <row r="60" spans="1:28" ht="100.5">
      <c r="A60" s="263" t="str">
        <f>IF(ISNA(MATCH(E60,'Project Operational Timelines'!C:C,0)),"Missing","Present")</f>
        <v>Present</v>
      </c>
      <c r="B60" s="263" t="str">
        <f>IF(ISNA(MATCH(E60,'PA Fees by Project'!E:E,0)),"Missing","Present")</f>
        <v>Present</v>
      </c>
      <c r="C60" s="246" t="s">
        <v>490</v>
      </c>
      <c r="D60" s="245" t="s">
        <v>12</v>
      </c>
      <c r="E60" s="231" t="s">
        <v>139</v>
      </c>
      <c r="F60" s="245" t="s">
        <v>491</v>
      </c>
      <c r="G60" s="245" t="s">
        <v>228</v>
      </c>
      <c r="H60" s="245" t="s">
        <v>290</v>
      </c>
      <c r="I60" s="245" t="s">
        <v>290</v>
      </c>
      <c r="J60" s="247">
        <v>1</v>
      </c>
      <c r="K60" s="245" t="s">
        <v>83</v>
      </c>
      <c r="L60" s="243">
        <v>1980</v>
      </c>
      <c r="M60" s="248">
        <v>43901</v>
      </c>
      <c r="N60" s="247" t="s">
        <v>492</v>
      </c>
      <c r="O60" s="249" t="s">
        <v>228</v>
      </c>
      <c r="P60" s="249">
        <v>45776</v>
      </c>
      <c r="Q60" s="250">
        <f t="shared" ca="1" si="2"/>
        <v>77.203947368421055</v>
      </c>
      <c r="R60" s="250" t="s">
        <v>232</v>
      </c>
      <c r="S60" s="250">
        <f t="shared" si="0"/>
        <v>62</v>
      </c>
      <c r="T60" s="249" t="s">
        <v>493</v>
      </c>
      <c r="U60" s="251">
        <v>45930</v>
      </c>
      <c r="V60" s="252">
        <f t="shared" si="4"/>
        <v>67</v>
      </c>
      <c r="W60" s="253" t="s">
        <v>84</v>
      </c>
      <c r="X60" s="231" t="s">
        <v>83</v>
      </c>
      <c r="Y60" s="245" t="s">
        <v>494</v>
      </c>
      <c r="Z60" s="245" t="s">
        <v>495</v>
      </c>
      <c r="AA60" s="244" t="s">
        <v>496</v>
      </c>
      <c r="AB60" s="245" t="s">
        <v>237</v>
      </c>
    </row>
    <row r="61" spans="1:28" ht="43.5">
      <c r="A61" s="263" t="str">
        <f>IF(ISNA(MATCH(E61,'Project Operational Timelines'!C:C,0)),"Missing","Present")</f>
        <v>Present</v>
      </c>
      <c r="B61" s="263" t="str">
        <f>IF(ISNA(MATCH(E61,'PA Fees by Project'!E:E,0)),"Missing","Present")</f>
        <v>Present</v>
      </c>
      <c r="C61" s="246" t="s">
        <v>497</v>
      </c>
      <c r="D61" s="245" t="s">
        <v>12</v>
      </c>
      <c r="E61" s="231" t="s">
        <v>140</v>
      </c>
      <c r="F61" s="245" t="s">
        <v>498</v>
      </c>
      <c r="G61" s="245" t="s">
        <v>228</v>
      </c>
      <c r="H61" s="245" t="s">
        <v>290</v>
      </c>
      <c r="I61" s="245" t="s">
        <v>290</v>
      </c>
      <c r="J61" s="247">
        <v>1</v>
      </c>
      <c r="K61" s="245" t="s">
        <v>83</v>
      </c>
      <c r="L61" s="243">
        <v>2990</v>
      </c>
      <c r="M61" s="248">
        <v>43948</v>
      </c>
      <c r="N61" s="247" t="s">
        <v>499</v>
      </c>
      <c r="O61" s="249" t="s">
        <v>228</v>
      </c>
      <c r="P61" s="249">
        <v>45776</v>
      </c>
      <c r="Q61" s="250">
        <f t="shared" ca="1" si="2"/>
        <v>75.65789473684211</v>
      </c>
      <c r="R61" s="250" t="s">
        <v>232</v>
      </c>
      <c r="S61" s="250">
        <f t="shared" si="0"/>
        <v>60</v>
      </c>
      <c r="T61" s="249" t="s">
        <v>500</v>
      </c>
      <c r="U61" s="249">
        <v>45930</v>
      </c>
      <c r="V61" s="252">
        <f t="shared" si="4"/>
        <v>65</v>
      </c>
      <c r="W61" s="253" t="s">
        <v>84</v>
      </c>
      <c r="X61" s="231" t="s">
        <v>83</v>
      </c>
      <c r="Y61" s="245" t="s">
        <v>494</v>
      </c>
      <c r="Z61" s="245" t="s">
        <v>501</v>
      </c>
      <c r="AA61" s="244" t="s">
        <v>496</v>
      </c>
      <c r="AB61" s="245" t="s">
        <v>237</v>
      </c>
    </row>
    <row r="62" spans="1:28" ht="57.75">
      <c r="A62" s="263" t="str">
        <f>IF(ISNA(MATCH(E62,'Project Operational Timelines'!C:C,0)),"Missing","Present")</f>
        <v>Present</v>
      </c>
      <c r="B62" s="263" t="str">
        <f>IF(ISNA(MATCH(E62,'PA Fees by Project'!E:E,0)),"Missing","Present")</f>
        <v>Present</v>
      </c>
      <c r="C62" s="246" t="s">
        <v>502</v>
      </c>
      <c r="D62" s="245" t="s">
        <v>12</v>
      </c>
      <c r="E62" s="231" t="s">
        <v>134</v>
      </c>
      <c r="F62" s="245" t="s">
        <v>503</v>
      </c>
      <c r="G62" s="245" t="s">
        <v>250</v>
      </c>
      <c r="H62" s="245" t="s">
        <v>229</v>
      </c>
      <c r="I62" s="245" t="s">
        <v>230</v>
      </c>
      <c r="J62" s="247">
        <v>1</v>
      </c>
      <c r="K62" s="245" t="s">
        <v>83</v>
      </c>
      <c r="L62" s="243">
        <v>1400</v>
      </c>
      <c r="M62" s="248">
        <v>44194</v>
      </c>
      <c r="N62" s="247" t="s">
        <v>504</v>
      </c>
      <c r="O62" s="249" t="s">
        <v>250</v>
      </c>
      <c r="P62" s="249">
        <v>45217</v>
      </c>
      <c r="Q62" s="250" t="str">
        <f t="shared" si="2"/>
        <v>Operational</v>
      </c>
      <c r="R62" s="251">
        <v>45678</v>
      </c>
      <c r="S62" s="250">
        <f t="shared" si="0"/>
        <v>34</v>
      </c>
      <c r="T62" s="247" t="s">
        <v>505</v>
      </c>
      <c r="U62" s="258">
        <v>45476</v>
      </c>
      <c r="V62" s="252">
        <f t="shared" si="4"/>
        <v>42</v>
      </c>
      <c r="W62" s="253" t="s">
        <v>83</v>
      </c>
      <c r="X62" s="231" t="s">
        <v>84</v>
      </c>
      <c r="Y62" s="245" t="s">
        <v>277</v>
      </c>
      <c r="Z62" s="245" t="s">
        <v>506</v>
      </c>
      <c r="AA62" s="244" t="s">
        <v>507</v>
      </c>
      <c r="AB62" s="245" t="s">
        <v>237</v>
      </c>
    </row>
    <row r="63" spans="1:28" ht="29.25">
      <c r="A63" s="263" t="str">
        <f>IF(ISNA(MATCH(E63,'Project Operational Timelines'!C:C,0)),"Missing","Present")</f>
        <v>Present</v>
      </c>
      <c r="B63" s="263" t="str">
        <f>IF(ISNA(MATCH(E63,'PA Fees by Project'!E:E,0)),"Missing","Present")</f>
        <v>Present</v>
      </c>
      <c r="C63" s="246" t="s">
        <v>508</v>
      </c>
      <c r="D63" s="245" t="s">
        <v>11</v>
      </c>
      <c r="E63" s="231" t="s">
        <v>120</v>
      </c>
      <c r="F63" s="245" t="s">
        <v>509</v>
      </c>
      <c r="G63" s="231" t="s">
        <v>250</v>
      </c>
      <c r="H63" s="231" t="s">
        <v>229</v>
      </c>
      <c r="I63" s="245" t="s">
        <v>229</v>
      </c>
      <c r="J63" s="247">
        <v>1</v>
      </c>
      <c r="K63" s="245" t="s">
        <v>83</v>
      </c>
      <c r="L63" s="243">
        <v>2200</v>
      </c>
      <c r="M63" s="248">
        <v>43903</v>
      </c>
      <c r="N63" s="249">
        <v>44450</v>
      </c>
      <c r="O63" s="251" t="s">
        <v>250</v>
      </c>
      <c r="P63" s="249">
        <v>44475</v>
      </c>
      <c r="Q63" s="250" t="str">
        <f t="shared" si="2"/>
        <v>Operational</v>
      </c>
      <c r="R63" s="251">
        <v>44488</v>
      </c>
      <c r="S63" s="250">
        <f t="shared" si="0"/>
        <v>19</v>
      </c>
      <c r="T63" s="249" t="s">
        <v>510</v>
      </c>
      <c r="U63" s="249">
        <v>44908</v>
      </c>
      <c r="V63" s="252">
        <f t="shared" si="4"/>
        <v>33</v>
      </c>
      <c r="W63" s="253" t="s">
        <v>83</v>
      </c>
      <c r="X63" s="231" t="s">
        <v>83</v>
      </c>
      <c r="Y63" s="245" t="s">
        <v>83</v>
      </c>
      <c r="Z63" s="245" t="s">
        <v>83</v>
      </c>
      <c r="AA63" s="244" t="s">
        <v>511</v>
      </c>
      <c r="AB63" s="245" t="s">
        <v>237</v>
      </c>
    </row>
    <row r="64" spans="1:28" ht="29.25">
      <c r="A64" s="263" t="str">
        <f>IF(ISNA(MATCH(E64,'Project Operational Timelines'!C:C,0)),"Missing","Present")</f>
        <v>Present</v>
      </c>
      <c r="B64" s="263" t="str">
        <f>IF(ISNA(MATCH(E64,'PA Fees by Project'!E:E,0)),"Missing","Present")</f>
        <v>Present</v>
      </c>
      <c r="C64" s="246" t="s">
        <v>512</v>
      </c>
      <c r="D64" s="245" t="s">
        <v>12</v>
      </c>
      <c r="E64" s="231" t="s">
        <v>186</v>
      </c>
      <c r="F64" s="245" t="s">
        <v>513</v>
      </c>
      <c r="G64" s="245" t="s">
        <v>240</v>
      </c>
      <c r="H64" s="245" t="s">
        <v>241</v>
      </c>
      <c r="I64" s="245" t="s">
        <v>241</v>
      </c>
      <c r="J64" s="247">
        <v>2</v>
      </c>
      <c r="K64" s="245" t="s">
        <v>84</v>
      </c>
      <c r="L64" s="245">
        <v>875</v>
      </c>
      <c r="M64" s="248">
        <v>45619</v>
      </c>
      <c r="N64" s="249" t="s">
        <v>243</v>
      </c>
      <c r="O64" s="249">
        <v>46165</v>
      </c>
      <c r="P64" s="247" t="s">
        <v>244</v>
      </c>
      <c r="Q64" s="250">
        <f t="shared" ca="1" si="2"/>
        <v>20.690789473684212</v>
      </c>
      <c r="R64" s="250" t="s">
        <v>232</v>
      </c>
      <c r="S64" s="250" t="str">
        <f t="shared" si="0"/>
        <v>Not Yet Certified</v>
      </c>
      <c r="T64" s="251">
        <v>45744</v>
      </c>
      <c r="U64" s="251">
        <v>46200</v>
      </c>
      <c r="V64" s="252">
        <f t="shared" si="4"/>
        <v>19</v>
      </c>
      <c r="W64" s="255" t="s">
        <v>83</v>
      </c>
      <c r="X64" s="245" t="s">
        <v>83</v>
      </c>
      <c r="Y64" s="245" t="s">
        <v>83</v>
      </c>
      <c r="Z64" s="245" t="s">
        <v>84</v>
      </c>
      <c r="AA64" s="244" t="s">
        <v>355</v>
      </c>
      <c r="AB64" s="245" t="s">
        <v>237</v>
      </c>
    </row>
    <row r="65" spans="1:28" ht="29.25">
      <c r="A65" s="263" t="str">
        <f>IF(ISNA(MATCH(E65,'Project Operational Timelines'!C:C,0)),"Missing","Present")</f>
        <v>Present</v>
      </c>
      <c r="B65" s="263" t="str">
        <f>IF(ISNA(MATCH(E65,'PA Fees by Project'!E:E,0)),"Missing","Present")</f>
        <v>Present</v>
      </c>
      <c r="C65" s="246" t="s">
        <v>514</v>
      </c>
      <c r="D65" s="245" t="s">
        <v>11</v>
      </c>
      <c r="E65" s="231" t="s">
        <v>121</v>
      </c>
      <c r="F65" s="245" t="s">
        <v>515</v>
      </c>
      <c r="G65" s="231" t="s">
        <v>250</v>
      </c>
      <c r="H65" s="231" t="s">
        <v>386</v>
      </c>
      <c r="I65" s="245" t="s">
        <v>386</v>
      </c>
      <c r="J65" s="247">
        <v>2</v>
      </c>
      <c r="K65" s="245" t="s">
        <v>83</v>
      </c>
      <c r="L65" s="243">
        <v>1998</v>
      </c>
      <c r="M65" s="248">
        <v>44672</v>
      </c>
      <c r="N65" s="249">
        <v>45220</v>
      </c>
      <c r="O65" s="251" t="s">
        <v>250</v>
      </c>
      <c r="P65" s="249">
        <v>44909</v>
      </c>
      <c r="Q65" s="250" t="str">
        <f t="shared" si="2"/>
        <v>Operational</v>
      </c>
      <c r="R65" s="251">
        <v>44958</v>
      </c>
      <c r="S65" s="250">
        <f t="shared" si="0"/>
        <v>8</v>
      </c>
      <c r="T65" s="249">
        <v>43977</v>
      </c>
      <c r="U65" s="249">
        <v>44908</v>
      </c>
      <c r="V65" s="252">
        <f t="shared" si="4"/>
        <v>8</v>
      </c>
      <c r="W65" s="253" t="s">
        <v>83</v>
      </c>
      <c r="X65" s="231" t="s">
        <v>83</v>
      </c>
      <c r="Y65" s="245" t="s">
        <v>83</v>
      </c>
      <c r="Z65" s="245" t="s">
        <v>83</v>
      </c>
      <c r="AA65" s="244" t="s">
        <v>340</v>
      </c>
      <c r="AB65" s="245" t="s">
        <v>237</v>
      </c>
    </row>
    <row r="66" spans="1:28" ht="43.5">
      <c r="A66" s="263" t="str">
        <f>IF(ISNA(MATCH(E66,'Project Operational Timelines'!C:C,0)),"Missing","Present")</f>
        <v>Present</v>
      </c>
      <c r="B66" s="263" t="str">
        <f>IF(ISNA(MATCH(E66,'PA Fees by Project'!E:E,0)),"Missing","Present")</f>
        <v>Present</v>
      </c>
      <c r="C66" s="246" t="s">
        <v>516</v>
      </c>
      <c r="D66" s="245" t="s">
        <v>11</v>
      </c>
      <c r="E66" s="231" t="s">
        <v>143</v>
      </c>
      <c r="F66" s="245" t="s">
        <v>517</v>
      </c>
      <c r="G66" s="245" t="s">
        <v>240</v>
      </c>
      <c r="H66" s="245" t="s">
        <v>258</v>
      </c>
      <c r="I66" s="245" t="s">
        <v>259</v>
      </c>
      <c r="J66" s="247">
        <v>2</v>
      </c>
      <c r="K66" s="245" t="s">
        <v>83</v>
      </c>
      <c r="L66" s="243">
        <v>2250</v>
      </c>
      <c r="M66" s="248">
        <v>45190</v>
      </c>
      <c r="N66" s="248">
        <v>45741</v>
      </c>
      <c r="O66" s="248">
        <v>46003</v>
      </c>
      <c r="P66" s="249" t="s">
        <v>244</v>
      </c>
      <c r="Q66" s="250">
        <f t="shared" ca="1" si="2"/>
        <v>34.80263157894737</v>
      </c>
      <c r="R66" s="250" t="s">
        <v>232</v>
      </c>
      <c r="S66" s="250" t="str">
        <f t="shared" si="0"/>
        <v>Not Yet Certified</v>
      </c>
      <c r="T66" s="249" t="s">
        <v>245</v>
      </c>
      <c r="U66" s="249">
        <v>46003</v>
      </c>
      <c r="V66" s="252">
        <f t="shared" si="4"/>
        <v>27</v>
      </c>
      <c r="W66" s="253" t="s">
        <v>83</v>
      </c>
      <c r="X66" s="231" t="s">
        <v>84</v>
      </c>
      <c r="Y66" s="245" t="s">
        <v>83</v>
      </c>
      <c r="Z66" s="245" t="s">
        <v>83</v>
      </c>
      <c r="AA66" s="244" t="s">
        <v>236</v>
      </c>
      <c r="AB66" s="245" t="s">
        <v>237</v>
      </c>
    </row>
    <row r="67" spans="1:28" ht="43.5">
      <c r="A67" s="263" t="str">
        <f>IF(ISNA(MATCH(E67,'Project Operational Timelines'!C:C,0)),"Missing","Present")</f>
        <v>Present</v>
      </c>
      <c r="B67" s="263" t="str">
        <f>IF(ISNA(MATCH(E67,'PA Fees by Project'!E:E,0)),"Missing","Present")</f>
        <v>Present</v>
      </c>
      <c r="C67" s="246" t="s">
        <v>518</v>
      </c>
      <c r="D67" s="245" t="s">
        <v>11</v>
      </c>
      <c r="E67" s="231" t="s">
        <v>187</v>
      </c>
      <c r="F67" s="245" t="s">
        <v>519</v>
      </c>
      <c r="G67" s="245" t="s">
        <v>240</v>
      </c>
      <c r="H67" s="245" t="s">
        <v>482</v>
      </c>
      <c r="I67" s="245" t="s">
        <v>482</v>
      </c>
      <c r="J67" s="247">
        <v>2</v>
      </c>
      <c r="K67" s="245" t="s">
        <v>84</v>
      </c>
      <c r="L67" s="243">
        <v>720</v>
      </c>
      <c r="M67" s="248">
        <v>45559</v>
      </c>
      <c r="N67" s="249" t="s">
        <v>243</v>
      </c>
      <c r="O67" s="248">
        <v>46105</v>
      </c>
      <c r="P67" s="249" t="s">
        <v>244</v>
      </c>
      <c r="Q67" s="250">
        <f t="shared" ca="1" si="2"/>
        <v>22.664473684210527</v>
      </c>
      <c r="R67" s="250" t="s">
        <v>232</v>
      </c>
      <c r="S67" s="250" t="str">
        <f t="shared" si="0"/>
        <v>Not Yet Certified</v>
      </c>
      <c r="T67" s="247" t="s">
        <v>245</v>
      </c>
      <c r="U67" s="251">
        <v>45261</v>
      </c>
      <c r="V67" s="252" t="s">
        <v>245</v>
      </c>
      <c r="W67" s="254" t="s">
        <v>84</v>
      </c>
      <c r="X67" s="231" t="s">
        <v>83</v>
      </c>
      <c r="Y67" s="245" t="s">
        <v>83</v>
      </c>
      <c r="Z67" s="245" t="s">
        <v>83</v>
      </c>
      <c r="AA67" s="244" t="s">
        <v>520</v>
      </c>
      <c r="AB67" s="245" t="s">
        <v>237</v>
      </c>
    </row>
    <row r="68" spans="1:28" ht="72">
      <c r="A68" s="263" t="str">
        <f>IF(ISNA(MATCH(E68,'Project Operational Timelines'!C:C,0)),"Missing","Present")</f>
        <v>Present</v>
      </c>
      <c r="B68" s="263" t="str">
        <f>IF(ISNA(MATCH(E68,'PA Fees by Project'!E:E,0)),"Missing","Present")</f>
        <v>Present</v>
      </c>
      <c r="C68" s="246" t="s">
        <v>521</v>
      </c>
      <c r="D68" s="245" t="s">
        <v>12</v>
      </c>
      <c r="E68" s="231" t="s">
        <v>135</v>
      </c>
      <c r="F68" s="245" t="s">
        <v>522</v>
      </c>
      <c r="G68" s="245" t="s">
        <v>250</v>
      </c>
      <c r="H68" s="245" t="s">
        <v>229</v>
      </c>
      <c r="I68" s="245" t="s">
        <v>230</v>
      </c>
      <c r="J68" s="247">
        <v>1</v>
      </c>
      <c r="K68" s="245" t="s">
        <v>83</v>
      </c>
      <c r="L68" s="243">
        <v>978</v>
      </c>
      <c r="M68" s="248">
        <v>44194</v>
      </c>
      <c r="N68" s="247" t="s">
        <v>504</v>
      </c>
      <c r="O68" s="251" t="s">
        <v>250</v>
      </c>
      <c r="P68" s="249">
        <v>45217</v>
      </c>
      <c r="Q68" s="250" t="str">
        <f t="shared" si="2"/>
        <v>Operational</v>
      </c>
      <c r="R68" s="251">
        <v>45645</v>
      </c>
      <c r="S68" s="250">
        <f t="shared" si="0"/>
        <v>34</v>
      </c>
      <c r="T68" s="247" t="s">
        <v>523</v>
      </c>
      <c r="U68" s="258">
        <v>45532</v>
      </c>
      <c r="V68" s="252">
        <f t="shared" ref="V68:V86" si="5">IF(U68="Data Not Available","Data Not Available",ROUND((U68-M68)/30.4,))</f>
        <v>44</v>
      </c>
      <c r="W68" s="253" t="s">
        <v>83</v>
      </c>
      <c r="X68" s="231" t="s">
        <v>84</v>
      </c>
      <c r="Y68" s="245" t="s">
        <v>524</v>
      </c>
      <c r="Z68" s="245" t="s">
        <v>506</v>
      </c>
      <c r="AA68" s="244" t="s">
        <v>507</v>
      </c>
      <c r="AB68" s="245" t="s">
        <v>237</v>
      </c>
    </row>
    <row r="69" spans="1:28" ht="43.5">
      <c r="A69" s="263" t="str">
        <f>IF(ISNA(MATCH(E69,'Project Operational Timelines'!C:C,0)),"Missing","Present")</f>
        <v>Present</v>
      </c>
      <c r="B69" s="263" t="str">
        <f>IF(ISNA(MATCH(E69,'PA Fees by Project'!E:E,0)),"Missing","Present")</f>
        <v>Present</v>
      </c>
      <c r="C69" s="246" t="s">
        <v>525</v>
      </c>
      <c r="D69" s="245" t="s">
        <v>11</v>
      </c>
      <c r="E69" s="231" t="s">
        <v>122</v>
      </c>
      <c r="F69" s="245" t="s">
        <v>526</v>
      </c>
      <c r="G69" s="231" t="s">
        <v>250</v>
      </c>
      <c r="H69" s="231" t="s">
        <v>229</v>
      </c>
      <c r="I69" s="245" t="s">
        <v>329</v>
      </c>
      <c r="J69" s="247">
        <v>1</v>
      </c>
      <c r="K69" s="245" t="s">
        <v>83</v>
      </c>
      <c r="L69" s="243">
        <v>1850</v>
      </c>
      <c r="M69" s="248">
        <v>43948</v>
      </c>
      <c r="N69" s="247" t="s">
        <v>527</v>
      </c>
      <c r="O69" s="251" t="s">
        <v>250</v>
      </c>
      <c r="P69" s="249">
        <v>44895</v>
      </c>
      <c r="Q69" s="250" t="str">
        <f t="shared" si="2"/>
        <v>Operational</v>
      </c>
      <c r="R69" s="251">
        <v>44910</v>
      </c>
      <c r="S69" s="250">
        <f t="shared" si="0"/>
        <v>31</v>
      </c>
      <c r="T69" s="249" t="s">
        <v>528</v>
      </c>
      <c r="U69" s="249">
        <v>44984</v>
      </c>
      <c r="V69" s="252">
        <f t="shared" si="5"/>
        <v>34</v>
      </c>
      <c r="W69" s="253" t="s">
        <v>83</v>
      </c>
      <c r="X69" s="231" t="s">
        <v>84</v>
      </c>
      <c r="Y69" s="245" t="s">
        <v>332</v>
      </c>
      <c r="Z69" s="245" t="s">
        <v>83</v>
      </c>
      <c r="AA69" s="244" t="s">
        <v>333</v>
      </c>
      <c r="AB69" s="245" t="s">
        <v>237</v>
      </c>
    </row>
    <row r="70" spans="1:28" ht="43.5">
      <c r="A70" s="263" t="str">
        <f>IF(ISNA(MATCH(E70,'Project Operational Timelines'!C:C,0)),"Missing","Present")</f>
        <v>Present</v>
      </c>
      <c r="B70" s="263" t="str">
        <f>IF(ISNA(MATCH(E70,'PA Fees by Project'!E:E,0)),"Missing","Present")</f>
        <v>Present</v>
      </c>
      <c r="C70" s="246" t="s">
        <v>529</v>
      </c>
      <c r="D70" s="245" t="s">
        <v>11</v>
      </c>
      <c r="E70" s="231" t="s">
        <v>124</v>
      </c>
      <c r="F70" s="245" t="s">
        <v>530</v>
      </c>
      <c r="G70" s="231" t="s">
        <v>250</v>
      </c>
      <c r="H70" s="231" t="s">
        <v>258</v>
      </c>
      <c r="I70" s="245" t="s">
        <v>329</v>
      </c>
      <c r="J70" s="247">
        <v>1</v>
      </c>
      <c r="K70" s="245" t="s">
        <v>83</v>
      </c>
      <c r="L70" s="243">
        <v>2500</v>
      </c>
      <c r="M70" s="248">
        <v>43948</v>
      </c>
      <c r="N70" s="247" t="s">
        <v>367</v>
      </c>
      <c r="O70" s="251" t="s">
        <v>250</v>
      </c>
      <c r="P70" s="249">
        <v>44895</v>
      </c>
      <c r="Q70" s="250" t="str">
        <f t="shared" si="2"/>
        <v>Operational</v>
      </c>
      <c r="R70" s="251">
        <v>44910</v>
      </c>
      <c r="S70" s="250">
        <f t="shared" si="0"/>
        <v>31</v>
      </c>
      <c r="T70" s="247" t="s">
        <v>531</v>
      </c>
      <c r="U70" s="249">
        <v>44908</v>
      </c>
      <c r="V70" s="252">
        <f t="shared" si="5"/>
        <v>32</v>
      </c>
      <c r="W70" s="253" t="s">
        <v>83</v>
      </c>
      <c r="X70" s="231" t="s">
        <v>84</v>
      </c>
      <c r="Y70" s="245" t="s">
        <v>532</v>
      </c>
      <c r="Z70" s="245" t="s">
        <v>83</v>
      </c>
      <c r="AA70" s="244" t="s">
        <v>333</v>
      </c>
      <c r="AB70" s="245" t="s">
        <v>237</v>
      </c>
    </row>
    <row r="71" spans="1:28" ht="29.25">
      <c r="A71" s="263" t="str">
        <f>IF(ISNA(MATCH(E71,'Project Operational Timelines'!C:C,0)),"Missing","Present")</f>
        <v>Present</v>
      </c>
      <c r="B71" s="263" t="str">
        <f>IF(ISNA(MATCH(E71,'PA Fees by Project'!E:E,0)),"Missing","Present")</f>
        <v>Present</v>
      </c>
      <c r="C71" s="246" t="s">
        <v>533</v>
      </c>
      <c r="D71" s="245" t="s">
        <v>11</v>
      </c>
      <c r="E71" s="231" t="s">
        <v>174</v>
      </c>
      <c r="F71" s="245" t="s">
        <v>534</v>
      </c>
      <c r="G71" s="245" t="s">
        <v>250</v>
      </c>
      <c r="H71" s="245" t="s">
        <v>535</v>
      </c>
      <c r="I71" s="245" t="s">
        <v>267</v>
      </c>
      <c r="J71" s="247">
        <v>2</v>
      </c>
      <c r="K71" s="245" t="s">
        <v>83</v>
      </c>
      <c r="L71" s="243">
        <v>3000</v>
      </c>
      <c r="M71" s="248">
        <v>44706</v>
      </c>
      <c r="N71" s="249">
        <v>45255</v>
      </c>
      <c r="O71" s="249" t="s">
        <v>250</v>
      </c>
      <c r="P71" s="249">
        <v>45468</v>
      </c>
      <c r="Q71" s="250" t="str">
        <f t="shared" si="2"/>
        <v>Operational</v>
      </c>
      <c r="R71" s="251">
        <v>45474</v>
      </c>
      <c r="S71" s="250">
        <f t="shared" ref="S71:S86" si="6">IF(G71&lt;&gt;"Pre-Certified",ROUND((P71-M71)/30.4, 0), "Not Yet Certified")</f>
        <v>25</v>
      </c>
      <c r="T71" s="249" t="s">
        <v>245</v>
      </c>
      <c r="U71" s="249">
        <v>45290</v>
      </c>
      <c r="V71" s="252">
        <f t="shared" si="5"/>
        <v>19</v>
      </c>
      <c r="W71" s="253" t="s">
        <v>83</v>
      </c>
      <c r="X71" s="231" t="s">
        <v>84</v>
      </c>
      <c r="Y71" s="245" t="s">
        <v>83</v>
      </c>
      <c r="Z71" s="245" t="s">
        <v>83</v>
      </c>
      <c r="AA71" s="244" t="s">
        <v>271</v>
      </c>
      <c r="AB71" s="245" t="s">
        <v>237</v>
      </c>
    </row>
    <row r="72" spans="1:28" ht="43.5">
      <c r="A72" s="263" t="str">
        <f>IF(ISNA(MATCH(E72,'Project Operational Timelines'!C:C,0)),"Missing","Present")</f>
        <v>Present</v>
      </c>
      <c r="B72" s="263" t="str">
        <f>IF(ISNA(MATCH(E72,'PA Fees by Project'!E:E,0)),"Missing","Present")</f>
        <v>Present</v>
      </c>
      <c r="C72" s="246" t="s">
        <v>536</v>
      </c>
      <c r="D72" s="245" t="s">
        <v>12</v>
      </c>
      <c r="E72" s="231" t="s">
        <v>190</v>
      </c>
      <c r="F72" s="245" t="s">
        <v>537</v>
      </c>
      <c r="G72" s="245" t="s">
        <v>240</v>
      </c>
      <c r="H72" s="245" t="s">
        <v>377</v>
      </c>
      <c r="I72" s="245" t="s">
        <v>377</v>
      </c>
      <c r="J72" s="247">
        <v>2</v>
      </c>
      <c r="K72" s="245" t="s">
        <v>84</v>
      </c>
      <c r="L72" s="243">
        <v>2500</v>
      </c>
      <c r="M72" s="248">
        <v>45752</v>
      </c>
      <c r="N72" s="249" t="s">
        <v>243</v>
      </c>
      <c r="O72" s="249">
        <v>46300</v>
      </c>
      <c r="P72" s="249">
        <v>46300</v>
      </c>
      <c r="Q72" s="250">
        <f t="shared" ref="Q72:Q86" ca="1" si="7">IF(G72&lt;&gt;"Operational",($M$1-M72)/30.4, G72)</f>
        <v>16.315789473684212</v>
      </c>
      <c r="R72" s="251" t="s">
        <v>232</v>
      </c>
      <c r="S72" s="250" t="str">
        <f t="shared" si="6"/>
        <v>Not Yet Certified</v>
      </c>
      <c r="T72" s="249" t="s">
        <v>303</v>
      </c>
      <c r="U72" s="249">
        <v>46204</v>
      </c>
      <c r="V72" s="252">
        <f t="shared" si="5"/>
        <v>15</v>
      </c>
      <c r="W72" s="254" t="s">
        <v>83</v>
      </c>
      <c r="X72" s="231" t="s">
        <v>83</v>
      </c>
      <c r="Y72" s="231" t="s">
        <v>83</v>
      </c>
      <c r="Z72" s="231" t="s">
        <v>83</v>
      </c>
      <c r="AA72" s="244" t="s">
        <v>378</v>
      </c>
      <c r="AB72" s="245" t="s">
        <v>237</v>
      </c>
    </row>
    <row r="73" spans="1:28" ht="29.25">
      <c r="A73" s="263" t="str">
        <f>IF(ISNA(MATCH(E73,'Project Operational Timelines'!C:C,0)),"Missing","Present")</f>
        <v>Present</v>
      </c>
      <c r="B73" s="263" t="str">
        <f>IF(ISNA(MATCH(E73,'PA Fees by Project'!E:E,0)),"Missing","Present")</f>
        <v>Present</v>
      </c>
      <c r="C73" s="246" t="s">
        <v>538</v>
      </c>
      <c r="D73" s="245" t="s">
        <v>11</v>
      </c>
      <c r="E73" s="231" t="s">
        <v>125</v>
      </c>
      <c r="F73" s="245" t="s">
        <v>539</v>
      </c>
      <c r="G73" s="231" t="s">
        <v>250</v>
      </c>
      <c r="H73" s="231" t="s">
        <v>540</v>
      </c>
      <c r="I73" s="245" t="s">
        <v>541</v>
      </c>
      <c r="J73" s="247">
        <v>1</v>
      </c>
      <c r="K73" s="245" t="s">
        <v>83</v>
      </c>
      <c r="L73" s="243">
        <v>2500</v>
      </c>
      <c r="M73" s="248">
        <v>43903</v>
      </c>
      <c r="N73" s="247" t="s">
        <v>542</v>
      </c>
      <c r="O73" s="251" t="s">
        <v>250</v>
      </c>
      <c r="P73" s="249">
        <v>44895</v>
      </c>
      <c r="Q73" s="250" t="str">
        <f t="shared" si="7"/>
        <v>Operational</v>
      </c>
      <c r="R73" s="251">
        <v>44896</v>
      </c>
      <c r="S73" s="250">
        <f t="shared" si="6"/>
        <v>33</v>
      </c>
      <c r="T73" s="249" t="s">
        <v>543</v>
      </c>
      <c r="U73" s="249">
        <v>44908</v>
      </c>
      <c r="V73" s="252">
        <f t="shared" si="5"/>
        <v>33</v>
      </c>
      <c r="W73" s="253" t="s">
        <v>83</v>
      </c>
      <c r="X73" s="231" t="s">
        <v>84</v>
      </c>
      <c r="Y73" s="245" t="s">
        <v>332</v>
      </c>
      <c r="Z73" s="245" t="s">
        <v>83</v>
      </c>
      <c r="AA73" s="244" t="s">
        <v>333</v>
      </c>
      <c r="AB73" s="245" t="s">
        <v>237</v>
      </c>
    </row>
    <row r="74" spans="1:28" ht="43.5">
      <c r="A74" s="263" t="str">
        <f>IF(ISNA(MATCH(E74,'Project Operational Timelines'!C:C,0)),"Missing","Present")</f>
        <v>Present</v>
      </c>
      <c r="B74" s="263" t="str">
        <f>IF(ISNA(MATCH(E74,'PA Fees by Project'!E:E,0)),"Missing","Present")</f>
        <v>Present</v>
      </c>
      <c r="C74" s="246" t="s">
        <v>544</v>
      </c>
      <c r="D74" s="245" t="s">
        <v>11</v>
      </c>
      <c r="E74" s="231" t="s">
        <v>126</v>
      </c>
      <c r="F74" s="245" t="s">
        <v>545</v>
      </c>
      <c r="G74" s="245" t="s">
        <v>250</v>
      </c>
      <c r="H74" s="245" t="s">
        <v>482</v>
      </c>
      <c r="I74" s="245" t="s">
        <v>482</v>
      </c>
      <c r="J74" s="247">
        <v>2</v>
      </c>
      <c r="K74" s="245" t="s">
        <v>84</v>
      </c>
      <c r="L74" s="243">
        <v>300</v>
      </c>
      <c r="M74" s="248">
        <v>44842</v>
      </c>
      <c r="N74" s="249" t="s">
        <v>243</v>
      </c>
      <c r="O74" s="249" t="s">
        <v>250</v>
      </c>
      <c r="P74" s="249">
        <v>45429</v>
      </c>
      <c r="Q74" s="250" t="str">
        <f t="shared" si="7"/>
        <v>Operational</v>
      </c>
      <c r="R74" s="251">
        <v>45433</v>
      </c>
      <c r="S74" s="250">
        <f t="shared" si="6"/>
        <v>19</v>
      </c>
      <c r="T74" s="249">
        <v>44498</v>
      </c>
      <c r="U74" s="249">
        <v>45541</v>
      </c>
      <c r="V74" s="252">
        <f t="shared" si="5"/>
        <v>23</v>
      </c>
      <c r="W74" s="253" t="s">
        <v>83</v>
      </c>
      <c r="X74" s="231" t="s">
        <v>83</v>
      </c>
      <c r="Y74" s="245" t="s">
        <v>83</v>
      </c>
      <c r="Z74" s="245" t="s">
        <v>83</v>
      </c>
      <c r="AA74" s="244" t="s">
        <v>546</v>
      </c>
      <c r="AB74" s="245" t="s">
        <v>237</v>
      </c>
    </row>
    <row r="75" spans="1:28" ht="114.75">
      <c r="A75" s="263" t="str">
        <f>IF(ISNA(MATCH(E75,'Project Operational Timelines'!C:C,0)),"Missing","Present")</f>
        <v>Present</v>
      </c>
      <c r="B75" s="263" t="str">
        <f>IF(ISNA(MATCH(E75,'PA Fees by Project'!E:E,0)),"Missing","Present")</f>
        <v>Present</v>
      </c>
      <c r="C75" s="246" t="s">
        <v>547</v>
      </c>
      <c r="D75" s="245" t="s">
        <v>12</v>
      </c>
      <c r="E75" s="231" t="s">
        <v>171</v>
      </c>
      <c r="F75" s="245" t="s">
        <v>548</v>
      </c>
      <c r="G75" s="245" t="s">
        <v>250</v>
      </c>
      <c r="H75" s="245" t="s">
        <v>406</v>
      </c>
      <c r="I75" s="245" t="s">
        <v>230</v>
      </c>
      <c r="J75" s="247">
        <v>1</v>
      </c>
      <c r="K75" s="245" t="s">
        <v>83</v>
      </c>
      <c r="L75" s="243">
        <v>2250</v>
      </c>
      <c r="M75" s="248">
        <v>44306</v>
      </c>
      <c r="N75" s="249" t="s">
        <v>549</v>
      </c>
      <c r="O75" s="249" t="s">
        <v>250</v>
      </c>
      <c r="P75" s="249">
        <v>45595</v>
      </c>
      <c r="Q75" s="250" t="str">
        <f t="shared" si="7"/>
        <v>Operational</v>
      </c>
      <c r="R75" s="251">
        <v>45839</v>
      </c>
      <c r="S75" s="250">
        <f t="shared" si="6"/>
        <v>42</v>
      </c>
      <c r="T75" s="249" t="s">
        <v>550</v>
      </c>
      <c r="U75" s="249">
        <v>45527</v>
      </c>
      <c r="V75" s="252">
        <f t="shared" si="5"/>
        <v>40</v>
      </c>
      <c r="W75" s="253" t="s">
        <v>83</v>
      </c>
      <c r="X75" s="231" t="s">
        <v>84</v>
      </c>
      <c r="Y75" s="245" t="s">
        <v>292</v>
      </c>
      <c r="Z75" s="245" t="s">
        <v>551</v>
      </c>
      <c r="AA75" s="244" t="s">
        <v>402</v>
      </c>
      <c r="AB75" s="245" t="s">
        <v>552</v>
      </c>
    </row>
    <row r="76" spans="1:28" ht="43.5">
      <c r="A76" s="263" t="str">
        <f>IF(ISNA(MATCH(E76,'Project Operational Timelines'!C:C,0)),"Missing","Present")</f>
        <v>Present</v>
      </c>
      <c r="B76" s="263" t="str">
        <f>IF(ISNA(MATCH(E76,'PA Fees by Project'!E:E,0)),"Missing","Present")</f>
        <v>Present</v>
      </c>
      <c r="C76" s="246" t="s">
        <v>553</v>
      </c>
      <c r="D76" s="245" t="s">
        <v>12</v>
      </c>
      <c r="E76" s="231" t="s">
        <v>147</v>
      </c>
      <c r="F76" s="245" t="s">
        <v>554</v>
      </c>
      <c r="G76" s="245" t="s">
        <v>240</v>
      </c>
      <c r="H76" s="245" t="s">
        <v>290</v>
      </c>
      <c r="I76" s="245" t="s">
        <v>290</v>
      </c>
      <c r="J76" s="247">
        <v>1</v>
      </c>
      <c r="K76" s="245" t="s">
        <v>83</v>
      </c>
      <c r="L76" s="243">
        <v>1560</v>
      </c>
      <c r="M76" s="248">
        <v>44152</v>
      </c>
      <c r="N76" s="249" t="s">
        <v>555</v>
      </c>
      <c r="O76" s="249">
        <v>45613</v>
      </c>
      <c r="P76" s="249" t="s">
        <v>244</v>
      </c>
      <c r="Q76" s="250">
        <f t="shared" ca="1" si="7"/>
        <v>68.94736842105263</v>
      </c>
      <c r="R76" s="251" t="s">
        <v>232</v>
      </c>
      <c r="S76" s="250" t="str">
        <f t="shared" si="6"/>
        <v>Not Yet Certified</v>
      </c>
      <c r="T76" s="249" t="s">
        <v>556</v>
      </c>
      <c r="U76" s="249">
        <v>45930</v>
      </c>
      <c r="V76" s="252">
        <f t="shared" si="5"/>
        <v>58</v>
      </c>
      <c r="W76" s="253" t="s">
        <v>83</v>
      </c>
      <c r="X76" s="231" t="s">
        <v>83</v>
      </c>
      <c r="Y76" s="245" t="s">
        <v>557</v>
      </c>
      <c r="Z76" s="245" t="s">
        <v>83</v>
      </c>
      <c r="AA76" s="244" t="s">
        <v>558</v>
      </c>
      <c r="AB76" s="245" t="s">
        <v>237</v>
      </c>
    </row>
    <row r="77" spans="1:28" ht="43.5">
      <c r="A77" s="263" t="str">
        <f>IF(ISNA(MATCH(E77,'Project Operational Timelines'!C:C,0)),"Missing","Present")</f>
        <v>Present</v>
      </c>
      <c r="B77" s="263" t="str">
        <f>IF(ISNA(MATCH(E77,'PA Fees by Project'!E:E,0)),"Missing","Present")</f>
        <v>Present</v>
      </c>
      <c r="C77" s="246" t="s">
        <v>559</v>
      </c>
      <c r="D77" s="245" t="s">
        <v>11</v>
      </c>
      <c r="E77" s="231" t="s">
        <v>191</v>
      </c>
      <c r="F77" s="245" t="s">
        <v>560</v>
      </c>
      <c r="G77" s="245" t="s">
        <v>240</v>
      </c>
      <c r="H77" s="245" t="s">
        <v>359</v>
      </c>
      <c r="I77" s="245" t="s">
        <v>359</v>
      </c>
      <c r="J77" s="247">
        <v>2</v>
      </c>
      <c r="K77" s="245" t="s">
        <v>84</v>
      </c>
      <c r="L77" s="243">
        <v>1200</v>
      </c>
      <c r="M77" s="248">
        <v>45742</v>
      </c>
      <c r="N77" s="249" t="s">
        <v>243</v>
      </c>
      <c r="O77" s="249">
        <v>46291</v>
      </c>
      <c r="P77" s="249">
        <v>46291</v>
      </c>
      <c r="Q77" s="250">
        <f t="shared" ca="1" si="7"/>
        <v>16.644736842105264</v>
      </c>
      <c r="R77" s="251" t="s">
        <v>232</v>
      </c>
      <c r="S77" s="250" t="str">
        <f t="shared" si="6"/>
        <v>Not Yet Certified</v>
      </c>
      <c r="T77" s="249" t="s">
        <v>303</v>
      </c>
      <c r="U77" s="249">
        <v>46060</v>
      </c>
      <c r="V77" s="252">
        <f t="shared" si="5"/>
        <v>10</v>
      </c>
      <c r="W77" s="253" t="s">
        <v>83</v>
      </c>
      <c r="X77" s="231" t="s">
        <v>83</v>
      </c>
      <c r="Y77" s="245" t="s">
        <v>83</v>
      </c>
      <c r="Z77" s="245" t="s">
        <v>83</v>
      </c>
      <c r="AA77" s="244" t="s">
        <v>561</v>
      </c>
      <c r="AB77" s="245" t="s">
        <v>237</v>
      </c>
    </row>
    <row r="78" spans="1:28" ht="57.75">
      <c r="A78" s="263" t="str">
        <f>IF(ISNA(MATCH(E78,'Project Operational Timelines'!C:C,0)),"Missing","Present")</f>
        <v>Present</v>
      </c>
      <c r="B78" s="263" t="str">
        <f>IF(ISNA(MATCH(E78,'PA Fees by Project'!E:E,0)),"Missing","Present")</f>
        <v>Present</v>
      </c>
      <c r="C78" s="246">
        <v>532</v>
      </c>
      <c r="D78" s="245" t="s">
        <v>13</v>
      </c>
      <c r="E78" s="231" t="s">
        <v>136</v>
      </c>
      <c r="F78" s="245" t="s">
        <v>562</v>
      </c>
      <c r="G78" s="245" t="s">
        <v>250</v>
      </c>
      <c r="H78" s="245" t="s">
        <v>563</v>
      </c>
      <c r="I78" s="245" t="s">
        <v>563</v>
      </c>
      <c r="J78" s="247">
        <v>1</v>
      </c>
      <c r="K78" s="245" t="s">
        <v>83</v>
      </c>
      <c r="L78" s="243">
        <v>2950</v>
      </c>
      <c r="M78" s="248">
        <v>44000</v>
      </c>
      <c r="N78" s="249" t="s">
        <v>564</v>
      </c>
      <c r="O78" s="249" t="s">
        <v>250</v>
      </c>
      <c r="P78" s="249">
        <v>45455</v>
      </c>
      <c r="Q78" s="250" t="str">
        <f t="shared" si="7"/>
        <v>Operational</v>
      </c>
      <c r="R78" s="251">
        <v>45456</v>
      </c>
      <c r="S78" s="250">
        <f t="shared" si="6"/>
        <v>48</v>
      </c>
      <c r="T78" s="249" t="s">
        <v>245</v>
      </c>
      <c r="U78" s="249">
        <v>44498</v>
      </c>
      <c r="V78" s="252">
        <f t="shared" si="5"/>
        <v>16</v>
      </c>
      <c r="W78" s="253" t="s">
        <v>83</v>
      </c>
      <c r="X78" s="231" t="s">
        <v>83</v>
      </c>
      <c r="Y78" s="245" t="s">
        <v>565</v>
      </c>
      <c r="Z78" s="245" t="s">
        <v>83</v>
      </c>
      <c r="AA78" s="244" t="s">
        <v>255</v>
      </c>
      <c r="AB78" s="245" t="s">
        <v>237</v>
      </c>
    </row>
    <row r="79" spans="1:28" ht="43.5">
      <c r="A79" s="263" t="str">
        <f>IF(ISNA(MATCH(E79,'Project Operational Timelines'!C:C,0)),"Missing","Present")</f>
        <v>Present</v>
      </c>
      <c r="B79" s="263" t="str">
        <f>IF(ISNA(MATCH(E79,'PA Fees by Project'!E:E,0)),"Missing","Present")</f>
        <v>Present</v>
      </c>
      <c r="C79" s="246" t="s">
        <v>566</v>
      </c>
      <c r="D79" s="245" t="s">
        <v>11</v>
      </c>
      <c r="E79" s="231" t="s">
        <v>165</v>
      </c>
      <c r="F79" s="245" t="s">
        <v>567</v>
      </c>
      <c r="G79" s="245" t="s">
        <v>250</v>
      </c>
      <c r="H79" s="245" t="s">
        <v>266</v>
      </c>
      <c r="I79" s="245" t="s">
        <v>267</v>
      </c>
      <c r="J79" s="247">
        <v>2</v>
      </c>
      <c r="K79" s="245" t="s">
        <v>83</v>
      </c>
      <c r="L79" s="243">
        <v>2970</v>
      </c>
      <c r="M79" s="248">
        <v>44666</v>
      </c>
      <c r="N79" s="249" t="s">
        <v>568</v>
      </c>
      <c r="O79" s="249" t="s">
        <v>250</v>
      </c>
      <c r="P79" s="249">
        <v>45679</v>
      </c>
      <c r="Q79" s="250" t="str">
        <f t="shared" si="7"/>
        <v>Operational</v>
      </c>
      <c r="R79" s="251">
        <v>45748</v>
      </c>
      <c r="S79" s="250">
        <f t="shared" si="6"/>
        <v>33</v>
      </c>
      <c r="T79" s="249" t="s">
        <v>569</v>
      </c>
      <c r="U79" s="249">
        <v>45646</v>
      </c>
      <c r="V79" s="252">
        <f t="shared" si="5"/>
        <v>32</v>
      </c>
      <c r="W79" s="253" t="s">
        <v>83</v>
      </c>
      <c r="X79" s="231" t="s">
        <v>84</v>
      </c>
      <c r="Y79" s="245" t="s">
        <v>570</v>
      </c>
      <c r="Z79" s="245" t="s">
        <v>270</v>
      </c>
      <c r="AA79" s="244" t="s">
        <v>457</v>
      </c>
      <c r="AB79" s="245" t="s">
        <v>237</v>
      </c>
    </row>
    <row r="80" spans="1:28" ht="29.25">
      <c r="A80" s="263" t="str">
        <f>IF(ISNA(MATCH(E80,'Project Operational Timelines'!C:C,0)),"Missing","Present")</f>
        <v>Present</v>
      </c>
      <c r="B80" s="263" t="str">
        <f>IF(ISNA(MATCH(E80,'PA Fees by Project'!E:E,0)),"Missing","Present")</f>
        <v>Present</v>
      </c>
      <c r="C80" s="246" t="s">
        <v>571</v>
      </c>
      <c r="D80" s="245" t="s">
        <v>12</v>
      </c>
      <c r="E80" s="231" t="s">
        <v>129</v>
      </c>
      <c r="F80" s="245" t="s">
        <v>572</v>
      </c>
      <c r="G80" s="245" t="s">
        <v>250</v>
      </c>
      <c r="H80" s="245" t="s">
        <v>563</v>
      </c>
      <c r="I80" s="245" t="s">
        <v>563</v>
      </c>
      <c r="J80" s="247">
        <v>1</v>
      </c>
      <c r="K80" s="245" t="s">
        <v>84</v>
      </c>
      <c r="L80" s="243">
        <v>360</v>
      </c>
      <c r="M80" s="248">
        <v>43948</v>
      </c>
      <c r="N80" s="249">
        <v>44464</v>
      </c>
      <c r="O80" s="249" t="s">
        <v>250</v>
      </c>
      <c r="P80" s="249">
        <v>44601</v>
      </c>
      <c r="Q80" s="250" t="str">
        <f t="shared" si="7"/>
        <v>Operational</v>
      </c>
      <c r="R80" s="251">
        <v>44743</v>
      </c>
      <c r="S80" s="250">
        <f t="shared" si="6"/>
        <v>21</v>
      </c>
      <c r="T80" s="249" t="s">
        <v>573</v>
      </c>
      <c r="U80" s="249">
        <v>44560</v>
      </c>
      <c r="V80" s="252">
        <f t="shared" si="5"/>
        <v>20</v>
      </c>
      <c r="W80" s="253" t="s">
        <v>83</v>
      </c>
      <c r="X80" s="231" t="s">
        <v>83</v>
      </c>
      <c r="Y80" s="245" t="s">
        <v>83</v>
      </c>
      <c r="Z80" s="245" t="s">
        <v>83</v>
      </c>
      <c r="AA80" s="244" t="s">
        <v>574</v>
      </c>
      <c r="AB80" s="245" t="s">
        <v>237</v>
      </c>
    </row>
    <row r="81" spans="1:28" ht="43.5">
      <c r="A81" s="263" t="str">
        <f>IF(ISNA(MATCH(E81,'Project Operational Timelines'!C:C,0)),"Missing","Present")</f>
        <v>Present</v>
      </c>
      <c r="B81" s="263" t="str">
        <f>IF(ISNA(MATCH(E81,'PA Fees by Project'!E:E,0)),"Missing","Present")</f>
        <v>Present</v>
      </c>
      <c r="C81" s="246" t="s">
        <v>575</v>
      </c>
      <c r="D81" s="245" t="s">
        <v>11</v>
      </c>
      <c r="E81" s="231" t="s">
        <v>159</v>
      </c>
      <c r="F81" s="245" t="s">
        <v>576</v>
      </c>
      <c r="G81" s="245" t="s">
        <v>250</v>
      </c>
      <c r="H81" s="245" t="s">
        <v>343</v>
      </c>
      <c r="I81" s="245" t="s">
        <v>230</v>
      </c>
      <c r="J81" s="247">
        <v>2</v>
      </c>
      <c r="K81" s="245" t="s">
        <v>83</v>
      </c>
      <c r="L81" s="243">
        <v>2565</v>
      </c>
      <c r="M81" s="248">
        <v>44681</v>
      </c>
      <c r="N81" s="249" t="s">
        <v>577</v>
      </c>
      <c r="O81" s="249" t="s">
        <v>250</v>
      </c>
      <c r="P81" s="249">
        <v>45819</v>
      </c>
      <c r="Q81" s="250" t="str">
        <f t="shared" si="7"/>
        <v>Operational</v>
      </c>
      <c r="R81" s="251">
        <v>45839</v>
      </c>
      <c r="S81" s="250">
        <f t="shared" si="6"/>
        <v>37</v>
      </c>
      <c r="T81" s="249" t="s">
        <v>578</v>
      </c>
      <c r="U81" s="249">
        <v>45499</v>
      </c>
      <c r="V81" s="252">
        <f t="shared" si="5"/>
        <v>27</v>
      </c>
      <c r="W81" s="253" t="s">
        <v>83</v>
      </c>
      <c r="X81" s="231" t="s">
        <v>84</v>
      </c>
      <c r="Y81" s="245" t="s">
        <v>234</v>
      </c>
      <c r="Z81" s="245" t="s">
        <v>270</v>
      </c>
      <c r="AA81" s="244" t="s">
        <v>579</v>
      </c>
      <c r="AB81" s="245" t="s">
        <v>580</v>
      </c>
    </row>
    <row r="82" spans="1:28" ht="43.5">
      <c r="A82" s="263" t="str">
        <f>IF(ISNA(MATCH(E82,'Project Operational Timelines'!C:C,0)),"Missing","Present")</f>
        <v>Present</v>
      </c>
      <c r="B82" s="263" t="str">
        <f>IF(ISNA(MATCH(E82,'PA Fees by Project'!E:E,0)),"Missing","Present")</f>
        <v>Present</v>
      </c>
      <c r="C82" s="246" t="s">
        <v>581</v>
      </c>
      <c r="D82" s="245" t="s">
        <v>12</v>
      </c>
      <c r="E82" s="231" t="s">
        <v>130</v>
      </c>
      <c r="F82" s="245" t="s">
        <v>582</v>
      </c>
      <c r="G82" s="231" t="s">
        <v>250</v>
      </c>
      <c r="H82" s="231" t="s">
        <v>229</v>
      </c>
      <c r="I82" s="245" t="s">
        <v>229</v>
      </c>
      <c r="J82" s="247">
        <v>1</v>
      </c>
      <c r="K82" s="245" t="s">
        <v>84</v>
      </c>
      <c r="L82" s="243">
        <v>165</v>
      </c>
      <c r="M82" s="248">
        <v>44306</v>
      </c>
      <c r="N82" s="249" t="s">
        <v>583</v>
      </c>
      <c r="O82" s="249" t="s">
        <v>250</v>
      </c>
      <c r="P82" s="249">
        <v>44909</v>
      </c>
      <c r="Q82" s="250" t="str">
        <f t="shared" si="7"/>
        <v>Operational</v>
      </c>
      <c r="R82" s="251">
        <v>45113</v>
      </c>
      <c r="S82" s="250">
        <f t="shared" si="6"/>
        <v>20</v>
      </c>
      <c r="T82" s="247" t="s">
        <v>245</v>
      </c>
      <c r="U82" s="251">
        <v>44788</v>
      </c>
      <c r="V82" s="252">
        <f t="shared" si="5"/>
        <v>16</v>
      </c>
      <c r="W82" s="253" t="s">
        <v>83</v>
      </c>
      <c r="X82" s="231" t="s">
        <v>83</v>
      </c>
      <c r="Y82" s="245" t="s">
        <v>332</v>
      </c>
      <c r="Z82" s="245" t="s">
        <v>83</v>
      </c>
      <c r="AA82" s="244" t="s">
        <v>414</v>
      </c>
      <c r="AB82" s="245" t="s">
        <v>237</v>
      </c>
    </row>
    <row r="83" spans="1:28" ht="29.25">
      <c r="A83" s="263" t="str">
        <f>IF(ISNA(MATCH(E83,'Project Operational Timelines'!C:C,0)),"Missing","Present")</f>
        <v>Present</v>
      </c>
      <c r="B83" s="263" t="str">
        <f>IF(ISNA(MATCH(E83,'PA Fees by Project'!E:E,0)),"Missing","Present")</f>
        <v>Present</v>
      </c>
      <c r="C83" s="246" t="s">
        <v>584</v>
      </c>
      <c r="D83" s="245" t="s">
        <v>11</v>
      </c>
      <c r="E83" s="231" t="s">
        <v>131</v>
      </c>
      <c r="F83" s="245" t="s">
        <v>585</v>
      </c>
      <c r="G83" s="231" t="s">
        <v>250</v>
      </c>
      <c r="H83" s="231" t="s">
        <v>386</v>
      </c>
      <c r="I83" s="245" t="s">
        <v>386</v>
      </c>
      <c r="J83" s="247">
        <v>1</v>
      </c>
      <c r="K83" s="245" t="s">
        <v>83</v>
      </c>
      <c r="L83" s="243">
        <v>2502</v>
      </c>
      <c r="M83" s="248">
        <v>43958</v>
      </c>
      <c r="N83" s="249">
        <v>44542</v>
      </c>
      <c r="O83" s="251" t="s">
        <v>250</v>
      </c>
      <c r="P83" s="249">
        <v>44238</v>
      </c>
      <c r="Q83" s="250" t="str">
        <f t="shared" si="7"/>
        <v>Operational</v>
      </c>
      <c r="R83" s="251">
        <v>44291</v>
      </c>
      <c r="S83" s="250">
        <f t="shared" si="6"/>
        <v>9</v>
      </c>
      <c r="T83" s="249" t="s">
        <v>586</v>
      </c>
      <c r="U83" s="249">
        <v>44238</v>
      </c>
      <c r="V83" s="252">
        <f t="shared" si="5"/>
        <v>9</v>
      </c>
      <c r="W83" s="253" t="s">
        <v>83</v>
      </c>
      <c r="X83" s="231" t="s">
        <v>83</v>
      </c>
      <c r="Y83" s="245" t="s">
        <v>83</v>
      </c>
      <c r="Z83" s="245" t="s">
        <v>83</v>
      </c>
      <c r="AA83" s="244" t="s">
        <v>388</v>
      </c>
      <c r="AB83" s="245" t="s">
        <v>237</v>
      </c>
    </row>
    <row r="84" spans="1:28" ht="43.5">
      <c r="A84" s="263" t="str">
        <f>IF(ISNA(MATCH(E84,'Project Operational Timelines'!C:C,0)),"Missing","Present")</f>
        <v>Present</v>
      </c>
      <c r="B84" s="263" t="str">
        <f>IF(ISNA(MATCH(E84,'PA Fees by Project'!E:E,0)),"Missing","Present")</f>
        <v>Present</v>
      </c>
      <c r="C84" s="246" t="s">
        <v>587</v>
      </c>
      <c r="D84" s="245" t="s">
        <v>12</v>
      </c>
      <c r="E84" s="231" t="s">
        <v>132</v>
      </c>
      <c r="F84" s="245" t="s">
        <v>588</v>
      </c>
      <c r="G84" s="231" t="s">
        <v>250</v>
      </c>
      <c r="H84" s="231" t="s">
        <v>229</v>
      </c>
      <c r="I84" s="245" t="s">
        <v>229</v>
      </c>
      <c r="J84" s="247">
        <v>1</v>
      </c>
      <c r="K84" s="245" t="s">
        <v>83</v>
      </c>
      <c r="L84" s="243">
        <v>882</v>
      </c>
      <c r="M84" s="248">
        <v>44306</v>
      </c>
      <c r="N84" s="249" t="s">
        <v>589</v>
      </c>
      <c r="O84" s="249" t="s">
        <v>250</v>
      </c>
      <c r="P84" s="249">
        <v>44909</v>
      </c>
      <c r="Q84" s="250" t="str">
        <f t="shared" si="7"/>
        <v>Operational</v>
      </c>
      <c r="R84" s="251">
        <v>45139</v>
      </c>
      <c r="S84" s="250">
        <f t="shared" si="6"/>
        <v>20</v>
      </c>
      <c r="T84" s="247" t="s">
        <v>590</v>
      </c>
      <c r="U84" s="251">
        <v>44788</v>
      </c>
      <c r="V84" s="252">
        <f t="shared" si="5"/>
        <v>16</v>
      </c>
      <c r="W84" s="253" t="s">
        <v>83</v>
      </c>
      <c r="X84" s="231" t="s">
        <v>83</v>
      </c>
      <c r="Y84" s="245" t="s">
        <v>591</v>
      </c>
      <c r="Z84" s="245" t="s">
        <v>83</v>
      </c>
      <c r="AA84" s="244" t="s">
        <v>414</v>
      </c>
      <c r="AB84" s="245" t="s">
        <v>237</v>
      </c>
    </row>
    <row r="85" spans="1:28" ht="43.5">
      <c r="A85" s="263" t="str">
        <f>IF(ISNA(MATCH(E85,'Project Operational Timelines'!C:C,0)),"Missing","Present")</f>
        <v>Present</v>
      </c>
      <c r="B85" s="263" t="str">
        <f>IF(ISNA(MATCH(E85,'PA Fees by Project'!E:E,0)),"Missing","Present")</f>
        <v>Present</v>
      </c>
      <c r="C85" s="246" t="s">
        <v>592</v>
      </c>
      <c r="D85" s="245" t="s">
        <v>12</v>
      </c>
      <c r="E85" s="231" t="s">
        <v>168</v>
      </c>
      <c r="F85" s="245" t="s">
        <v>593</v>
      </c>
      <c r="G85" s="245" t="s">
        <v>250</v>
      </c>
      <c r="H85" s="245" t="s">
        <v>229</v>
      </c>
      <c r="I85" s="245" t="s">
        <v>229</v>
      </c>
      <c r="J85" s="247">
        <v>1</v>
      </c>
      <c r="K85" s="245" t="s">
        <v>84</v>
      </c>
      <c r="L85" s="243">
        <v>359</v>
      </c>
      <c r="M85" s="248">
        <v>44558</v>
      </c>
      <c r="N85" s="249" t="s">
        <v>594</v>
      </c>
      <c r="O85" s="249" t="s">
        <v>250</v>
      </c>
      <c r="P85" s="249">
        <v>45483</v>
      </c>
      <c r="Q85" s="250" t="str">
        <f t="shared" si="7"/>
        <v>Operational</v>
      </c>
      <c r="R85" s="251">
        <v>45665</v>
      </c>
      <c r="S85" s="250">
        <f t="shared" si="6"/>
        <v>30</v>
      </c>
      <c r="T85" s="249">
        <v>45245</v>
      </c>
      <c r="U85" s="258">
        <v>45471</v>
      </c>
      <c r="V85" s="252">
        <f t="shared" si="5"/>
        <v>30</v>
      </c>
      <c r="W85" s="253" t="s">
        <v>83</v>
      </c>
      <c r="X85" s="231" t="s">
        <v>83</v>
      </c>
      <c r="Y85" s="245" t="s">
        <v>595</v>
      </c>
      <c r="Z85" s="245" t="s">
        <v>270</v>
      </c>
      <c r="AA85" s="244" t="s">
        <v>282</v>
      </c>
      <c r="AB85" s="245" t="s">
        <v>237</v>
      </c>
    </row>
    <row r="86" spans="1:28" ht="29.25">
      <c r="A86" s="263" t="str">
        <f>IF(ISNA(MATCH(E86,'Project Operational Timelines'!C:C,0)),"Missing","Present")</f>
        <v>Present</v>
      </c>
      <c r="B86" s="263" t="str">
        <f>IF(ISNA(MATCH(E86,'PA Fees by Project'!E:E,0)),"Missing","Present")</f>
        <v>Present</v>
      </c>
      <c r="C86" s="246" t="s">
        <v>596</v>
      </c>
      <c r="D86" s="245" t="s">
        <v>11</v>
      </c>
      <c r="E86" s="231" t="s">
        <v>166</v>
      </c>
      <c r="F86" s="245" t="s">
        <v>597</v>
      </c>
      <c r="G86" s="245" t="s">
        <v>250</v>
      </c>
      <c r="H86" s="245" t="s">
        <v>258</v>
      </c>
      <c r="I86" s="245" t="s">
        <v>598</v>
      </c>
      <c r="J86" s="247">
        <v>2</v>
      </c>
      <c r="K86" s="245" t="s">
        <v>83</v>
      </c>
      <c r="L86" s="243">
        <v>2500</v>
      </c>
      <c r="M86" s="248">
        <v>44666</v>
      </c>
      <c r="N86" s="249" t="s">
        <v>599</v>
      </c>
      <c r="O86" s="249" t="s">
        <v>250</v>
      </c>
      <c r="P86" s="249">
        <v>45637</v>
      </c>
      <c r="Q86" s="250" t="str">
        <f t="shared" si="7"/>
        <v>Operational</v>
      </c>
      <c r="R86" s="251">
        <v>45646</v>
      </c>
      <c r="S86" s="250">
        <f t="shared" si="6"/>
        <v>32</v>
      </c>
      <c r="T86" s="249" t="s">
        <v>600</v>
      </c>
      <c r="U86" s="249">
        <v>45657</v>
      </c>
      <c r="V86" s="252">
        <f t="shared" si="5"/>
        <v>33</v>
      </c>
      <c r="W86" s="254" t="s">
        <v>83</v>
      </c>
      <c r="X86" s="231" t="s">
        <v>84</v>
      </c>
      <c r="Y86" s="245" t="s">
        <v>234</v>
      </c>
      <c r="Z86" s="245" t="s">
        <v>270</v>
      </c>
      <c r="AA86" s="244" t="s">
        <v>279</v>
      </c>
      <c r="AB86" s="245" t="s">
        <v>237</v>
      </c>
    </row>
  </sheetData>
  <autoFilter ref="A6:AB86" xr:uid="{996E854F-E76C-4DCE-872E-043F291D41F0}"/>
  <conditionalFormatting sqref="B2">
    <cfRule type="containsText" dxfId="2" priority="1" operator="containsText" text="FALSE">
      <formula>NOT(ISERROR(SEARCH("FALSE",B2)))</formula>
    </cfRule>
  </conditionalFormatting>
  <hyperlinks>
    <hyperlink ref="AA11" r:id="rId1" xr:uid="{F35D0A42-D257-4474-8994-51B97DC6F897}"/>
    <hyperlink ref="AA12" r:id="rId2" xr:uid="{D7AB392E-7E49-459E-B020-1191E5C4FBED}"/>
    <hyperlink ref="AA60" r:id="rId3" xr:uid="{7DDD51B6-65B7-41E0-B01E-906F3986832C}"/>
    <hyperlink ref="AA78" r:id="rId4" xr:uid="{CE3FDD32-43FD-4C82-86DF-357FC0D6C3A6}"/>
    <hyperlink ref="AA81" r:id="rId5" xr:uid="{83F45268-163A-4091-9CE3-33D18EB5C371}"/>
    <hyperlink ref="AA15" r:id="rId6" display="4/5/24- Cert Extension Request" xr:uid="{CAC59D2D-0366-4FEE-A917-6C6A5E542E71}"/>
    <hyperlink ref="AA76" r:id="rId7" display="6/23/24- Cert Extension Request" xr:uid="{B1527F16-9AAF-4BC0-B987-5152C8563E00}"/>
    <hyperlink ref="AA85" r:id="rId8" xr:uid="{8D8DB775-DA32-4BAD-B0E7-CFF12FD299D9}"/>
    <hyperlink ref="AA10" r:id="rId9" xr:uid="{776A0829-0FDE-450C-8D9C-CD6050C683A2}"/>
    <hyperlink ref="AA19" r:id="rId10" xr:uid="{4F9C690F-140F-4859-91BD-FBD087FE5AE8}"/>
    <hyperlink ref="AA27" r:id="rId11" display="11/8/2024 - Cert Extension Request" xr:uid="{5EE904F4-6253-4085-8D0E-2243ADAF3240}"/>
    <hyperlink ref="AA49" r:id="rId12" xr:uid="{3E87C721-BAE4-47E2-A1B8-B46C9E87A179}"/>
    <hyperlink ref="AA50" r:id="rId13" display="6/10/23- Cert Extension Request" xr:uid="{9BA34798-65EC-46B5-B531-DD9221894319}"/>
    <hyperlink ref="AA16" r:id="rId14" display="4/5/24- Cert Extension Request" xr:uid="{1490F521-6CF7-4A37-A2AF-52C1DC91A843}"/>
    <hyperlink ref="AA52" r:id="rId15" xr:uid="{7123B41E-D155-4F15-A3D4-83BDBFA946EF}"/>
    <hyperlink ref="AA62" r:id="rId16" xr:uid="{FB8752C9-0833-47C3-9A4B-C50CA86402FE}"/>
    <hyperlink ref="AA14" r:id="rId17" xr:uid="{FE8126DA-436F-4FF2-B075-33F7C58AC924}"/>
    <hyperlink ref="AA74" r:id="rId18" xr:uid="{B22C5317-C53B-4B99-AC4B-08D5ADF52CE3}"/>
    <hyperlink ref="AA9" r:id="rId19" xr:uid="{F05A0563-4620-4497-A9C4-4B6281041737}"/>
    <hyperlink ref="AA68" r:id="rId20" xr:uid="{2674D1A3-A445-4B14-BEC8-1FA8B1D12BF0}"/>
    <hyperlink ref="AA41" r:id="rId21" xr:uid="{CE6367F3-E987-4702-8FD3-24CE902D38D7}"/>
    <hyperlink ref="AA71" r:id="rId22" xr:uid="{DD11ADC9-650A-47B3-96C6-9562781D3E19}"/>
    <hyperlink ref="AA13" r:id="rId23" xr:uid="{D9BDAF6E-05D8-4D1B-9C2E-5AEB5BEA3A8B}"/>
    <hyperlink ref="AA7" r:id="rId24" xr:uid="{CB4A6E7C-4A12-413E-B7F7-189040A027FD}"/>
    <hyperlink ref="AA66" r:id="rId25" xr:uid="{A5FEDD62-6D44-4895-BB74-D4817FDDF683}"/>
    <hyperlink ref="AA75" r:id="rId26" display="6/20/2025 - Operational Extension" xr:uid="{7A29C205-A96D-4CAE-B032-A8D93AF3343A}"/>
    <hyperlink ref="AA67" r:id="rId27" xr:uid="{F00E657A-B870-4809-807C-B8CBC93F4B1E}"/>
    <hyperlink ref="AA33" r:id="rId28" xr:uid="{5CF6E16B-E044-4CAD-8603-BB32130003F2}"/>
    <hyperlink ref="AA8" r:id="rId29" xr:uid="{0F538898-2D64-424C-A774-53742D4861D4}"/>
    <hyperlink ref="AA57" r:id="rId30" xr:uid="{4FC58F34-BB85-4DF3-A94C-54903CC68051}"/>
    <hyperlink ref="AA26" r:id="rId31" xr:uid="{EA0D5993-5918-4066-85CC-BE3B2E5FE1FF}"/>
    <hyperlink ref="AA21" r:id="rId32" display="11/8/2024 - Cert Extension Request" xr:uid="{6DB6B7F8-3EA9-4478-8727-E384B0FD0E00}"/>
    <hyperlink ref="AA22" r:id="rId33" display="11/8/2024 - Cert Extension Request" xr:uid="{FFD09FEF-140F-44FB-9C4F-B8A5DE2B0CC7}"/>
    <hyperlink ref="AA79" r:id="rId34" xr:uid="{A7A4EB4B-DAB9-461A-9377-735297A833C7}"/>
    <hyperlink ref="AA64" r:id="rId35" display="11/23/2024 - Pre-certification Recommendation" xr:uid="{292597A6-8842-4F69-B37A-1BAA161A14F8}"/>
    <hyperlink ref="AA28" r:id="rId36" display="11/23/2024 - Pre-certification Recommendation" xr:uid="{090CE6B8-46DF-4D27-BE20-5AF711B03484}"/>
    <hyperlink ref="AA55" r:id="rId37" xr:uid="{2877DFAD-7E40-4A3D-AC82-91AFF0AB1B53}"/>
    <hyperlink ref="AA30" r:id="rId38" xr:uid="{D475F736-4C87-4DF7-BF99-B16EE69E5C75}"/>
    <hyperlink ref="AA35" r:id="rId39" xr:uid="{C63979C8-4F97-4075-9BDA-3192D329C395}"/>
    <hyperlink ref="AA53" r:id="rId40" xr:uid="{186E634B-394B-4BB6-A89D-EA3955FE408B}"/>
    <hyperlink ref="AA42" r:id="rId41" xr:uid="{2AC8EBC4-AE45-4990-B21F-15FFA29B47C0}"/>
    <hyperlink ref="AA86" r:id="rId42" xr:uid="{E6CF045B-E8BA-4991-8C9B-8800F268BD30}"/>
    <hyperlink ref="AA24" r:id="rId43" xr:uid="{33B7D422-E53A-4C00-9699-80A2D772EF01}"/>
    <hyperlink ref="AA17" r:id="rId44" xr:uid="{822E968B-C7B0-47F1-98CA-A41802ACF8B1}"/>
    <hyperlink ref="AA54" r:id="rId45" xr:uid="{2B9F859E-0EA7-4E47-9929-F179BF1CBAF2}"/>
    <hyperlink ref="AA45" r:id="rId46" xr:uid="{D60C001C-8718-40C4-9135-BA37C64E23CE}"/>
    <hyperlink ref="AA44" r:id="rId47" xr:uid="{4C0C635E-4B97-4292-BF45-29C9D6936113}"/>
    <hyperlink ref="AA37" r:id="rId48" xr:uid="{AFE99BB7-8494-483B-BC2B-DF5512065A1E}"/>
    <hyperlink ref="AA18" r:id="rId49" xr:uid="{11972C4E-87DF-41A4-8D91-29A2F9199F53}"/>
    <hyperlink ref="AA38" r:id="rId50" xr:uid="{F3872824-9A08-4711-BC96-1E86F36EB060}"/>
    <hyperlink ref="AA32" r:id="rId51" xr:uid="{EF20F43B-A814-46D9-B8CE-662C99F658E9}"/>
    <hyperlink ref="AA80" r:id="rId52" xr:uid="{33F7C700-03A9-4FE1-B92D-A6E84BE36F2C}"/>
    <hyperlink ref="AA43" r:id="rId53" xr:uid="{3DF774F1-8F20-4DE3-84DA-72AFF9743F82}"/>
    <hyperlink ref="AA84" r:id="rId54" xr:uid="{CD0CA88E-E26B-44A2-9970-8F0194D5D20C}"/>
    <hyperlink ref="AA82" r:id="rId55" xr:uid="{3615803B-8ECD-4052-BD87-2F6BB29817A0}"/>
    <hyperlink ref="AA23" r:id="rId56" xr:uid="{658CD96E-E9EF-4E9A-8045-6E3407A26E51}"/>
    <hyperlink ref="AA36" r:id="rId57" xr:uid="{CA901229-660C-4294-BDB4-0821D93622EC}"/>
    <hyperlink ref="AA58" r:id="rId58" xr:uid="{A7BFBDE4-4B27-4B88-B7D6-79B527456774}"/>
    <hyperlink ref="AA25" r:id="rId59" xr:uid="{20490B17-A03C-4AC7-930E-C8642F28E45A}"/>
    <hyperlink ref="AA46" r:id="rId60" xr:uid="{EF21A2DE-B363-4BC3-8082-73CCD8EEB041}"/>
    <hyperlink ref="AA63" r:id="rId61" xr:uid="{CBC2FEDF-487D-4CB3-A822-355E61CF37F7}"/>
    <hyperlink ref="AA31" r:id="rId62" xr:uid="{3A681896-200E-47FB-970A-E305973D4682}"/>
    <hyperlink ref="AA39" r:id="rId63" xr:uid="{E5182665-1182-489C-B11C-6F1BD0E12BEC}"/>
    <hyperlink ref="AA47" r:id="rId64" xr:uid="{CE2BA39B-D40E-4383-9408-84BB8DBA53A9}"/>
    <hyperlink ref="AA69" r:id="rId65" xr:uid="{0A126D0D-D3EC-488F-A1F4-0AB178296452}"/>
    <hyperlink ref="AA70" r:id="rId66" xr:uid="{2F1E4B5E-30BC-4CE7-B640-4C283BB918C4}"/>
    <hyperlink ref="AA73" r:id="rId67" xr:uid="{DE8D3C0C-6B5D-43FE-81C3-49D57C45D2A3}"/>
    <hyperlink ref="AA65" r:id="rId68" xr:uid="{8621D390-12A7-40A3-BC75-2CB1498D315C}"/>
    <hyperlink ref="AA56" r:id="rId69" xr:uid="{DC6DD8E0-AB29-4BD6-B90E-09F179E35CCB}"/>
    <hyperlink ref="AA83" r:id="rId70" xr:uid="{C3FEF263-1C06-4B79-9875-F038BB492C40}"/>
    <hyperlink ref="AA34" r:id="rId71" xr:uid="{61815009-D87F-4FD6-9679-A04E02A57C69}"/>
    <hyperlink ref="AA72" r:id="rId72" xr:uid="{9A900589-8956-462E-A66F-7CA1F0D609C4}"/>
    <hyperlink ref="AA77" r:id="rId73" xr:uid="{85C78B97-F50C-4F07-A3B6-86D6E78BF3AF}"/>
    <hyperlink ref="AA20" r:id="rId74" xr:uid="{9D2AC51D-D287-460C-B8B8-C627D0E1C344}"/>
    <hyperlink ref="AA59" r:id="rId75" xr:uid="{0E2F964A-064F-4AEC-BF80-1FB2293162F6}"/>
    <hyperlink ref="AA29" r:id="rId76" xr:uid="{2FA2234C-BED3-409F-A8D9-CF28202EC32A}"/>
    <hyperlink ref="AA61" r:id="rId77" xr:uid="{1D154848-4656-4811-8099-BDDF68D9E946}"/>
    <hyperlink ref="AA48" r:id="rId78" xr:uid="{64CBCD5D-E126-4BBA-BD89-092EEAC43666}"/>
    <hyperlink ref="AA40" r:id="rId79" display="6/20/2025 - Operational Extension" xr:uid="{01B20908-3D6C-4566-8E1E-57DB049FA966}"/>
    <hyperlink ref="AA51" r:id="rId80" xr:uid="{FF4C766C-B7E5-4EA3-A6C0-C088730F2CD2}"/>
  </hyperlinks>
  <pageMargins left="0.7" right="0.7" top="0.75" bottom="0.75" header="0.3" footer="0.3"/>
  <headerFooter>
    <oddFooter>&amp;C_x000D_&amp;1#&amp;"Calibri"&amp;10&amp;K000000 Level 3 - Restricted</oddFooter>
  </headerFooter>
  <drawing r:id="rId81"/>
  <legacyDrawing r:id="rId8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63A2-469B-4A50-A79C-2F745ACFEF0F}">
  <sheetPr codeName="Sheet22">
    <tabColor theme="7" tint="0.39997558519241921"/>
  </sheetPr>
  <dimension ref="A1:U50"/>
  <sheetViews>
    <sheetView workbookViewId="0">
      <selection activeCell="G17" sqref="G17"/>
    </sheetView>
  </sheetViews>
  <sheetFormatPr defaultRowHeight="15" customHeight="1"/>
  <cols>
    <col min="1" max="2" width="17.140625" customWidth="1"/>
    <col min="3" max="4" width="19.7109375" customWidth="1"/>
    <col min="5" max="6" width="11.85546875" bestFit="1" customWidth="1"/>
    <col min="7" max="8" width="21" customWidth="1"/>
    <col min="9" max="10" width="15.140625" customWidth="1"/>
    <col min="11" max="11" width="21.85546875" hidden="1" customWidth="1"/>
    <col min="12" max="12" width="13" bestFit="1" customWidth="1"/>
    <col min="13" max="13" width="16.42578125" bestFit="1" customWidth="1"/>
    <col min="14" max="14" width="16.28515625" bestFit="1" customWidth="1"/>
    <col min="15" max="15" width="11.85546875" bestFit="1" customWidth="1"/>
    <col min="16" max="16" width="9" bestFit="1" customWidth="1"/>
    <col min="17" max="17" width="15.42578125" bestFit="1" customWidth="1"/>
    <col min="18" max="18" width="11.28515625" bestFit="1" customWidth="1"/>
    <col min="19" max="20" width="11.85546875" bestFit="1" customWidth="1"/>
    <col min="21" max="22" width="10" bestFit="1" customWidth="1"/>
    <col min="23" max="25" width="10.42578125" bestFit="1" customWidth="1"/>
    <col min="26" max="26" width="9" bestFit="1" customWidth="1"/>
  </cols>
  <sheetData>
    <row r="1" spans="1:21">
      <c r="A1" s="64" t="s">
        <v>601</v>
      </c>
      <c r="B1" s="64"/>
      <c r="C1" s="64"/>
      <c r="D1" s="92"/>
      <c r="E1" s="92"/>
    </row>
    <row r="2" spans="1:21">
      <c r="A2" s="64" t="s">
        <v>602</v>
      </c>
      <c r="B2" s="64"/>
      <c r="C2" s="82"/>
      <c r="D2" s="82"/>
      <c r="E2" s="82"/>
    </row>
    <row r="3" spans="1:21">
      <c r="A3" s="43"/>
      <c r="B3" s="43"/>
      <c r="D3" s="41"/>
      <c r="K3" s="117"/>
      <c r="P3" s="64"/>
      <c r="Q3" s="64"/>
      <c r="R3" s="64"/>
      <c r="S3" s="64"/>
      <c r="T3" s="64"/>
      <c r="U3" s="64"/>
    </row>
    <row r="4" spans="1:21">
      <c r="A4" s="46"/>
      <c r="B4" s="46"/>
      <c r="C4" s="387"/>
      <c r="D4" s="387"/>
      <c r="E4" s="388"/>
      <c r="F4" s="140" t="s">
        <v>603</v>
      </c>
      <c r="G4" s="140" t="s">
        <v>604</v>
      </c>
      <c r="H4" s="221" t="s">
        <v>605</v>
      </c>
      <c r="I4" s="389" t="s">
        <v>606</v>
      </c>
      <c r="J4" s="390"/>
      <c r="K4" s="117"/>
      <c r="L4" s="64"/>
      <c r="M4" s="64"/>
      <c r="N4" s="64"/>
      <c r="O4" s="64"/>
      <c r="P4" s="64"/>
      <c r="Q4" s="64"/>
    </row>
    <row r="5" spans="1:21">
      <c r="A5" s="40"/>
      <c r="B5" s="154"/>
      <c r="C5" s="152" t="s">
        <v>607</v>
      </c>
      <c r="D5" s="152" t="s">
        <v>608</v>
      </c>
      <c r="E5" s="153" t="s">
        <v>10</v>
      </c>
      <c r="I5" s="90" t="s">
        <v>609</v>
      </c>
      <c r="J5" s="91" t="s">
        <v>610</v>
      </c>
      <c r="K5" s="117"/>
      <c r="L5" s="64"/>
      <c r="M5" s="64"/>
      <c r="N5" s="64"/>
      <c r="O5" s="64"/>
      <c r="P5" s="64"/>
      <c r="Q5" s="64"/>
    </row>
    <row r="6" spans="1:21">
      <c r="A6" s="39" t="s">
        <v>611</v>
      </c>
      <c r="B6" s="39">
        <v>2019</v>
      </c>
      <c r="C6" s="219">
        <v>0</v>
      </c>
      <c r="D6" s="220">
        <v>0</v>
      </c>
      <c r="E6" s="220">
        <f t="shared" ref="E6:E37" si="0">SUM(C6:D6)</f>
        <v>0</v>
      </c>
      <c r="F6" s="220">
        <f>'PA Costs Actual'!J4</f>
        <v>1674420.1499999997</v>
      </c>
      <c r="G6" s="220">
        <f>E6</f>
        <v>0</v>
      </c>
      <c r="H6" s="220">
        <f>F6-G6</f>
        <v>1674420.1499999997</v>
      </c>
      <c r="I6" s="216">
        <f t="shared" ref="I6:I37" si="1">G6-F6</f>
        <v>-1674420.1499999997</v>
      </c>
      <c r="J6" s="216">
        <f>I6</f>
        <v>-1674420.1499999997</v>
      </c>
      <c r="K6" s="117">
        <v>1</v>
      </c>
      <c r="L6" s="64"/>
      <c r="M6" s="64"/>
      <c r="N6" s="92"/>
      <c r="O6" s="92"/>
      <c r="P6" s="92"/>
      <c r="Q6" s="64"/>
    </row>
    <row r="7" spans="1:21">
      <c r="A7" s="39" t="s">
        <v>612</v>
      </c>
      <c r="B7" s="39">
        <v>2020</v>
      </c>
      <c r="C7" s="38">
        <f>SUMIF('PA + Project App Fees'!$B$41:$B$71,B7,'PA + Project App Fees'!$F$41:$F$71)</f>
        <v>0</v>
      </c>
      <c r="D7" s="30">
        <f>SUMIF('PA + Project App Fees'!$B$5:$B$35,B7,'PA + Project App Fees'!$F$5:$F$35)</f>
        <v>0</v>
      </c>
      <c r="E7" s="30">
        <f t="shared" si="0"/>
        <v>0</v>
      </c>
      <c r="F7" s="30">
        <f>'PA Costs Actual'!J5</f>
        <v>2695341.0000000005</v>
      </c>
      <c r="G7" s="30">
        <f t="shared" ref="G7:G37" si="2">E7</f>
        <v>0</v>
      </c>
      <c r="H7" s="30">
        <f t="shared" ref="H7:H37" si="3">F7-G7</f>
        <v>2695341.0000000005</v>
      </c>
      <c r="I7" s="217">
        <f t="shared" si="1"/>
        <v>-2695341.0000000005</v>
      </c>
      <c r="J7" s="217">
        <f>J6+I7</f>
        <v>-4369761.1500000004</v>
      </c>
      <c r="K7" s="117">
        <v>2</v>
      </c>
      <c r="M7" s="30"/>
      <c r="N7" s="92"/>
      <c r="O7" s="92"/>
      <c r="P7" s="92"/>
      <c r="Q7" s="64"/>
    </row>
    <row r="8" spans="1:21">
      <c r="A8" s="39" t="s">
        <v>613</v>
      </c>
      <c r="B8" s="39">
        <v>2021</v>
      </c>
      <c r="C8" s="38">
        <f>SUMIF('PA + Project App Fees'!$B$41:$B$71,B8,'PA + Project App Fees'!$F$41:$F$71)</f>
        <v>47658</v>
      </c>
      <c r="D8" s="30">
        <f>SUMIF('PA + Project App Fees'!$B$5:$B$35,B8,'PA + Project App Fees'!$F$5:$F$35)</f>
        <v>32902.559999999998</v>
      </c>
      <c r="E8" s="30">
        <f t="shared" si="0"/>
        <v>80560.56</v>
      </c>
      <c r="F8" s="30">
        <f>'PA Costs Actual'!J6</f>
        <v>2111084.04</v>
      </c>
      <c r="G8" s="30">
        <f t="shared" si="2"/>
        <v>80560.56</v>
      </c>
      <c r="H8" s="30">
        <f t="shared" si="3"/>
        <v>2030523.48</v>
      </c>
      <c r="I8" s="217">
        <f t="shared" si="1"/>
        <v>-2030523.48</v>
      </c>
      <c r="J8" s="217">
        <f>J7+I8</f>
        <v>-6400284.6300000008</v>
      </c>
      <c r="K8" s="117">
        <v>3</v>
      </c>
      <c r="M8" s="30"/>
      <c r="N8" s="92"/>
      <c r="O8" s="92"/>
      <c r="P8" s="92"/>
      <c r="Q8" s="64"/>
    </row>
    <row r="9" spans="1:21">
      <c r="A9" s="39" t="s">
        <v>614</v>
      </c>
      <c r="B9" s="39">
        <v>2022</v>
      </c>
      <c r="C9" s="38">
        <f>SUMIF('PA + Project App Fees'!$B$41:$B$71,B9,'PA + Project App Fees'!$F$41:$F$71)</f>
        <v>107095.06</v>
      </c>
      <c r="D9" s="30">
        <f>SUMIF('PA + Project App Fees'!$B$5:$B$35,B9,'PA + Project App Fees'!$F$5:$F$35)</f>
        <v>79567.849999999991</v>
      </c>
      <c r="E9" s="30">
        <f t="shared" si="0"/>
        <v>186662.90999999997</v>
      </c>
      <c r="F9" s="30">
        <f>'PA Costs Actual'!J7</f>
        <v>3268548.58</v>
      </c>
      <c r="G9" s="30">
        <f t="shared" si="2"/>
        <v>186662.90999999997</v>
      </c>
      <c r="H9" s="30">
        <f t="shared" si="3"/>
        <v>3081885.67</v>
      </c>
      <c r="I9" s="217">
        <f t="shared" si="1"/>
        <v>-3081885.67</v>
      </c>
      <c r="J9" s="217">
        <f t="shared" ref="J9:J37" si="4">J8+I9</f>
        <v>-9482170.3000000007</v>
      </c>
      <c r="K9" s="117">
        <v>4</v>
      </c>
      <c r="M9" s="30"/>
      <c r="N9" s="64"/>
      <c r="O9" s="64"/>
      <c r="P9" s="64"/>
      <c r="Q9" s="64"/>
    </row>
    <row r="10" spans="1:21">
      <c r="A10" s="39" t="s">
        <v>615</v>
      </c>
      <c r="B10" s="39">
        <v>2023</v>
      </c>
      <c r="C10" s="38">
        <f>SUMIF('PA + Project App Fees'!$B$41:$B$71,B10,'PA + Project App Fees'!$F$41:$F$71)</f>
        <v>25890</v>
      </c>
      <c r="D10" s="30">
        <f>SUMIF('PA + Project App Fees'!$B$5:$B$35,B10,'PA + Project App Fees'!$F$5:$F$35)</f>
        <v>214000.58</v>
      </c>
      <c r="E10" s="30">
        <f t="shared" si="0"/>
        <v>239890.58</v>
      </c>
      <c r="F10" s="30">
        <f>'PA Costs Actual'!J8</f>
        <v>2983049.24</v>
      </c>
      <c r="G10" s="30">
        <f t="shared" si="2"/>
        <v>239890.58</v>
      </c>
      <c r="H10" s="30">
        <f t="shared" si="3"/>
        <v>2743158.66</v>
      </c>
      <c r="I10" s="217">
        <f t="shared" si="1"/>
        <v>-2743158.66</v>
      </c>
      <c r="J10" s="217">
        <f t="shared" si="4"/>
        <v>-12225328.960000001</v>
      </c>
      <c r="K10" s="117">
        <v>5</v>
      </c>
      <c r="L10" s="97"/>
      <c r="M10" s="64"/>
      <c r="N10" s="64"/>
      <c r="O10" s="64"/>
      <c r="P10" s="64"/>
      <c r="Q10" s="64"/>
    </row>
    <row r="11" spans="1:21">
      <c r="A11" s="39" t="s">
        <v>616</v>
      </c>
      <c r="B11" s="39">
        <v>2024</v>
      </c>
      <c r="C11" s="38">
        <f>SUMIF('PA + Project App Fees'!$B$41:$B$71,B11,'PA + Project App Fees'!$F$41:$F$71)</f>
        <v>219387.2</v>
      </c>
      <c r="D11" s="30">
        <f>SUMIF('PA + Project App Fees'!$B$5:$B$35,B11,'PA + Project App Fees'!$F$5:$F$35)</f>
        <v>296567.03999999998</v>
      </c>
      <c r="E11" s="30">
        <f t="shared" si="0"/>
        <v>515954.24</v>
      </c>
      <c r="F11" s="30">
        <f>'PA Costs Actual'!J9</f>
        <v>2899931.64</v>
      </c>
      <c r="G11" s="30">
        <f t="shared" si="2"/>
        <v>515954.24</v>
      </c>
      <c r="H11" s="30">
        <f t="shared" si="3"/>
        <v>2383977.4000000004</v>
      </c>
      <c r="I11" s="217">
        <f t="shared" si="1"/>
        <v>-2383977.4000000004</v>
      </c>
      <c r="J11" s="217">
        <f t="shared" si="4"/>
        <v>-14609306.360000001</v>
      </c>
      <c r="K11" s="117">
        <v>6</v>
      </c>
      <c r="L11" s="97"/>
      <c r="M11" s="64"/>
      <c r="N11" s="92"/>
      <c r="O11" s="92"/>
      <c r="P11" s="92"/>
      <c r="Q11" s="64"/>
    </row>
    <row r="12" spans="1:21">
      <c r="A12" s="39" t="s">
        <v>617</v>
      </c>
      <c r="B12" s="39">
        <v>2025</v>
      </c>
      <c r="C12" s="38">
        <f>SUMIF('PA + Project App Fees'!$B$41:$B$71,B12,'PA + Project App Fees'!$F$41:$F$71)</f>
        <v>209806.2</v>
      </c>
      <c r="D12" s="30">
        <f>SUMIF('PA + Project App Fees'!$B$5:$B$35,B12,'PA + Project App Fees'!$F$5:$F$35)</f>
        <v>624398.35699999984</v>
      </c>
      <c r="E12" s="30">
        <f t="shared" si="0"/>
        <v>834204.5569999998</v>
      </c>
      <c r="F12" s="30">
        <f>'PA Costs Actual'!J10</f>
        <v>2836501.6493004109</v>
      </c>
      <c r="G12" s="30">
        <f t="shared" si="2"/>
        <v>834204.5569999998</v>
      </c>
      <c r="H12" s="30">
        <f t="shared" si="3"/>
        <v>2002297.0923004111</v>
      </c>
      <c r="I12" s="217">
        <f t="shared" si="1"/>
        <v>-2002297.0923004111</v>
      </c>
      <c r="J12" s="217">
        <f t="shared" si="4"/>
        <v>-16611603.452300413</v>
      </c>
      <c r="K12" s="117">
        <v>7</v>
      </c>
      <c r="L12" s="64"/>
      <c r="M12" s="64"/>
      <c r="N12" s="92"/>
      <c r="O12" s="92"/>
      <c r="P12" s="92"/>
      <c r="Q12" s="64"/>
    </row>
    <row r="13" spans="1:21">
      <c r="A13" s="39" t="s">
        <v>618</v>
      </c>
      <c r="B13" s="39">
        <v>2026</v>
      </c>
      <c r="C13" s="38">
        <f>SUMIF('PA + Project App Fees'!$B$41:$B$71,B13,'PA + Project App Fees'!$F$41:$F$71)</f>
        <v>126330</v>
      </c>
      <c r="D13" s="30">
        <f>SUMIF('PA + Project App Fees'!$B$5:$B$35,B13,'PA + Project App Fees'!$F$5:$F$35)</f>
        <v>899320.65925000003</v>
      </c>
      <c r="E13" s="30">
        <f t="shared" si="0"/>
        <v>1025650.65925</v>
      </c>
      <c r="F13" s="30">
        <v>2828956</v>
      </c>
      <c r="G13" s="30">
        <f t="shared" si="2"/>
        <v>1025650.65925</v>
      </c>
      <c r="H13" s="30">
        <f t="shared" si="3"/>
        <v>1803305.34075</v>
      </c>
      <c r="I13" s="217">
        <f t="shared" si="1"/>
        <v>-1803305.34075</v>
      </c>
      <c r="J13" s="217">
        <f t="shared" si="4"/>
        <v>-18414908.793050412</v>
      </c>
      <c r="K13" s="117">
        <v>8</v>
      </c>
      <c r="L13" s="64"/>
      <c r="M13" s="64"/>
      <c r="N13" s="92"/>
      <c r="O13" s="92"/>
      <c r="P13" s="92"/>
      <c r="Q13" s="64"/>
    </row>
    <row r="14" spans="1:21">
      <c r="A14" s="39" t="s">
        <v>619</v>
      </c>
      <c r="B14" s="39">
        <v>2027</v>
      </c>
      <c r="C14" s="38">
        <f>SUMIF('PA + Project App Fees'!$B$41:$B$71,B14,'PA + Project App Fees'!$F$41:$F$71)</f>
        <v>170032.52499999999</v>
      </c>
      <c r="D14" s="30">
        <f>SUMIF('PA + Project App Fees'!$B$5:$B$35,B14,'PA + Project App Fees'!$F$5:$F$35)</f>
        <v>1111548.3473</v>
      </c>
      <c r="E14" s="30">
        <f t="shared" si="0"/>
        <v>1281580.8722999999</v>
      </c>
      <c r="F14" s="30">
        <v>2915908</v>
      </c>
      <c r="G14" s="30">
        <f t="shared" si="2"/>
        <v>1281580.8722999999</v>
      </c>
      <c r="H14" s="30">
        <f t="shared" si="3"/>
        <v>1634327.1277000001</v>
      </c>
      <c r="I14" s="217">
        <f t="shared" si="1"/>
        <v>-1634327.1277000001</v>
      </c>
      <c r="J14" s="217">
        <f t="shared" si="4"/>
        <v>-20049235.920750413</v>
      </c>
      <c r="K14" s="117">
        <v>9</v>
      </c>
      <c r="L14" s="64"/>
      <c r="M14" s="267">
        <v>2</v>
      </c>
      <c r="N14" s="64">
        <v>219</v>
      </c>
      <c r="O14" s="64">
        <v>8</v>
      </c>
      <c r="P14" s="64"/>
      <c r="Q14" s="64"/>
    </row>
    <row r="15" spans="1:21">
      <c r="A15" s="39" t="s">
        <v>620</v>
      </c>
      <c r="B15" s="39">
        <v>2028</v>
      </c>
      <c r="C15" s="38">
        <f>SUMIF('PA + Project App Fees'!$B$41:$B$71,B15,'PA + Project App Fees'!$F$41:$F$71)</f>
        <v>170032.52499999999</v>
      </c>
      <c r="D15" s="30">
        <f>SUMIF('PA + Project App Fees'!$B$5:$B$35,B15,'PA + Project App Fees'!$F$5:$F$35)</f>
        <v>1267341.3273</v>
      </c>
      <c r="E15" s="30">
        <f t="shared" si="0"/>
        <v>1437373.8522999999</v>
      </c>
      <c r="F15" s="30">
        <v>2627080</v>
      </c>
      <c r="G15" s="30">
        <f t="shared" si="2"/>
        <v>1437373.8522999999</v>
      </c>
      <c r="H15" s="30">
        <f t="shared" si="3"/>
        <v>1189706.1477000001</v>
      </c>
      <c r="I15" s="217">
        <f t="shared" si="1"/>
        <v>-1189706.1477000001</v>
      </c>
      <c r="J15" s="217">
        <f t="shared" si="4"/>
        <v>-21238942.068450414</v>
      </c>
      <c r="K15" s="117">
        <v>10</v>
      </c>
      <c r="M15" s="30"/>
      <c r="N15" s="64"/>
      <c r="O15" s="64"/>
      <c r="P15" s="64"/>
      <c r="Q15" s="64"/>
    </row>
    <row r="16" spans="1:21">
      <c r="A16" s="39" t="s">
        <v>621</v>
      </c>
      <c r="B16" s="39">
        <v>2029</v>
      </c>
      <c r="C16" s="38">
        <f>SUMIF('PA + Project App Fees'!$B$41:$B$71,B16,'PA + Project App Fees'!$F$41:$F$71)</f>
        <v>0</v>
      </c>
      <c r="D16" s="30">
        <f>SUMIF('PA + Project App Fees'!$B$5:$B$35,B16,'PA + Project App Fees'!$F$5:$F$35)</f>
        <v>1425169.1673000001</v>
      </c>
      <c r="E16" s="30">
        <f t="shared" si="0"/>
        <v>1425169.1673000001</v>
      </c>
      <c r="F16" s="30">
        <v>2442316</v>
      </c>
      <c r="G16" s="30">
        <f t="shared" si="2"/>
        <v>1425169.1673000001</v>
      </c>
      <c r="H16" s="30">
        <f t="shared" si="3"/>
        <v>1017146.8326999999</v>
      </c>
      <c r="I16" s="217">
        <f t="shared" si="1"/>
        <v>-1017146.8326999999</v>
      </c>
      <c r="J16" s="217">
        <f t="shared" si="4"/>
        <v>-22256088.901150413</v>
      </c>
      <c r="K16" s="117">
        <v>11</v>
      </c>
      <c r="L16" s="64"/>
      <c r="M16" s="267">
        <v>24622349</v>
      </c>
      <c r="N16" s="64"/>
      <c r="O16" s="64"/>
      <c r="P16" s="64"/>
      <c r="Q16" s="64"/>
    </row>
    <row r="17" spans="1:17">
      <c r="A17" s="39" t="s">
        <v>622</v>
      </c>
      <c r="B17" s="39">
        <v>2030</v>
      </c>
      <c r="C17" s="38">
        <f>SUMIF('PA + Project App Fees'!$B$41:$B$71,B17,'PA + Project App Fees'!$F$41:$F$71)</f>
        <v>0</v>
      </c>
      <c r="D17" s="30">
        <f>SUMIF('PA + Project App Fees'!$B$5:$B$35,B17,'PA + Project App Fees'!$F$5:$F$35)</f>
        <v>1464626.1273000003</v>
      </c>
      <c r="E17" s="30">
        <f t="shared" si="0"/>
        <v>1464626.1273000003</v>
      </c>
      <c r="F17" s="30">
        <v>2059732</v>
      </c>
      <c r="G17" s="30">
        <f t="shared" si="2"/>
        <v>1464626.1273000003</v>
      </c>
      <c r="H17" s="30">
        <f t="shared" si="3"/>
        <v>595105.87269999972</v>
      </c>
      <c r="I17" s="217">
        <f t="shared" si="1"/>
        <v>-595105.87269999972</v>
      </c>
      <c r="J17" s="217">
        <f t="shared" si="4"/>
        <v>-22851194.773850411</v>
      </c>
      <c r="K17" s="117">
        <v>12</v>
      </c>
      <c r="L17" s="64"/>
      <c r="M17" s="64"/>
      <c r="N17" s="64"/>
      <c r="O17" s="64"/>
      <c r="P17" s="64"/>
      <c r="Q17" s="64"/>
    </row>
    <row r="18" spans="1:17">
      <c r="A18" s="39" t="s">
        <v>623</v>
      </c>
      <c r="B18" s="39">
        <v>2031</v>
      </c>
      <c r="C18" s="38">
        <f>SUMIF('PA + Project App Fees'!$B$41:$B$71,B18,'PA + Project App Fees'!$F$41:$F$71)</f>
        <v>0</v>
      </c>
      <c r="D18" s="30">
        <f>SUMIF('PA + Project App Fees'!$B$5:$B$35,B18,'PA + Project App Fees'!$F$5:$F$35)</f>
        <v>1464626.1273000003</v>
      </c>
      <c r="E18" s="30">
        <f t="shared" si="0"/>
        <v>1464626.1273000003</v>
      </c>
      <c r="F18" s="30">
        <v>1763908</v>
      </c>
      <c r="G18" s="30">
        <f t="shared" si="2"/>
        <v>1464626.1273000003</v>
      </c>
      <c r="H18" s="30">
        <f t="shared" si="3"/>
        <v>299281.87269999972</v>
      </c>
      <c r="I18" s="217">
        <f t="shared" si="1"/>
        <v>-299281.87269999972</v>
      </c>
      <c r="J18" s="217">
        <f t="shared" si="4"/>
        <v>-23150476.646550409</v>
      </c>
      <c r="K18" s="117">
        <v>13</v>
      </c>
      <c r="L18" s="64"/>
      <c r="M18" s="267">
        <v>24622349</v>
      </c>
      <c r="N18" s="64"/>
      <c r="O18" s="64"/>
      <c r="P18" s="64"/>
      <c r="Q18" s="64"/>
    </row>
    <row r="19" spans="1:17">
      <c r="A19" s="39" t="s">
        <v>624</v>
      </c>
      <c r="B19" s="39">
        <v>2032</v>
      </c>
      <c r="C19" s="38">
        <f>SUMIF('PA + Project App Fees'!$B$41:$B$71,B19,'PA + Project App Fees'!$F$41:$F$71)</f>
        <v>0</v>
      </c>
      <c r="D19" s="30">
        <f>SUMIF('PA + Project App Fees'!$B$5:$B$35,B19,'PA + Project App Fees'!$F$5:$F$35)</f>
        <v>1464626.1273000003</v>
      </c>
      <c r="E19" s="30">
        <f t="shared" si="0"/>
        <v>1464626.1273000003</v>
      </c>
      <c r="F19" s="30">
        <v>1448572</v>
      </c>
      <c r="G19" s="30">
        <f t="shared" si="2"/>
        <v>1464626.1273000003</v>
      </c>
      <c r="H19" s="30">
        <f t="shared" si="3"/>
        <v>-16054.127300000284</v>
      </c>
      <c r="I19" s="217">
        <f t="shared" si="1"/>
        <v>16054.127300000284</v>
      </c>
      <c r="J19" s="217">
        <f t="shared" si="4"/>
        <v>-23134422.519250408</v>
      </c>
      <c r="K19" s="117">
        <v>14</v>
      </c>
    </row>
    <row r="20" spans="1:17">
      <c r="A20" s="39" t="s">
        <v>625</v>
      </c>
      <c r="B20" s="39">
        <v>2033</v>
      </c>
      <c r="C20" s="38">
        <f>SUMIF('PA + Project App Fees'!$B$41:$B$71,B20,'PA + Project App Fees'!$F$41:$F$71)</f>
        <v>0</v>
      </c>
      <c r="D20" s="30">
        <f>SUMIF('PA + Project App Fees'!$B$5:$B$35,B20,'PA + Project App Fees'!$F$5:$F$35)</f>
        <v>1464626.1273000003</v>
      </c>
      <c r="E20" s="30">
        <f t="shared" si="0"/>
        <v>1464626.1273000003</v>
      </c>
      <c r="F20" s="30">
        <v>1365676</v>
      </c>
      <c r="G20" s="30">
        <f t="shared" si="2"/>
        <v>1464626.1273000003</v>
      </c>
      <c r="H20" s="30">
        <f t="shared" si="3"/>
        <v>-98950.127300000284</v>
      </c>
      <c r="I20" s="217">
        <f t="shared" si="1"/>
        <v>98950.127300000284</v>
      </c>
      <c r="J20" s="217">
        <f t="shared" si="4"/>
        <v>-23035472.391950406</v>
      </c>
      <c r="K20" s="117">
        <v>15</v>
      </c>
    </row>
    <row r="21" spans="1:17">
      <c r="A21" s="39" t="s">
        <v>626</v>
      </c>
      <c r="B21" s="39">
        <v>2034</v>
      </c>
      <c r="C21" s="38">
        <f>SUMIF('PA + Project App Fees'!$B$41:$B$71,B21,'PA + Project App Fees'!$F$41:$F$71)</f>
        <v>0</v>
      </c>
      <c r="D21" s="30">
        <f>SUMIF('PA + Project App Fees'!$B$5:$B$35,B21,'PA + Project App Fees'!$F$5:$F$35)</f>
        <v>1464626.1273000003</v>
      </c>
      <c r="E21" s="30">
        <f t="shared" si="0"/>
        <v>1464626.1273000003</v>
      </c>
      <c r="F21" s="30">
        <v>1411864</v>
      </c>
      <c r="G21" s="30">
        <f t="shared" si="2"/>
        <v>1464626.1273000003</v>
      </c>
      <c r="H21" s="30">
        <f t="shared" si="3"/>
        <v>-52762.127300000284</v>
      </c>
      <c r="I21" s="217">
        <f t="shared" si="1"/>
        <v>52762.127300000284</v>
      </c>
      <c r="J21" s="217">
        <f t="shared" si="4"/>
        <v>-22982710.264650404</v>
      </c>
      <c r="K21" s="117">
        <v>16</v>
      </c>
    </row>
    <row r="22" spans="1:17">
      <c r="A22" s="39" t="s">
        <v>627</v>
      </c>
      <c r="B22" s="39">
        <v>2035</v>
      </c>
      <c r="C22" s="38">
        <f>SUMIF('PA + Project App Fees'!$B$41:$B$71,B22,'PA + Project App Fees'!$F$41:$F$71)</f>
        <v>0</v>
      </c>
      <c r="D22" s="30">
        <f>SUMIF('PA + Project App Fees'!$B$5:$B$35,B22,'PA + Project App Fees'!$F$5:$F$35)</f>
        <v>1464626.1273000003</v>
      </c>
      <c r="E22" s="30">
        <f t="shared" si="0"/>
        <v>1464626.1273000003</v>
      </c>
      <c r="F22" s="30">
        <v>1460548</v>
      </c>
      <c r="G22" s="30">
        <f t="shared" si="2"/>
        <v>1464626.1273000003</v>
      </c>
      <c r="H22" s="30">
        <f t="shared" si="3"/>
        <v>-4078.1273000002839</v>
      </c>
      <c r="I22" s="217">
        <f t="shared" si="1"/>
        <v>4078.1273000002839</v>
      </c>
      <c r="J22" s="217">
        <f t="shared" si="4"/>
        <v>-22978632.137350403</v>
      </c>
      <c r="K22" s="117">
        <v>17</v>
      </c>
    </row>
    <row r="23" spans="1:17">
      <c r="A23" s="39" t="s">
        <v>628</v>
      </c>
      <c r="B23" s="39">
        <v>2036</v>
      </c>
      <c r="C23" s="38">
        <f>SUMIF('PA + Project App Fees'!$B$41:$B$71,B23,'PA + Project App Fees'!$F$41:$F$71)</f>
        <v>0</v>
      </c>
      <c r="D23" s="30">
        <f>SUMIF('PA + Project App Fees'!$B$5:$B$35,B23,'PA + Project App Fees'!$F$5:$F$35)</f>
        <v>1464626.1273000003</v>
      </c>
      <c r="E23" s="30">
        <f t="shared" si="0"/>
        <v>1464626.1273000003</v>
      </c>
      <c r="F23" s="30">
        <v>1510792</v>
      </c>
      <c r="G23" s="30">
        <f t="shared" si="2"/>
        <v>1464626.1273000003</v>
      </c>
      <c r="H23" s="30">
        <f t="shared" si="3"/>
        <v>46165.872699999716</v>
      </c>
      <c r="I23" s="217">
        <f t="shared" si="1"/>
        <v>-46165.872699999716</v>
      </c>
      <c r="J23" s="217">
        <f t="shared" si="4"/>
        <v>-23024798.010050401</v>
      </c>
      <c r="K23" s="117">
        <v>18</v>
      </c>
    </row>
    <row r="24" spans="1:17">
      <c r="A24" s="39" t="s">
        <v>629</v>
      </c>
      <c r="B24" s="39">
        <v>2037</v>
      </c>
      <c r="C24" s="38">
        <f>SUMIF('PA + Project App Fees'!$B$41:$B$71,B24,'PA + Project App Fees'!$F$41:$F$71)</f>
        <v>0</v>
      </c>
      <c r="D24" s="30">
        <f>SUMIF('PA + Project App Fees'!$B$5:$B$35,B24,'PA + Project App Fees'!$F$5:$F$35)</f>
        <v>1464626.1273000003</v>
      </c>
      <c r="E24" s="30">
        <f t="shared" si="0"/>
        <v>1464626.1273000003</v>
      </c>
      <c r="F24" s="30">
        <v>1563220</v>
      </c>
      <c r="G24" s="30">
        <f t="shared" si="2"/>
        <v>1464626.1273000003</v>
      </c>
      <c r="H24" s="30">
        <f t="shared" si="3"/>
        <v>98593.872699999716</v>
      </c>
      <c r="I24" s="217">
        <f t="shared" si="1"/>
        <v>-98593.872699999716</v>
      </c>
      <c r="J24" s="217">
        <f t="shared" si="4"/>
        <v>-23123391.882750399</v>
      </c>
      <c r="K24" s="117">
        <v>19</v>
      </c>
    </row>
    <row r="25" spans="1:17">
      <c r="A25" s="39" t="s">
        <v>630</v>
      </c>
      <c r="B25" s="39">
        <v>2038</v>
      </c>
      <c r="C25" s="38">
        <f>SUMIF('PA + Project App Fees'!$B$41:$B$71,B25,'PA + Project App Fees'!$F$41:$F$71)</f>
        <v>0</v>
      </c>
      <c r="D25" s="30">
        <f>SUMIF('PA + Project App Fees'!$B$5:$B$35,B25,'PA + Project App Fees'!$F$5:$F$35)</f>
        <v>1464626.1273000003</v>
      </c>
      <c r="E25" s="30">
        <f t="shared" si="0"/>
        <v>1464626.1273000003</v>
      </c>
      <c r="F25" s="30">
        <v>1618444</v>
      </c>
      <c r="G25" s="30">
        <f t="shared" si="2"/>
        <v>1464626.1273000003</v>
      </c>
      <c r="H25" s="30">
        <f t="shared" si="3"/>
        <v>153817.87269999972</v>
      </c>
      <c r="I25" s="217">
        <f t="shared" si="1"/>
        <v>-153817.87269999972</v>
      </c>
      <c r="J25" s="217">
        <f t="shared" si="4"/>
        <v>-23277209.755450398</v>
      </c>
      <c r="K25" s="117">
        <v>20</v>
      </c>
      <c r="M25" s="44"/>
    </row>
    <row r="26" spans="1:17">
      <c r="A26" s="39" t="s">
        <v>631</v>
      </c>
      <c r="B26" s="39">
        <v>2039</v>
      </c>
      <c r="C26" s="38">
        <f>SUMIF('PA + Project App Fees'!$B$41:$B$71,B26,'PA + Project App Fees'!$F$41:$F$71)</f>
        <v>0</v>
      </c>
      <c r="D26" s="30">
        <f>SUMIF('PA + Project App Fees'!$B$5:$B$35,B26,'PA + Project App Fees'!$F$5:$F$35)</f>
        <v>1464626.1273000003</v>
      </c>
      <c r="E26" s="30">
        <f t="shared" si="0"/>
        <v>1464626.1273000003</v>
      </c>
      <c r="F26" s="30">
        <v>1675588</v>
      </c>
      <c r="G26" s="30">
        <f t="shared" si="2"/>
        <v>1464626.1273000003</v>
      </c>
      <c r="H26" s="30">
        <f t="shared" si="3"/>
        <v>210961.87269999972</v>
      </c>
      <c r="I26" s="217">
        <f t="shared" si="1"/>
        <v>-210961.87269999972</v>
      </c>
      <c r="J26" s="217">
        <f t="shared" si="4"/>
        <v>-23488171.628150396</v>
      </c>
      <c r="K26" s="117">
        <v>21</v>
      </c>
      <c r="M26" s="44"/>
      <c r="P26" s="41"/>
    </row>
    <row r="27" spans="1:17">
      <c r="A27" s="39" t="s">
        <v>632</v>
      </c>
      <c r="B27" s="39">
        <v>2040</v>
      </c>
      <c r="C27" s="38">
        <f>SUMIF('PA + Project App Fees'!$B$41:$B$71,B27,'PA + Project App Fees'!$F$41:$F$71)</f>
        <v>0</v>
      </c>
      <c r="D27" s="30">
        <f>SUMIF('PA + Project App Fees'!$B$5:$B$35,B27,'PA + Project App Fees'!$F$5:$F$35)</f>
        <v>1464626.1273000003</v>
      </c>
      <c r="E27" s="30">
        <f t="shared" si="0"/>
        <v>1464626.1273000003</v>
      </c>
      <c r="F27" s="30">
        <v>1735096</v>
      </c>
      <c r="G27" s="30">
        <f t="shared" si="2"/>
        <v>1464626.1273000003</v>
      </c>
      <c r="H27" s="30">
        <f t="shared" si="3"/>
        <v>270469.87269999972</v>
      </c>
      <c r="I27" s="217">
        <f t="shared" si="1"/>
        <v>-270469.87269999972</v>
      </c>
      <c r="J27" s="217">
        <f t="shared" si="4"/>
        <v>-23758641.500850394</v>
      </c>
      <c r="K27" s="117">
        <v>22</v>
      </c>
      <c r="M27" s="30"/>
      <c r="N27" s="30"/>
      <c r="P27" s="41"/>
    </row>
    <row r="28" spans="1:17">
      <c r="A28" s="39" t="s">
        <v>633</v>
      </c>
      <c r="B28" s="39">
        <v>2041</v>
      </c>
      <c r="C28" s="38">
        <f>SUMIF('PA + Project App Fees'!$B$41:$B$71,B28,'PA + Project App Fees'!$F$41:$F$71)</f>
        <v>0</v>
      </c>
      <c r="D28" s="30">
        <f>SUMIF('PA + Project App Fees'!$B$5:$B$35,B28,'PA + Project App Fees'!$F$5:$F$35)</f>
        <v>1425239.7623000001</v>
      </c>
      <c r="E28" s="30">
        <f t="shared" si="0"/>
        <v>1425239.7623000001</v>
      </c>
      <c r="F28" s="30">
        <v>1797184</v>
      </c>
      <c r="G28" s="30">
        <f t="shared" si="2"/>
        <v>1425239.7623000001</v>
      </c>
      <c r="H28" s="30">
        <f t="shared" si="3"/>
        <v>371944.23769999994</v>
      </c>
      <c r="I28" s="217">
        <f t="shared" si="1"/>
        <v>-371944.23769999994</v>
      </c>
      <c r="J28" s="217">
        <f t="shared" si="4"/>
        <v>-24130585.738550395</v>
      </c>
      <c r="K28" s="117">
        <v>23</v>
      </c>
      <c r="M28" s="30"/>
      <c r="P28" s="41"/>
    </row>
    <row r="29" spans="1:17">
      <c r="A29" s="39" t="s">
        <v>634</v>
      </c>
      <c r="B29" s="39">
        <v>2042</v>
      </c>
      <c r="C29" s="38">
        <f>SUMIF('PA + Project App Fees'!$B$41:$B$71,B29,'PA + Project App Fees'!$F$41:$F$71)</f>
        <v>0</v>
      </c>
      <c r="D29" s="30">
        <f>SUMIF('PA + Project App Fees'!$B$5:$B$35,B29,'PA + Project App Fees'!$F$5:$F$35)</f>
        <v>1385121.4113000003</v>
      </c>
      <c r="E29" s="30">
        <f t="shared" si="0"/>
        <v>1385121.4113000003</v>
      </c>
      <c r="F29" s="30">
        <v>1861732</v>
      </c>
      <c r="G29" s="30">
        <f t="shared" si="2"/>
        <v>1385121.4113000003</v>
      </c>
      <c r="H29" s="30">
        <f t="shared" si="3"/>
        <v>476610.58869999973</v>
      </c>
      <c r="I29" s="217">
        <f t="shared" si="1"/>
        <v>-476610.58869999973</v>
      </c>
      <c r="J29" s="217">
        <f t="shared" si="4"/>
        <v>-24607196.327250395</v>
      </c>
      <c r="K29" s="117">
        <v>24</v>
      </c>
    </row>
    <row r="30" spans="1:17">
      <c r="A30" s="39" t="s">
        <v>635</v>
      </c>
      <c r="B30" s="39">
        <v>2043</v>
      </c>
      <c r="C30" s="38">
        <f>SUMIF('PA + Project App Fees'!$B$41:$B$71,B30,'PA + Project App Fees'!$F$41:$F$71)</f>
        <v>0</v>
      </c>
      <c r="D30" s="30">
        <f>SUMIF('PA + Project App Fees'!$B$5:$B$35,B30,'PA + Project App Fees'!$F$5:$F$35)</f>
        <v>1242524.3658</v>
      </c>
      <c r="E30" s="30">
        <f t="shared" si="0"/>
        <v>1242524.3658</v>
      </c>
      <c r="F30" s="30">
        <v>1929100</v>
      </c>
      <c r="G30" s="30">
        <f t="shared" si="2"/>
        <v>1242524.3658</v>
      </c>
      <c r="H30" s="30">
        <f t="shared" si="3"/>
        <v>686575.63419999997</v>
      </c>
      <c r="I30" s="217">
        <f t="shared" si="1"/>
        <v>-686575.63419999997</v>
      </c>
      <c r="J30" s="217">
        <f t="shared" si="4"/>
        <v>-25293771.961450394</v>
      </c>
      <c r="K30" s="117">
        <v>25</v>
      </c>
    </row>
    <row r="31" spans="1:17">
      <c r="A31" s="39" t="s">
        <v>636</v>
      </c>
      <c r="B31" s="39">
        <v>2044</v>
      </c>
      <c r="C31" s="38">
        <f>SUMIF('PA + Project App Fees'!$B$41:$B$71,B31,'PA + Project App Fees'!$F$41:$F$71)</f>
        <v>0</v>
      </c>
      <c r="D31" s="30">
        <f>SUMIF('PA + Project App Fees'!$B$5:$B$35,B31,'PA + Project App Fees'!$F$5:$F$35)</f>
        <v>1163875.0983000002</v>
      </c>
      <c r="E31" s="30">
        <f t="shared" si="0"/>
        <v>1163875.0983000002</v>
      </c>
      <c r="F31" s="30">
        <v>1975828</v>
      </c>
      <c r="G31" s="30">
        <f t="shared" si="2"/>
        <v>1163875.0983000002</v>
      </c>
      <c r="H31" s="30">
        <f t="shared" si="3"/>
        <v>811952.90169999981</v>
      </c>
      <c r="I31" s="217">
        <f t="shared" si="1"/>
        <v>-811952.90169999981</v>
      </c>
      <c r="J31" s="217">
        <f t="shared" si="4"/>
        <v>-26105724.863150395</v>
      </c>
      <c r="K31" s="117">
        <v>26</v>
      </c>
    </row>
    <row r="32" spans="1:17">
      <c r="A32" s="39" t="s">
        <v>637</v>
      </c>
      <c r="B32" s="39">
        <v>2045</v>
      </c>
      <c r="C32" s="38">
        <f>SUMIF('PA + Project App Fees'!$B$41:$B$71,B32,'PA + Project App Fees'!$F$41:$F$71)</f>
        <v>0</v>
      </c>
      <c r="D32" s="30">
        <f>SUMIF('PA + Project App Fees'!$B$5:$B$35,B32,'PA + Project App Fees'!$F$5:$F$35)</f>
        <v>808315.2108</v>
      </c>
      <c r="E32" s="30">
        <f t="shared" si="0"/>
        <v>808315.2108</v>
      </c>
      <c r="F32" s="30">
        <v>1635556</v>
      </c>
      <c r="G32" s="30">
        <f t="shared" si="2"/>
        <v>808315.2108</v>
      </c>
      <c r="H32" s="30">
        <f t="shared" si="3"/>
        <v>827240.7892</v>
      </c>
      <c r="I32" s="217">
        <f t="shared" si="1"/>
        <v>-827240.7892</v>
      </c>
      <c r="J32" s="217">
        <f t="shared" si="4"/>
        <v>-26932965.652350396</v>
      </c>
      <c r="K32" s="117">
        <v>27</v>
      </c>
    </row>
    <row r="33" spans="1:11">
      <c r="A33" s="39" t="s">
        <v>638</v>
      </c>
      <c r="B33" s="39">
        <v>2046</v>
      </c>
      <c r="C33" s="38">
        <f>SUMIF('PA + Project App Fees'!$B$41:$B$71,B33,'PA + Project App Fees'!$F$41:$F$71)</f>
        <v>0</v>
      </c>
      <c r="D33" s="30">
        <f>SUMIF('PA + Project App Fees'!$B$5:$B$35,B33,'PA + Project App Fees'!$F$5:$F$35)</f>
        <v>543302.80027500005</v>
      </c>
      <c r="E33" s="30">
        <f t="shared" si="0"/>
        <v>543302.80027500005</v>
      </c>
      <c r="F33" s="30">
        <v>1693204</v>
      </c>
      <c r="G33" s="30">
        <f t="shared" si="2"/>
        <v>543302.80027500005</v>
      </c>
      <c r="H33" s="30">
        <f t="shared" si="3"/>
        <v>1149901.199725</v>
      </c>
      <c r="I33" s="217">
        <f t="shared" si="1"/>
        <v>-1149901.199725</v>
      </c>
      <c r="J33" s="217">
        <f t="shared" si="4"/>
        <v>-28082866.852075394</v>
      </c>
      <c r="K33" s="117">
        <v>28</v>
      </c>
    </row>
    <row r="34" spans="1:11">
      <c r="A34" s="39" t="s">
        <v>639</v>
      </c>
      <c r="B34" s="39">
        <v>2047</v>
      </c>
      <c r="C34" s="38">
        <f>SUMIF('PA + Project App Fees'!$B$41:$B$71,B34,'PA + Project App Fees'!$F$41:$F$71)</f>
        <v>0</v>
      </c>
      <c r="D34" s="30">
        <f>SUMIF('PA + Project App Fees'!$B$5:$B$35,B34,'PA + Project App Fees'!$F$5:$F$35)</f>
        <v>343688.935</v>
      </c>
      <c r="E34" s="30">
        <f t="shared" si="0"/>
        <v>343688.935</v>
      </c>
      <c r="F34" s="30">
        <v>1753372</v>
      </c>
      <c r="G34" s="30">
        <f t="shared" si="2"/>
        <v>343688.935</v>
      </c>
      <c r="H34" s="30">
        <f t="shared" si="3"/>
        <v>1409683.0649999999</v>
      </c>
      <c r="I34" s="217">
        <f t="shared" si="1"/>
        <v>-1409683.0649999999</v>
      </c>
      <c r="J34" s="217">
        <f t="shared" si="4"/>
        <v>-29492549.917075396</v>
      </c>
      <c r="K34" s="117">
        <v>29</v>
      </c>
    </row>
    <row r="35" spans="1:11">
      <c r="A35" s="39" t="s">
        <v>640</v>
      </c>
      <c r="B35" s="39">
        <v>2048</v>
      </c>
      <c r="C35" s="38">
        <f>SUMIF('PA + Project App Fees'!$B$41:$B$71,B35,'PA + Project App Fees'!$F$41:$F$71)</f>
        <v>0</v>
      </c>
      <c r="D35" s="30">
        <f>SUMIF('PA + Project App Fees'!$B$5:$B$35,B35,'PA + Project App Fees'!$F$5:$F$35)</f>
        <v>184132.48000000001</v>
      </c>
      <c r="E35" s="30">
        <f t="shared" si="0"/>
        <v>184132.48000000001</v>
      </c>
      <c r="F35" s="30">
        <v>1816780</v>
      </c>
      <c r="G35" s="30">
        <f t="shared" si="2"/>
        <v>184132.48000000001</v>
      </c>
      <c r="H35" s="30">
        <f t="shared" si="3"/>
        <v>1632647.52</v>
      </c>
      <c r="I35" s="217">
        <f t="shared" si="1"/>
        <v>-1632647.52</v>
      </c>
      <c r="J35" s="217">
        <f t="shared" si="4"/>
        <v>-31125197.437075395</v>
      </c>
      <c r="K35" s="117">
        <v>30</v>
      </c>
    </row>
    <row r="36" spans="1:11">
      <c r="A36" s="39" t="s">
        <v>641</v>
      </c>
      <c r="B36" s="39">
        <v>2049</v>
      </c>
      <c r="C36" s="38">
        <f>SUMIF('PA + Project App Fees'!$B$41:$B$71,B36,'PA + Project App Fees'!$F$41:$F$71)</f>
        <v>0</v>
      </c>
      <c r="D36" s="30">
        <f>SUMIF('PA + Project App Fees'!$B$5:$B$35,B36,'PA + Project App Fees'!$F$5:$F$35)</f>
        <v>54337.895000000004</v>
      </c>
      <c r="E36" s="30">
        <f t="shared" si="0"/>
        <v>54337.895000000004</v>
      </c>
      <c r="F36" s="30">
        <v>1883008</v>
      </c>
      <c r="G36" s="30">
        <f t="shared" si="2"/>
        <v>54337.895000000004</v>
      </c>
      <c r="H36" s="30">
        <f t="shared" si="3"/>
        <v>1828670.105</v>
      </c>
      <c r="I36" s="217">
        <f t="shared" si="1"/>
        <v>-1828670.105</v>
      </c>
      <c r="J36" s="217">
        <f t="shared" si="4"/>
        <v>-32953867.542075396</v>
      </c>
      <c r="K36" s="117">
        <v>31</v>
      </c>
    </row>
    <row r="37" spans="1:11">
      <c r="A37" s="37" t="s">
        <v>642</v>
      </c>
      <c r="B37" s="39">
        <v>2050</v>
      </c>
      <c r="C37" s="45">
        <f>SUMIF('PA + Project App Fees'!$B$41:$B$71,B37,'PA + Project App Fees'!$F$41:$F$71)</f>
        <v>0</v>
      </c>
      <c r="D37" s="36">
        <f>SUMIF('PA + Project App Fees'!$B$5:$B$35,B37,'PA + Project App Fees'!$F$5:$F$35)</f>
        <v>0</v>
      </c>
      <c r="E37" s="36">
        <f t="shared" si="0"/>
        <v>0</v>
      </c>
      <c r="F37" s="36">
        <v>1951696</v>
      </c>
      <c r="G37" s="36">
        <f t="shared" si="2"/>
        <v>0</v>
      </c>
      <c r="H37" s="36">
        <f t="shared" si="3"/>
        <v>1951696</v>
      </c>
      <c r="I37" s="218">
        <f t="shared" si="1"/>
        <v>-1951696</v>
      </c>
      <c r="J37" s="218">
        <f t="shared" si="4"/>
        <v>-34905563.542075396</v>
      </c>
      <c r="K37" s="117">
        <v>32</v>
      </c>
    </row>
    <row r="38" spans="1:11"/>
    <row r="39" spans="1:11"/>
    <row r="40" spans="1:11">
      <c r="H40" s="10"/>
    </row>
    <row r="41" spans="1:11"/>
    <row r="42" spans="1:11"/>
    <row r="43" spans="1:11"/>
    <row r="44" spans="1:11"/>
    <row r="45" spans="1:11"/>
    <row r="46" spans="1:11"/>
    <row r="47" spans="1:11"/>
    <row r="48" spans="1:11"/>
    <row r="49"/>
    <row r="50"/>
  </sheetData>
  <mergeCells count="2">
    <mergeCell ref="C4:E4"/>
    <mergeCell ref="I4:J4"/>
  </mergeCells>
  <phoneticPr fontId="17" type="noConversion"/>
  <conditionalFormatting sqref="I6:J37">
    <cfRule type="cellIs" dxfId="1" priority="2" operator="lessThan">
      <formula>0</formula>
    </cfRule>
  </conditionalFormatting>
  <conditionalFormatting sqref="M27:M2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7CA9-A334-4272-89C6-DFEA47B6FBCF}">
  <sheetPr codeName="Sheet27">
    <tabColor theme="7" tint="0.39997558519241921"/>
  </sheetPr>
  <dimension ref="A1:T85"/>
  <sheetViews>
    <sheetView topLeftCell="E1" workbookViewId="0">
      <selection activeCell="D80" sqref="D80:G85"/>
    </sheetView>
  </sheetViews>
  <sheetFormatPr defaultRowHeight="15"/>
  <cols>
    <col min="1" max="1" width="10.85546875" style="130" customWidth="1"/>
    <col min="2" max="2" width="16.140625" style="130" customWidth="1"/>
    <col min="3" max="3" width="16" style="130" customWidth="1"/>
    <col min="4" max="4" width="26.85546875" style="144" customWidth="1"/>
    <col min="5" max="6" width="20.140625" customWidth="1"/>
    <col min="7" max="7" width="22.7109375" style="149" bestFit="1" customWidth="1"/>
    <col min="8" max="9" width="20.140625" style="149" customWidth="1"/>
    <col min="10" max="10" width="24.42578125" style="149" bestFit="1" customWidth="1"/>
    <col min="11" max="14" width="20.140625" style="149" customWidth="1"/>
    <col min="15" max="20" width="9.140625" style="149"/>
  </cols>
  <sheetData>
    <row r="1" spans="1:13">
      <c r="A1" s="5" t="s">
        <v>643</v>
      </c>
    </row>
    <row r="3" spans="1:13">
      <c r="A3" s="146" t="s">
        <v>644</v>
      </c>
      <c r="B3" s="146" t="s">
        <v>645</v>
      </c>
      <c r="C3" s="146" t="s">
        <v>646</v>
      </c>
      <c r="D3" s="145" t="s">
        <v>647</v>
      </c>
      <c r="E3" s="145" t="s">
        <v>648</v>
      </c>
      <c r="F3" s="145" t="s">
        <v>608</v>
      </c>
      <c r="G3" s="145" t="s">
        <v>649</v>
      </c>
      <c r="J3" s="145" t="s">
        <v>647</v>
      </c>
      <c r="K3" s="145" t="s">
        <v>648</v>
      </c>
      <c r="L3" s="145" t="s">
        <v>608</v>
      </c>
    </row>
    <row r="4" spans="1:13">
      <c r="A4" s="147">
        <v>43529</v>
      </c>
      <c r="B4" s="147" t="s">
        <v>650</v>
      </c>
      <c r="C4" s="148">
        <v>2019</v>
      </c>
      <c r="D4" s="143">
        <v>106618.5</v>
      </c>
      <c r="E4" s="143">
        <v>0</v>
      </c>
      <c r="F4" s="143">
        <v>0</v>
      </c>
      <c r="G4" s="143">
        <f>D4-E4-F4</f>
        <v>106618.5</v>
      </c>
      <c r="I4" s="149">
        <v>2019</v>
      </c>
      <c r="J4" s="151">
        <f t="shared" ref="J4:J10" si="0">SUMIF(C:C,I4,D:D)</f>
        <v>1674420.1499999997</v>
      </c>
      <c r="K4" s="151">
        <f t="shared" ref="K4:K10" si="1">SUMIF(C:C,I4,E:E)</f>
        <v>0</v>
      </c>
      <c r="L4" s="151">
        <f t="shared" ref="L4:L10" si="2">SUMIF(C:C,I4,F:F)</f>
        <v>0</v>
      </c>
    </row>
    <row r="5" spans="1:13">
      <c r="A5" s="147">
        <v>43556</v>
      </c>
      <c r="B5" s="147" t="s">
        <v>650</v>
      </c>
      <c r="C5" s="148">
        <v>2019</v>
      </c>
      <c r="D5" s="143">
        <v>241654.95</v>
      </c>
      <c r="E5" s="143">
        <v>0</v>
      </c>
      <c r="F5" s="143">
        <v>0</v>
      </c>
      <c r="G5" s="143">
        <f t="shared" ref="G5:G70" si="3">D5-E5-F5</f>
        <v>241654.95</v>
      </c>
      <c r="I5" s="149">
        <v>2020</v>
      </c>
      <c r="J5" s="151">
        <f t="shared" si="0"/>
        <v>2695341.0000000005</v>
      </c>
      <c r="K5" s="151">
        <f t="shared" si="1"/>
        <v>0</v>
      </c>
      <c r="L5" s="151">
        <f t="shared" si="2"/>
        <v>0</v>
      </c>
    </row>
    <row r="6" spans="1:13">
      <c r="A6" s="147">
        <v>43586</v>
      </c>
      <c r="B6" s="147" t="s">
        <v>650</v>
      </c>
      <c r="C6" s="148">
        <v>2019</v>
      </c>
      <c r="D6" s="143">
        <v>194970.79</v>
      </c>
      <c r="E6" s="143">
        <v>0</v>
      </c>
      <c r="F6" s="143">
        <v>0</v>
      </c>
      <c r="G6" s="143">
        <f t="shared" si="3"/>
        <v>194970.79</v>
      </c>
      <c r="I6" s="149">
        <v>2021</v>
      </c>
      <c r="J6" s="151">
        <f t="shared" si="0"/>
        <v>2111084.04</v>
      </c>
      <c r="K6" s="151">
        <f t="shared" si="1"/>
        <v>47658</v>
      </c>
      <c r="L6" s="151">
        <f t="shared" si="2"/>
        <v>32902.559999999998</v>
      </c>
    </row>
    <row r="7" spans="1:13">
      <c r="A7" s="147">
        <v>43617</v>
      </c>
      <c r="B7" s="147" t="s">
        <v>650</v>
      </c>
      <c r="C7" s="148">
        <v>2019</v>
      </c>
      <c r="D7" s="143">
        <v>135027.85999999999</v>
      </c>
      <c r="E7" s="143">
        <v>0</v>
      </c>
      <c r="F7" s="143">
        <v>0</v>
      </c>
      <c r="G7" s="143">
        <f t="shared" si="3"/>
        <v>135027.85999999999</v>
      </c>
      <c r="I7" s="149">
        <v>2022</v>
      </c>
      <c r="J7" s="151">
        <f t="shared" si="0"/>
        <v>3268548.58</v>
      </c>
      <c r="K7" s="151">
        <f t="shared" si="1"/>
        <v>107095.06</v>
      </c>
      <c r="L7" s="151">
        <f t="shared" si="2"/>
        <v>79555.8</v>
      </c>
    </row>
    <row r="8" spans="1:13">
      <c r="A8" s="147">
        <v>43647</v>
      </c>
      <c r="B8" s="147" t="s">
        <v>650</v>
      </c>
      <c r="C8" s="148">
        <v>2019</v>
      </c>
      <c r="D8" s="143">
        <v>192615.22</v>
      </c>
      <c r="E8" s="143">
        <v>0</v>
      </c>
      <c r="F8" s="143">
        <v>0</v>
      </c>
      <c r="G8" s="143">
        <f t="shared" si="3"/>
        <v>192615.22</v>
      </c>
      <c r="I8" s="149">
        <v>2023</v>
      </c>
      <c r="J8" s="151">
        <f t="shared" si="0"/>
        <v>2983049.24</v>
      </c>
      <c r="K8" s="151">
        <f t="shared" si="1"/>
        <v>25890</v>
      </c>
      <c r="L8" s="151">
        <f t="shared" si="2"/>
        <v>214012.63</v>
      </c>
    </row>
    <row r="9" spans="1:13">
      <c r="A9" s="147">
        <v>43678</v>
      </c>
      <c r="B9" s="147" t="s">
        <v>650</v>
      </c>
      <c r="C9" s="148">
        <v>2019</v>
      </c>
      <c r="D9" s="143">
        <v>89773.69</v>
      </c>
      <c r="E9" s="143">
        <v>0</v>
      </c>
      <c r="F9" s="143">
        <v>0</v>
      </c>
      <c r="G9" s="143">
        <f t="shared" si="3"/>
        <v>89773.69</v>
      </c>
      <c r="I9" s="149">
        <v>2024</v>
      </c>
      <c r="J9" s="151">
        <f t="shared" si="0"/>
        <v>2899931.64</v>
      </c>
      <c r="K9" s="151">
        <f t="shared" si="1"/>
        <v>219387.2</v>
      </c>
      <c r="L9" s="151">
        <f t="shared" si="2"/>
        <v>296567.03999999998</v>
      </c>
      <c r="M9" s="151"/>
    </row>
    <row r="10" spans="1:13">
      <c r="A10" s="147">
        <v>43709</v>
      </c>
      <c r="B10" s="147" t="s">
        <v>650</v>
      </c>
      <c r="C10" s="148">
        <v>2019</v>
      </c>
      <c r="D10" s="143">
        <v>143997.41</v>
      </c>
      <c r="E10" s="143">
        <v>0</v>
      </c>
      <c r="F10" s="143">
        <v>0</v>
      </c>
      <c r="G10" s="143">
        <f t="shared" si="3"/>
        <v>143997.41</v>
      </c>
      <c r="I10" s="149">
        <v>2025</v>
      </c>
      <c r="J10" s="151">
        <f t="shared" si="0"/>
        <v>2836501.6493004109</v>
      </c>
      <c r="K10" s="151">
        <f t="shared" si="1"/>
        <v>209806.2</v>
      </c>
      <c r="L10" s="151">
        <f t="shared" si="2"/>
        <v>624398.35699999984</v>
      </c>
    </row>
    <row r="11" spans="1:13">
      <c r="A11" s="147">
        <v>43739</v>
      </c>
      <c r="B11" s="147" t="s">
        <v>650</v>
      </c>
      <c r="C11" s="148">
        <v>2019</v>
      </c>
      <c r="D11" s="143">
        <v>204590.11</v>
      </c>
      <c r="E11" s="143">
        <v>0</v>
      </c>
      <c r="F11" s="143">
        <v>0</v>
      </c>
      <c r="G11" s="143">
        <f t="shared" si="3"/>
        <v>204590.11</v>
      </c>
    </row>
    <row r="12" spans="1:13">
      <c r="A12" s="147">
        <v>43770</v>
      </c>
      <c r="B12" s="147" t="s">
        <v>650</v>
      </c>
      <c r="C12" s="148">
        <v>2019</v>
      </c>
      <c r="D12" s="143">
        <v>181102.88</v>
      </c>
      <c r="E12" s="143">
        <v>0</v>
      </c>
      <c r="F12" s="143">
        <v>0</v>
      </c>
      <c r="G12" s="143">
        <f t="shared" si="3"/>
        <v>181102.88</v>
      </c>
    </row>
    <row r="13" spans="1:13">
      <c r="A13" s="147">
        <v>43800</v>
      </c>
      <c r="B13" s="147" t="s">
        <v>650</v>
      </c>
      <c r="C13" s="148">
        <v>2019</v>
      </c>
      <c r="D13" s="143">
        <v>184068.74</v>
      </c>
      <c r="E13" s="143">
        <v>0</v>
      </c>
      <c r="F13" s="143">
        <v>0</v>
      </c>
      <c r="G13" s="143">
        <f t="shared" si="3"/>
        <v>184068.74</v>
      </c>
    </row>
    <row r="14" spans="1:13">
      <c r="A14" s="147">
        <v>43831</v>
      </c>
      <c r="B14" s="147" t="s">
        <v>650</v>
      </c>
      <c r="C14" s="148">
        <v>2020</v>
      </c>
      <c r="D14" s="143">
        <v>267622.37</v>
      </c>
      <c r="E14" s="143">
        <v>0</v>
      </c>
      <c r="F14" s="143">
        <v>0</v>
      </c>
      <c r="G14" s="143">
        <f t="shared" si="3"/>
        <v>267622.37</v>
      </c>
    </row>
    <row r="15" spans="1:13">
      <c r="A15" s="147">
        <v>43862</v>
      </c>
      <c r="B15" s="147" t="s">
        <v>650</v>
      </c>
      <c r="C15" s="148">
        <v>2020</v>
      </c>
      <c r="D15" s="143">
        <v>171091.07</v>
      </c>
      <c r="E15" s="143">
        <v>0</v>
      </c>
      <c r="F15" s="143">
        <v>0</v>
      </c>
      <c r="G15" s="143">
        <f t="shared" si="3"/>
        <v>171091.07</v>
      </c>
    </row>
    <row r="16" spans="1:13">
      <c r="A16" s="147">
        <v>43891</v>
      </c>
      <c r="B16" s="147" t="s">
        <v>651</v>
      </c>
      <c r="C16" s="148">
        <v>2020</v>
      </c>
      <c r="D16" s="143">
        <v>329631.84999999998</v>
      </c>
      <c r="E16" s="143">
        <v>0</v>
      </c>
      <c r="F16" s="143">
        <v>0</v>
      </c>
      <c r="G16" s="143">
        <f t="shared" si="3"/>
        <v>329631.84999999998</v>
      </c>
    </row>
    <row r="17" spans="1:18">
      <c r="A17" s="147">
        <v>43922</v>
      </c>
      <c r="B17" s="147" t="s">
        <v>651</v>
      </c>
      <c r="C17" s="148">
        <v>2020</v>
      </c>
      <c r="D17" s="143">
        <v>218018.5</v>
      </c>
      <c r="E17" s="143">
        <v>0</v>
      </c>
      <c r="F17" s="143">
        <v>0</v>
      </c>
      <c r="G17" s="143">
        <f t="shared" si="3"/>
        <v>218018.5</v>
      </c>
    </row>
    <row r="18" spans="1:18">
      <c r="A18" s="147">
        <v>43952</v>
      </c>
      <c r="B18" s="147" t="s">
        <v>651</v>
      </c>
      <c r="C18" s="148">
        <v>2020</v>
      </c>
      <c r="D18" s="143">
        <v>218778.58</v>
      </c>
      <c r="E18" s="143">
        <v>0</v>
      </c>
      <c r="F18" s="143">
        <v>0</v>
      </c>
      <c r="G18" s="143">
        <f t="shared" si="3"/>
        <v>218778.58</v>
      </c>
    </row>
    <row r="19" spans="1:18">
      <c r="A19" s="147">
        <v>43983</v>
      </c>
      <c r="B19" s="147" t="s">
        <v>651</v>
      </c>
      <c r="C19" s="148">
        <v>2020</v>
      </c>
      <c r="D19" s="143">
        <v>218152.5</v>
      </c>
      <c r="E19" s="143">
        <v>0</v>
      </c>
      <c r="F19" s="143">
        <v>0</v>
      </c>
      <c r="G19" s="143">
        <f t="shared" si="3"/>
        <v>218152.5</v>
      </c>
    </row>
    <row r="20" spans="1:18">
      <c r="A20" s="147">
        <v>44013</v>
      </c>
      <c r="B20" s="147" t="s">
        <v>651</v>
      </c>
      <c r="C20" s="148">
        <v>2020</v>
      </c>
      <c r="D20" s="143">
        <v>255701.2</v>
      </c>
      <c r="E20" s="143">
        <v>0</v>
      </c>
      <c r="F20" s="143">
        <v>0</v>
      </c>
      <c r="G20" s="143">
        <f t="shared" si="3"/>
        <v>255701.2</v>
      </c>
    </row>
    <row r="21" spans="1:18">
      <c r="A21" s="147">
        <v>44044</v>
      </c>
      <c r="B21" s="147" t="s">
        <v>651</v>
      </c>
      <c r="C21" s="148">
        <v>2020</v>
      </c>
      <c r="D21" s="143">
        <v>221666.25</v>
      </c>
      <c r="E21" s="143">
        <v>0</v>
      </c>
      <c r="F21" s="143">
        <v>0</v>
      </c>
      <c r="G21" s="143">
        <f t="shared" si="3"/>
        <v>221666.25</v>
      </c>
    </row>
    <row r="22" spans="1:18">
      <c r="A22" s="147">
        <v>44075</v>
      </c>
      <c r="B22" s="147" t="s">
        <v>651</v>
      </c>
      <c r="C22" s="148">
        <v>2020</v>
      </c>
      <c r="D22" s="143">
        <v>237648.88</v>
      </c>
      <c r="E22" s="143">
        <v>0</v>
      </c>
      <c r="F22" s="143">
        <v>0</v>
      </c>
      <c r="G22" s="143">
        <f t="shared" si="3"/>
        <v>237648.88</v>
      </c>
    </row>
    <row r="23" spans="1:18">
      <c r="A23" s="147">
        <v>44105</v>
      </c>
      <c r="B23" s="147" t="s">
        <v>651</v>
      </c>
      <c r="C23" s="148">
        <v>2020</v>
      </c>
      <c r="D23" s="143">
        <v>221676.85</v>
      </c>
      <c r="E23" s="143">
        <v>0</v>
      </c>
      <c r="F23" s="143">
        <v>0</v>
      </c>
      <c r="G23" s="143">
        <f t="shared" si="3"/>
        <v>221676.85</v>
      </c>
    </row>
    <row r="24" spans="1:18">
      <c r="A24" s="147">
        <v>44136</v>
      </c>
      <c r="B24" s="147" t="s">
        <v>651</v>
      </c>
      <c r="C24" s="148">
        <v>2020</v>
      </c>
      <c r="D24" s="143">
        <v>183477.7</v>
      </c>
      <c r="E24" s="143">
        <v>0</v>
      </c>
      <c r="F24" s="143">
        <v>0</v>
      </c>
      <c r="G24" s="143">
        <f t="shared" si="3"/>
        <v>183477.7</v>
      </c>
    </row>
    <row r="25" spans="1:18">
      <c r="A25" s="147">
        <v>44166</v>
      </c>
      <c r="B25" s="147" t="s">
        <v>651</v>
      </c>
      <c r="C25" s="148">
        <v>2020</v>
      </c>
      <c r="D25" s="143">
        <v>151875.25</v>
      </c>
      <c r="E25" s="143">
        <v>0</v>
      </c>
      <c r="F25" s="143">
        <v>0</v>
      </c>
      <c r="G25" s="143">
        <f t="shared" si="3"/>
        <v>151875.25</v>
      </c>
    </row>
    <row r="26" spans="1:18">
      <c r="A26" s="147">
        <v>44197</v>
      </c>
      <c r="B26" s="147" t="s">
        <v>651</v>
      </c>
      <c r="C26" s="148">
        <v>2021</v>
      </c>
      <c r="D26" s="143">
        <v>191317.05</v>
      </c>
      <c r="E26" s="143">
        <v>1750</v>
      </c>
      <c r="F26" s="143">
        <v>0</v>
      </c>
      <c r="G26" s="143">
        <f t="shared" si="3"/>
        <v>189567.05</v>
      </c>
    </row>
    <row r="27" spans="1:18">
      <c r="A27" s="147">
        <v>44228</v>
      </c>
      <c r="B27" s="147" t="s">
        <v>651</v>
      </c>
      <c r="C27" s="148">
        <v>2021</v>
      </c>
      <c r="D27" s="143">
        <v>174607</v>
      </c>
      <c r="E27" s="143">
        <v>34260</v>
      </c>
      <c r="F27" s="143">
        <v>0</v>
      </c>
      <c r="G27" s="143">
        <f t="shared" si="3"/>
        <v>140347</v>
      </c>
    </row>
    <row r="28" spans="1:18">
      <c r="A28" s="147">
        <v>44260</v>
      </c>
      <c r="B28" s="147" t="s">
        <v>652</v>
      </c>
      <c r="C28" s="148">
        <v>2021</v>
      </c>
      <c r="D28" s="143">
        <v>223050.45</v>
      </c>
      <c r="E28" s="143">
        <v>0</v>
      </c>
      <c r="F28" s="143">
        <v>0</v>
      </c>
      <c r="G28" s="143">
        <f t="shared" si="3"/>
        <v>223050.45</v>
      </c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</row>
    <row r="29" spans="1:18">
      <c r="A29" s="147">
        <v>44287</v>
      </c>
      <c r="B29" s="147" t="s">
        <v>652</v>
      </c>
      <c r="C29" s="148">
        <v>2021</v>
      </c>
      <c r="D29" s="143">
        <v>276511.84999999998</v>
      </c>
      <c r="E29" s="143">
        <v>0</v>
      </c>
      <c r="F29" s="143">
        <v>0</v>
      </c>
      <c r="G29" s="143">
        <f t="shared" si="3"/>
        <v>276511.84999999998</v>
      </c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</row>
    <row r="30" spans="1:18">
      <c r="A30" s="147">
        <v>44317</v>
      </c>
      <c r="B30" s="147" t="s">
        <v>652</v>
      </c>
      <c r="C30" s="148">
        <v>2021</v>
      </c>
      <c r="D30" s="143">
        <v>236468.75</v>
      </c>
      <c r="E30" s="143">
        <v>0</v>
      </c>
      <c r="F30" s="143">
        <v>0</v>
      </c>
      <c r="G30" s="143">
        <f t="shared" si="3"/>
        <v>236468.75</v>
      </c>
    </row>
    <row r="31" spans="1:18">
      <c r="A31" s="147">
        <v>44348</v>
      </c>
      <c r="B31" s="147" t="s">
        <v>652</v>
      </c>
      <c r="C31" s="148">
        <v>2021</v>
      </c>
      <c r="D31" s="143">
        <v>245070.75</v>
      </c>
      <c r="E31" s="143">
        <v>0</v>
      </c>
      <c r="F31" s="143">
        <v>67.7</v>
      </c>
      <c r="G31" s="143">
        <f t="shared" si="3"/>
        <v>245003.05</v>
      </c>
    </row>
    <row r="32" spans="1:18">
      <c r="A32" s="147">
        <v>44378</v>
      </c>
      <c r="B32" s="147" t="s">
        <v>652</v>
      </c>
      <c r="C32" s="148">
        <v>2021</v>
      </c>
      <c r="D32" s="143">
        <v>217410.29</v>
      </c>
      <c r="E32" s="143">
        <v>0</v>
      </c>
      <c r="F32" s="143">
        <v>4851.8900000000003</v>
      </c>
      <c r="G32" s="143">
        <f t="shared" si="3"/>
        <v>212558.4</v>
      </c>
    </row>
    <row r="33" spans="1:18">
      <c r="A33" s="147">
        <v>44409</v>
      </c>
      <c r="B33" s="147" t="s">
        <v>652</v>
      </c>
      <c r="C33" s="148">
        <v>2021</v>
      </c>
      <c r="D33" s="143">
        <v>127152</v>
      </c>
      <c r="E33" s="143">
        <v>0</v>
      </c>
      <c r="F33" s="143">
        <v>5813.65</v>
      </c>
      <c r="G33" s="143">
        <f t="shared" si="3"/>
        <v>121338.35</v>
      </c>
    </row>
    <row r="34" spans="1:18">
      <c r="A34" s="147">
        <v>44440</v>
      </c>
      <c r="B34" s="147" t="s">
        <v>652</v>
      </c>
      <c r="C34" s="148">
        <v>2021</v>
      </c>
      <c r="D34" s="143">
        <v>119351.75</v>
      </c>
      <c r="E34" s="143">
        <v>0</v>
      </c>
      <c r="F34" s="143">
        <v>0</v>
      </c>
      <c r="G34" s="143">
        <f t="shared" si="3"/>
        <v>119351.75</v>
      </c>
    </row>
    <row r="35" spans="1:18">
      <c r="A35" s="147">
        <v>44470</v>
      </c>
      <c r="B35" s="147" t="s">
        <v>652</v>
      </c>
      <c r="C35" s="148">
        <v>2021</v>
      </c>
      <c r="D35" s="143">
        <v>106007.66</v>
      </c>
      <c r="E35" s="143">
        <v>11648</v>
      </c>
      <c r="F35" s="143">
        <v>6359.66</v>
      </c>
      <c r="G35" s="143">
        <f t="shared" si="3"/>
        <v>88000</v>
      </c>
    </row>
    <row r="36" spans="1:18">
      <c r="A36" s="147">
        <v>44501</v>
      </c>
      <c r="B36" s="147" t="s">
        <v>652</v>
      </c>
      <c r="C36" s="148">
        <v>2021</v>
      </c>
      <c r="D36" s="143">
        <v>99577.74</v>
      </c>
      <c r="E36" s="143">
        <v>0</v>
      </c>
      <c r="F36" s="143">
        <v>12198.48</v>
      </c>
      <c r="G36" s="143">
        <f t="shared" si="3"/>
        <v>87379.260000000009</v>
      </c>
    </row>
    <row r="37" spans="1:18">
      <c r="A37" s="147">
        <v>44531</v>
      </c>
      <c r="B37" s="147" t="s">
        <v>652</v>
      </c>
      <c r="C37" s="148">
        <v>2021</v>
      </c>
      <c r="D37" s="143">
        <v>94558.75</v>
      </c>
      <c r="E37" s="143">
        <v>0</v>
      </c>
      <c r="F37" s="143">
        <v>3611.18</v>
      </c>
      <c r="G37" s="143">
        <f t="shared" si="3"/>
        <v>90947.57</v>
      </c>
    </row>
    <row r="38" spans="1:18">
      <c r="A38" s="147">
        <v>44562</v>
      </c>
      <c r="B38" s="147" t="s">
        <v>652</v>
      </c>
      <c r="C38" s="148">
        <v>2022</v>
      </c>
      <c r="D38" s="143">
        <v>162993.5</v>
      </c>
      <c r="E38" s="143">
        <v>0</v>
      </c>
      <c r="F38" s="143">
        <v>7214.7</v>
      </c>
      <c r="G38" s="143">
        <f t="shared" si="3"/>
        <v>155778.79999999999</v>
      </c>
    </row>
    <row r="39" spans="1:18">
      <c r="A39" s="147">
        <v>44593</v>
      </c>
      <c r="B39" s="147" t="s">
        <v>652</v>
      </c>
      <c r="C39" s="148">
        <v>2022</v>
      </c>
      <c r="D39" s="143">
        <v>351212.25</v>
      </c>
      <c r="E39" s="143">
        <v>0</v>
      </c>
      <c r="F39" s="143">
        <v>3537.21</v>
      </c>
      <c r="G39" s="143">
        <f t="shared" si="3"/>
        <v>347675.04</v>
      </c>
    </row>
    <row r="40" spans="1:18">
      <c r="A40" s="147">
        <v>44621</v>
      </c>
      <c r="B40" s="147" t="s">
        <v>653</v>
      </c>
      <c r="C40" s="148">
        <v>2022</v>
      </c>
      <c r="D40" s="143">
        <v>391563.5</v>
      </c>
      <c r="E40" s="143">
        <v>0</v>
      </c>
      <c r="F40" s="143">
        <v>10499.79</v>
      </c>
      <c r="G40" s="143">
        <f t="shared" si="3"/>
        <v>381063.71</v>
      </c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</row>
    <row r="41" spans="1:18">
      <c r="A41" s="147">
        <v>44652</v>
      </c>
      <c r="B41" s="147" t="s">
        <v>653</v>
      </c>
      <c r="C41" s="148">
        <v>2022</v>
      </c>
      <c r="D41" s="143">
        <v>289781.25</v>
      </c>
      <c r="E41" s="143">
        <v>0</v>
      </c>
      <c r="F41" s="143">
        <v>7699.06</v>
      </c>
      <c r="G41" s="143">
        <f t="shared" si="3"/>
        <v>282082.19</v>
      </c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</row>
    <row r="42" spans="1:18">
      <c r="A42" s="147">
        <v>44682</v>
      </c>
      <c r="B42" s="147" t="s">
        <v>653</v>
      </c>
      <c r="C42" s="148">
        <v>2022</v>
      </c>
      <c r="D42" s="143">
        <v>388203.54</v>
      </c>
      <c r="E42" s="143">
        <v>193.9</v>
      </c>
      <c r="F42" s="143">
        <v>5567.5</v>
      </c>
      <c r="G42" s="143">
        <f t="shared" si="3"/>
        <v>382442.13999999996</v>
      </c>
    </row>
    <row r="43" spans="1:18">
      <c r="A43" s="147">
        <v>44713</v>
      </c>
      <c r="B43" s="147" t="s">
        <v>653</v>
      </c>
      <c r="C43" s="148">
        <v>2022</v>
      </c>
      <c r="D43" s="143">
        <v>165598.41999999998</v>
      </c>
      <c r="E43" s="143">
        <v>1800</v>
      </c>
      <c r="F43" s="143">
        <v>4627.95</v>
      </c>
      <c r="G43" s="143">
        <f t="shared" si="3"/>
        <v>159170.46999999997</v>
      </c>
    </row>
    <row r="44" spans="1:18">
      <c r="A44" s="147">
        <v>44743</v>
      </c>
      <c r="B44" s="147" t="s">
        <v>653</v>
      </c>
      <c r="C44" s="148">
        <v>2022</v>
      </c>
      <c r="D44" s="143">
        <v>167930.25</v>
      </c>
      <c r="E44" s="143">
        <v>0</v>
      </c>
      <c r="F44" s="143">
        <v>6236.54</v>
      </c>
      <c r="G44" s="143">
        <f t="shared" si="3"/>
        <v>161693.71</v>
      </c>
    </row>
    <row r="45" spans="1:18">
      <c r="A45" s="147">
        <v>44774</v>
      </c>
      <c r="B45" s="147" t="s">
        <v>653</v>
      </c>
      <c r="C45" s="148">
        <v>2022</v>
      </c>
      <c r="D45" s="143">
        <v>340729.75</v>
      </c>
      <c r="E45" s="143">
        <v>0</v>
      </c>
      <c r="F45" s="143">
        <v>8463.36</v>
      </c>
      <c r="G45" s="143">
        <f t="shared" si="3"/>
        <v>332266.39</v>
      </c>
    </row>
    <row r="46" spans="1:18">
      <c r="A46" s="147">
        <v>44805</v>
      </c>
      <c r="B46" s="147" t="s">
        <v>653</v>
      </c>
      <c r="C46" s="148">
        <v>2022</v>
      </c>
      <c r="D46" s="143">
        <v>283065.5</v>
      </c>
      <c r="E46" s="143">
        <v>0</v>
      </c>
      <c r="F46" s="143">
        <v>2130.0100000000002</v>
      </c>
      <c r="G46" s="143">
        <f t="shared" si="3"/>
        <v>280935.49</v>
      </c>
    </row>
    <row r="47" spans="1:18">
      <c r="A47" s="147">
        <v>44835</v>
      </c>
      <c r="B47" s="147" t="s">
        <v>653</v>
      </c>
      <c r="C47" s="148">
        <v>2022</v>
      </c>
      <c r="D47" s="143">
        <v>246230.66</v>
      </c>
      <c r="E47" s="143">
        <v>0</v>
      </c>
      <c r="F47" s="143">
        <v>7131</v>
      </c>
      <c r="G47" s="143">
        <f t="shared" si="3"/>
        <v>239099.66</v>
      </c>
    </row>
    <row r="48" spans="1:18">
      <c r="A48" s="147">
        <v>44866</v>
      </c>
      <c r="B48" s="147" t="s">
        <v>653</v>
      </c>
      <c r="C48" s="148">
        <v>2022</v>
      </c>
      <c r="D48" s="143">
        <v>217120.46000000002</v>
      </c>
      <c r="E48" s="143">
        <v>78000</v>
      </c>
      <c r="F48" s="143">
        <v>13384.08</v>
      </c>
      <c r="G48" s="143">
        <f t="shared" si="3"/>
        <v>125736.38000000002</v>
      </c>
    </row>
    <row r="49" spans="1:18">
      <c r="A49" s="147">
        <v>44896</v>
      </c>
      <c r="B49" s="147" t="s">
        <v>653</v>
      </c>
      <c r="C49" s="148">
        <v>2022</v>
      </c>
      <c r="D49" s="143">
        <v>264119.5</v>
      </c>
      <c r="E49" s="143">
        <v>27101.16</v>
      </c>
      <c r="F49" s="143">
        <v>3064.6</v>
      </c>
      <c r="G49" s="143">
        <f t="shared" si="3"/>
        <v>233953.74</v>
      </c>
    </row>
    <row r="50" spans="1:18">
      <c r="A50" s="147">
        <v>44927</v>
      </c>
      <c r="B50" s="147" t="s">
        <v>653</v>
      </c>
      <c r="C50" s="148">
        <v>2023</v>
      </c>
      <c r="D50" s="143">
        <v>289495.34999999998</v>
      </c>
      <c r="E50" s="143">
        <v>0</v>
      </c>
      <c r="F50" s="143">
        <v>14156.63</v>
      </c>
      <c r="G50" s="143">
        <f t="shared" si="3"/>
        <v>275338.71999999997</v>
      </c>
    </row>
    <row r="51" spans="1:18">
      <c r="A51" s="147">
        <v>44958</v>
      </c>
      <c r="B51" s="147" t="s">
        <v>653</v>
      </c>
      <c r="C51" s="148">
        <v>2023</v>
      </c>
      <c r="D51" s="143">
        <v>143101</v>
      </c>
      <c r="E51" s="143">
        <v>0</v>
      </c>
      <c r="F51" s="143">
        <v>2332.12</v>
      </c>
      <c r="G51" s="143">
        <f t="shared" si="3"/>
        <v>140768.88</v>
      </c>
    </row>
    <row r="52" spans="1:18">
      <c r="A52" s="147">
        <v>44986</v>
      </c>
      <c r="B52" s="147" t="s">
        <v>654</v>
      </c>
      <c r="C52" s="148">
        <v>2023</v>
      </c>
      <c r="D52" s="143">
        <v>266607.25</v>
      </c>
      <c r="E52" s="143">
        <v>0</v>
      </c>
      <c r="F52" s="143">
        <v>28119.200000000001</v>
      </c>
      <c r="G52" s="143">
        <f t="shared" si="3"/>
        <v>238488.05</v>
      </c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</row>
    <row r="53" spans="1:18">
      <c r="A53" s="147">
        <v>45017</v>
      </c>
      <c r="B53" s="147" t="s">
        <v>654</v>
      </c>
      <c r="C53" s="148">
        <v>2023</v>
      </c>
      <c r="D53" s="143">
        <v>217025.88</v>
      </c>
      <c r="E53" s="143">
        <v>0</v>
      </c>
      <c r="F53" s="143">
        <v>22870.22</v>
      </c>
      <c r="G53" s="143">
        <f t="shared" si="3"/>
        <v>194155.66</v>
      </c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</row>
    <row r="54" spans="1:18">
      <c r="A54" s="147">
        <v>45047</v>
      </c>
      <c r="B54" s="147" t="s">
        <v>654</v>
      </c>
      <c r="C54" s="148">
        <v>2023</v>
      </c>
      <c r="D54" s="143">
        <v>256818.72999999998</v>
      </c>
      <c r="E54" s="143">
        <v>0</v>
      </c>
      <c r="F54" s="143">
        <v>10218.950000000001</v>
      </c>
      <c r="G54" s="143">
        <f t="shared" si="3"/>
        <v>246599.77999999997</v>
      </c>
    </row>
    <row r="55" spans="1:18">
      <c r="A55" s="147">
        <v>45078</v>
      </c>
      <c r="B55" s="147" t="s">
        <v>654</v>
      </c>
      <c r="C55" s="148">
        <v>2023</v>
      </c>
      <c r="D55" s="143">
        <v>270069.93</v>
      </c>
      <c r="E55" s="143">
        <v>0</v>
      </c>
      <c r="F55" s="143">
        <v>20744.21</v>
      </c>
      <c r="G55" s="143">
        <f t="shared" si="3"/>
        <v>249325.72</v>
      </c>
    </row>
    <row r="56" spans="1:18">
      <c r="A56" s="147">
        <v>45108</v>
      </c>
      <c r="B56" s="147" t="s">
        <v>654</v>
      </c>
      <c r="C56" s="148">
        <v>2023</v>
      </c>
      <c r="D56" s="143">
        <v>225377.27999999997</v>
      </c>
      <c r="E56" s="143">
        <v>0</v>
      </c>
      <c r="F56" s="143">
        <v>13337.77</v>
      </c>
      <c r="G56" s="143">
        <f t="shared" si="3"/>
        <v>212039.50999999998</v>
      </c>
    </row>
    <row r="57" spans="1:18">
      <c r="A57" s="147">
        <v>45139</v>
      </c>
      <c r="B57" s="147" t="s">
        <v>654</v>
      </c>
      <c r="C57" s="148">
        <v>2023</v>
      </c>
      <c r="D57" s="143">
        <v>271913.49</v>
      </c>
      <c r="E57" s="143">
        <v>0</v>
      </c>
      <c r="F57" s="143">
        <v>12392.49</v>
      </c>
      <c r="G57" s="143">
        <f t="shared" si="3"/>
        <v>259521</v>
      </c>
    </row>
    <row r="58" spans="1:18">
      <c r="A58" s="147">
        <v>45170</v>
      </c>
      <c r="B58" s="147" t="s">
        <v>654</v>
      </c>
      <c r="C58" s="148">
        <v>2023</v>
      </c>
      <c r="D58" s="143">
        <v>277596.55</v>
      </c>
      <c r="E58" s="143">
        <v>0</v>
      </c>
      <c r="F58" s="143">
        <v>40530.120000000003</v>
      </c>
      <c r="G58" s="143">
        <f t="shared" si="3"/>
        <v>237066.43</v>
      </c>
    </row>
    <row r="59" spans="1:18">
      <c r="A59" s="147">
        <v>45200</v>
      </c>
      <c r="B59" s="147" t="s">
        <v>654</v>
      </c>
      <c r="C59" s="148">
        <v>2023</v>
      </c>
      <c r="D59" s="143">
        <v>298377.34999999998</v>
      </c>
      <c r="E59" s="143">
        <v>11890</v>
      </c>
      <c r="F59" s="143">
        <v>882.6</v>
      </c>
      <c r="G59" s="143">
        <f t="shared" si="3"/>
        <v>285604.75</v>
      </c>
    </row>
    <row r="60" spans="1:18">
      <c r="A60" s="147">
        <v>45231</v>
      </c>
      <c r="B60" s="147" t="s">
        <v>654</v>
      </c>
      <c r="C60" s="148">
        <v>2023</v>
      </c>
      <c r="D60" s="143">
        <v>236880.25</v>
      </c>
      <c r="E60" s="143">
        <v>0</v>
      </c>
      <c r="F60" s="143">
        <v>15734.64</v>
      </c>
      <c r="G60" s="143">
        <f t="shared" si="3"/>
        <v>221145.61</v>
      </c>
    </row>
    <row r="61" spans="1:18">
      <c r="A61" s="147">
        <v>45261</v>
      </c>
      <c r="B61" s="147" t="s">
        <v>654</v>
      </c>
      <c r="C61" s="148">
        <v>2023</v>
      </c>
      <c r="D61" s="143">
        <v>229786.18</v>
      </c>
      <c r="E61" s="143">
        <v>14000</v>
      </c>
      <c r="F61" s="143">
        <v>32693.68</v>
      </c>
      <c r="G61" s="143">
        <f t="shared" si="3"/>
        <v>183092.5</v>
      </c>
    </row>
    <row r="62" spans="1:18">
      <c r="A62" s="147">
        <v>45292</v>
      </c>
      <c r="B62" s="147" t="s">
        <v>654</v>
      </c>
      <c r="C62" s="148">
        <v>2024</v>
      </c>
      <c r="D62" s="143">
        <v>293390</v>
      </c>
      <c r="E62" s="143">
        <v>0</v>
      </c>
      <c r="F62" s="143">
        <v>31143.07</v>
      </c>
      <c r="G62" s="143">
        <f t="shared" si="3"/>
        <v>262246.93</v>
      </c>
    </row>
    <row r="63" spans="1:18">
      <c r="A63" s="147">
        <v>45323</v>
      </c>
      <c r="B63" s="147" t="s">
        <v>654</v>
      </c>
      <c r="C63" s="148">
        <v>2024</v>
      </c>
      <c r="D63" s="143">
        <v>261056.7</v>
      </c>
      <c r="E63" s="143">
        <v>0</v>
      </c>
      <c r="F63" s="143">
        <v>15700.05</v>
      </c>
      <c r="G63" s="143">
        <f t="shared" si="3"/>
        <v>245356.65000000002</v>
      </c>
    </row>
    <row r="64" spans="1:18">
      <c r="A64" s="147">
        <v>45352</v>
      </c>
      <c r="B64" s="147" t="s">
        <v>655</v>
      </c>
      <c r="C64" s="148">
        <v>2024</v>
      </c>
      <c r="D64" s="143">
        <v>266719.15000000002</v>
      </c>
      <c r="E64" s="143">
        <v>0</v>
      </c>
      <c r="F64" s="143">
        <v>24005.9</v>
      </c>
      <c r="G64" s="143">
        <f t="shared" si="3"/>
        <v>242713.25000000003</v>
      </c>
      <c r="H64" s="150"/>
      <c r="I64" s="150"/>
    </row>
    <row r="65" spans="1:9">
      <c r="A65" s="147">
        <v>45383</v>
      </c>
      <c r="B65" s="147" t="s">
        <v>655</v>
      </c>
      <c r="C65" s="148">
        <v>2024</v>
      </c>
      <c r="D65" s="143">
        <v>328810.64</v>
      </c>
      <c r="E65" s="143">
        <v>4500</v>
      </c>
      <c r="F65" s="143">
        <v>4648.03</v>
      </c>
      <c r="G65" s="143">
        <f t="shared" si="3"/>
        <v>319662.61</v>
      </c>
      <c r="H65" s="150"/>
      <c r="I65" s="150"/>
    </row>
    <row r="66" spans="1:9">
      <c r="A66" s="147">
        <v>45413</v>
      </c>
      <c r="B66" s="147" t="s">
        <v>655</v>
      </c>
      <c r="C66" s="148">
        <v>2024</v>
      </c>
      <c r="D66" s="143">
        <v>299312</v>
      </c>
      <c r="E66" s="143">
        <v>1500</v>
      </c>
      <c r="F66" s="143">
        <v>44444.15</v>
      </c>
      <c r="G66" s="143">
        <f t="shared" si="3"/>
        <v>253367.85</v>
      </c>
    </row>
    <row r="67" spans="1:9">
      <c r="A67" s="147">
        <v>45444</v>
      </c>
      <c r="B67" s="147" t="s">
        <v>655</v>
      </c>
      <c r="C67" s="148">
        <v>2024</v>
      </c>
      <c r="D67" s="143">
        <v>216632.86</v>
      </c>
      <c r="E67" s="143">
        <v>70225</v>
      </c>
      <c r="F67" s="143">
        <v>6511.51</v>
      </c>
      <c r="G67" s="143">
        <f t="shared" si="3"/>
        <v>139896.34999999998</v>
      </c>
    </row>
    <row r="68" spans="1:9">
      <c r="A68" s="147">
        <v>45474</v>
      </c>
      <c r="B68" s="147" t="s">
        <v>655</v>
      </c>
      <c r="C68" s="148">
        <v>2024</v>
      </c>
      <c r="D68" s="143">
        <v>215288.15</v>
      </c>
      <c r="E68" s="143">
        <v>8545</v>
      </c>
      <c r="F68" s="143">
        <v>35399.730000000003</v>
      </c>
      <c r="G68" s="143">
        <f t="shared" si="3"/>
        <v>171343.41999999998</v>
      </c>
    </row>
    <row r="69" spans="1:9">
      <c r="A69" s="147">
        <v>45505</v>
      </c>
      <c r="B69" s="147" t="s">
        <v>655</v>
      </c>
      <c r="C69" s="148">
        <v>2024</v>
      </c>
      <c r="D69" s="143">
        <v>207293</v>
      </c>
      <c r="E69" s="143">
        <v>0</v>
      </c>
      <c r="F69" s="143">
        <v>10736.31</v>
      </c>
      <c r="G69" s="143">
        <f t="shared" si="3"/>
        <v>196556.69</v>
      </c>
    </row>
    <row r="70" spans="1:9">
      <c r="A70" s="147">
        <v>45536</v>
      </c>
      <c r="B70" s="147" t="s">
        <v>655</v>
      </c>
      <c r="C70" s="148">
        <v>2024</v>
      </c>
      <c r="D70" s="143">
        <v>198874.97</v>
      </c>
      <c r="E70" s="143">
        <v>0</v>
      </c>
      <c r="F70" s="143">
        <v>31511.17</v>
      </c>
      <c r="G70" s="143">
        <f t="shared" si="3"/>
        <v>167363.79999999999</v>
      </c>
    </row>
    <row r="71" spans="1:9">
      <c r="A71" s="147">
        <v>45566</v>
      </c>
      <c r="B71" s="147" t="s">
        <v>655</v>
      </c>
      <c r="C71" s="148">
        <v>2024</v>
      </c>
      <c r="D71" s="143">
        <v>229312.66</v>
      </c>
      <c r="E71" s="143">
        <v>42367.199999999997</v>
      </c>
      <c r="F71" s="143">
        <v>24291.72</v>
      </c>
      <c r="G71" s="143">
        <f t="shared" ref="G71:G85" si="4">D71-E71-F71</f>
        <v>162653.74000000002</v>
      </c>
    </row>
    <row r="72" spans="1:9">
      <c r="A72" s="147">
        <v>45597</v>
      </c>
      <c r="B72" s="147" t="s">
        <v>655</v>
      </c>
      <c r="C72" s="148">
        <v>2024</v>
      </c>
      <c r="D72" s="143">
        <v>197490.88</v>
      </c>
      <c r="E72" s="143">
        <v>0</v>
      </c>
      <c r="F72" s="143">
        <v>49565.07</v>
      </c>
      <c r="G72" s="143">
        <f t="shared" si="4"/>
        <v>147925.81</v>
      </c>
    </row>
    <row r="73" spans="1:9">
      <c r="A73" s="147">
        <v>45627</v>
      </c>
      <c r="B73" s="147" t="s">
        <v>655</v>
      </c>
      <c r="C73" s="148">
        <v>2024</v>
      </c>
      <c r="D73" s="143">
        <v>185750.63</v>
      </c>
      <c r="E73" s="143">
        <v>92250</v>
      </c>
      <c r="F73" s="143">
        <v>18610.330000000002</v>
      </c>
      <c r="G73" s="143">
        <f t="shared" si="4"/>
        <v>74890.3</v>
      </c>
    </row>
    <row r="74" spans="1:9">
      <c r="A74" s="147">
        <v>45658</v>
      </c>
      <c r="B74" s="147" t="s">
        <v>655</v>
      </c>
      <c r="C74" s="148">
        <v>2025</v>
      </c>
      <c r="D74" s="143">
        <v>251966.5</v>
      </c>
      <c r="E74" s="143">
        <v>42972.5</v>
      </c>
      <c r="F74" s="143">
        <v>30032.46</v>
      </c>
      <c r="G74" s="143">
        <f t="shared" si="4"/>
        <v>178961.54</v>
      </c>
    </row>
    <row r="75" spans="1:9">
      <c r="A75" s="147">
        <v>45689</v>
      </c>
      <c r="B75" s="147" t="s">
        <v>655</v>
      </c>
      <c r="C75" s="148">
        <v>2025</v>
      </c>
      <c r="D75" s="143">
        <v>242068.13</v>
      </c>
      <c r="E75" s="143">
        <v>1125</v>
      </c>
      <c r="F75" s="143">
        <v>17660.12</v>
      </c>
      <c r="G75" s="143">
        <f t="shared" si="4"/>
        <v>223283.01</v>
      </c>
    </row>
    <row r="76" spans="1:9">
      <c r="A76" s="147">
        <v>45717</v>
      </c>
      <c r="B76" s="147" t="s">
        <v>655</v>
      </c>
      <c r="C76" s="148">
        <v>2025</v>
      </c>
      <c r="D76" s="143">
        <v>201988.63</v>
      </c>
      <c r="E76" s="143">
        <v>14755</v>
      </c>
      <c r="F76" s="143">
        <v>43143.48</v>
      </c>
      <c r="G76" s="143">
        <f t="shared" si="4"/>
        <v>144090.15</v>
      </c>
    </row>
    <row r="77" spans="1:9">
      <c r="A77" s="147">
        <v>45748</v>
      </c>
      <c r="B77" s="147" t="s">
        <v>656</v>
      </c>
      <c r="C77" s="148">
        <v>2025</v>
      </c>
      <c r="D77" s="143">
        <v>233445</v>
      </c>
      <c r="E77" s="143">
        <v>24128.75</v>
      </c>
      <c r="F77" s="143">
        <v>70507.37</v>
      </c>
      <c r="G77" s="143">
        <f t="shared" si="4"/>
        <v>138808.88</v>
      </c>
    </row>
    <row r="78" spans="1:9">
      <c r="A78" s="147">
        <v>45778</v>
      </c>
      <c r="B78" s="147" t="s">
        <v>656</v>
      </c>
      <c r="C78" s="148">
        <v>2025</v>
      </c>
      <c r="D78" s="143">
        <v>219928.2</v>
      </c>
      <c r="E78" s="143">
        <v>0</v>
      </c>
      <c r="F78" s="143">
        <v>43890.49</v>
      </c>
      <c r="G78" s="143">
        <f t="shared" si="4"/>
        <v>176037.71000000002</v>
      </c>
    </row>
    <row r="79" spans="1:9">
      <c r="A79" s="147">
        <v>45809</v>
      </c>
      <c r="B79" s="147" t="s">
        <v>656</v>
      </c>
      <c r="C79" s="148">
        <v>2025</v>
      </c>
      <c r="D79" s="143">
        <v>254458.38</v>
      </c>
      <c r="E79" s="143">
        <v>12825</v>
      </c>
      <c r="F79" s="143">
        <v>47510.080000000002</v>
      </c>
      <c r="G79" s="143">
        <f t="shared" si="4"/>
        <v>194123.3</v>
      </c>
    </row>
    <row r="80" spans="1:9">
      <c r="A80" s="147">
        <v>45839</v>
      </c>
      <c r="B80" s="147" t="s">
        <v>656</v>
      </c>
      <c r="C80" s="148">
        <v>2025</v>
      </c>
      <c r="D80" s="269">
        <f>AVERAGE(D77:D79)</f>
        <v>235943.86000000002</v>
      </c>
      <c r="E80" s="269">
        <f>(SUMIF('PA + Project App Fees'!$B$41:$B$71,C80,'PA + Project App Fees'!$F$41:$F$71)-SUM($E$74:$E$79))/6</f>
        <v>18999.991666666669</v>
      </c>
      <c r="F80" s="269">
        <f>SUM('PA Fees by Project'!CB4:CB83)</f>
        <v>58788.439499999993</v>
      </c>
      <c r="G80" s="269">
        <f t="shared" si="4"/>
        <v>158155.42883333337</v>
      </c>
    </row>
    <row r="81" spans="1:7">
      <c r="A81" s="147">
        <v>45870</v>
      </c>
      <c r="B81" s="147" t="s">
        <v>656</v>
      </c>
      <c r="C81" s="148">
        <v>2025</v>
      </c>
      <c r="D81" s="269">
        <f t="shared" ref="D81:D85" si="5">AVERAGE(D78:D80)</f>
        <v>236776.81333333335</v>
      </c>
      <c r="E81" s="269">
        <f>(SUMIF('PA + Project App Fees'!$B$41:$B$71,C81,'PA + Project App Fees'!$F$41:$F$71)-SUM($E$74:$E$79))/6</f>
        <v>18999.991666666669</v>
      </c>
      <c r="F81" s="269">
        <f>SUM('PA Fees by Project'!CC4:CC83)</f>
        <v>58788.439499999993</v>
      </c>
      <c r="G81" s="269">
        <f t="shared" si="4"/>
        <v>158988.38216666668</v>
      </c>
    </row>
    <row r="82" spans="1:7">
      <c r="A82" s="147">
        <v>45901</v>
      </c>
      <c r="B82" s="147" t="s">
        <v>656</v>
      </c>
      <c r="C82" s="148">
        <v>2025</v>
      </c>
      <c r="D82" s="269">
        <f t="shared" si="5"/>
        <v>242393.01777777777</v>
      </c>
      <c r="E82" s="269">
        <f>(SUMIF('PA + Project App Fees'!$B$41:$B$71,C82,'PA + Project App Fees'!$F$41:$F$71)-SUM($E$74:$E$79))/6</f>
        <v>18999.991666666669</v>
      </c>
      <c r="F82" s="269">
        <f>SUM('PA Fees by Project'!CD4:CD83)</f>
        <v>61714.564499999993</v>
      </c>
      <c r="G82" s="269">
        <f t="shared" si="4"/>
        <v>161678.46161111112</v>
      </c>
    </row>
    <row r="83" spans="1:7">
      <c r="A83" s="147">
        <v>45931</v>
      </c>
      <c r="B83" s="147" t="s">
        <v>656</v>
      </c>
      <c r="C83" s="148">
        <v>2025</v>
      </c>
      <c r="D83" s="269">
        <f t="shared" si="5"/>
        <v>238371.23037037035</v>
      </c>
      <c r="E83" s="269">
        <f>(SUMIF('PA + Project App Fees'!$B$41:$B$71,C83,'PA + Project App Fees'!$F$41:$F$71)-SUM($E$74:$E$79))/6</f>
        <v>18999.991666666669</v>
      </c>
      <c r="F83" s="269">
        <f>SUM('PA Fees by Project'!CE4:CE83)</f>
        <v>61714.564499999993</v>
      </c>
      <c r="G83" s="269">
        <f t="shared" si="4"/>
        <v>157656.6742037037</v>
      </c>
    </row>
    <row r="84" spans="1:7">
      <c r="A84" s="147">
        <v>45962</v>
      </c>
      <c r="B84" s="147" t="s">
        <v>656</v>
      </c>
      <c r="C84" s="148">
        <v>2025</v>
      </c>
      <c r="D84" s="269">
        <f t="shared" si="5"/>
        <v>239180.35382716046</v>
      </c>
      <c r="E84" s="269">
        <f>(SUMIF('PA + Project App Fees'!$B$41:$B$71,C84,'PA + Project App Fees'!$F$41:$F$71)-SUM($E$74:$E$79))/6</f>
        <v>18999.991666666669</v>
      </c>
      <c r="F84" s="269">
        <f>SUM('PA Fees by Project'!CF4:CF83)</f>
        <v>63528.761999999995</v>
      </c>
      <c r="G84" s="269">
        <f t="shared" si="4"/>
        <v>156651.60016049381</v>
      </c>
    </row>
    <row r="85" spans="1:7">
      <c r="A85" s="147">
        <v>45992</v>
      </c>
      <c r="B85" s="147" t="s">
        <v>656</v>
      </c>
      <c r="C85" s="148">
        <v>2025</v>
      </c>
      <c r="D85" s="269">
        <f t="shared" si="5"/>
        <v>239981.53399176954</v>
      </c>
      <c r="E85" s="269">
        <f>(SUMIF('PA + Project App Fees'!$B$41:$B$71,C85,'PA + Project App Fees'!$F$41:$F$71)-SUM($E$74:$E$79))/6</f>
        <v>18999.991666666669</v>
      </c>
      <c r="F85" s="269">
        <f>SUM('PA Fees by Project'!CG4:CG83)</f>
        <v>67119.587</v>
      </c>
      <c r="G85" s="269">
        <f t="shared" si="4"/>
        <v>153861.95532510287</v>
      </c>
    </row>
  </sheetData>
  <phoneticPr fontId="17" type="noConversion"/>
  <pageMargins left="0.7" right="0.7" top="0.75" bottom="0.75" header="0.3" footer="0.3"/>
  <headerFooter>
    <oddFooter>&amp;C_x000D_&amp;1#&amp;"Calibri"&amp;10&amp;K000000 Level 3 - Restricted</oddFooter>
  </headerFooter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02B2-A8AA-47D0-8D50-0EB545A57091}">
  <sheetPr codeName="Sheet31">
    <tabColor theme="7" tint="0.39997558519241921"/>
  </sheetPr>
  <dimension ref="A1:W134"/>
  <sheetViews>
    <sheetView workbookViewId="0">
      <selection activeCell="A38" sqref="A38"/>
    </sheetView>
  </sheetViews>
  <sheetFormatPr defaultRowHeight="15"/>
  <cols>
    <col min="1" max="1" width="45.140625" bestFit="1" customWidth="1"/>
    <col min="2" max="2" width="9.140625" bestFit="1" customWidth="1"/>
    <col min="3" max="3" width="22.42578125" bestFit="1" customWidth="1"/>
    <col min="4" max="5" width="16.28515625" customWidth="1"/>
    <col min="6" max="6" width="14.28515625" bestFit="1" customWidth="1"/>
    <col min="7" max="8" width="16.28515625" customWidth="1"/>
    <col min="9" max="9" width="12.5703125" bestFit="1" customWidth="1"/>
    <col min="10" max="10" width="16.28515625" customWidth="1"/>
    <col min="11" max="11" width="4.5703125" hidden="1" customWidth="1"/>
    <col min="12" max="12" width="23.5703125" bestFit="1" customWidth="1"/>
    <col min="13" max="13" width="25" bestFit="1" customWidth="1"/>
    <col min="14" max="14" width="14.7109375" bestFit="1" customWidth="1"/>
    <col min="15" max="15" width="71.42578125" bestFit="1" customWidth="1"/>
    <col min="16" max="16" width="16.28515625" customWidth="1"/>
    <col min="17" max="35" width="12.28515625" bestFit="1" customWidth="1"/>
    <col min="36" max="36" width="12.5703125" bestFit="1" customWidth="1"/>
    <col min="37" max="37" width="25.5703125" bestFit="1" customWidth="1"/>
    <col min="38" max="38" width="7.42578125" bestFit="1" customWidth="1"/>
    <col min="39" max="39" width="13.7109375" bestFit="1" customWidth="1"/>
    <col min="40" max="40" width="27.7109375" bestFit="1" customWidth="1"/>
    <col min="41" max="43" width="12.5703125" bestFit="1" customWidth="1"/>
    <col min="44" max="44" width="12.5703125" customWidth="1"/>
    <col min="45" max="46" width="12.5703125" bestFit="1" customWidth="1"/>
    <col min="47" max="47" width="7.85546875" bestFit="1" customWidth="1"/>
    <col min="57" max="57" width="5.42578125" bestFit="1" customWidth="1"/>
  </cols>
  <sheetData>
    <row r="1" spans="1:23">
      <c r="C1" s="3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>
      <c r="A2" s="5" t="s">
        <v>657</v>
      </c>
    </row>
    <row r="3" spans="1:23">
      <c r="B3" s="380" t="s">
        <v>658</v>
      </c>
      <c r="C3" s="380"/>
      <c r="D3" s="380"/>
      <c r="E3" s="380"/>
      <c r="F3" s="380"/>
    </row>
    <row r="4" spans="1:23">
      <c r="B4" s="48"/>
      <c r="C4" s="4" t="s">
        <v>11</v>
      </c>
      <c r="D4" s="4" t="s">
        <v>12</v>
      </c>
      <c r="E4" s="4" t="s">
        <v>13</v>
      </c>
      <c r="F4" s="4" t="s">
        <v>10</v>
      </c>
    </row>
    <row r="5" spans="1:23">
      <c r="B5" s="4">
        <f>'Program Inputs'!$D$4</f>
        <v>2020</v>
      </c>
      <c r="C5" s="3">
        <f>'PA Fees by Project'!DP11+'Unallocated Scenarios'!B43</f>
        <v>0</v>
      </c>
      <c r="D5" s="3">
        <f>'PA Fees by Project'!DQ11+'Unallocated Scenarios'!C43</f>
        <v>0</v>
      </c>
      <c r="E5" s="3">
        <f>'PA Fees by Project'!DR11+'Unallocated Scenarios'!D43</f>
        <v>0</v>
      </c>
      <c r="F5" s="3">
        <f t="shared" ref="F5:F35" si="0">SUM(C5:E5)</f>
        <v>0</v>
      </c>
    </row>
    <row r="6" spans="1:23">
      <c r="B6" s="4">
        <f>B5+1</f>
        <v>2021</v>
      </c>
      <c r="C6" s="3">
        <f>'PA Fees by Project'!DP12+'Unallocated Scenarios'!B44</f>
        <v>32902.559999999998</v>
      </c>
      <c r="D6" s="3">
        <f>'PA Fees by Project'!DQ12+'Unallocated Scenarios'!C44</f>
        <v>0</v>
      </c>
      <c r="E6" s="3">
        <f>'PA Fees by Project'!DR12+'Unallocated Scenarios'!D44</f>
        <v>0</v>
      </c>
      <c r="F6" s="3">
        <f t="shared" si="0"/>
        <v>32902.559999999998</v>
      </c>
    </row>
    <row r="7" spans="1:23">
      <c r="B7" s="4">
        <f t="shared" ref="B7:B35" si="1">B6+1</f>
        <v>2022</v>
      </c>
      <c r="C7" s="3">
        <f>'PA Fees by Project'!DP13+'Unallocated Scenarios'!B45</f>
        <v>78256.299999999988</v>
      </c>
      <c r="D7" s="3">
        <f>'PA Fees by Project'!DQ13+'Unallocated Scenarios'!C45</f>
        <v>1311.5500000000002</v>
      </c>
      <c r="E7" s="3">
        <f>'PA Fees by Project'!DR13+'Unallocated Scenarios'!D45</f>
        <v>0</v>
      </c>
      <c r="F7" s="3">
        <f t="shared" si="0"/>
        <v>79567.849999999991</v>
      </c>
    </row>
    <row r="8" spans="1:23">
      <c r="B8" s="4">
        <f t="shared" si="1"/>
        <v>2023</v>
      </c>
      <c r="C8" s="3">
        <f>'PA Fees by Project'!DP14+'Unallocated Scenarios'!B46</f>
        <v>206295.81</v>
      </c>
      <c r="D8" s="3">
        <f>'PA Fees by Project'!DQ14+'Unallocated Scenarios'!C46</f>
        <v>7704.77</v>
      </c>
      <c r="E8" s="3">
        <f>'PA Fees by Project'!DR14+'Unallocated Scenarios'!D46</f>
        <v>0</v>
      </c>
      <c r="F8" s="3">
        <f t="shared" si="0"/>
        <v>214000.58</v>
      </c>
    </row>
    <row r="9" spans="1:23">
      <c r="B9" s="4">
        <f t="shared" si="1"/>
        <v>2024</v>
      </c>
      <c r="C9" s="3">
        <f>'PA Fees by Project'!DP15+'Unallocated Scenarios'!B47</f>
        <v>256606.07</v>
      </c>
      <c r="D9" s="3">
        <f>'PA Fees by Project'!DQ15+'Unallocated Scenarios'!C47</f>
        <v>35873.06</v>
      </c>
      <c r="E9" s="3">
        <f>'PA Fees by Project'!DR15+'Unallocated Scenarios'!D47</f>
        <v>4087.91</v>
      </c>
      <c r="F9" s="3">
        <f t="shared" si="0"/>
        <v>296567.03999999998</v>
      </c>
    </row>
    <row r="10" spans="1:23">
      <c r="B10" s="4">
        <f t="shared" si="1"/>
        <v>2025</v>
      </c>
      <c r="C10" s="3">
        <f>'PA Fees by Project'!DP16+'Unallocated Scenarios'!B48</f>
        <v>439024.21499999997</v>
      </c>
      <c r="D10" s="3">
        <f>'PA Fees by Project'!DQ16+'Unallocated Scenarios'!C48</f>
        <v>159745.56199999995</v>
      </c>
      <c r="E10" s="3">
        <f>'PA Fees by Project'!DR16+'Unallocated Scenarios'!D48</f>
        <v>25628.579999999998</v>
      </c>
      <c r="F10" s="3">
        <f t="shared" si="0"/>
        <v>624398.35699999984</v>
      </c>
    </row>
    <row r="11" spans="1:23">
      <c r="B11" s="4">
        <f t="shared" si="1"/>
        <v>2026</v>
      </c>
      <c r="C11" s="3">
        <f>'PA Fees by Project'!DP17+'Unallocated Scenarios'!B49</f>
        <v>536297.72500000009</v>
      </c>
      <c r="D11" s="3">
        <f>'PA Fees by Project'!DQ17+'Unallocated Scenarios'!C49</f>
        <v>337446.43424999993</v>
      </c>
      <c r="E11" s="3">
        <f>'PA Fees by Project'!DR17+'Unallocated Scenarios'!D49</f>
        <v>25576.5</v>
      </c>
      <c r="F11" s="3">
        <f t="shared" si="0"/>
        <v>899320.65925000003</v>
      </c>
    </row>
    <row r="12" spans="1:23">
      <c r="B12" s="4">
        <f t="shared" si="1"/>
        <v>2027</v>
      </c>
      <c r="C12" s="3">
        <f>'PA Fees by Project'!DP18+'Unallocated Scenarios'!B50</f>
        <v>638266.70000000019</v>
      </c>
      <c r="D12" s="3">
        <f>'PA Fees by Project'!DQ18+'Unallocated Scenarios'!C50</f>
        <v>447705.14729999995</v>
      </c>
      <c r="E12" s="3">
        <f>'PA Fees by Project'!DR18+'Unallocated Scenarios'!D50</f>
        <v>25576.5</v>
      </c>
      <c r="F12" s="3">
        <f t="shared" si="0"/>
        <v>1111548.3473</v>
      </c>
    </row>
    <row r="13" spans="1:23">
      <c r="B13" s="4">
        <f t="shared" si="1"/>
        <v>2028</v>
      </c>
      <c r="C13" s="3">
        <f>'PA Fees by Project'!DP19+'Unallocated Scenarios'!B51</f>
        <v>714376.41000000015</v>
      </c>
      <c r="D13" s="3">
        <f>'PA Fees by Project'!DQ19+'Unallocated Scenarios'!C51</f>
        <v>526315.52729999996</v>
      </c>
      <c r="E13" s="3">
        <f>'PA Fees by Project'!DR19+'Unallocated Scenarios'!D51</f>
        <v>26649.39</v>
      </c>
      <c r="F13" s="3">
        <f t="shared" si="0"/>
        <v>1267341.3273</v>
      </c>
    </row>
    <row r="14" spans="1:23">
      <c r="B14" s="4">
        <f t="shared" si="1"/>
        <v>2029</v>
      </c>
      <c r="C14" s="3">
        <f>'PA Fees by Project'!DP20+'Unallocated Scenarios'!B52</f>
        <v>786315.69000000018</v>
      </c>
      <c r="D14" s="3">
        <f>'PA Fees by Project'!DQ20+'Unallocated Scenarios'!C52</f>
        <v>610773.5673</v>
      </c>
      <c r="E14" s="3">
        <f>'PA Fees by Project'!DR20+'Unallocated Scenarios'!D52</f>
        <v>28079.91</v>
      </c>
      <c r="F14" s="3">
        <f t="shared" si="0"/>
        <v>1425169.1673000001</v>
      </c>
    </row>
    <row r="15" spans="1:23">
      <c r="B15" s="4">
        <f t="shared" si="1"/>
        <v>2030</v>
      </c>
      <c r="C15" s="3">
        <f>'PA Fees by Project'!DP21+'Unallocated Scenarios'!B53</f>
        <v>804300.51000000024</v>
      </c>
      <c r="D15" s="3">
        <f>'PA Fees by Project'!DQ21+'Unallocated Scenarios'!C53</f>
        <v>631888.0773</v>
      </c>
      <c r="E15" s="3">
        <f>'PA Fees by Project'!DR21+'Unallocated Scenarios'!D53</f>
        <v>28437.54</v>
      </c>
      <c r="F15" s="3">
        <f t="shared" si="0"/>
        <v>1464626.1273000003</v>
      </c>
      <c r="J15" s="44"/>
      <c r="K15" s="44"/>
    </row>
    <row r="16" spans="1:23">
      <c r="B16" s="4">
        <f t="shared" si="1"/>
        <v>2031</v>
      </c>
      <c r="C16" s="3">
        <f>'PA Fees by Project'!DP22+'Unallocated Scenarios'!B54</f>
        <v>804300.51000000024</v>
      </c>
      <c r="D16" s="3">
        <f>'PA Fees by Project'!DQ22+'Unallocated Scenarios'!C54</f>
        <v>631888.0773</v>
      </c>
      <c r="E16" s="3">
        <f>'PA Fees by Project'!DR22+'Unallocated Scenarios'!D54</f>
        <v>28437.54</v>
      </c>
      <c r="F16" s="3">
        <f t="shared" si="0"/>
        <v>1464626.1273000003</v>
      </c>
      <c r="J16" s="76"/>
      <c r="K16" s="76"/>
    </row>
    <row r="17" spans="2:13">
      <c r="B17" s="4">
        <f t="shared" si="1"/>
        <v>2032</v>
      </c>
      <c r="C17" s="3">
        <f>'PA Fees by Project'!DP23+'Unallocated Scenarios'!B55</f>
        <v>804300.51000000024</v>
      </c>
      <c r="D17" s="3">
        <f>'PA Fees by Project'!DQ23+'Unallocated Scenarios'!C55</f>
        <v>631888.0773</v>
      </c>
      <c r="E17" s="3">
        <f>'PA Fees by Project'!DR23+'Unallocated Scenarios'!D55</f>
        <v>28437.54</v>
      </c>
      <c r="F17" s="3">
        <f t="shared" si="0"/>
        <v>1464626.1273000003</v>
      </c>
      <c r="J17" s="76"/>
      <c r="K17" s="76"/>
    </row>
    <row r="18" spans="2:13">
      <c r="B18" s="4">
        <f t="shared" si="1"/>
        <v>2033</v>
      </c>
      <c r="C18" s="3">
        <f>'PA Fees by Project'!DP24+'Unallocated Scenarios'!B56</f>
        <v>804300.51000000024</v>
      </c>
      <c r="D18" s="3">
        <f>'PA Fees by Project'!DQ24+'Unallocated Scenarios'!C56</f>
        <v>631888.0773</v>
      </c>
      <c r="E18" s="3">
        <f>'PA Fees by Project'!DR24+'Unallocated Scenarios'!D56</f>
        <v>28437.54</v>
      </c>
      <c r="F18" s="3">
        <f t="shared" si="0"/>
        <v>1464626.1273000003</v>
      </c>
    </row>
    <row r="19" spans="2:13">
      <c r="B19" s="4">
        <f t="shared" si="1"/>
        <v>2034</v>
      </c>
      <c r="C19" s="3">
        <f>'PA Fees by Project'!DP25+'Unallocated Scenarios'!B57</f>
        <v>804300.51000000024</v>
      </c>
      <c r="D19" s="3">
        <f>'PA Fees by Project'!DQ25+'Unallocated Scenarios'!C57</f>
        <v>631888.0773</v>
      </c>
      <c r="E19" s="3">
        <f>'PA Fees by Project'!DR25+'Unallocated Scenarios'!D57</f>
        <v>28437.54</v>
      </c>
      <c r="F19" s="3">
        <f t="shared" si="0"/>
        <v>1464626.1273000003</v>
      </c>
    </row>
    <row r="20" spans="2:13">
      <c r="B20" s="4">
        <f t="shared" si="1"/>
        <v>2035</v>
      </c>
      <c r="C20" s="3">
        <f>'PA Fees by Project'!DP26+'Unallocated Scenarios'!B58</f>
        <v>804300.51000000024</v>
      </c>
      <c r="D20" s="3">
        <f>'PA Fees by Project'!DQ26+'Unallocated Scenarios'!C58</f>
        <v>631888.0773</v>
      </c>
      <c r="E20" s="3">
        <f>'PA Fees by Project'!DR26+'Unallocated Scenarios'!D58</f>
        <v>28437.54</v>
      </c>
      <c r="F20" s="3">
        <f t="shared" si="0"/>
        <v>1464626.1273000003</v>
      </c>
    </row>
    <row r="21" spans="2:13">
      <c r="B21" s="4">
        <f t="shared" si="1"/>
        <v>2036</v>
      </c>
      <c r="C21" s="3">
        <f>'PA Fees by Project'!DP27+'Unallocated Scenarios'!B59</f>
        <v>804300.51000000024</v>
      </c>
      <c r="D21" s="3">
        <f>'PA Fees by Project'!DQ27+'Unallocated Scenarios'!C59</f>
        <v>631888.0773</v>
      </c>
      <c r="E21" s="3">
        <f>'PA Fees by Project'!DR27+'Unallocated Scenarios'!D59</f>
        <v>28437.54</v>
      </c>
      <c r="F21" s="3">
        <f t="shared" si="0"/>
        <v>1464626.1273000003</v>
      </c>
    </row>
    <row r="22" spans="2:13">
      <c r="B22" s="4">
        <f t="shared" si="1"/>
        <v>2037</v>
      </c>
      <c r="C22" s="3">
        <f>'PA Fees by Project'!DP28+'Unallocated Scenarios'!B60</f>
        <v>804300.51000000024</v>
      </c>
      <c r="D22" s="3">
        <f>'PA Fees by Project'!DQ28+'Unallocated Scenarios'!C60</f>
        <v>631888.0773</v>
      </c>
      <c r="E22" s="3">
        <f>'PA Fees by Project'!DR28+'Unallocated Scenarios'!D60</f>
        <v>28437.54</v>
      </c>
      <c r="F22" s="3">
        <f t="shared" si="0"/>
        <v>1464626.1273000003</v>
      </c>
    </row>
    <row r="23" spans="2:13">
      <c r="B23" s="4">
        <f t="shared" si="1"/>
        <v>2038</v>
      </c>
      <c r="C23" s="3">
        <f>'PA Fees by Project'!DP29+'Unallocated Scenarios'!B61</f>
        <v>804300.51000000024</v>
      </c>
      <c r="D23" s="3">
        <f>'PA Fees by Project'!DQ29+'Unallocated Scenarios'!C61</f>
        <v>631888.0773</v>
      </c>
      <c r="E23" s="3">
        <f>'PA Fees by Project'!DR29+'Unallocated Scenarios'!D61</f>
        <v>28437.54</v>
      </c>
      <c r="F23" s="3">
        <f t="shared" si="0"/>
        <v>1464626.1273000003</v>
      </c>
    </row>
    <row r="24" spans="2:13">
      <c r="B24" s="4">
        <f t="shared" si="1"/>
        <v>2039</v>
      </c>
      <c r="C24" s="3">
        <f>'PA Fees by Project'!DP30+'Unallocated Scenarios'!B62</f>
        <v>804300.51000000024</v>
      </c>
      <c r="D24" s="3">
        <f>'PA Fees by Project'!DQ30+'Unallocated Scenarios'!C62</f>
        <v>631888.0773</v>
      </c>
      <c r="E24" s="3">
        <f>'PA Fees by Project'!DR30+'Unallocated Scenarios'!D62</f>
        <v>28437.54</v>
      </c>
      <c r="F24" s="3">
        <f t="shared" si="0"/>
        <v>1464626.1273000003</v>
      </c>
    </row>
    <row r="25" spans="2:13">
      <c r="B25" s="4">
        <f t="shared" si="1"/>
        <v>2040</v>
      </c>
      <c r="C25" s="3">
        <f>'PA Fees by Project'!DP31+'Unallocated Scenarios'!B63</f>
        <v>804300.51000000024</v>
      </c>
      <c r="D25" s="3">
        <f>'PA Fees by Project'!DQ31+'Unallocated Scenarios'!C63</f>
        <v>631888.0773</v>
      </c>
      <c r="E25" s="3">
        <f>'PA Fees by Project'!DR31+'Unallocated Scenarios'!D63</f>
        <v>28437.54</v>
      </c>
      <c r="F25" s="3">
        <f t="shared" si="0"/>
        <v>1464626.1273000003</v>
      </c>
    </row>
    <row r="26" spans="2:13">
      <c r="B26" s="4">
        <f t="shared" si="1"/>
        <v>2041</v>
      </c>
      <c r="C26" s="3">
        <f>'PA Fees by Project'!DP32+'Unallocated Scenarios'!B64</f>
        <v>764914.14500000002</v>
      </c>
      <c r="D26" s="3">
        <f>'PA Fees by Project'!DQ32+'Unallocated Scenarios'!C64</f>
        <v>631888.0773</v>
      </c>
      <c r="E26" s="3">
        <f>'PA Fees by Project'!DR32+'Unallocated Scenarios'!D64</f>
        <v>28437.54</v>
      </c>
      <c r="F26" s="3">
        <f t="shared" si="0"/>
        <v>1425239.7623000001</v>
      </c>
    </row>
    <row r="27" spans="2:13">
      <c r="B27" s="4">
        <f t="shared" si="1"/>
        <v>2042</v>
      </c>
      <c r="C27" s="3">
        <f>'PA Fees by Project'!DP33+'Unallocated Scenarios'!B65</f>
        <v>725743.17000000016</v>
      </c>
      <c r="D27" s="3">
        <f>'PA Fees by Project'!DQ33+'Unallocated Scenarios'!C65</f>
        <v>630940.70130000007</v>
      </c>
      <c r="E27" s="3">
        <f>'PA Fees by Project'!DR33+'Unallocated Scenarios'!D65</f>
        <v>28437.54</v>
      </c>
      <c r="F27" s="3">
        <f t="shared" si="0"/>
        <v>1385121.4113000003</v>
      </c>
    </row>
    <row r="28" spans="2:13">
      <c r="B28" s="4">
        <f t="shared" si="1"/>
        <v>2043</v>
      </c>
      <c r="C28" s="3">
        <f>'PA Fees by Project'!DP34+'Unallocated Scenarios'!B66</f>
        <v>588663.07499999995</v>
      </c>
      <c r="D28" s="3">
        <f>'PA Fees by Project'!DQ34+'Unallocated Scenarios'!C66</f>
        <v>625423.75080000004</v>
      </c>
      <c r="E28" s="3">
        <f>'PA Fees by Project'!DR34+'Unallocated Scenarios'!D66</f>
        <v>28437.54</v>
      </c>
      <c r="F28" s="3">
        <f t="shared" si="0"/>
        <v>1242524.3658</v>
      </c>
    </row>
    <row r="29" spans="2:13">
      <c r="B29" s="4">
        <f t="shared" si="1"/>
        <v>2044</v>
      </c>
      <c r="C29" s="3">
        <f>'PA Fees by Project'!DP35+'Unallocated Scenarios'!B67</f>
        <v>555119.61</v>
      </c>
      <c r="D29" s="3">
        <f>'PA Fees by Project'!DQ35+'Unallocated Scenarios'!C67</f>
        <v>590974.82330000005</v>
      </c>
      <c r="E29" s="3">
        <f>'PA Fees by Project'!DR35+'Unallocated Scenarios'!D67</f>
        <v>17780.665000000001</v>
      </c>
      <c r="F29" s="3">
        <f t="shared" si="0"/>
        <v>1163875.0983000002</v>
      </c>
    </row>
    <row r="30" spans="2:13">
      <c r="B30" s="4">
        <f t="shared" si="1"/>
        <v>2045</v>
      </c>
      <c r="C30" s="3">
        <f>'PA Fees by Project'!DP36+'Unallocated Scenarios'!B68</f>
        <v>348663.11</v>
      </c>
      <c r="D30" s="3">
        <f>'PA Fees by Project'!DQ36+'Unallocated Scenarios'!C68</f>
        <v>456791.06080000004</v>
      </c>
      <c r="E30" s="3">
        <f>'PA Fees by Project'!DR36+'Unallocated Scenarios'!D68</f>
        <v>2861.04</v>
      </c>
      <c r="F30" s="3">
        <f t="shared" si="0"/>
        <v>808315.2108</v>
      </c>
    </row>
    <row r="31" spans="2:13">
      <c r="B31" s="4">
        <f t="shared" si="1"/>
        <v>2046</v>
      </c>
      <c r="C31" s="3">
        <f>'PA Fees by Project'!DP37+'Unallocated Scenarios'!B69</f>
        <v>255764.69750000001</v>
      </c>
      <c r="D31" s="3">
        <f>'PA Fees by Project'!DQ37+'Unallocated Scenarios'!C69</f>
        <v>284677.062775</v>
      </c>
      <c r="E31" s="3">
        <f>'PA Fees by Project'!DR37+'Unallocated Scenarios'!D69</f>
        <v>2861.04</v>
      </c>
      <c r="F31" s="3">
        <f t="shared" si="0"/>
        <v>543302.80027500005</v>
      </c>
      <c r="M31" s="76"/>
    </row>
    <row r="32" spans="2:13">
      <c r="B32" s="4">
        <f t="shared" si="1"/>
        <v>2047</v>
      </c>
      <c r="C32" s="3">
        <f>'PA Fees by Project'!DP38+'Unallocated Scenarios'!B70</f>
        <v>162193.935</v>
      </c>
      <c r="D32" s="3">
        <f>'PA Fees by Project'!DQ38+'Unallocated Scenarios'!C70</f>
        <v>178633.96000000002</v>
      </c>
      <c r="E32" s="3">
        <f>'PA Fees by Project'!DR38+'Unallocated Scenarios'!D70</f>
        <v>2861.04</v>
      </c>
      <c r="F32" s="3">
        <f t="shared" si="0"/>
        <v>343688.935</v>
      </c>
      <c r="L32" s="76"/>
    </row>
    <row r="33" spans="1:15">
      <c r="B33" s="4">
        <f t="shared" si="1"/>
        <v>2048</v>
      </c>
      <c r="C33" s="3">
        <f>'PA Fees by Project'!DP39+'Unallocated Scenarios'!B71</f>
        <v>83929.16</v>
      </c>
      <c r="D33" s="3">
        <f>'PA Fees by Project'!DQ39+'Unallocated Scenarios'!C71</f>
        <v>98534.38</v>
      </c>
      <c r="E33" s="3">
        <f>'PA Fees by Project'!DR39+'Unallocated Scenarios'!D71</f>
        <v>1668.94</v>
      </c>
      <c r="F33" s="3">
        <f t="shared" si="0"/>
        <v>184132.48000000001</v>
      </c>
    </row>
    <row r="34" spans="1:15">
      <c r="B34" s="4">
        <f t="shared" si="1"/>
        <v>2049</v>
      </c>
      <c r="C34" s="3">
        <f>'PA Fees by Project'!DP38+'Unallocated Scenarios'!B72</f>
        <v>30305.255000000001</v>
      </c>
      <c r="D34" s="3">
        <f>'PA Fees by Project'!DQ38+'Unallocated Scenarios'!C72</f>
        <v>23794.22</v>
      </c>
      <c r="E34" s="3">
        <f>'PA Fees by Project'!DR38+'Unallocated Scenarios'!D72</f>
        <v>238.42</v>
      </c>
      <c r="F34" s="3">
        <f t="shared" si="0"/>
        <v>54337.895000000004</v>
      </c>
    </row>
    <row r="35" spans="1:15">
      <c r="B35" s="4">
        <f t="shared" si="1"/>
        <v>2050</v>
      </c>
      <c r="C35" s="3">
        <f>'PA Fees by Project'!DP39+'Unallocated Scenarios'!B73</f>
        <v>0</v>
      </c>
      <c r="D35" s="3">
        <f>'PA Fees by Project'!DQ39+'Unallocated Scenarios'!C73</f>
        <v>0</v>
      </c>
      <c r="E35" s="3">
        <f>'PA Fees by Project'!DR39+'Unallocated Scenarios'!D73</f>
        <v>0</v>
      </c>
      <c r="F35" s="3">
        <f t="shared" si="0"/>
        <v>0</v>
      </c>
    </row>
    <row r="36" spans="1:15">
      <c r="H36" s="76"/>
    </row>
    <row r="37" spans="1:15">
      <c r="G37" s="76"/>
      <c r="H37" s="76"/>
    </row>
    <row r="38" spans="1:15">
      <c r="A38" s="5" t="s">
        <v>659</v>
      </c>
      <c r="G38" s="76"/>
    </row>
    <row r="39" spans="1:15">
      <c r="B39" s="391" t="s">
        <v>660</v>
      </c>
      <c r="C39" s="392"/>
      <c r="D39" s="392"/>
      <c r="E39" s="392"/>
      <c r="F39" s="393"/>
      <c r="G39" s="76"/>
      <c r="I39" s="206">
        <v>2021</v>
      </c>
      <c r="J39" s="206" t="s">
        <v>661</v>
      </c>
      <c r="K39" s="206"/>
      <c r="L39" s="206" t="s">
        <v>662</v>
      </c>
      <c r="M39" s="207" t="s">
        <v>663</v>
      </c>
      <c r="N39" s="207" t="s">
        <v>664</v>
      </c>
      <c r="O39" s="206" t="s">
        <v>665</v>
      </c>
    </row>
    <row r="40" spans="1:15">
      <c r="B40" s="48"/>
      <c r="C40" s="4" t="s">
        <v>11</v>
      </c>
      <c r="D40" s="4" t="s">
        <v>12</v>
      </c>
      <c r="E40" s="4" t="s">
        <v>13</v>
      </c>
      <c r="F40" s="4" t="s">
        <v>10</v>
      </c>
      <c r="H40" s="35">
        <v>44197</v>
      </c>
      <c r="I40" s="208" t="s">
        <v>666</v>
      </c>
      <c r="J40" s="208" t="s">
        <v>667</v>
      </c>
      <c r="K40" s="208" t="str" cm="1">
        <f t="array" ref="K40">_xlfn.IFS(LEFT(J40,2)="PP","PAC",LEFT(J40,3)="PGE","PGE",LEFT(J40,2)="IP","IP",TRUE,"N/A")</f>
        <v>PAC</v>
      </c>
      <c r="L40" s="209">
        <v>1750</v>
      </c>
      <c r="M40" s="208" t="s">
        <v>668</v>
      </c>
      <c r="N40" s="210">
        <v>44209</v>
      </c>
      <c r="O40" s="208" t="s">
        <v>669</v>
      </c>
    </row>
    <row r="41" spans="1:15">
      <c r="A41" s="35">
        <v>43831</v>
      </c>
      <c r="B41" s="4">
        <v>2020</v>
      </c>
      <c r="C41" s="19">
        <f>SUMIFS($L$40:$L$200,$H$40:$H$200,"&gt;="&amp;$A41,$H$40:$H$200,"&lt;"&amp;$A42,$K$40:$K$200,C$40)</f>
        <v>0</v>
      </c>
      <c r="D41" s="19">
        <f t="shared" ref="D41:E41" si="2">SUMIFS($L$40:$L$200,$H$40:$H$200,"&gt;="&amp;$A41,$H$40:$H$200,"&lt;"&amp;$A42,$K$40:$K$200,D$40)</f>
        <v>0</v>
      </c>
      <c r="E41" s="19">
        <f t="shared" si="2"/>
        <v>0</v>
      </c>
      <c r="F41" s="19">
        <f t="shared" ref="F41:F60" si="3">SUM(C41:E41)</f>
        <v>0</v>
      </c>
      <c r="H41" s="35">
        <v>44228</v>
      </c>
      <c r="I41" s="208" t="s">
        <v>670</v>
      </c>
      <c r="J41" s="208" t="s">
        <v>131</v>
      </c>
      <c r="K41" s="208" t="str" cm="1">
        <f t="array" ref="K41">_xlfn.IFS(LEFT(J41,2)="PP","PAC",LEFT(J41,3)="PGE","PGE",LEFT(J41,2)="IP","IP",TRUE,"N/A")</f>
        <v>PGE</v>
      </c>
      <c r="L41" s="211">
        <v>12510</v>
      </c>
      <c r="M41" s="208" t="s">
        <v>668</v>
      </c>
      <c r="N41" s="210">
        <v>44238</v>
      </c>
      <c r="O41" s="208" t="s">
        <v>671</v>
      </c>
    </row>
    <row r="42" spans="1:15">
      <c r="A42" s="35">
        <v>44197</v>
      </c>
      <c r="B42" s="4">
        <v>2021</v>
      </c>
      <c r="C42" s="19">
        <f t="shared" ref="C42:C45" si="4">SUMIFS($L$40:$L$200,$H$40:$H$200,"&gt;="&amp;$A42,$H$40:$H$200,"&lt;"&amp;$A43,$K$40:$K$200,C$40)</f>
        <v>45260</v>
      </c>
      <c r="D42" s="19">
        <f t="shared" ref="D42:D45" si="5">SUMIFS($L$40:$L$200,$H$40:$H$200,"&gt;="&amp;$A42,$H$40:$H$200,"&lt;"&amp;$A43,$K$40:$K$200,D$40)</f>
        <v>2398</v>
      </c>
      <c r="E42" s="19">
        <f t="shared" ref="E42:E45" si="6">SUMIFS($L$40:$L$200,$H$40:$H$200,"&gt;="&amp;$A42,$H$40:$H$200,"&lt;"&amp;$A43,$K$40:$K$200,E$40)</f>
        <v>0</v>
      </c>
      <c r="F42" s="19">
        <f t="shared" si="3"/>
        <v>47658</v>
      </c>
      <c r="G42" t="b">
        <f>SUMIFS(L:L,H:H,"&gt;="&amp;A42,H:H,"&lt;"&amp;A43)=F42</f>
        <v>1</v>
      </c>
      <c r="H42" s="35">
        <v>44228</v>
      </c>
      <c r="I42" s="208" t="s">
        <v>670</v>
      </c>
      <c r="J42" s="208" t="s">
        <v>112</v>
      </c>
      <c r="K42" s="208" t="str" cm="1">
        <f t="array" ref="K42">_xlfn.IFS(LEFT(J42,2)="PP","PAC",LEFT(J42,3)="PGE","PGE",LEFT(J42,2)="IP","IP",TRUE,"N/A")</f>
        <v>PGE</v>
      </c>
      <c r="L42" s="211">
        <v>9240</v>
      </c>
      <c r="M42" s="208" t="s">
        <v>668</v>
      </c>
      <c r="N42" s="210">
        <v>44238</v>
      </c>
      <c r="O42" s="208" t="s">
        <v>671</v>
      </c>
    </row>
    <row r="43" spans="1:15">
      <c r="A43" s="35">
        <v>44562</v>
      </c>
      <c r="B43" s="4">
        <v>2022</v>
      </c>
      <c r="C43" s="19">
        <f t="shared" si="4"/>
        <v>87925.06</v>
      </c>
      <c r="D43" s="19">
        <f t="shared" si="5"/>
        <v>19170</v>
      </c>
      <c r="E43" s="19">
        <f t="shared" si="6"/>
        <v>0</v>
      </c>
      <c r="F43" s="19">
        <f t="shared" ref="F43:F45" si="7">SUM(C43:E43)</f>
        <v>107095.06</v>
      </c>
      <c r="G43" t="b">
        <f t="shared" ref="G43:G44" si="8">SUMIFS(L:L,H:H,"&gt;="&amp;A43,H:H,"&lt;"&amp;A44)=F43</f>
        <v>1</v>
      </c>
      <c r="H43" s="35">
        <v>44228</v>
      </c>
      <c r="I43" s="208" t="s">
        <v>670</v>
      </c>
      <c r="J43" s="208" t="s">
        <v>118</v>
      </c>
      <c r="K43" s="208" t="str" cm="1">
        <f t="array" ref="K43">_xlfn.IFS(LEFT(J43,2)="PP","PAC",LEFT(J43,3)="PGE","PGE",LEFT(J43,2)="IP","IP",TRUE,"N/A")</f>
        <v>PGE</v>
      </c>
      <c r="L43" s="211">
        <v>12510</v>
      </c>
      <c r="M43" s="208" t="s">
        <v>668</v>
      </c>
      <c r="N43" s="210">
        <v>44238</v>
      </c>
      <c r="O43" s="208" t="s">
        <v>671</v>
      </c>
    </row>
    <row r="44" spans="1:15">
      <c r="A44" s="35">
        <v>44927</v>
      </c>
      <c r="B44" s="4">
        <v>2023</v>
      </c>
      <c r="C44" s="19">
        <f t="shared" si="4"/>
        <v>0</v>
      </c>
      <c r="D44" s="19">
        <f t="shared" si="5"/>
        <v>25890</v>
      </c>
      <c r="E44" s="19">
        <f t="shared" si="6"/>
        <v>0</v>
      </c>
      <c r="F44" s="19">
        <f t="shared" si="7"/>
        <v>25890</v>
      </c>
      <c r="G44" t="b">
        <f t="shared" si="8"/>
        <v>1</v>
      </c>
      <c r="H44" s="35">
        <v>44256</v>
      </c>
      <c r="I44" s="208" t="s">
        <v>672</v>
      </c>
      <c r="J44" s="208" t="s">
        <v>673</v>
      </c>
      <c r="K44" s="208" t="str" cm="1">
        <f t="array" ref="K44">_xlfn.IFS(LEFT(J44,2)="PP","PAC",LEFT(J44,3)="PGE","PGE",LEFT(J44,2)="IP","IP",TRUE,"N/A")</f>
        <v>N/A</v>
      </c>
      <c r="L44" s="208"/>
      <c r="M44" s="208"/>
      <c r="N44" s="208"/>
      <c r="O44" s="208"/>
    </row>
    <row r="45" spans="1:15">
      <c r="A45" s="35">
        <v>45292</v>
      </c>
      <c r="B45" s="4">
        <v>2024</v>
      </c>
      <c r="C45" s="19">
        <f t="shared" si="4"/>
        <v>125975</v>
      </c>
      <c r="D45" s="19">
        <f t="shared" si="5"/>
        <v>78662.2</v>
      </c>
      <c r="E45" s="19">
        <f t="shared" si="6"/>
        <v>14750</v>
      </c>
      <c r="F45" s="19">
        <f t="shared" si="7"/>
        <v>219387.2</v>
      </c>
      <c r="G45" t="b">
        <f>SUMIFS(L:L,H:H,"&gt;="&amp;A45,H:H,"&lt;"&amp;A46)=F45</f>
        <v>1</v>
      </c>
      <c r="H45" s="35">
        <v>44287</v>
      </c>
      <c r="I45" s="208" t="s">
        <v>674</v>
      </c>
      <c r="J45" s="208" t="s">
        <v>673</v>
      </c>
      <c r="K45" s="208" t="str" cm="1">
        <f t="array" ref="K45">_xlfn.IFS(LEFT(J45,2)="PP","PAC",LEFT(J45,3)="PGE","PGE",LEFT(J45,2)="IP","IP",TRUE,"N/A")</f>
        <v>N/A</v>
      </c>
      <c r="L45" s="208"/>
      <c r="M45" s="208"/>
      <c r="N45" s="208"/>
      <c r="O45" s="208"/>
    </row>
    <row r="46" spans="1:15">
      <c r="A46" s="35">
        <v>45658</v>
      </c>
      <c r="B46" s="4">
        <v>2025</v>
      </c>
      <c r="C46" s="268">
        <f>SUMIFS($L$40:$L$200,$H$40:$H$200,"&gt;="&amp;DATE(2025,1,1),$H$40:$H$200,"&lt;"&amp;$A47,$K$40:$K$200,C$40)+(SUMIFS('PA Fees by Project'!$M$4:$M$100,'PA Fees by Project'!$O$4:$O$100,"&gt;="&amp;$A46,'PA Fees by Project'!$O$4:$O$100,"&lt;"&amp;$A47,'PA Fees by Project'!$B$4:$B$100,C$40)*5) + (SUMIFS('Unallocated Scenarios'!$D$20:$D$39,'Unallocated Scenarios'!$F$20:$F$39,"&gt;="&amp;$A46,'Unallocated Scenarios'!$F$20:$F$39,"&lt;"&amp;$A47,'Unallocated Scenarios'!$A$20:$A$39,C$40)*5)</f>
        <v>90350</v>
      </c>
      <c r="D46" s="268">
        <f>SUMIFS($L$40:$L$200,$H$40:$H$200,"&gt;="&amp;DATE(2025,1,1),$H$40:$H$200,"&lt;"&amp;$A47,$K$40:$K$200,D$40)+(SUMIFS('PA Fees by Project'!$M$4:$M$100,'PA Fees by Project'!$O$4:$O$100,"&gt;="&amp;$A46,'PA Fees by Project'!$O$4:$O$100,"&lt;"&amp;$A47,'PA Fees by Project'!$B$4:$B$100,D$40)*5) + (SUMIFS('Unallocated Scenarios'!$D$20:$D$39,'Unallocated Scenarios'!$F$20:$F$39,"&gt;="&amp;$A46,'Unallocated Scenarios'!$F$20:$F$39,"&lt;"&amp;$A47,'Unallocated Scenarios'!$A$20:$A$39,D$40)*5)</f>
        <v>119456.2</v>
      </c>
      <c r="E46" s="268">
        <f>SUMIFS($L$40:$L$200,$H$40:$H$200,"&gt;="&amp;DATE(2025,1,1),$H$40:$H$200,"&lt;"&amp;$A47,$K$40:$K$200,E$40)+(SUMIFS('PA Fees by Project'!$M$4:$M$100,'PA Fees by Project'!$O$4:$O$100,"&gt;="&amp;$A46,'PA Fees by Project'!$O$4:$O$100,"&lt;"&amp;$A47,'PA Fees by Project'!$B$4:$B$100,E$40)*5) + (SUMIFS('Unallocated Scenarios'!$D$20:$D$39,'Unallocated Scenarios'!$F$20:$F$39,"&gt;="&amp;$A46,'Unallocated Scenarios'!$F$20:$F$39,"&lt;"&amp;$A47,'Unallocated Scenarios'!$A$20:$A$39,E$40)*5)</f>
        <v>0</v>
      </c>
      <c r="F46" s="268">
        <f t="shared" si="3"/>
        <v>209806.2</v>
      </c>
      <c r="H46" s="35">
        <v>44317</v>
      </c>
      <c r="I46" s="208" t="s">
        <v>60</v>
      </c>
      <c r="J46" s="208" t="s">
        <v>673</v>
      </c>
      <c r="K46" s="208" t="str" cm="1">
        <f t="array" ref="K46">_xlfn.IFS(LEFT(J46,2)="PP","PAC",LEFT(J46,3)="PGE","PGE",LEFT(J46,2)="IP","IP",TRUE,"N/A")</f>
        <v>N/A</v>
      </c>
      <c r="L46" s="208"/>
      <c r="M46" s="208"/>
      <c r="N46" s="208"/>
      <c r="O46" s="208"/>
    </row>
    <row r="47" spans="1:15">
      <c r="A47" s="35">
        <v>46023</v>
      </c>
      <c r="B47" s="4">
        <v>2026</v>
      </c>
      <c r="C47" s="19">
        <f>(SUMIFS('PA Fees by Project'!$M$4:$M$100,'PA Fees by Project'!$O$4:$O$100,"&gt;="&amp;$A47,'PA Fees by Project'!$O$4:$O$100,"&lt;"&amp;$A48,'PA Fees by Project'!$B$4:$B$100,C$40)*5) + (SUMIFS('Unallocated Scenarios'!$D$20:$D$39,'Unallocated Scenarios'!$F$20:$F$39,"&gt;="&amp;$A47,'Unallocated Scenarios'!$F$20:$F$39,"&lt;"&amp;$A48,'Unallocated Scenarios'!$A$20:$A$39,C$40)*5)</f>
        <v>63100</v>
      </c>
      <c r="D47" s="19">
        <f>(SUMIFS('PA Fees by Project'!$M$4:$M$100,'PA Fees by Project'!$O$4:$O$100,"&gt;="&amp;$A47,'PA Fees by Project'!$O$4:$O$100,"&lt;"&amp;$A48,'PA Fees by Project'!$B$4:$B$100,D$40)*5) + (SUMIFS('Unallocated Scenarios'!$D$20:$D$39,'Unallocated Scenarios'!$F$20:$F$39,"&gt;="&amp;$A47,'Unallocated Scenarios'!$F$20:$F$39,"&lt;"&amp;$A48,'Unallocated Scenarios'!$A$20:$A$39,D$40)*5)</f>
        <v>63230</v>
      </c>
      <c r="E47" s="19">
        <f>(SUMIFS('PA Fees by Project'!$M$4:$M$100,'PA Fees by Project'!$O$4:$O$100,"&gt;="&amp;$A47,'PA Fees by Project'!$O$4:$O$100,"&lt;"&amp;$A48,'PA Fees by Project'!$B$4:$B$100,E$40)*5) + (SUMIFS('Unallocated Scenarios'!$D$20:$D$39,'Unallocated Scenarios'!$F$20:$F$39,"&gt;="&amp;$A47,'Unallocated Scenarios'!$F$20:$F$39,"&lt;"&amp;$A48,'Unallocated Scenarios'!$A$20:$A$39,E$40)*5)</f>
        <v>0</v>
      </c>
      <c r="F47" s="19">
        <f t="shared" si="3"/>
        <v>126330</v>
      </c>
      <c r="H47" s="35">
        <v>44348</v>
      </c>
      <c r="I47" s="208" t="s">
        <v>675</v>
      </c>
      <c r="J47" s="208" t="s">
        <v>673</v>
      </c>
      <c r="K47" s="208" t="str" cm="1">
        <f t="array" ref="K47">_xlfn.IFS(LEFT(J47,2)="PP","PAC",LEFT(J47,3)="PGE","PGE",LEFT(J47,2)="IP","IP",TRUE,"N/A")</f>
        <v>N/A</v>
      </c>
      <c r="L47" s="208"/>
      <c r="M47" s="208"/>
      <c r="N47" s="208"/>
      <c r="O47" s="208"/>
    </row>
    <row r="48" spans="1:15">
      <c r="A48" s="35">
        <v>46388</v>
      </c>
      <c r="B48" s="4">
        <v>2027</v>
      </c>
      <c r="C48" s="19">
        <f>(SUMIFS('PA Fees by Project'!$M$4:$M$100,'PA Fees by Project'!$O$4:$O$100,"&gt;="&amp;$A48,'PA Fees by Project'!$O$4:$O$100,"&lt;"&amp;$A49,'PA Fees by Project'!$B$4:$B$100,C$40)*5) + (SUMIFS('Unallocated Scenarios'!$D$20:$D$39,'Unallocated Scenarios'!$F$20:$F$39,"&gt;="&amp;$A48,'Unallocated Scenarios'!$F$20:$F$39,"&lt;"&amp;$A49,'Unallocated Scenarios'!$A$20:$A$39,C$40)*5)</f>
        <v>78287.5</v>
      </c>
      <c r="D48" s="19">
        <f>(SUMIFS('PA Fees by Project'!$M$4:$M$100,'PA Fees by Project'!$O$4:$O$100,"&gt;="&amp;$A48,'PA Fees by Project'!$O$4:$O$100,"&lt;"&amp;$A49,'PA Fees by Project'!$B$4:$B$100,D$40)*5) + (SUMIFS('Unallocated Scenarios'!$D$20:$D$39,'Unallocated Scenarios'!$F$20:$F$39,"&gt;="&amp;$A48,'Unallocated Scenarios'!$F$20:$F$39,"&lt;"&amp;$A49,'Unallocated Scenarios'!$A$20:$A$39,D$40)*5)</f>
        <v>90920.024999999994</v>
      </c>
      <c r="E48" s="19">
        <f>(SUMIFS('PA Fees by Project'!$M$4:$M$100,'PA Fees by Project'!$O$4:$O$100,"&gt;="&amp;$A48,'PA Fees by Project'!$O$4:$O$100,"&lt;"&amp;$A49,'PA Fees by Project'!$B$4:$B$100,E$40)*5) + (SUMIFS('Unallocated Scenarios'!$D$20:$D$39,'Unallocated Scenarios'!$F$20:$F$39,"&gt;="&amp;$A48,'Unallocated Scenarios'!$F$20:$F$39,"&lt;"&amp;$A49,'Unallocated Scenarios'!$A$20:$A$39,E$40)*5)</f>
        <v>825</v>
      </c>
      <c r="F48" s="19">
        <f t="shared" si="3"/>
        <v>170032.52499999999</v>
      </c>
      <c r="H48" s="35">
        <v>44378</v>
      </c>
      <c r="I48" s="208" t="s">
        <v>676</v>
      </c>
      <c r="J48" s="208" t="s">
        <v>673</v>
      </c>
      <c r="K48" s="208" t="str" cm="1">
        <f t="array" ref="K48">_xlfn.IFS(LEFT(J48,2)="PP","PAC",LEFT(J48,3)="PGE","PGE",LEFT(J48,2)="IP","IP",TRUE,"N/A")</f>
        <v>N/A</v>
      </c>
      <c r="L48" s="208"/>
      <c r="M48" s="208"/>
      <c r="N48" s="208"/>
      <c r="O48" s="208"/>
    </row>
    <row r="49" spans="1:15">
      <c r="A49" s="35">
        <v>46753</v>
      </c>
      <c r="B49" s="4">
        <v>2028</v>
      </c>
      <c r="C49" s="19">
        <f>(SUMIFS('PA Fees by Project'!$M$4:$M$100,'PA Fees by Project'!$O$4:$O$100,"&gt;="&amp;$A49,'PA Fees by Project'!$O$4:$O$100,"&lt;"&amp;$A50,'PA Fees by Project'!$B$4:$B$100,C$40)*5) + (SUMIFS('Unallocated Scenarios'!$D$20:$D$39,'Unallocated Scenarios'!$F$20:$F$39,"&gt;="&amp;$A49,'Unallocated Scenarios'!$F$20:$F$39,"&lt;"&amp;$A50,'Unallocated Scenarios'!$A$20:$A$39,C$40)*5)</f>
        <v>78287.5</v>
      </c>
      <c r="D49" s="19">
        <f>(SUMIFS('PA Fees by Project'!$M$4:$M$100,'PA Fees by Project'!$O$4:$O$100,"&gt;="&amp;$A49,'PA Fees by Project'!$O$4:$O$100,"&lt;"&amp;$A50,'PA Fees by Project'!$B$4:$B$100,D$40)*5) + (SUMIFS('Unallocated Scenarios'!$D$20:$D$39,'Unallocated Scenarios'!$F$20:$F$39,"&gt;="&amp;$A49,'Unallocated Scenarios'!$F$20:$F$39,"&lt;"&amp;$A50,'Unallocated Scenarios'!$A$20:$A$39,D$40)*5)</f>
        <v>90920.024999999994</v>
      </c>
      <c r="E49" s="19">
        <f>(SUMIFS('PA Fees by Project'!$M$4:$M$100,'PA Fees by Project'!$O$4:$O$100,"&gt;="&amp;$A49,'PA Fees by Project'!$O$4:$O$100,"&lt;"&amp;$A50,'PA Fees by Project'!$B$4:$B$100,E$40)*5) + (SUMIFS('Unallocated Scenarios'!$D$20:$D$39,'Unallocated Scenarios'!$F$20:$F$39,"&gt;="&amp;$A49,'Unallocated Scenarios'!$F$20:$F$39,"&lt;"&amp;$A50,'Unallocated Scenarios'!$A$20:$A$39,E$40)*5)</f>
        <v>825</v>
      </c>
      <c r="F49" s="19">
        <f t="shared" si="3"/>
        <v>170032.52499999999</v>
      </c>
      <c r="H49" s="35">
        <v>44409</v>
      </c>
      <c r="I49" s="208" t="s">
        <v>677</v>
      </c>
      <c r="J49" s="208" t="s">
        <v>673</v>
      </c>
      <c r="K49" s="208" t="str" cm="1">
        <f t="array" ref="K49">_xlfn.IFS(LEFT(J49,2)="PP","PAC",LEFT(J49,3)="PGE","PGE",LEFT(J49,2)="IP","IP",TRUE,"N/A")</f>
        <v>N/A</v>
      </c>
      <c r="L49" s="208"/>
      <c r="M49" s="208"/>
      <c r="N49" s="208"/>
      <c r="O49" s="208"/>
    </row>
    <row r="50" spans="1:15">
      <c r="A50" s="35">
        <v>47119</v>
      </c>
      <c r="B50" s="4">
        <v>2029</v>
      </c>
      <c r="C50" s="19">
        <f>(SUMIFS('PA Fees by Project'!$M$4:$M$100,'PA Fees by Project'!$O$4:$O$100,"&gt;="&amp;$A50,'PA Fees by Project'!$O$4:$O$100,"&lt;"&amp;$A51,'PA Fees by Project'!$B$4:$B$100,C$40)*5) + (SUMIFS('Unallocated Scenarios'!$D$20:$D$39,'Unallocated Scenarios'!$F$20:$F$39,"&gt;="&amp;$A50,'Unallocated Scenarios'!$F$20:$F$39,"&lt;"&amp;$A51,'Unallocated Scenarios'!$A$20:$A$39,C$40)*5)</f>
        <v>0</v>
      </c>
      <c r="D50" s="19">
        <f>(SUMIFS('PA Fees by Project'!$M$4:$M$100,'PA Fees by Project'!$O$4:$O$100,"&gt;="&amp;$A50,'PA Fees by Project'!$O$4:$O$100,"&lt;"&amp;$A51,'PA Fees by Project'!$B$4:$B$100,D$40)*5) + (SUMIFS('Unallocated Scenarios'!$D$20:$D$39,'Unallocated Scenarios'!$F$20:$F$39,"&gt;="&amp;$A50,'Unallocated Scenarios'!$F$20:$F$39,"&lt;"&amp;$A51,'Unallocated Scenarios'!$A$20:$A$39,D$40)*5)</f>
        <v>0</v>
      </c>
      <c r="E50" s="19">
        <f>(SUMIFS('PA Fees by Project'!$M$4:$M$100,'PA Fees by Project'!$O$4:$O$100,"&gt;="&amp;$A50,'PA Fees by Project'!$O$4:$O$100,"&lt;"&amp;$A51,'PA Fees by Project'!$B$4:$B$100,E$40)*5) + (SUMIFS('Unallocated Scenarios'!$D$20:$D$39,'Unallocated Scenarios'!$F$20:$F$39,"&gt;="&amp;$A50,'Unallocated Scenarios'!$F$20:$F$39,"&lt;"&amp;$A51,'Unallocated Scenarios'!$A$20:$A$39,E$40)*5)</f>
        <v>0</v>
      </c>
      <c r="F50" s="19">
        <f t="shared" si="3"/>
        <v>0</v>
      </c>
      <c r="H50" s="35">
        <v>44440</v>
      </c>
      <c r="I50" s="208" t="s">
        <v>678</v>
      </c>
      <c r="J50" s="208" t="s">
        <v>673</v>
      </c>
      <c r="K50" s="208" t="str" cm="1">
        <f t="array" ref="K50">_xlfn.IFS(LEFT(J50,2)="PP","PAC",LEFT(J50,3)="PGE","PGE",LEFT(J50,2)="IP","IP",TRUE,"N/A")</f>
        <v>N/A</v>
      </c>
      <c r="L50" s="208"/>
      <c r="M50" s="208"/>
      <c r="N50" s="208"/>
      <c r="O50" s="208"/>
    </row>
    <row r="51" spans="1:15">
      <c r="A51" s="35">
        <v>47484</v>
      </c>
      <c r="B51" s="4">
        <v>2030</v>
      </c>
      <c r="C51" s="19">
        <f>(SUMIFS('PA Fees by Project'!$M$4:$M$100,'PA Fees by Project'!$O$4:$O$100,"&gt;="&amp;$A51,'PA Fees by Project'!$O$4:$O$100,"&lt;"&amp;$A52,'PA Fees by Project'!$B$4:$B$100,C$40)*5) + (SUMIFS('Unallocated Scenarios'!$D$20:$D$39,'Unallocated Scenarios'!$F$20:$F$39,"&gt;="&amp;$A51,'Unallocated Scenarios'!$F$20:$F$39,"&lt;"&amp;$A52,'Unallocated Scenarios'!$A$20:$A$39,C$40)*5)</f>
        <v>0</v>
      </c>
      <c r="D51" s="19">
        <f>(SUMIFS('PA Fees by Project'!$M$4:$M$100,'PA Fees by Project'!$O$4:$O$100,"&gt;="&amp;$A51,'PA Fees by Project'!$O$4:$O$100,"&lt;"&amp;$A52,'PA Fees by Project'!$B$4:$B$100,D$40)*5) + (SUMIFS('Unallocated Scenarios'!$D$20:$D$39,'Unallocated Scenarios'!$F$20:$F$39,"&gt;="&amp;$A51,'Unallocated Scenarios'!$F$20:$F$39,"&lt;"&amp;$A52,'Unallocated Scenarios'!$A$20:$A$39,D$40)*5)</f>
        <v>0</v>
      </c>
      <c r="E51" s="19">
        <f>(SUMIFS('PA Fees by Project'!$M$4:$M$100,'PA Fees by Project'!$O$4:$O$100,"&gt;="&amp;$A51,'PA Fees by Project'!$O$4:$O$100,"&lt;"&amp;$A52,'PA Fees by Project'!$B$4:$B$100,E$40)*5) + (SUMIFS('Unallocated Scenarios'!$D$20:$D$39,'Unallocated Scenarios'!$F$20:$F$39,"&gt;="&amp;$A51,'Unallocated Scenarios'!$F$20:$F$39,"&lt;"&amp;$A52,'Unallocated Scenarios'!$A$20:$A$39,E$40)*5)</f>
        <v>0</v>
      </c>
      <c r="F51" s="19">
        <f t="shared" si="3"/>
        <v>0</v>
      </c>
      <c r="H51" s="35">
        <v>44470</v>
      </c>
      <c r="I51" s="208" t="s">
        <v>679</v>
      </c>
      <c r="J51" s="208" t="s">
        <v>120</v>
      </c>
      <c r="K51" s="208" t="str" cm="1">
        <f t="array" ref="K51">_xlfn.IFS(LEFT(J51,2)="PP","PAC",LEFT(J51,3)="PGE","PGE",LEFT(J51,2)="IP","IP",TRUE,"N/A")</f>
        <v>PGE</v>
      </c>
      <c r="L51" s="211">
        <v>11000</v>
      </c>
      <c r="M51" s="208" t="s">
        <v>668</v>
      </c>
      <c r="N51" s="210">
        <v>44474</v>
      </c>
      <c r="O51" s="208" t="s">
        <v>680</v>
      </c>
    </row>
    <row r="52" spans="1:15">
      <c r="A52" s="35">
        <v>47849</v>
      </c>
      <c r="B52" s="4">
        <v>2031</v>
      </c>
      <c r="C52" s="19">
        <f>(SUMIFS('PA Fees by Project'!$M$4:$M$100,'PA Fees by Project'!$O$4:$O$100,"&gt;="&amp;$A52,'PA Fees by Project'!$O$4:$O$100,"&lt;"&amp;$A53,'PA Fees by Project'!$B$4:$B$100,C$40)*5) + (SUMIFS('Unallocated Scenarios'!$D$20:$D$39,'Unallocated Scenarios'!$F$20:$F$39,"&gt;="&amp;$A52,'Unallocated Scenarios'!$F$20:$F$39,"&lt;"&amp;$A53,'Unallocated Scenarios'!$A$20:$A$39,C$40)*5)</f>
        <v>0</v>
      </c>
      <c r="D52" s="19">
        <f>(SUMIFS('PA Fees by Project'!$M$4:$M$100,'PA Fees by Project'!$O$4:$O$100,"&gt;="&amp;$A52,'PA Fees by Project'!$O$4:$O$100,"&lt;"&amp;$A53,'PA Fees by Project'!$B$4:$B$100,D$40)*5) + (SUMIFS('Unallocated Scenarios'!$D$20:$D$39,'Unallocated Scenarios'!$F$20:$F$39,"&gt;="&amp;$A52,'Unallocated Scenarios'!$F$20:$F$39,"&lt;"&amp;$A53,'Unallocated Scenarios'!$A$20:$A$39,D$40)*5)</f>
        <v>0</v>
      </c>
      <c r="E52" s="19">
        <f>(SUMIFS('PA Fees by Project'!$M$4:$M$100,'PA Fees by Project'!$O$4:$O$100,"&gt;="&amp;$A52,'PA Fees by Project'!$O$4:$O$100,"&lt;"&amp;$A53,'PA Fees by Project'!$B$4:$B$100,E$40)*5) + (SUMIFS('Unallocated Scenarios'!$D$20:$D$39,'Unallocated Scenarios'!$F$20:$F$39,"&gt;="&amp;$A52,'Unallocated Scenarios'!$F$20:$F$39,"&lt;"&amp;$A53,'Unallocated Scenarios'!$A$20:$A$39,E$40)*5)</f>
        <v>0</v>
      </c>
      <c r="F52" s="19">
        <f t="shared" si="3"/>
        <v>0</v>
      </c>
      <c r="H52" s="35">
        <v>44470</v>
      </c>
      <c r="I52" s="208" t="s">
        <v>679</v>
      </c>
      <c r="J52" s="212" t="s">
        <v>119</v>
      </c>
      <c r="K52" s="208" t="str" cm="1">
        <f t="array" ref="K52">_xlfn.IFS(LEFT(J52,2)="PP","PAC",LEFT(J52,3)="PGE","PGE",LEFT(J52,2)="IP","IP",TRUE,"N/A")</f>
        <v>PAC</v>
      </c>
      <c r="L52" s="211">
        <v>648</v>
      </c>
      <c r="M52" s="208" t="s">
        <v>668</v>
      </c>
      <c r="N52" s="213">
        <v>44460</v>
      </c>
      <c r="O52" s="212" t="s">
        <v>681</v>
      </c>
    </row>
    <row r="53" spans="1:15">
      <c r="A53" s="35">
        <v>48214</v>
      </c>
      <c r="B53" s="4">
        <v>2032</v>
      </c>
      <c r="C53" s="19">
        <f>(SUMIFS('PA Fees by Project'!$M$4:$M$100,'PA Fees by Project'!$O$4:$O$100,"&gt;="&amp;$A53,'PA Fees by Project'!$O$4:$O$100,"&lt;"&amp;$A54,'PA Fees by Project'!$B$4:$B$100,C$40)*5) + (SUMIFS('Unallocated Scenarios'!$D$20:$D$39,'Unallocated Scenarios'!$F$20:$F$39,"&gt;="&amp;$A53,'Unallocated Scenarios'!$F$20:$F$39,"&lt;"&amp;$A54,'Unallocated Scenarios'!$A$20:$A$39,C$40)*5)</f>
        <v>0</v>
      </c>
      <c r="D53" s="19">
        <f>(SUMIFS('PA Fees by Project'!$M$4:$M$100,'PA Fees by Project'!$O$4:$O$100,"&gt;="&amp;$A53,'PA Fees by Project'!$O$4:$O$100,"&lt;"&amp;$A54,'PA Fees by Project'!$B$4:$B$100,D$40)*5) + (SUMIFS('Unallocated Scenarios'!$D$20:$D$39,'Unallocated Scenarios'!$F$20:$F$39,"&gt;="&amp;$A53,'Unallocated Scenarios'!$F$20:$F$39,"&lt;"&amp;$A54,'Unallocated Scenarios'!$A$20:$A$39,D$40)*5)</f>
        <v>0</v>
      </c>
      <c r="E53" s="19">
        <f>(SUMIFS('PA Fees by Project'!$M$4:$M$100,'PA Fees by Project'!$O$4:$O$100,"&gt;="&amp;$A53,'PA Fees by Project'!$O$4:$O$100,"&lt;"&amp;$A54,'PA Fees by Project'!$B$4:$B$100,E$40)*5) + (SUMIFS('Unallocated Scenarios'!$D$20:$D$39,'Unallocated Scenarios'!$F$20:$F$39,"&gt;="&amp;$A53,'Unallocated Scenarios'!$F$20:$F$39,"&lt;"&amp;$A54,'Unallocated Scenarios'!$A$20:$A$39,E$40)*5)</f>
        <v>0</v>
      </c>
      <c r="F53" s="19">
        <f t="shared" si="3"/>
        <v>0</v>
      </c>
      <c r="H53" s="35">
        <v>44501</v>
      </c>
      <c r="I53" s="208" t="s">
        <v>682</v>
      </c>
      <c r="J53" s="208" t="s">
        <v>673</v>
      </c>
      <c r="K53" s="208" t="str" cm="1">
        <f t="array" ref="K53">_xlfn.IFS(LEFT(J53,2)="PP","PAC",LEFT(J53,3)="PGE","PGE",LEFT(J53,2)="IP","IP",TRUE,"N/A")</f>
        <v>N/A</v>
      </c>
      <c r="L53" s="208"/>
      <c r="M53" s="208"/>
      <c r="N53" s="208"/>
      <c r="O53" s="208"/>
    </row>
    <row r="54" spans="1:15">
      <c r="A54" s="35">
        <v>48580</v>
      </c>
      <c r="B54" s="4">
        <v>2033</v>
      </c>
      <c r="C54" s="19">
        <f>(SUMIFS('PA Fees by Project'!$M$4:$M$100,'PA Fees by Project'!$O$4:$O$100,"&gt;="&amp;$A54,'PA Fees by Project'!$O$4:$O$100,"&lt;"&amp;$A55,'PA Fees by Project'!$B$4:$B$100,C$40)*5) + (SUMIFS('Unallocated Scenarios'!$D$20:$D$39,'Unallocated Scenarios'!$F$20:$F$39,"&gt;="&amp;$A54,'Unallocated Scenarios'!$F$20:$F$39,"&lt;"&amp;$A55,'Unallocated Scenarios'!$A$20:$A$39,C$40)*5)</f>
        <v>0</v>
      </c>
      <c r="D54" s="19">
        <f>(SUMIFS('PA Fees by Project'!$M$4:$M$100,'PA Fees by Project'!$O$4:$O$100,"&gt;="&amp;$A54,'PA Fees by Project'!$O$4:$O$100,"&lt;"&amp;$A55,'PA Fees by Project'!$B$4:$B$100,D$40)*5) + (SUMIFS('Unallocated Scenarios'!$D$20:$D$39,'Unallocated Scenarios'!$F$20:$F$39,"&gt;="&amp;$A54,'Unallocated Scenarios'!$F$20:$F$39,"&lt;"&amp;$A55,'Unallocated Scenarios'!$A$20:$A$39,D$40)*5)</f>
        <v>0</v>
      </c>
      <c r="E54" s="19">
        <f>(SUMIFS('PA Fees by Project'!$M$4:$M$100,'PA Fees by Project'!$O$4:$O$100,"&gt;="&amp;$A54,'PA Fees by Project'!$O$4:$O$100,"&lt;"&amp;$A55,'PA Fees by Project'!$B$4:$B$100,E$40)*5) + (SUMIFS('Unallocated Scenarios'!$D$20:$D$39,'Unallocated Scenarios'!$F$20:$F$39,"&gt;="&amp;$A54,'Unallocated Scenarios'!$F$20:$F$39,"&lt;"&amp;$A55,'Unallocated Scenarios'!$A$20:$A$39,E$40)*5)</f>
        <v>0</v>
      </c>
      <c r="F54" s="19">
        <f t="shared" si="3"/>
        <v>0</v>
      </c>
      <c r="H54" s="35">
        <v>44531</v>
      </c>
      <c r="I54" s="208" t="s">
        <v>683</v>
      </c>
      <c r="J54" s="208" t="s">
        <v>673</v>
      </c>
      <c r="K54" s="208" t="str" cm="1">
        <f t="array" ref="K54">_xlfn.IFS(LEFT(J54,2)="PP","PAC",LEFT(J54,3)="PGE","PGE",LEFT(J54,2)="IP","IP",TRUE,"N/A")</f>
        <v>N/A</v>
      </c>
      <c r="L54" s="208"/>
      <c r="M54" s="208"/>
      <c r="N54" s="208"/>
      <c r="O54" s="208"/>
    </row>
    <row r="55" spans="1:15">
      <c r="A55" s="35">
        <v>48945</v>
      </c>
      <c r="B55" s="4">
        <v>2034</v>
      </c>
      <c r="C55" s="19">
        <f>(SUMIFS('PA Fees by Project'!$M$4:$M$100,'PA Fees by Project'!$O$4:$O$100,"&gt;="&amp;$A55,'PA Fees by Project'!$O$4:$O$100,"&lt;"&amp;$A56,'PA Fees by Project'!$B$4:$B$100,C$40)*5) + (SUMIFS('Unallocated Scenarios'!$D$20:$D$39,'Unallocated Scenarios'!$F$20:$F$39,"&gt;="&amp;$A55,'Unallocated Scenarios'!$F$20:$F$39,"&lt;"&amp;$A56,'Unallocated Scenarios'!$A$20:$A$39,C$40)*5)</f>
        <v>0</v>
      </c>
      <c r="D55" s="19">
        <f>(SUMIFS('PA Fees by Project'!$M$4:$M$100,'PA Fees by Project'!$O$4:$O$100,"&gt;="&amp;$A55,'PA Fees by Project'!$O$4:$O$100,"&lt;"&amp;$A56,'PA Fees by Project'!$B$4:$B$100,D$40)*5) + (SUMIFS('Unallocated Scenarios'!$D$20:$D$39,'Unallocated Scenarios'!$F$20:$F$39,"&gt;="&amp;$A55,'Unallocated Scenarios'!$F$20:$F$39,"&lt;"&amp;$A56,'Unallocated Scenarios'!$A$20:$A$39,D$40)*5)</f>
        <v>0</v>
      </c>
      <c r="E55" s="19">
        <f>(SUMIFS('PA Fees by Project'!$M$4:$M$100,'PA Fees by Project'!$O$4:$O$100,"&gt;="&amp;$A55,'PA Fees by Project'!$O$4:$O$100,"&lt;"&amp;$A56,'PA Fees by Project'!$B$4:$B$100,E$40)*5) + (SUMIFS('Unallocated Scenarios'!$D$20:$D$39,'Unallocated Scenarios'!$F$20:$F$39,"&gt;="&amp;$A55,'Unallocated Scenarios'!$F$20:$F$39,"&lt;"&amp;$A56,'Unallocated Scenarios'!$A$20:$A$39,E$40)*5)</f>
        <v>0</v>
      </c>
      <c r="F55" s="19">
        <f t="shared" si="3"/>
        <v>0</v>
      </c>
      <c r="I55" s="206">
        <v>2022</v>
      </c>
      <c r="J55" s="206" t="s">
        <v>661</v>
      </c>
      <c r="K55" s="208" t="str" cm="1">
        <f t="array" ref="K55">_xlfn.IFS(LEFT(J55,2)="PP","PAC",LEFT(J55,3)="PGE","PGE",LEFT(J55,2)="IP","IP",TRUE,"N/A")</f>
        <v>N/A</v>
      </c>
      <c r="L55" s="206" t="s">
        <v>662</v>
      </c>
      <c r="M55" s="206" t="s">
        <v>663</v>
      </c>
      <c r="N55" s="206" t="s">
        <v>664</v>
      </c>
      <c r="O55" s="206" t="s">
        <v>665</v>
      </c>
    </row>
    <row r="56" spans="1:15">
      <c r="A56" s="35">
        <v>49310</v>
      </c>
      <c r="B56" s="4">
        <v>2035</v>
      </c>
      <c r="C56" s="19">
        <f>(SUMIFS('PA Fees by Project'!$M$4:$M$100,'PA Fees by Project'!$O$4:$O$100,"&gt;="&amp;$A56,'PA Fees by Project'!$O$4:$O$100,"&lt;"&amp;$A57,'PA Fees by Project'!$B$4:$B$100,C$40)*5) + (SUMIFS('Unallocated Scenarios'!$D$20:$D$39,'Unallocated Scenarios'!$F$20:$F$39,"&gt;="&amp;$A56,'Unallocated Scenarios'!$F$20:$F$39,"&lt;"&amp;$A57,'Unallocated Scenarios'!$A$20:$A$39,C$40)*5)</f>
        <v>0</v>
      </c>
      <c r="D56" s="19">
        <f>(SUMIFS('PA Fees by Project'!$M$4:$M$100,'PA Fees by Project'!$O$4:$O$100,"&gt;="&amp;$A56,'PA Fees by Project'!$O$4:$O$100,"&lt;"&amp;$A57,'PA Fees by Project'!$B$4:$B$100,D$40)*5) + (SUMIFS('Unallocated Scenarios'!$D$20:$D$39,'Unallocated Scenarios'!$F$20:$F$39,"&gt;="&amp;$A56,'Unallocated Scenarios'!$F$20:$F$39,"&lt;"&amp;$A57,'Unallocated Scenarios'!$A$20:$A$39,D$40)*5)</f>
        <v>0</v>
      </c>
      <c r="E56" s="19">
        <f>(SUMIFS('PA Fees by Project'!$M$4:$M$100,'PA Fees by Project'!$O$4:$O$100,"&gt;="&amp;$A56,'PA Fees by Project'!$O$4:$O$100,"&lt;"&amp;$A57,'PA Fees by Project'!$B$4:$B$100,E$40)*5) + (SUMIFS('Unallocated Scenarios'!$D$20:$D$39,'Unallocated Scenarios'!$F$20:$F$39,"&gt;="&amp;$A56,'Unallocated Scenarios'!$F$20:$F$39,"&lt;"&amp;$A57,'Unallocated Scenarios'!$A$20:$A$39,E$40)*5)</f>
        <v>0</v>
      </c>
      <c r="F56" s="19">
        <f t="shared" si="3"/>
        <v>0</v>
      </c>
      <c r="H56" s="35">
        <v>44562</v>
      </c>
      <c r="I56" s="208" t="s">
        <v>666</v>
      </c>
      <c r="J56" s="208" t="s">
        <v>673</v>
      </c>
      <c r="K56" s="208" t="str" cm="1">
        <f t="array" ref="K56">_xlfn.IFS(LEFT(J56,2)="PP","PAC",LEFT(J56,3)="PGE","PGE",LEFT(J56,2)="IP","IP",TRUE,"N/A")</f>
        <v>N/A</v>
      </c>
      <c r="L56" s="208"/>
      <c r="M56" s="208"/>
      <c r="N56" s="208"/>
      <c r="O56" s="208"/>
    </row>
    <row r="57" spans="1:15">
      <c r="A57" s="35">
        <v>49675</v>
      </c>
      <c r="B57" s="4">
        <v>2036</v>
      </c>
      <c r="C57" s="19">
        <f>(SUMIFS('PA Fees by Project'!$M$4:$M$100,'PA Fees by Project'!$O$4:$O$100,"&gt;="&amp;$A57,'PA Fees by Project'!$O$4:$O$100,"&lt;"&amp;$A58,'PA Fees by Project'!$B$4:$B$100,C$40)*5) + (SUMIFS('Unallocated Scenarios'!$D$20:$D$39,'Unallocated Scenarios'!$F$20:$F$39,"&gt;="&amp;$A57,'Unallocated Scenarios'!$F$20:$F$39,"&lt;"&amp;$A58,'Unallocated Scenarios'!$A$20:$A$39,C$40)*5)</f>
        <v>0</v>
      </c>
      <c r="D57" s="19">
        <f>(SUMIFS('PA Fees by Project'!$M$4:$M$100,'PA Fees by Project'!$O$4:$O$100,"&gt;="&amp;$A57,'PA Fees by Project'!$O$4:$O$100,"&lt;"&amp;$A58,'PA Fees by Project'!$B$4:$B$100,D$40)*5) + (SUMIFS('Unallocated Scenarios'!$D$20:$D$39,'Unallocated Scenarios'!$F$20:$F$39,"&gt;="&amp;$A57,'Unallocated Scenarios'!$F$20:$F$39,"&lt;"&amp;$A58,'Unallocated Scenarios'!$A$20:$A$39,D$40)*5)</f>
        <v>0</v>
      </c>
      <c r="E57" s="19">
        <f>(SUMIFS('PA Fees by Project'!$M$4:$M$100,'PA Fees by Project'!$O$4:$O$100,"&gt;="&amp;$A57,'PA Fees by Project'!$O$4:$O$100,"&lt;"&amp;$A58,'PA Fees by Project'!$B$4:$B$100,E$40)*5) + (SUMIFS('Unallocated Scenarios'!$D$20:$D$39,'Unallocated Scenarios'!$F$20:$F$39,"&gt;="&amp;$A57,'Unallocated Scenarios'!$F$20:$F$39,"&lt;"&amp;$A58,'Unallocated Scenarios'!$A$20:$A$39,E$40)*5)</f>
        <v>0</v>
      </c>
      <c r="F57" s="19">
        <f t="shared" si="3"/>
        <v>0</v>
      </c>
      <c r="H57" s="35">
        <v>44593</v>
      </c>
      <c r="I57" s="208" t="s">
        <v>670</v>
      </c>
      <c r="J57" s="208" t="s">
        <v>673</v>
      </c>
      <c r="K57" s="208" t="str" cm="1">
        <f t="array" ref="K57">_xlfn.IFS(LEFT(J57,2)="PP","PAC",LEFT(J57,3)="PGE","PGE",LEFT(J57,2)="IP","IP",TRUE,"N/A")</f>
        <v>N/A</v>
      </c>
      <c r="L57" s="208"/>
      <c r="M57" s="208"/>
      <c r="N57" s="208"/>
      <c r="O57" s="208"/>
    </row>
    <row r="58" spans="1:15">
      <c r="A58" s="35">
        <v>50041</v>
      </c>
      <c r="B58" s="4">
        <v>2037</v>
      </c>
      <c r="C58" s="19">
        <f>(SUMIFS('PA Fees by Project'!$M$4:$M$100,'PA Fees by Project'!$O$4:$O$100,"&gt;="&amp;$A58,'PA Fees by Project'!$O$4:$O$100,"&lt;"&amp;$A59,'PA Fees by Project'!$B$4:$B$100,C$40)*5) + (SUMIFS('Unallocated Scenarios'!$D$20:$D$39,'Unallocated Scenarios'!$F$20:$F$39,"&gt;="&amp;$A58,'Unallocated Scenarios'!$F$20:$F$39,"&lt;"&amp;$A59,'Unallocated Scenarios'!$A$20:$A$39,C$40)*5)</f>
        <v>0</v>
      </c>
      <c r="D58" s="19">
        <f>(SUMIFS('PA Fees by Project'!$M$4:$M$100,'PA Fees by Project'!$O$4:$O$100,"&gt;="&amp;$A58,'PA Fees by Project'!$O$4:$O$100,"&lt;"&amp;$A59,'PA Fees by Project'!$B$4:$B$100,D$40)*5) + (SUMIFS('Unallocated Scenarios'!$D$20:$D$39,'Unallocated Scenarios'!$F$20:$F$39,"&gt;="&amp;$A58,'Unallocated Scenarios'!$F$20:$F$39,"&lt;"&amp;$A59,'Unallocated Scenarios'!$A$20:$A$39,D$40)*5)</f>
        <v>0</v>
      </c>
      <c r="E58" s="19">
        <f>(SUMIFS('PA Fees by Project'!$M$4:$M$100,'PA Fees by Project'!$O$4:$O$100,"&gt;="&amp;$A58,'PA Fees by Project'!$O$4:$O$100,"&lt;"&amp;$A59,'PA Fees by Project'!$B$4:$B$100,E$40)*5) + (SUMIFS('Unallocated Scenarios'!$D$20:$D$39,'Unallocated Scenarios'!$F$20:$F$39,"&gt;="&amp;$A58,'Unallocated Scenarios'!$F$20:$F$39,"&lt;"&amp;$A59,'Unallocated Scenarios'!$A$20:$A$39,E$40)*5)</f>
        <v>0</v>
      </c>
      <c r="F58" s="19">
        <f t="shared" si="3"/>
        <v>0</v>
      </c>
      <c r="H58" s="35">
        <v>44621</v>
      </c>
      <c r="I58" s="208" t="s">
        <v>672</v>
      </c>
      <c r="J58" s="208" t="s">
        <v>673</v>
      </c>
      <c r="K58" s="208" t="str" cm="1">
        <f t="array" ref="K58">_xlfn.IFS(LEFT(J58,2)="PP","PAC",LEFT(J58,3)="PGE","PGE",LEFT(J58,2)="IP","IP",TRUE,"N/A")</f>
        <v>N/A</v>
      </c>
      <c r="L58" s="208"/>
      <c r="M58" s="208"/>
      <c r="N58" s="208"/>
      <c r="O58" s="208"/>
    </row>
    <row r="59" spans="1:15">
      <c r="A59" s="35">
        <v>50406</v>
      </c>
      <c r="B59" s="4">
        <v>2038</v>
      </c>
      <c r="C59" s="19">
        <f>(SUMIFS('PA Fees by Project'!$M$4:$M$100,'PA Fees by Project'!$O$4:$O$100,"&gt;="&amp;$A59,'PA Fees by Project'!$O$4:$O$100,"&lt;"&amp;$A60,'PA Fees by Project'!$B$4:$B$100,C$40)*5) + (SUMIFS('Unallocated Scenarios'!$D$20:$D$39,'Unallocated Scenarios'!$F$20:$F$39,"&gt;="&amp;$A59,'Unallocated Scenarios'!$F$20:$F$39,"&lt;"&amp;$A60,'Unallocated Scenarios'!$A$20:$A$39,C$40)*5)</f>
        <v>0</v>
      </c>
      <c r="D59" s="19">
        <f>(SUMIFS('PA Fees by Project'!$M$4:$M$100,'PA Fees by Project'!$O$4:$O$100,"&gt;="&amp;$A59,'PA Fees by Project'!$O$4:$O$100,"&lt;"&amp;$A60,'PA Fees by Project'!$B$4:$B$100,D$40)*5) + (SUMIFS('Unallocated Scenarios'!$D$20:$D$39,'Unallocated Scenarios'!$F$20:$F$39,"&gt;="&amp;$A59,'Unallocated Scenarios'!$F$20:$F$39,"&lt;"&amp;$A60,'Unallocated Scenarios'!$A$20:$A$39,D$40)*5)</f>
        <v>0</v>
      </c>
      <c r="E59" s="19">
        <f>(SUMIFS('PA Fees by Project'!$M$4:$M$100,'PA Fees by Project'!$O$4:$O$100,"&gt;="&amp;$A59,'PA Fees by Project'!$O$4:$O$100,"&lt;"&amp;$A60,'PA Fees by Project'!$B$4:$B$100,E$40)*5) + (SUMIFS('Unallocated Scenarios'!$D$20:$D$39,'Unallocated Scenarios'!$F$20:$F$39,"&gt;="&amp;$A59,'Unallocated Scenarios'!$F$20:$F$39,"&lt;"&amp;$A60,'Unallocated Scenarios'!$A$20:$A$39,E$40)*5)</f>
        <v>0</v>
      </c>
      <c r="F59" s="19">
        <f t="shared" si="3"/>
        <v>0</v>
      </c>
      <c r="H59" s="35">
        <v>44652</v>
      </c>
      <c r="I59" s="208" t="s">
        <v>674</v>
      </c>
      <c r="J59" s="208" t="s">
        <v>673</v>
      </c>
      <c r="K59" s="208" t="str" cm="1">
        <f t="array" ref="K59">_xlfn.IFS(LEFT(J59,2)="PP","PAC",LEFT(J59,3)="PGE","PGE",LEFT(J59,2)="IP","IP",TRUE,"N/A")</f>
        <v>N/A</v>
      </c>
      <c r="L59" s="208"/>
      <c r="M59" s="208"/>
      <c r="N59" s="208"/>
      <c r="O59" s="208"/>
    </row>
    <row r="60" spans="1:15">
      <c r="A60" s="35">
        <v>50771</v>
      </c>
      <c r="B60" s="4">
        <v>2039</v>
      </c>
      <c r="C60" s="19">
        <f>(SUMIFS('PA Fees by Project'!$M$4:$M$100,'PA Fees by Project'!$O$4:$O$100,"&gt;="&amp;$A60,'PA Fees by Project'!$O$4:$O$100,"&lt;"&amp;$A61,'PA Fees by Project'!$B$4:$B$100,C$40)*5) + (SUMIFS('Unallocated Scenarios'!$D$20:$D$39,'Unallocated Scenarios'!$F$20:$F$39,"&gt;="&amp;$A60,'Unallocated Scenarios'!$F$20:$F$39,"&lt;"&amp;$A61,'Unallocated Scenarios'!$A$20:$A$39,C$40)*5)</f>
        <v>0</v>
      </c>
      <c r="D60" s="19">
        <f>(SUMIFS('PA Fees by Project'!$M$4:$M$100,'PA Fees by Project'!$O$4:$O$100,"&gt;="&amp;$A60,'PA Fees by Project'!$O$4:$O$100,"&lt;"&amp;$A61,'PA Fees by Project'!$B$4:$B$100,D$40)*5) + (SUMIFS('Unallocated Scenarios'!$D$20:$D$39,'Unallocated Scenarios'!$F$20:$F$39,"&gt;="&amp;$A60,'Unallocated Scenarios'!$F$20:$F$39,"&lt;"&amp;$A61,'Unallocated Scenarios'!$A$20:$A$39,D$40)*5)</f>
        <v>0</v>
      </c>
      <c r="E60" s="19">
        <f>(SUMIFS('PA Fees by Project'!$M$4:$M$100,'PA Fees by Project'!$O$4:$O$100,"&gt;="&amp;$A60,'PA Fees by Project'!$O$4:$O$100,"&lt;"&amp;$A61,'PA Fees by Project'!$B$4:$B$100,E$40)*5) + (SUMIFS('Unallocated Scenarios'!$D$20:$D$39,'Unallocated Scenarios'!$F$20:$F$39,"&gt;="&amp;$A60,'Unallocated Scenarios'!$F$20:$F$39,"&lt;"&amp;$A61,'Unallocated Scenarios'!$A$20:$A$39,E$40)*5)</f>
        <v>0</v>
      </c>
      <c r="F60" s="19">
        <f t="shared" si="3"/>
        <v>0</v>
      </c>
      <c r="H60" s="35">
        <v>44682</v>
      </c>
      <c r="I60" s="208" t="s">
        <v>60</v>
      </c>
      <c r="J60" s="208" t="s">
        <v>115</v>
      </c>
      <c r="K60" s="208" t="str" cm="1">
        <f t="array" ref="K60">_xlfn.IFS(LEFT(J60,2)="PP","PAC",LEFT(J60,3)="PGE","PGE",LEFT(J60,2)="IP","IP",TRUE,"N/A")</f>
        <v>PGE</v>
      </c>
      <c r="L60" s="211">
        <v>193.9</v>
      </c>
      <c r="M60" s="208" t="s">
        <v>668</v>
      </c>
      <c r="N60" s="210">
        <v>44698</v>
      </c>
      <c r="O60" s="208" t="s">
        <v>684</v>
      </c>
    </row>
    <row r="61" spans="1:15">
      <c r="A61" s="35">
        <v>51136</v>
      </c>
      <c r="B61" s="4">
        <v>2040</v>
      </c>
      <c r="C61" s="19">
        <f>(SUMIFS('PA Fees by Project'!$M$4:$M$100,'PA Fees by Project'!$O$4:$O$100,"&gt;="&amp;$A61,'PA Fees by Project'!$O$4:$O$100,"&lt;"&amp;$A62,'PA Fees by Project'!$B$4:$B$100,C$40)*5) + (SUMIFS('Unallocated Scenarios'!$D$20:$D$39,'Unallocated Scenarios'!$F$20:$F$39,"&gt;="&amp;$A61,'Unallocated Scenarios'!$F$20:$F$39,"&lt;"&amp;$A62,'Unallocated Scenarios'!$A$20:$A$39,C$40)*5)</f>
        <v>0</v>
      </c>
      <c r="D61" s="19">
        <f>(SUMIFS('PA Fees by Project'!$M$4:$M$100,'PA Fees by Project'!$O$4:$O$100,"&gt;="&amp;$A61,'PA Fees by Project'!$O$4:$O$100,"&lt;"&amp;$A62,'PA Fees by Project'!$B$4:$B$100,D$40)*5) + (SUMIFS('Unallocated Scenarios'!$D$20:$D$39,'Unallocated Scenarios'!$F$20:$F$39,"&gt;="&amp;$A61,'Unallocated Scenarios'!$F$20:$F$39,"&lt;"&amp;$A62,'Unallocated Scenarios'!$A$20:$A$39,D$40)*5)</f>
        <v>0</v>
      </c>
      <c r="E61" s="19">
        <f>(SUMIFS('PA Fees by Project'!$M$4:$M$100,'PA Fees by Project'!$O$4:$O$100,"&gt;="&amp;$A61,'PA Fees by Project'!$O$4:$O$100,"&lt;"&amp;$A62,'PA Fees by Project'!$B$4:$B$100,E$40)*5) + (SUMIFS('Unallocated Scenarios'!$D$20:$D$39,'Unallocated Scenarios'!$F$20:$F$39,"&gt;="&amp;$A61,'Unallocated Scenarios'!$F$20:$F$39,"&lt;"&amp;$A62,'Unallocated Scenarios'!$A$20:$A$39,E$40)*5)</f>
        <v>0</v>
      </c>
      <c r="F61" s="19">
        <f t="shared" ref="F61:F71" si="9">SUM(C61:E61)</f>
        <v>0</v>
      </c>
      <c r="H61" s="35">
        <v>44713</v>
      </c>
      <c r="I61" s="208" t="s">
        <v>675</v>
      </c>
      <c r="J61" s="208" t="s">
        <v>129</v>
      </c>
      <c r="K61" s="208" t="str" cm="1">
        <f t="array" ref="K61">_xlfn.IFS(LEFT(J61,2)="PP","PAC",LEFT(J61,3)="PGE","PGE",LEFT(J61,2)="IP","IP",TRUE,"N/A")</f>
        <v>PAC</v>
      </c>
      <c r="L61" s="211">
        <v>1800</v>
      </c>
      <c r="M61" s="208" t="s">
        <v>668</v>
      </c>
      <c r="N61" s="213">
        <v>44601</v>
      </c>
      <c r="O61" s="212" t="s">
        <v>685</v>
      </c>
    </row>
    <row r="62" spans="1:15">
      <c r="A62" s="35">
        <v>51502</v>
      </c>
      <c r="B62" s="4">
        <v>2041</v>
      </c>
      <c r="C62" s="19">
        <f>(SUMIFS('PA Fees by Project'!$M$4:$M$100,'PA Fees by Project'!$O$4:$O$100,"&gt;="&amp;$A62,'PA Fees by Project'!$O$4:$O$100,"&lt;"&amp;$A63,'PA Fees by Project'!$B$4:$B$100,C$40)*5) + (SUMIFS('Unallocated Scenarios'!$D$20:$D$39,'Unallocated Scenarios'!$F$20:$F$39,"&gt;="&amp;$A62,'Unallocated Scenarios'!$F$20:$F$39,"&lt;"&amp;$A63,'Unallocated Scenarios'!$A$20:$A$39,C$40)*5)</f>
        <v>0</v>
      </c>
      <c r="D62" s="19">
        <f>(SUMIFS('PA Fees by Project'!$M$4:$M$100,'PA Fees by Project'!$O$4:$O$100,"&gt;="&amp;$A62,'PA Fees by Project'!$O$4:$O$100,"&lt;"&amp;$A63,'PA Fees by Project'!$B$4:$B$100,D$40)*5) + (SUMIFS('Unallocated Scenarios'!$D$20:$D$39,'Unallocated Scenarios'!$F$20:$F$39,"&gt;="&amp;$A62,'Unallocated Scenarios'!$F$20:$F$39,"&lt;"&amp;$A63,'Unallocated Scenarios'!$A$20:$A$39,D$40)*5)</f>
        <v>0</v>
      </c>
      <c r="E62" s="19">
        <f>(SUMIFS('PA Fees by Project'!$M$4:$M$100,'PA Fees by Project'!$O$4:$O$100,"&gt;="&amp;$A62,'PA Fees by Project'!$O$4:$O$100,"&lt;"&amp;$A63,'PA Fees by Project'!$B$4:$B$100,E$40)*5) + (SUMIFS('Unallocated Scenarios'!$D$20:$D$39,'Unallocated Scenarios'!$F$20:$F$39,"&gt;="&amp;$A62,'Unallocated Scenarios'!$F$20:$F$39,"&lt;"&amp;$A63,'Unallocated Scenarios'!$A$20:$A$39,E$40)*5)</f>
        <v>0</v>
      </c>
      <c r="F62" s="19">
        <f t="shared" si="9"/>
        <v>0</v>
      </c>
      <c r="H62" s="35">
        <v>44743</v>
      </c>
      <c r="I62" s="265" t="s">
        <v>676</v>
      </c>
      <c r="J62" s="208" t="s">
        <v>673</v>
      </c>
      <c r="K62" s="208" t="str" cm="1">
        <f t="array" ref="K62">_xlfn.IFS(LEFT(J62,2)="PP","PAC",LEFT(J62,3)="PGE","PGE",LEFT(J62,2)="IP","IP",TRUE,"N/A")</f>
        <v>N/A</v>
      </c>
      <c r="L62" s="208"/>
      <c r="M62" s="208"/>
      <c r="N62" s="208"/>
      <c r="O62" s="208"/>
    </row>
    <row r="63" spans="1:15">
      <c r="A63" s="35">
        <v>51867</v>
      </c>
      <c r="B63" s="4">
        <v>2042</v>
      </c>
      <c r="C63" s="19">
        <f>(SUMIFS('PA Fees by Project'!$M$4:$M$100,'PA Fees by Project'!$O$4:$O$100,"&gt;="&amp;$A63,'PA Fees by Project'!$O$4:$O$100,"&lt;"&amp;$A64,'PA Fees by Project'!$B$4:$B$100,C$40)*5) + (SUMIFS('Unallocated Scenarios'!$D$20:$D$39,'Unallocated Scenarios'!$F$20:$F$39,"&gt;="&amp;$A63,'Unallocated Scenarios'!$F$20:$F$39,"&lt;"&amp;$A64,'Unallocated Scenarios'!$A$20:$A$39,C$40)*5)</f>
        <v>0</v>
      </c>
      <c r="D63" s="19">
        <f>(SUMIFS('PA Fees by Project'!$M$4:$M$100,'PA Fees by Project'!$O$4:$O$100,"&gt;="&amp;$A63,'PA Fees by Project'!$O$4:$O$100,"&lt;"&amp;$A64,'PA Fees by Project'!$B$4:$B$100,D$40)*5) + (SUMIFS('Unallocated Scenarios'!$D$20:$D$39,'Unallocated Scenarios'!$F$20:$F$39,"&gt;="&amp;$A63,'Unallocated Scenarios'!$F$20:$F$39,"&lt;"&amp;$A64,'Unallocated Scenarios'!$A$20:$A$39,D$40)*5)</f>
        <v>0</v>
      </c>
      <c r="E63" s="19">
        <f>(SUMIFS('PA Fees by Project'!$M$4:$M$100,'PA Fees by Project'!$O$4:$O$100,"&gt;="&amp;$A63,'PA Fees by Project'!$O$4:$O$100,"&lt;"&amp;$A64,'PA Fees by Project'!$B$4:$B$100,E$40)*5) + (SUMIFS('Unallocated Scenarios'!$D$20:$D$39,'Unallocated Scenarios'!$F$20:$F$39,"&gt;="&amp;$A63,'Unallocated Scenarios'!$F$20:$F$39,"&lt;"&amp;$A64,'Unallocated Scenarios'!$A$20:$A$39,E$40)*5)</f>
        <v>0</v>
      </c>
      <c r="F63" s="19">
        <f t="shared" si="9"/>
        <v>0</v>
      </c>
      <c r="H63" s="35">
        <v>44774</v>
      </c>
      <c r="I63" s="208" t="s">
        <v>677</v>
      </c>
      <c r="J63" s="208" t="s">
        <v>673</v>
      </c>
      <c r="K63" s="208" t="str" cm="1">
        <f t="array" ref="K63">_xlfn.IFS(LEFT(J63,2)="PP","PAC",LEFT(J63,3)="PGE","PGE",LEFT(J63,2)="IP","IP",TRUE,"N/A")</f>
        <v>N/A</v>
      </c>
      <c r="L63" s="208"/>
      <c r="M63" s="208"/>
      <c r="N63" s="208"/>
      <c r="O63" s="208"/>
    </row>
    <row r="64" spans="1:15">
      <c r="A64" s="35">
        <v>52232</v>
      </c>
      <c r="B64" s="4">
        <v>2043</v>
      </c>
      <c r="C64" s="19">
        <f>(SUMIFS('PA Fees by Project'!$M$4:$M$100,'PA Fees by Project'!$O$4:$O$100,"&gt;="&amp;$A64,'PA Fees by Project'!$O$4:$O$100,"&lt;"&amp;$A65,'PA Fees by Project'!$B$4:$B$100,C$40)*5) + (SUMIFS('Unallocated Scenarios'!$D$20:$D$39,'Unallocated Scenarios'!$F$20:$F$39,"&gt;="&amp;$A64,'Unallocated Scenarios'!$F$20:$F$39,"&lt;"&amp;$A65,'Unallocated Scenarios'!$A$20:$A$39,C$40)*5)</f>
        <v>0</v>
      </c>
      <c r="D64" s="19">
        <f>(SUMIFS('PA Fees by Project'!$M$4:$M$100,'PA Fees by Project'!$O$4:$O$100,"&gt;="&amp;$A64,'PA Fees by Project'!$O$4:$O$100,"&lt;"&amp;$A65,'PA Fees by Project'!$B$4:$B$100,D$40)*5) + (SUMIFS('Unallocated Scenarios'!$D$20:$D$39,'Unallocated Scenarios'!$F$20:$F$39,"&gt;="&amp;$A64,'Unallocated Scenarios'!$F$20:$F$39,"&lt;"&amp;$A65,'Unallocated Scenarios'!$A$20:$A$39,D$40)*5)</f>
        <v>0</v>
      </c>
      <c r="E64" s="19">
        <f>(SUMIFS('PA Fees by Project'!$M$4:$M$100,'PA Fees by Project'!$O$4:$O$100,"&gt;="&amp;$A64,'PA Fees by Project'!$O$4:$O$100,"&lt;"&amp;$A65,'PA Fees by Project'!$B$4:$B$100,E$40)*5) + (SUMIFS('Unallocated Scenarios'!$D$20:$D$39,'Unallocated Scenarios'!$F$20:$F$39,"&gt;="&amp;$A64,'Unallocated Scenarios'!$F$20:$F$39,"&lt;"&amp;$A65,'Unallocated Scenarios'!$A$20:$A$39,E$40)*5)</f>
        <v>0</v>
      </c>
      <c r="F64" s="19">
        <f t="shared" si="9"/>
        <v>0</v>
      </c>
      <c r="H64" s="35">
        <v>44805</v>
      </c>
      <c r="I64" s="208" t="s">
        <v>678</v>
      </c>
      <c r="J64" s="208" t="s">
        <v>673</v>
      </c>
      <c r="K64" s="208" t="str" cm="1">
        <f t="array" ref="K64">_xlfn.IFS(LEFT(J64,2)="PP","PAC",LEFT(J64,3)="PGE","PGE",LEFT(J64,2)="IP","IP",TRUE,"N/A")</f>
        <v>N/A</v>
      </c>
      <c r="L64" s="208"/>
      <c r="M64" s="208"/>
      <c r="N64" s="208"/>
      <c r="O64" s="208"/>
    </row>
    <row r="65" spans="1:15">
      <c r="A65" s="35">
        <v>52597</v>
      </c>
      <c r="B65" s="4">
        <v>2044</v>
      </c>
      <c r="C65" s="19">
        <f>(SUMIFS('PA Fees by Project'!$M$4:$M$100,'PA Fees by Project'!$O$4:$O$100,"&gt;="&amp;$A65,'PA Fees by Project'!$O$4:$O$100,"&lt;"&amp;$A66,'PA Fees by Project'!$B$4:$B$100,C$40)*5) + (SUMIFS('Unallocated Scenarios'!$D$20:$D$39,'Unallocated Scenarios'!$F$20:$F$39,"&gt;="&amp;$A65,'Unallocated Scenarios'!$F$20:$F$39,"&lt;"&amp;$A66,'Unallocated Scenarios'!$A$20:$A$39,C$40)*5)</f>
        <v>0</v>
      </c>
      <c r="D65" s="19">
        <f>(SUMIFS('PA Fees by Project'!$M$4:$M$100,'PA Fees by Project'!$O$4:$O$100,"&gt;="&amp;$A65,'PA Fees by Project'!$O$4:$O$100,"&lt;"&amp;$A66,'PA Fees by Project'!$B$4:$B$100,D$40)*5) + (SUMIFS('Unallocated Scenarios'!$D$20:$D$39,'Unallocated Scenarios'!$F$20:$F$39,"&gt;="&amp;$A65,'Unallocated Scenarios'!$F$20:$F$39,"&lt;"&amp;$A66,'Unallocated Scenarios'!$A$20:$A$39,D$40)*5)</f>
        <v>0</v>
      </c>
      <c r="E65" s="19">
        <f>(SUMIFS('PA Fees by Project'!$M$4:$M$100,'PA Fees by Project'!$O$4:$O$100,"&gt;="&amp;$A65,'PA Fees by Project'!$O$4:$O$100,"&lt;"&amp;$A66,'PA Fees by Project'!$B$4:$B$100,E$40)*5) + (SUMIFS('Unallocated Scenarios'!$D$20:$D$39,'Unallocated Scenarios'!$F$20:$F$39,"&gt;="&amp;$A65,'Unallocated Scenarios'!$F$20:$F$39,"&lt;"&amp;$A66,'Unallocated Scenarios'!$A$20:$A$39,E$40)*5)</f>
        <v>0</v>
      </c>
      <c r="F65" s="19">
        <f t="shared" si="9"/>
        <v>0</v>
      </c>
      <c r="H65" s="35">
        <v>44835</v>
      </c>
      <c r="I65" s="265" t="s">
        <v>679</v>
      </c>
      <c r="J65" s="208" t="s">
        <v>673</v>
      </c>
      <c r="K65" s="208" t="str" cm="1">
        <f t="array" ref="K65">_xlfn.IFS(LEFT(J65,2)="PP","PAC",LEFT(J65,3)="PGE","PGE",LEFT(J65,2)="IP","IP",TRUE,"N/A")</f>
        <v>N/A</v>
      </c>
      <c r="L65" s="208"/>
      <c r="M65" s="208"/>
      <c r="N65" s="208"/>
      <c r="O65" s="208"/>
    </row>
    <row r="66" spans="1:15">
      <c r="A66" s="35">
        <v>52963</v>
      </c>
      <c r="B66" s="4">
        <v>2045</v>
      </c>
      <c r="C66" s="19">
        <f>(SUMIFS('PA Fees by Project'!$M$4:$M$100,'PA Fees by Project'!$O$4:$O$100,"&gt;="&amp;$A66,'PA Fees by Project'!$O$4:$O$100,"&lt;"&amp;$A67,'PA Fees by Project'!$B$4:$B$100,C$40)*5) + (SUMIFS('Unallocated Scenarios'!$D$20:$D$39,'Unallocated Scenarios'!$F$20:$F$39,"&gt;="&amp;$A66,'Unallocated Scenarios'!$F$20:$F$39,"&lt;"&amp;$A67,'Unallocated Scenarios'!$A$20:$A$39,C$40)*5)</f>
        <v>0</v>
      </c>
      <c r="D66" s="19">
        <f>(SUMIFS('PA Fees by Project'!$M$4:$M$100,'PA Fees by Project'!$O$4:$O$100,"&gt;="&amp;$A66,'PA Fees by Project'!$O$4:$O$100,"&lt;"&amp;$A67,'PA Fees by Project'!$B$4:$B$100,D$40)*5) + (SUMIFS('Unallocated Scenarios'!$D$20:$D$39,'Unallocated Scenarios'!$F$20:$F$39,"&gt;="&amp;$A66,'Unallocated Scenarios'!$F$20:$F$39,"&lt;"&amp;$A67,'Unallocated Scenarios'!$A$20:$A$39,D$40)*5)</f>
        <v>0</v>
      </c>
      <c r="E66" s="19">
        <f>(SUMIFS('PA Fees by Project'!$M$4:$M$100,'PA Fees by Project'!$O$4:$O$100,"&gt;="&amp;$A66,'PA Fees by Project'!$O$4:$O$100,"&lt;"&amp;$A67,'PA Fees by Project'!$B$4:$B$100,E$40)*5) + (SUMIFS('Unallocated Scenarios'!$D$20:$D$39,'Unallocated Scenarios'!$F$20:$F$39,"&gt;="&amp;$A66,'Unallocated Scenarios'!$F$20:$F$39,"&lt;"&amp;$A67,'Unallocated Scenarios'!$A$20:$A$39,E$40)*5)</f>
        <v>0</v>
      </c>
      <c r="F66" s="19">
        <f t="shared" si="9"/>
        <v>0</v>
      </c>
      <c r="H66" s="35">
        <v>44866</v>
      </c>
      <c r="I66" s="208" t="s">
        <v>682</v>
      </c>
      <c r="J66" s="208" t="s">
        <v>111</v>
      </c>
      <c r="K66" s="208" t="str" cm="1">
        <f t="array" ref="K66">_xlfn.IFS(LEFT(J66,2)="PP","PAC",LEFT(J66,3)="PGE","PGE",LEFT(J66,2)="IP","IP",TRUE,"N/A")</f>
        <v>PGE</v>
      </c>
      <c r="L66" s="211">
        <v>12500</v>
      </c>
      <c r="M66" s="208" t="s">
        <v>668</v>
      </c>
      <c r="N66" s="210">
        <v>44894</v>
      </c>
      <c r="O66" s="208" t="s">
        <v>686</v>
      </c>
    </row>
    <row r="67" spans="1:15">
      <c r="A67" s="35">
        <v>53328</v>
      </c>
      <c r="B67" s="4">
        <v>2046</v>
      </c>
      <c r="C67" s="19">
        <f>(SUMIFS('PA Fees by Project'!$M$4:$M$100,'PA Fees by Project'!$O$4:$O$100,"&gt;="&amp;$A67,'PA Fees by Project'!$O$4:$O$100,"&lt;"&amp;$A68,'PA Fees by Project'!$B$4:$B$100,C$40)*5) + (SUMIFS('Unallocated Scenarios'!$D$20:$D$39,'Unallocated Scenarios'!$F$20:$F$39,"&gt;="&amp;$A67,'Unallocated Scenarios'!$F$20:$F$39,"&lt;"&amp;$A68,'Unallocated Scenarios'!$A$20:$A$39,C$40)*5)</f>
        <v>0</v>
      </c>
      <c r="D67" s="19">
        <f>(SUMIFS('PA Fees by Project'!$M$4:$M$100,'PA Fees by Project'!$O$4:$O$100,"&gt;="&amp;$A67,'PA Fees by Project'!$O$4:$O$100,"&lt;"&amp;$A68,'PA Fees by Project'!$B$4:$B$100,D$40)*5) + (SUMIFS('Unallocated Scenarios'!$D$20:$D$39,'Unallocated Scenarios'!$F$20:$F$39,"&gt;="&amp;$A67,'Unallocated Scenarios'!$F$20:$F$39,"&lt;"&amp;$A68,'Unallocated Scenarios'!$A$20:$A$39,D$40)*5)</f>
        <v>0</v>
      </c>
      <c r="E67" s="19">
        <f>(SUMIFS('PA Fees by Project'!$M$4:$M$100,'PA Fees by Project'!$O$4:$O$100,"&gt;="&amp;$A67,'PA Fees by Project'!$O$4:$O$100,"&lt;"&amp;$A68,'PA Fees by Project'!$B$4:$B$100,E$40)*5) + (SUMIFS('Unallocated Scenarios'!$D$20:$D$39,'Unallocated Scenarios'!$F$20:$F$39,"&gt;="&amp;$A67,'Unallocated Scenarios'!$F$20:$F$39,"&lt;"&amp;$A68,'Unallocated Scenarios'!$A$20:$A$39,E$40)*5)</f>
        <v>0</v>
      </c>
      <c r="F67" s="19">
        <f t="shared" si="9"/>
        <v>0</v>
      </c>
      <c r="H67" s="35">
        <v>44866</v>
      </c>
      <c r="I67" s="208" t="s">
        <v>682</v>
      </c>
      <c r="J67" s="208" t="s">
        <v>124</v>
      </c>
      <c r="K67" s="208" t="str" cm="1">
        <f t="array" ref="K67">_xlfn.IFS(LEFT(J67,2)="PP","PAC",LEFT(J67,3)="PGE","PGE",LEFT(J67,2)="IP","IP",TRUE,"N/A")</f>
        <v>PGE</v>
      </c>
      <c r="L67" s="211">
        <v>12500</v>
      </c>
      <c r="M67" s="208" t="s">
        <v>668</v>
      </c>
      <c r="N67" s="210">
        <v>44894</v>
      </c>
      <c r="O67" s="208" t="s">
        <v>686</v>
      </c>
    </row>
    <row r="68" spans="1:15">
      <c r="A68" s="35">
        <v>53693</v>
      </c>
      <c r="B68" s="4">
        <v>2047</v>
      </c>
      <c r="C68" s="19">
        <f>(SUMIFS('PA Fees by Project'!$M$4:$M$100,'PA Fees by Project'!$O$4:$O$100,"&gt;="&amp;$A68,'PA Fees by Project'!$O$4:$O$100,"&lt;"&amp;$A69,'PA Fees by Project'!$B$4:$B$100,C$40)*5) + (SUMIFS('Unallocated Scenarios'!$D$20:$D$39,'Unallocated Scenarios'!$F$20:$F$39,"&gt;="&amp;$A68,'Unallocated Scenarios'!$F$20:$F$39,"&lt;"&amp;$A69,'Unallocated Scenarios'!$A$20:$A$39,C$40)*5)</f>
        <v>0</v>
      </c>
      <c r="D68" s="19">
        <f>(SUMIFS('PA Fees by Project'!$M$4:$M$100,'PA Fees by Project'!$O$4:$O$100,"&gt;="&amp;$A68,'PA Fees by Project'!$O$4:$O$100,"&lt;"&amp;$A69,'PA Fees by Project'!$B$4:$B$100,D$40)*5) + (SUMIFS('Unallocated Scenarios'!$D$20:$D$39,'Unallocated Scenarios'!$F$20:$F$39,"&gt;="&amp;$A68,'Unallocated Scenarios'!$F$20:$F$39,"&lt;"&amp;$A69,'Unallocated Scenarios'!$A$20:$A$39,D$40)*5)</f>
        <v>0</v>
      </c>
      <c r="E68" s="19">
        <f>(SUMIFS('PA Fees by Project'!$M$4:$M$100,'PA Fees by Project'!$O$4:$O$100,"&gt;="&amp;$A68,'PA Fees by Project'!$O$4:$O$100,"&lt;"&amp;$A69,'PA Fees by Project'!$B$4:$B$100,E$40)*5) + (SUMIFS('Unallocated Scenarios'!$D$20:$D$39,'Unallocated Scenarios'!$F$20:$F$39,"&gt;="&amp;$A68,'Unallocated Scenarios'!$F$20:$F$39,"&lt;"&amp;$A69,'Unallocated Scenarios'!$A$20:$A$39,E$40)*5)</f>
        <v>0</v>
      </c>
      <c r="F68" s="19">
        <f t="shared" si="9"/>
        <v>0</v>
      </c>
      <c r="H68" s="35">
        <v>44866</v>
      </c>
      <c r="I68" s="208" t="s">
        <v>682</v>
      </c>
      <c r="J68" s="208" t="s">
        <v>109</v>
      </c>
      <c r="K68" s="208" t="str" cm="1">
        <f t="array" ref="K68">_xlfn.IFS(LEFT(J68,2)="PP","PAC",LEFT(J68,3)="PGE","PGE",LEFT(J68,2)="IP","IP",TRUE,"N/A")</f>
        <v>PGE</v>
      </c>
      <c r="L68" s="211">
        <v>12500</v>
      </c>
      <c r="M68" s="208" t="s">
        <v>668</v>
      </c>
      <c r="N68" s="210">
        <v>44894</v>
      </c>
      <c r="O68" s="208" t="s">
        <v>686</v>
      </c>
    </row>
    <row r="69" spans="1:15">
      <c r="A69" s="35">
        <v>54058</v>
      </c>
      <c r="B69" s="4">
        <v>2048</v>
      </c>
      <c r="C69" s="19">
        <f>(SUMIFS('PA Fees by Project'!$M$4:$M$100,'PA Fees by Project'!$O$4:$O$100,"&gt;="&amp;$A69,'PA Fees by Project'!$O$4:$O$100,"&lt;"&amp;$A70,'PA Fees by Project'!$B$4:$B$100,C$40)*5) + (SUMIFS('Unallocated Scenarios'!$D$20:$D$39,'Unallocated Scenarios'!$F$20:$F$39,"&gt;="&amp;$A69,'Unallocated Scenarios'!$F$20:$F$39,"&lt;"&amp;$A70,'Unallocated Scenarios'!$A$20:$A$39,C$40)*5)</f>
        <v>0</v>
      </c>
      <c r="D69" s="19">
        <f>(SUMIFS('PA Fees by Project'!$M$4:$M$100,'PA Fees by Project'!$O$4:$O$100,"&gt;="&amp;$A69,'PA Fees by Project'!$O$4:$O$100,"&lt;"&amp;$A70,'PA Fees by Project'!$B$4:$B$100,D$40)*5) + (SUMIFS('Unallocated Scenarios'!$D$20:$D$39,'Unallocated Scenarios'!$F$20:$F$39,"&gt;="&amp;$A69,'Unallocated Scenarios'!$F$20:$F$39,"&lt;"&amp;$A70,'Unallocated Scenarios'!$A$20:$A$39,D$40)*5)</f>
        <v>0</v>
      </c>
      <c r="E69" s="19">
        <f>(SUMIFS('PA Fees by Project'!$M$4:$M$100,'PA Fees by Project'!$O$4:$O$100,"&gt;="&amp;$A69,'PA Fees by Project'!$O$4:$O$100,"&lt;"&amp;$A70,'PA Fees by Project'!$B$4:$B$100,E$40)*5) + (SUMIFS('Unallocated Scenarios'!$D$20:$D$39,'Unallocated Scenarios'!$F$20:$F$39,"&gt;="&amp;$A69,'Unallocated Scenarios'!$F$20:$F$39,"&lt;"&amp;$A70,'Unallocated Scenarios'!$A$20:$A$39,E$40)*5)</f>
        <v>0</v>
      </c>
      <c r="F69" s="19">
        <f t="shared" si="9"/>
        <v>0</v>
      </c>
      <c r="H69" s="35">
        <v>44866</v>
      </c>
      <c r="I69" s="208" t="s">
        <v>682</v>
      </c>
      <c r="J69" s="208" t="s">
        <v>116</v>
      </c>
      <c r="K69" s="208" t="str" cm="1">
        <f t="array" ref="K69">_xlfn.IFS(LEFT(J69,2)="PP","PAC",LEFT(J69,3)="PGE","PGE",LEFT(J69,2)="IP","IP",TRUE,"N/A")</f>
        <v>PGE</v>
      </c>
      <c r="L69" s="211">
        <v>10000</v>
      </c>
      <c r="M69" s="208" t="s">
        <v>668</v>
      </c>
      <c r="N69" s="210">
        <v>44894</v>
      </c>
      <c r="O69" s="208" t="s">
        <v>686</v>
      </c>
    </row>
    <row r="70" spans="1:15">
      <c r="A70" s="35">
        <v>54424</v>
      </c>
      <c r="B70" s="4">
        <v>2049</v>
      </c>
      <c r="C70" s="19">
        <f>(SUMIFS('PA Fees by Project'!$M$4:$M$100,'PA Fees by Project'!$O$4:$O$100,"&gt;="&amp;$A70,'PA Fees by Project'!$O$4:$O$100,"&lt;"&amp;$A71,'PA Fees by Project'!$B$4:$B$100,C$40)*5) + (SUMIFS('Unallocated Scenarios'!$D$20:$D$39,'Unallocated Scenarios'!$F$20:$F$39,"&gt;="&amp;$A70,'Unallocated Scenarios'!$F$20:$F$39,"&lt;"&amp;$A71,'Unallocated Scenarios'!$A$20:$A$39,C$40)*5)</f>
        <v>0</v>
      </c>
      <c r="D70" s="19">
        <f>(SUMIFS('PA Fees by Project'!$M$4:$M$100,'PA Fees by Project'!$O$4:$O$100,"&gt;="&amp;$A70,'PA Fees by Project'!$O$4:$O$100,"&lt;"&amp;$A71,'PA Fees by Project'!$B$4:$B$100,D$40)*5) + (SUMIFS('Unallocated Scenarios'!$D$20:$D$39,'Unallocated Scenarios'!$F$20:$F$39,"&gt;="&amp;$A70,'Unallocated Scenarios'!$F$20:$F$39,"&lt;"&amp;$A71,'Unallocated Scenarios'!$A$20:$A$39,D$40)*5)</f>
        <v>0</v>
      </c>
      <c r="E70" s="19">
        <f>(SUMIFS('PA Fees by Project'!$M$4:$M$100,'PA Fees by Project'!$O$4:$O$100,"&gt;="&amp;$A70,'PA Fees by Project'!$O$4:$O$100,"&lt;"&amp;$A71,'PA Fees by Project'!$B$4:$B$100,E$40)*5) + (SUMIFS('Unallocated Scenarios'!$D$20:$D$39,'Unallocated Scenarios'!$F$20:$F$39,"&gt;="&amp;$A70,'Unallocated Scenarios'!$F$20:$F$39,"&lt;"&amp;$A71,'Unallocated Scenarios'!$A$20:$A$39,E$40)*5)</f>
        <v>0</v>
      </c>
      <c r="F70" s="19">
        <f t="shared" si="9"/>
        <v>0</v>
      </c>
      <c r="H70" s="35">
        <v>44866</v>
      </c>
      <c r="I70" s="208" t="s">
        <v>682</v>
      </c>
      <c r="J70" s="208" t="s">
        <v>125</v>
      </c>
      <c r="K70" s="208" t="str" cm="1">
        <f t="array" ref="K70">_xlfn.IFS(LEFT(J70,2)="PP","PAC",LEFT(J70,3)="PGE","PGE",LEFT(J70,2)="IP","IP",TRUE,"N/A")</f>
        <v>PGE</v>
      </c>
      <c r="L70" s="211">
        <v>12500</v>
      </c>
      <c r="M70" s="208" t="s">
        <v>668</v>
      </c>
      <c r="N70" s="210">
        <v>44894</v>
      </c>
      <c r="O70" s="208" t="s">
        <v>686</v>
      </c>
    </row>
    <row r="71" spans="1:15">
      <c r="A71" s="35">
        <v>54789</v>
      </c>
      <c r="B71" s="4">
        <v>2050</v>
      </c>
      <c r="C71" s="19">
        <f>(SUMIFS('PA Fees by Project'!$M$4:$M$100,'PA Fees by Project'!$O$4:$O$100,"&gt;="&amp;$A71,'PA Fees by Project'!$O$4:$O$100,"&lt;"&amp;$A72,'PA Fees by Project'!$B$4:$B$100,C$40)*5) + (SUMIFS('Unallocated Scenarios'!$D$20:$D$39,'Unallocated Scenarios'!$F$20:$F$39,"&gt;="&amp;$A71,'Unallocated Scenarios'!$F$20:$F$39,"&lt;"&amp;$A72,'Unallocated Scenarios'!$A$20:$A$39,C$40)*5)</f>
        <v>0</v>
      </c>
      <c r="D71" s="19">
        <f>(SUMIFS('PA Fees by Project'!$M$4:$M$100,'PA Fees by Project'!$O$4:$O$100,"&gt;="&amp;$A71,'PA Fees by Project'!$O$4:$O$100,"&lt;"&amp;$A72,'PA Fees by Project'!$B$4:$B$100,D$40)*5) + (SUMIFS('Unallocated Scenarios'!$D$20:$D$39,'Unallocated Scenarios'!$F$20:$F$39,"&gt;="&amp;$A71,'Unallocated Scenarios'!$F$20:$F$39,"&lt;"&amp;$A72,'Unallocated Scenarios'!$A$20:$A$39,D$40)*5)</f>
        <v>0</v>
      </c>
      <c r="E71" s="19">
        <f>(SUMIFS('PA Fees by Project'!$M$4:$M$100,'PA Fees by Project'!$O$4:$O$100,"&gt;="&amp;$A71,'PA Fees by Project'!$O$4:$O$100,"&lt;"&amp;$A72,'PA Fees by Project'!$B$4:$B$100,E$40)*5) + (SUMIFS('Unallocated Scenarios'!$D$20:$D$39,'Unallocated Scenarios'!$F$20:$F$39,"&gt;="&amp;$A71,'Unallocated Scenarios'!$F$20:$F$39,"&lt;"&amp;$A72,'Unallocated Scenarios'!$A$20:$A$39,E$40)*5)</f>
        <v>0</v>
      </c>
      <c r="F71" s="19">
        <f t="shared" si="9"/>
        <v>0</v>
      </c>
      <c r="H71" s="35">
        <v>44866</v>
      </c>
      <c r="I71" s="208" t="s">
        <v>682</v>
      </c>
      <c r="J71" s="208" t="s">
        <v>122</v>
      </c>
      <c r="K71" s="208" t="str" cm="1">
        <f t="array" ref="K71">_xlfn.IFS(LEFT(J71,2)="PP","PAC",LEFT(J71,3)="PGE","PGE",LEFT(J71,2)="IP","IP",TRUE,"N/A")</f>
        <v>PGE</v>
      </c>
      <c r="L71" s="211">
        <v>9250</v>
      </c>
      <c r="M71" s="208" t="s">
        <v>668</v>
      </c>
      <c r="N71" s="210">
        <v>44894</v>
      </c>
      <c r="O71" s="208" t="s">
        <v>686</v>
      </c>
    </row>
    <row r="72" spans="1:15">
      <c r="B72" s="4" t="s">
        <v>687</v>
      </c>
      <c r="C72" s="6">
        <f>SUM(C41:C71)</f>
        <v>569185.06000000006</v>
      </c>
      <c r="D72" s="6">
        <f t="shared" ref="D72:F72" si="10">SUM(D41:D71)</f>
        <v>490646.45000000007</v>
      </c>
      <c r="E72" s="6">
        <f t="shared" si="10"/>
        <v>16400</v>
      </c>
      <c r="F72" s="6">
        <f t="shared" si="10"/>
        <v>1076231.51</v>
      </c>
      <c r="H72" s="35">
        <v>44866</v>
      </c>
      <c r="I72" s="208" t="s">
        <v>682</v>
      </c>
      <c r="J72" s="208" t="s">
        <v>113</v>
      </c>
      <c r="K72" s="208" t="str" cm="1">
        <f t="array" ref="K72">_xlfn.IFS(LEFT(J72,2)="PP","PAC",LEFT(J72,3)="PGE","PGE",LEFT(J72,2)="IP","IP",TRUE,"N/A")</f>
        <v>PGE</v>
      </c>
      <c r="L72" s="211">
        <v>8750</v>
      </c>
      <c r="M72" s="208" t="s">
        <v>668</v>
      </c>
      <c r="N72" s="210">
        <v>44894</v>
      </c>
      <c r="O72" s="208" t="s">
        <v>686</v>
      </c>
    </row>
    <row r="73" spans="1:15">
      <c r="B73" s="4"/>
      <c r="C73" s="4">
        <f>ROUND(C72/5000,2)</f>
        <v>113.84</v>
      </c>
      <c r="D73" s="4">
        <f t="shared" ref="D73:F73" si="11">ROUND(D72/5000,2)</f>
        <v>98.13</v>
      </c>
      <c r="E73" s="4">
        <f t="shared" si="11"/>
        <v>3.28</v>
      </c>
      <c r="F73" s="4">
        <f t="shared" si="11"/>
        <v>215.25</v>
      </c>
      <c r="H73" s="35">
        <v>44896</v>
      </c>
      <c r="I73" s="208" t="s">
        <v>683</v>
      </c>
      <c r="J73" s="212" t="s">
        <v>688</v>
      </c>
      <c r="K73" s="208" t="str" cm="1">
        <f t="array" ref="K73">_xlfn.IFS(LEFT(J73,2)="PP","PAC",LEFT(J73,3)="PGE","PGE",LEFT(J73,2)="IP","IP",TRUE,"N/A")</f>
        <v>PAC</v>
      </c>
      <c r="L73" s="211">
        <v>3750</v>
      </c>
      <c r="M73" s="212" t="s">
        <v>668</v>
      </c>
      <c r="N73" s="213">
        <v>44747</v>
      </c>
      <c r="O73" s="212" t="s">
        <v>669</v>
      </c>
    </row>
    <row r="74" spans="1:15">
      <c r="H74" s="35">
        <v>44896</v>
      </c>
      <c r="I74" s="212" t="s">
        <v>683</v>
      </c>
      <c r="J74" s="212" t="s">
        <v>689</v>
      </c>
      <c r="K74" s="208" t="str" cm="1">
        <f t="array" ref="K74">_xlfn.IFS(LEFT(J74,2)="PP","PAC",LEFT(J74,3)="PGE","PGE",LEFT(J74,2)="IP","IP",TRUE,"N/A")</f>
        <v>PAC</v>
      </c>
      <c r="L74" s="214">
        <v>3750</v>
      </c>
      <c r="M74" s="212" t="s">
        <v>668</v>
      </c>
      <c r="N74" s="213">
        <v>44860</v>
      </c>
      <c r="O74" s="212" t="s">
        <v>669</v>
      </c>
    </row>
    <row r="75" spans="1:15">
      <c r="H75" s="35">
        <v>44896</v>
      </c>
      <c r="I75" s="208" t="s">
        <v>683</v>
      </c>
      <c r="J75" s="208" t="s">
        <v>130</v>
      </c>
      <c r="K75" s="208" t="str" cm="1">
        <f t="array" ref="K75">_xlfn.IFS(LEFT(J75,2)="PP","PAC",LEFT(J75,3)="PGE","PGE",LEFT(J75,2)="IP","IP",TRUE,"N/A")</f>
        <v>PAC</v>
      </c>
      <c r="L75" s="211">
        <v>825</v>
      </c>
      <c r="M75" s="208" t="s">
        <v>668</v>
      </c>
      <c r="N75" s="210">
        <v>44908</v>
      </c>
      <c r="O75" s="208" t="s">
        <v>690</v>
      </c>
    </row>
    <row r="76" spans="1:15">
      <c r="H76" s="35">
        <v>44896</v>
      </c>
      <c r="I76" s="208" t="s">
        <v>683</v>
      </c>
      <c r="J76" s="208" t="s">
        <v>132</v>
      </c>
      <c r="K76" s="208" t="str" cm="1">
        <f t="array" ref="K76">_xlfn.IFS(LEFT(J76,2)="PP","PAC",LEFT(J76,3)="PGE","PGE",LEFT(J76,2)="IP","IP",TRUE,"N/A")</f>
        <v>PAC</v>
      </c>
      <c r="L76" s="211">
        <v>4410</v>
      </c>
      <c r="M76" s="208" t="s">
        <v>668</v>
      </c>
      <c r="N76" s="210">
        <v>44908</v>
      </c>
      <c r="O76" s="208" t="s">
        <v>690</v>
      </c>
    </row>
    <row r="77" spans="1:15">
      <c r="H77" s="35">
        <v>44896</v>
      </c>
      <c r="I77" s="208" t="s">
        <v>683</v>
      </c>
      <c r="J77" s="208" t="s">
        <v>114</v>
      </c>
      <c r="K77" s="208" t="str" cm="1">
        <f t="array" ref="K77">_xlfn.IFS(LEFT(J77,2)="PP","PAC",LEFT(J77,3)="PGE","PGE",LEFT(J77,2)="IP","IP",TRUE,"N/A")</f>
        <v>PAC</v>
      </c>
      <c r="L77" s="211">
        <v>2835</v>
      </c>
      <c r="M77" s="208" t="s">
        <v>668</v>
      </c>
      <c r="N77" s="210">
        <v>44908</v>
      </c>
      <c r="O77" s="208" t="s">
        <v>690</v>
      </c>
    </row>
    <row r="78" spans="1:15">
      <c r="H78" s="35">
        <v>44896</v>
      </c>
      <c r="I78" s="208" t="s">
        <v>683</v>
      </c>
      <c r="J78" s="208" t="s">
        <v>110</v>
      </c>
      <c r="K78" s="208" t="str" cm="1">
        <f t="array" ref="K78">_xlfn.IFS(LEFT(J78,2)="PP","PAC",LEFT(J78,3)="PGE","PGE",LEFT(J78,2)="IP","IP",TRUE,"N/A")</f>
        <v>PAC</v>
      </c>
      <c r="L78" s="211">
        <v>1800</v>
      </c>
      <c r="M78" s="208" t="s">
        <v>668</v>
      </c>
      <c r="N78" s="210">
        <v>44908</v>
      </c>
      <c r="O78" s="208" t="s">
        <v>690</v>
      </c>
    </row>
    <row r="79" spans="1:15">
      <c r="H79" s="35">
        <v>44896</v>
      </c>
      <c r="I79" s="208" t="s">
        <v>683</v>
      </c>
      <c r="J79" s="208" t="s">
        <v>121</v>
      </c>
      <c r="K79" s="208" t="str" cm="1">
        <f t="array" ref="K79">_xlfn.IFS(LEFT(J79,2)="PP","PAC",LEFT(J79,3)="PGE","PGE",LEFT(J79,2)="IP","IP",TRUE,"N/A")</f>
        <v>PGE</v>
      </c>
      <c r="L79" s="211">
        <v>9731.16</v>
      </c>
      <c r="M79" s="208" t="s">
        <v>668</v>
      </c>
      <c r="N79" s="210">
        <v>44908</v>
      </c>
      <c r="O79" s="208" t="s">
        <v>690</v>
      </c>
    </row>
    <row r="80" spans="1:15">
      <c r="I80" s="206">
        <v>2023</v>
      </c>
      <c r="J80" s="206" t="s">
        <v>661</v>
      </c>
      <c r="K80" s="208" t="str" cm="1">
        <f t="array" ref="K80">_xlfn.IFS(LEFT(J80,2)="PP","PAC",LEFT(J80,3)="PGE","PGE",LEFT(J80,2)="IP","IP",TRUE,"N/A")</f>
        <v>N/A</v>
      </c>
      <c r="L80" s="206" t="s">
        <v>662</v>
      </c>
      <c r="M80" s="206" t="s">
        <v>663</v>
      </c>
      <c r="N80" s="206" t="s">
        <v>664</v>
      </c>
      <c r="O80" s="206" t="s">
        <v>665</v>
      </c>
    </row>
    <row r="81" spans="8:15">
      <c r="H81" s="35">
        <v>44927</v>
      </c>
      <c r="I81" s="208" t="s">
        <v>666</v>
      </c>
      <c r="J81" s="208" t="s">
        <v>673</v>
      </c>
      <c r="K81" s="208" t="str" cm="1">
        <f t="array" ref="K81">_xlfn.IFS(LEFT(J81,2)="PP","PAC",LEFT(J81,3)="PGE","PGE",LEFT(J81,2)="IP","IP",TRUE,"N/A")</f>
        <v>N/A</v>
      </c>
      <c r="L81" s="208"/>
      <c r="M81" s="208"/>
      <c r="N81" s="208"/>
      <c r="O81" s="208"/>
    </row>
    <row r="82" spans="8:15">
      <c r="H82" s="35">
        <v>44958</v>
      </c>
      <c r="I82" s="208" t="s">
        <v>670</v>
      </c>
      <c r="J82" s="208" t="s">
        <v>673</v>
      </c>
      <c r="K82" s="208" t="str" cm="1">
        <f t="array" ref="K82">_xlfn.IFS(LEFT(J82,2)="PP","PAC",LEFT(J82,3)="PGE","PGE",LEFT(J82,2)="IP","IP",TRUE,"N/A")</f>
        <v>N/A</v>
      </c>
      <c r="L82" s="208"/>
      <c r="M82" s="208"/>
      <c r="N82" s="208"/>
      <c r="O82" s="208"/>
    </row>
    <row r="83" spans="8:15">
      <c r="H83" s="35">
        <v>44986</v>
      </c>
      <c r="I83" s="208" t="s">
        <v>672</v>
      </c>
      <c r="J83" s="208" t="s">
        <v>673</v>
      </c>
      <c r="K83" s="208" t="str" cm="1">
        <f t="array" ref="K83">_xlfn.IFS(LEFT(J83,2)="PP","PAC",LEFT(J83,3)="PGE","PGE",LEFT(J83,2)="IP","IP",TRUE,"N/A")</f>
        <v>N/A</v>
      </c>
      <c r="L83" s="208"/>
      <c r="M83" s="208"/>
      <c r="N83" s="208"/>
      <c r="O83" s="208"/>
    </row>
    <row r="84" spans="8:15">
      <c r="H84" s="35">
        <v>45017</v>
      </c>
      <c r="I84" s="208" t="s">
        <v>674</v>
      </c>
      <c r="J84" s="208" t="s">
        <v>673</v>
      </c>
      <c r="K84" s="208" t="str" cm="1">
        <f t="array" ref="K84">_xlfn.IFS(LEFT(J84,2)="PP","PAC",LEFT(J84,3)="PGE","PGE",LEFT(J84,2)="IP","IP",TRUE,"N/A")</f>
        <v>N/A</v>
      </c>
      <c r="L84" s="208"/>
      <c r="M84" s="208"/>
      <c r="N84" s="208"/>
      <c r="O84" s="208"/>
    </row>
    <row r="85" spans="8:15">
      <c r="H85" s="35">
        <v>45047</v>
      </c>
      <c r="I85" s="208" t="s">
        <v>60</v>
      </c>
      <c r="J85" s="208" t="s">
        <v>673</v>
      </c>
      <c r="K85" s="208" t="str" cm="1">
        <f t="array" ref="K85">_xlfn.IFS(LEFT(J85,2)="PP","PAC",LEFT(J85,3)="PGE","PGE",LEFT(J85,2)="IP","IP",TRUE,"N/A")</f>
        <v>N/A</v>
      </c>
      <c r="L85" s="208"/>
      <c r="M85" s="208"/>
      <c r="N85" s="208"/>
      <c r="O85" s="208"/>
    </row>
    <row r="86" spans="8:15">
      <c r="H86" s="35">
        <v>45078</v>
      </c>
      <c r="I86" s="208" t="s">
        <v>675</v>
      </c>
      <c r="J86" s="208" t="s">
        <v>673</v>
      </c>
      <c r="K86" s="208" t="str" cm="1">
        <f t="array" ref="K86">_xlfn.IFS(LEFT(J86,2)="PP","PAC",LEFT(J86,3)="PGE","PGE",LEFT(J86,2)="IP","IP",TRUE,"N/A")</f>
        <v>N/A</v>
      </c>
      <c r="L86" s="208"/>
      <c r="M86" s="208"/>
      <c r="N86" s="208"/>
      <c r="O86" s="208"/>
    </row>
    <row r="87" spans="8:15">
      <c r="H87" s="35">
        <v>45108</v>
      </c>
      <c r="I87" s="208" t="s">
        <v>676</v>
      </c>
      <c r="J87" s="208" t="s">
        <v>673</v>
      </c>
      <c r="K87" s="208" t="str" cm="1">
        <f t="array" ref="K87">_xlfn.IFS(LEFT(J87,2)="PP","PAC",LEFT(J87,3)="PGE","PGE",LEFT(J87,2)="IP","IP",TRUE,"N/A")</f>
        <v>N/A</v>
      </c>
      <c r="L87" s="208"/>
      <c r="M87" s="208"/>
      <c r="N87" s="208"/>
      <c r="O87" s="208"/>
    </row>
    <row r="88" spans="8:15">
      <c r="H88" s="35">
        <v>45139</v>
      </c>
      <c r="I88" s="208" t="s">
        <v>691</v>
      </c>
      <c r="J88" s="208" t="s">
        <v>673</v>
      </c>
      <c r="K88" s="208" t="str" cm="1">
        <f t="array" ref="K88">_xlfn.IFS(LEFT(J88,2)="PP","PAC",LEFT(J88,3)="PGE","PGE",LEFT(J88,2)="IP","IP",TRUE,"N/A")</f>
        <v>N/A</v>
      </c>
      <c r="L88" s="208"/>
      <c r="M88" s="208"/>
      <c r="N88" s="208"/>
      <c r="O88" s="208"/>
    </row>
    <row r="89" spans="8:15">
      <c r="H89" s="35">
        <v>45170</v>
      </c>
      <c r="I89" s="208" t="s">
        <v>678</v>
      </c>
      <c r="J89" s="208" t="s">
        <v>673</v>
      </c>
      <c r="K89" s="208" t="str" cm="1">
        <f t="array" ref="K89">_xlfn.IFS(LEFT(J89,2)="PP","PAC",LEFT(J89,3)="PGE","PGE",LEFT(J89,2)="IP","IP",TRUE,"N/A")</f>
        <v>N/A</v>
      </c>
      <c r="L89" s="208"/>
      <c r="M89" s="208"/>
      <c r="N89" s="208"/>
      <c r="O89" s="208"/>
    </row>
    <row r="90" spans="8:15">
      <c r="H90" s="35">
        <v>45200</v>
      </c>
      <c r="I90" s="208" t="s">
        <v>679</v>
      </c>
      <c r="J90" s="208" t="s">
        <v>134</v>
      </c>
      <c r="K90" s="208" t="str" cm="1">
        <f t="array" ref="K90">_xlfn.IFS(LEFT(J90,2)="PP","PAC",LEFT(J90,3)="PGE","PGE",LEFT(J90,2)="IP","IP",TRUE,"N/A")</f>
        <v>PAC</v>
      </c>
      <c r="L90" s="211">
        <v>7000</v>
      </c>
      <c r="M90" s="208" t="s">
        <v>668</v>
      </c>
      <c r="N90" s="210">
        <v>45216</v>
      </c>
      <c r="O90" s="208" t="s">
        <v>692</v>
      </c>
    </row>
    <row r="91" spans="8:15">
      <c r="H91" s="35">
        <v>45200</v>
      </c>
      <c r="I91" s="208" t="s">
        <v>679</v>
      </c>
      <c r="J91" s="208" t="s">
        <v>135</v>
      </c>
      <c r="K91" s="208" t="str" cm="1">
        <f t="array" ref="K91">_xlfn.IFS(LEFT(J91,2)="PP","PAC",LEFT(J91,3)="PGE","PGE",LEFT(J91,2)="IP","IP",TRUE,"N/A")</f>
        <v>PAC</v>
      </c>
      <c r="L91" s="211">
        <v>4890</v>
      </c>
      <c r="M91" s="208" t="s">
        <v>668</v>
      </c>
      <c r="N91" s="210">
        <v>45216</v>
      </c>
      <c r="O91" s="208" t="s">
        <v>692</v>
      </c>
    </row>
    <row r="92" spans="8:15">
      <c r="H92" s="35">
        <v>45231</v>
      </c>
      <c r="I92" s="208" t="s">
        <v>682</v>
      </c>
      <c r="J92" s="208" t="s">
        <v>673</v>
      </c>
      <c r="K92" s="208" t="str" cm="1">
        <f t="array" ref="K92">_xlfn.IFS(LEFT(J92,2)="PP","PAC",LEFT(J92,3)="PGE","PGE",LEFT(J92,2)="IP","IP",TRUE,"N/A")</f>
        <v>N/A</v>
      </c>
      <c r="L92" s="208"/>
      <c r="M92" s="208"/>
      <c r="N92" s="208"/>
      <c r="O92" s="208"/>
    </row>
    <row r="93" spans="8:15">
      <c r="H93" s="35">
        <v>45261</v>
      </c>
      <c r="I93" s="208" t="s">
        <v>683</v>
      </c>
      <c r="J93" s="208" t="s">
        <v>117</v>
      </c>
      <c r="K93" s="208" t="str" cm="1">
        <f t="array" ref="K93">_xlfn.IFS(LEFT(J93,2)="PP","PAC",LEFT(J93,3)="PGE","PGE",LEFT(J93,2)="IP","IP",TRUE,"N/A")</f>
        <v>PAC</v>
      </c>
      <c r="L93" s="211">
        <v>14000</v>
      </c>
      <c r="M93" s="208" t="s">
        <v>668</v>
      </c>
      <c r="N93" s="210">
        <v>45288</v>
      </c>
      <c r="O93" s="208" t="s">
        <v>693</v>
      </c>
    </row>
    <row r="94" spans="8:15">
      <c r="I94" s="206">
        <v>2024</v>
      </c>
      <c r="J94" s="206" t="s">
        <v>661</v>
      </c>
      <c r="K94" s="208" t="str" cm="1">
        <f t="array" ref="K94">_xlfn.IFS(LEFT(J94,2)="PP","PAC",LEFT(J94,3)="PGE","PGE",LEFT(J94,2)="IP","IP",TRUE,"N/A")</f>
        <v>N/A</v>
      </c>
      <c r="L94" s="206" t="s">
        <v>662</v>
      </c>
      <c r="M94" s="206" t="s">
        <v>663</v>
      </c>
      <c r="N94" s="206" t="s">
        <v>664</v>
      </c>
      <c r="O94" s="206" t="s">
        <v>665</v>
      </c>
    </row>
    <row r="95" spans="8:15">
      <c r="H95" s="35">
        <v>45292</v>
      </c>
      <c r="I95" s="208" t="s">
        <v>666</v>
      </c>
      <c r="J95" s="208" t="s">
        <v>673</v>
      </c>
      <c r="K95" s="208" t="str" cm="1">
        <f t="array" ref="K95">_xlfn.IFS(LEFT(J95,2)="PP","PAC",LEFT(J95,3)="PGE","PGE",LEFT(J95,2)="IP","IP",TRUE,"N/A")</f>
        <v>N/A</v>
      </c>
      <c r="L95" s="208"/>
      <c r="M95" s="208"/>
      <c r="N95" s="208"/>
      <c r="O95" s="208"/>
    </row>
    <row r="96" spans="8:15">
      <c r="H96" s="35">
        <v>45323</v>
      </c>
      <c r="I96" s="208" t="s">
        <v>670</v>
      </c>
      <c r="J96" s="208" t="s">
        <v>673</v>
      </c>
      <c r="K96" s="208" t="str" cm="1">
        <f t="array" ref="K96">_xlfn.IFS(LEFT(J96,2)="PP","PAC",LEFT(J96,3)="PGE","PGE",LEFT(J96,2)="IP","IP",TRUE,"N/A")</f>
        <v>N/A</v>
      </c>
      <c r="L96" s="208"/>
      <c r="M96" s="208"/>
      <c r="N96" s="208"/>
      <c r="O96" s="208"/>
    </row>
    <row r="97" spans="8:15">
      <c r="H97" s="35">
        <v>45352</v>
      </c>
      <c r="I97" s="208" t="s">
        <v>672</v>
      </c>
      <c r="J97" s="208" t="s">
        <v>673</v>
      </c>
      <c r="K97" s="208" t="str" cm="1">
        <f t="array" ref="K97">_xlfn.IFS(LEFT(J97,2)="PP","PAC",LEFT(J97,3)="PGE","PGE",LEFT(J97,2)="IP","IP",TRUE,"N/A")</f>
        <v>N/A</v>
      </c>
      <c r="L97" s="208"/>
      <c r="M97" s="208"/>
      <c r="N97" s="208"/>
      <c r="O97" s="208"/>
    </row>
    <row r="98" spans="8:15">
      <c r="H98" s="35">
        <v>45383</v>
      </c>
      <c r="I98" s="208" t="s">
        <v>674</v>
      </c>
      <c r="J98" s="208" t="s">
        <v>694</v>
      </c>
      <c r="K98" s="208" t="str" cm="1">
        <f t="array" ref="K98">_xlfn.IFS(LEFT(J98,2)="PP","PAC",LEFT(J98,3)="PGE","PGE",LEFT(J98,2)="IP","IP",TRUE,"N/A")</f>
        <v>PGE</v>
      </c>
      <c r="L98" s="211">
        <v>4500</v>
      </c>
      <c r="M98" s="208" t="s">
        <v>668</v>
      </c>
      <c r="N98" s="210">
        <v>45391</v>
      </c>
      <c r="O98" s="212" t="s">
        <v>669</v>
      </c>
    </row>
    <row r="99" spans="8:15">
      <c r="H99" s="35">
        <v>45413</v>
      </c>
      <c r="I99" s="208" t="s">
        <v>60</v>
      </c>
      <c r="J99" s="208" t="s">
        <v>126</v>
      </c>
      <c r="K99" s="208" t="str" cm="1">
        <f t="array" ref="K99">_xlfn.IFS(LEFT(J99,2)="PP","PAC",LEFT(J99,3)="PGE","PGE",LEFT(J99,2)="IP","IP",TRUE,"N/A")</f>
        <v>PGE</v>
      </c>
      <c r="L99" s="211">
        <v>1500</v>
      </c>
      <c r="M99" s="208" t="s">
        <v>668</v>
      </c>
      <c r="N99" s="210">
        <v>45429</v>
      </c>
      <c r="O99" s="208" t="s">
        <v>695</v>
      </c>
    </row>
    <row r="100" spans="8:15">
      <c r="H100" s="35">
        <v>45444</v>
      </c>
      <c r="I100" s="208" t="s">
        <v>675</v>
      </c>
      <c r="J100" s="208" t="s">
        <v>136</v>
      </c>
      <c r="K100" s="208" t="str" cm="1">
        <f t="array" ref="K100">_xlfn.IFS(LEFT(J100,2)="PP","PAC",LEFT(J100,3)="PGE","PGE",LEFT(J100,2)="IP","IP",TRUE,"N/A")</f>
        <v>IP</v>
      </c>
      <c r="L100" s="211">
        <v>14750</v>
      </c>
      <c r="M100" s="208" t="s">
        <v>668</v>
      </c>
      <c r="N100" s="210">
        <v>45455</v>
      </c>
      <c r="O100" s="208" t="s">
        <v>696</v>
      </c>
    </row>
    <row r="101" spans="8:15">
      <c r="H101" s="35">
        <v>45444</v>
      </c>
      <c r="I101" s="208" t="s">
        <v>675</v>
      </c>
      <c r="J101" s="208" t="s">
        <v>133</v>
      </c>
      <c r="K101" s="208" t="str" cm="1">
        <f t="array" ref="K101">_xlfn.IFS(LEFT(J101,2)="PP","PAC",LEFT(J101,3)="PGE","PGE",LEFT(J101,2)="IP","IP",TRUE,"N/A")</f>
        <v>PAC</v>
      </c>
      <c r="L101" s="211">
        <v>11250</v>
      </c>
      <c r="M101" s="208" t="s">
        <v>668</v>
      </c>
      <c r="N101" s="210">
        <v>45455</v>
      </c>
      <c r="O101" s="208" t="s">
        <v>696</v>
      </c>
    </row>
    <row r="102" spans="8:15">
      <c r="H102" s="35">
        <v>45444</v>
      </c>
      <c r="I102" s="208" t="s">
        <v>675</v>
      </c>
      <c r="J102" s="208" t="s">
        <v>162</v>
      </c>
      <c r="K102" s="208" t="str" cm="1">
        <f t="array" ref="K102">_xlfn.IFS(LEFT(J102,2)="PP","PAC",LEFT(J102,3)="PGE","PGE",LEFT(J102,2)="IP","IP",TRUE,"N/A")</f>
        <v>PGE</v>
      </c>
      <c r="L102" s="211">
        <v>14850</v>
      </c>
      <c r="M102" s="208" t="s">
        <v>668</v>
      </c>
      <c r="N102" s="210">
        <v>45468</v>
      </c>
      <c r="O102" s="208" t="s">
        <v>696</v>
      </c>
    </row>
    <row r="103" spans="8:15">
      <c r="H103" s="35">
        <v>45444</v>
      </c>
      <c r="I103" s="208" t="s">
        <v>675</v>
      </c>
      <c r="J103" s="208" t="s">
        <v>169</v>
      </c>
      <c r="K103" s="208" t="str" cm="1">
        <f t="array" ref="K103">_xlfn.IFS(LEFT(J103,2)="PP","PAC",LEFT(J103,3)="PGE","PGE",LEFT(J103,2)="IP","IP",TRUE,"N/A")</f>
        <v>PAC</v>
      </c>
      <c r="L103" s="211">
        <v>14375</v>
      </c>
      <c r="M103" s="208" t="s">
        <v>668</v>
      </c>
      <c r="N103" s="210">
        <v>45468</v>
      </c>
      <c r="O103" s="208" t="s">
        <v>696</v>
      </c>
    </row>
    <row r="104" spans="8:15">
      <c r="H104" s="35">
        <v>45444</v>
      </c>
      <c r="I104" s="208" t="s">
        <v>675</v>
      </c>
      <c r="J104" s="208" t="s">
        <v>174</v>
      </c>
      <c r="K104" s="208" t="str" cm="1">
        <f t="array" ref="K104">_xlfn.IFS(LEFT(J104,2)="PP","PAC",LEFT(J104,3)="PGE","PGE",LEFT(J104,2)="IP","IP",TRUE,"N/A")</f>
        <v>PGE</v>
      </c>
      <c r="L104" s="211">
        <v>15000</v>
      </c>
      <c r="M104" s="208" t="s">
        <v>668</v>
      </c>
      <c r="N104" s="210">
        <v>45468</v>
      </c>
      <c r="O104" s="208" t="s">
        <v>696</v>
      </c>
    </row>
    <row r="105" spans="8:15">
      <c r="H105" s="35">
        <v>45474</v>
      </c>
      <c r="I105" s="208" t="s">
        <v>676</v>
      </c>
      <c r="J105" s="208" t="s">
        <v>172</v>
      </c>
      <c r="K105" s="208" t="str" cm="1">
        <f t="array" ref="K105">_xlfn.IFS(LEFT(J105,2)="PP","PAC",LEFT(J105,3)="PGE","PGE",LEFT(J105,2)="IP","IP",TRUE,"N/A")</f>
        <v>PAC</v>
      </c>
      <c r="L105" s="211">
        <v>6750</v>
      </c>
      <c r="M105" s="208" t="s">
        <v>668</v>
      </c>
      <c r="N105" s="210">
        <v>45483</v>
      </c>
      <c r="O105" s="208" t="s">
        <v>697</v>
      </c>
    </row>
    <row r="106" spans="8:15">
      <c r="H106" s="35">
        <v>45474</v>
      </c>
      <c r="I106" s="208" t="s">
        <v>676</v>
      </c>
      <c r="J106" s="208" t="s">
        <v>168</v>
      </c>
      <c r="K106" s="208" t="str" cm="1">
        <f t="array" ref="K106">_xlfn.IFS(LEFT(J106,2)="PP","PAC",LEFT(J106,3)="PGE","PGE",LEFT(J106,2)="IP","IP",TRUE,"N/A")</f>
        <v>PAC</v>
      </c>
      <c r="L106" s="211">
        <v>1795</v>
      </c>
      <c r="M106" s="208" t="s">
        <v>668</v>
      </c>
      <c r="N106" s="210">
        <v>45483</v>
      </c>
      <c r="O106" s="208" t="s">
        <v>697</v>
      </c>
    </row>
    <row r="107" spans="8:15">
      <c r="H107" s="35">
        <v>45505</v>
      </c>
      <c r="I107" s="67" t="s">
        <v>691</v>
      </c>
      <c r="J107" s="67" t="s">
        <v>673</v>
      </c>
      <c r="K107" s="208" t="str" cm="1">
        <f t="array" ref="K107">_xlfn.IFS(LEFT(J107,2)="PP","PAC",LEFT(J107,3)="PGE","PGE",LEFT(J107,2)="IP","IP",TRUE,"N/A")</f>
        <v>N/A</v>
      </c>
      <c r="L107" s="3"/>
      <c r="M107" s="67"/>
      <c r="N107" s="67"/>
      <c r="O107" s="67"/>
    </row>
    <row r="108" spans="8:15">
      <c r="H108" s="35">
        <v>45536</v>
      </c>
      <c r="I108" s="67" t="s">
        <v>698</v>
      </c>
      <c r="J108" s="67" t="s">
        <v>673</v>
      </c>
      <c r="K108" s="208" t="str" cm="1">
        <f t="array" ref="K108">_xlfn.IFS(LEFT(J108,2)="PP","PAC",LEFT(J108,3)="PGE","PGE",LEFT(J108,2)="IP","IP",TRUE,"N/A")</f>
        <v>N/A</v>
      </c>
      <c r="L108" s="3"/>
      <c r="M108" s="67"/>
      <c r="N108" s="67"/>
      <c r="O108" s="67"/>
    </row>
    <row r="109" spans="8:15">
      <c r="H109" s="35">
        <v>45566</v>
      </c>
      <c r="I109" s="67" t="s">
        <v>679</v>
      </c>
      <c r="J109" s="67" t="s">
        <v>699</v>
      </c>
      <c r="K109" s="208" t="str" cm="1">
        <f t="array" ref="K109">_xlfn.IFS(LEFT(J109,2)="PP","PAC",LEFT(J109,3)="PGE","PGE",LEFT(J109,2)="IP","IP",TRUE,"N/A")</f>
        <v>PAC</v>
      </c>
      <c r="L109" s="3">
        <v>2187.5</v>
      </c>
      <c r="M109" s="67" t="s">
        <v>668</v>
      </c>
      <c r="N109" s="67">
        <v>45581</v>
      </c>
      <c r="O109" s="67" t="s">
        <v>669</v>
      </c>
    </row>
    <row r="110" spans="8:15">
      <c r="H110" s="35">
        <v>45566</v>
      </c>
      <c r="I110" s="67" t="s">
        <v>679</v>
      </c>
      <c r="J110" s="67" t="s">
        <v>156</v>
      </c>
      <c r="K110" s="208" t="str" cm="1">
        <f t="array" ref="K110">_xlfn.IFS(LEFT(J110,2)="PP","PAC",LEFT(J110,3)="PGE","PGE",LEFT(J110,2)="IP","IP",TRUE,"N/A")</f>
        <v>PAC</v>
      </c>
      <c r="L110" s="3">
        <v>11250</v>
      </c>
      <c r="M110" s="67" t="s">
        <v>668</v>
      </c>
      <c r="N110" s="67">
        <v>45595</v>
      </c>
      <c r="O110" s="67" t="s">
        <v>700</v>
      </c>
    </row>
    <row r="111" spans="8:15">
      <c r="H111" s="35">
        <v>45566</v>
      </c>
      <c r="I111" s="67" t="s">
        <v>679</v>
      </c>
      <c r="J111" s="67" t="s">
        <v>171</v>
      </c>
      <c r="K111" s="208" t="str" cm="1">
        <f t="array" ref="K111">_xlfn.IFS(LEFT(J111,2)="PP","PAC",LEFT(J111,3)="PGE","PGE",LEFT(J111,2)="IP","IP",TRUE,"N/A")</f>
        <v>PAC</v>
      </c>
      <c r="L111" s="3">
        <v>11250</v>
      </c>
      <c r="M111" s="67" t="s">
        <v>668</v>
      </c>
      <c r="N111" s="67">
        <v>45595</v>
      </c>
      <c r="O111" s="67" t="s">
        <v>700</v>
      </c>
    </row>
    <row r="112" spans="8:15">
      <c r="H112" s="35">
        <v>45566</v>
      </c>
      <c r="I112" s="67" t="s">
        <v>679</v>
      </c>
      <c r="J112" s="67" t="s">
        <v>167</v>
      </c>
      <c r="K112" s="208" t="str" cm="1">
        <f t="array" ref="K112">_xlfn.IFS(LEFT(J112,2)="PP","PAC",LEFT(J112,3)="PGE","PGE",LEFT(J112,2)="IP","IP",TRUE,"N/A")</f>
        <v>PGE</v>
      </c>
      <c r="L112" s="70">
        <v>12825</v>
      </c>
      <c r="M112" s="67" t="s">
        <v>668</v>
      </c>
      <c r="N112" s="67">
        <v>45595</v>
      </c>
      <c r="O112" s="67" t="s">
        <v>700</v>
      </c>
    </row>
    <row r="113" spans="8:15">
      <c r="H113" s="35">
        <v>45566</v>
      </c>
      <c r="I113" s="67" t="s">
        <v>679</v>
      </c>
      <c r="J113" s="67" t="s">
        <v>157</v>
      </c>
      <c r="K113" s="208" t="str" cm="1">
        <f t="array" ref="K113">_xlfn.IFS(LEFT(J113,2)="PP","PAC",LEFT(J113,3)="PGE","PGE",LEFT(J113,2)="IP","IP",TRUE,"N/A")</f>
        <v>PAC</v>
      </c>
      <c r="L113" s="3">
        <v>4854.7</v>
      </c>
      <c r="M113" s="67" t="s">
        <v>668</v>
      </c>
      <c r="N113" s="67">
        <v>45595</v>
      </c>
      <c r="O113" s="67" t="s">
        <v>700</v>
      </c>
    </row>
    <row r="114" spans="8:15">
      <c r="H114" s="35">
        <v>45292</v>
      </c>
      <c r="I114" s="67" t="s">
        <v>682</v>
      </c>
      <c r="J114" s="67" t="s">
        <v>673</v>
      </c>
      <c r="K114" s="208" t="str" cm="1">
        <f t="array" ref="K114">_xlfn.IFS(LEFT(J114,2)="PP","PAC",LEFT(J114,3)="PGE","PGE",LEFT(J114,2)="IP","IP",TRUE,"N/A")</f>
        <v>N/A</v>
      </c>
      <c r="L114" s="3"/>
      <c r="M114" s="67"/>
      <c r="N114" s="67"/>
      <c r="O114" s="67"/>
    </row>
    <row r="115" spans="8:15">
      <c r="H115" s="35">
        <v>45627</v>
      </c>
      <c r="I115" s="67" t="s">
        <v>683</v>
      </c>
      <c r="J115" s="67" t="s">
        <v>160</v>
      </c>
      <c r="K115" s="208" t="str" cm="1">
        <f t="array" ref="K115">_xlfn.IFS(LEFT(J115,2)="PP","PAC",LEFT(J115,3)="PGE","PGE",LEFT(J115,2)="IP","IP",TRUE,"N/A")</f>
        <v>PGE</v>
      </c>
      <c r="L115" s="3">
        <v>9900</v>
      </c>
      <c r="M115" s="67" t="s">
        <v>668</v>
      </c>
      <c r="N115" s="67">
        <v>45637</v>
      </c>
      <c r="O115" s="67" t="s">
        <v>701</v>
      </c>
    </row>
    <row r="116" spans="8:15">
      <c r="H116" s="35">
        <v>45627</v>
      </c>
      <c r="I116" s="67" t="s">
        <v>683</v>
      </c>
      <c r="J116" s="67" t="s">
        <v>161</v>
      </c>
      <c r="K116" s="208" t="str" cm="1">
        <f t="array" ref="K116">_xlfn.IFS(LEFT(J116,2)="PP","PAC",LEFT(J116,3)="PGE","PGE",LEFT(J116,2)="IP","IP",TRUE,"N/A")</f>
        <v>PGE</v>
      </c>
      <c r="L116" s="3">
        <v>14850</v>
      </c>
      <c r="M116" s="67" t="s">
        <v>668</v>
      </c>
      <c r="N116" s="67">
        <v>45637</v>
      </c>
      <c r="O116" s="67" t="s">
        <v>701</v>
      </c>
    </row>
    <row r="117" spans="8:15">
      <c r="H117" s="35">
        <v>45627</v>
      </c>
      <c r="I117" s="67" t="s">
        <v>683</v>
      </c>
      <c r="J117" s="67" t="s">
        <v>151</v>
      </c>
      <c r="K117" s="208" t="str" cm="1">
        <f t="array" ref="K117">_xlfn.IFS(LEFT(J117,2)="PP","PAC",LEFT(J117,3)="PGE","PGE",LEFT(J117,2)="IP","IP",TRUE,"N/A")</f>
        <v>PAC</v>
      </c>
      <c r="L117" s="3">
        <v>14950</v>
      </c>
      <c r="M117" s="67" t="s">
        <v>668</v>
      </c>
      <c r="N117" s="67">
        <v>45637</v>
      </c>
      <c r="O117" s="67" t="s">
        <v>701</v>
      </c>
    </row>
    <row r="118" spans="8:15">
      <c r="H118" s="35">
        <v>45627</v>
      </c>
      <c r="I118" s="67" t="s">
        <v>683</v>
      </c>
      <c r="J118" s="67" t="s">
        <v>145</v>
      </c>
      <c r="K118" s="208" t="str" cm="1">
        <f t="array" ref="K118">_xlfn.IFS(LEFT(J118,2)="PP","PAC",LEFT(J118,3)="PGE","PGE",LEFT(J118,2)="IP","IP",TRUE,"N/A")</f>
        <v>PGE</v>
      </c>
      <c r="L118" s="3">
        <v>12500</v>
      </c>
      <c r="M118" s="67" t="s">
        <v>668</v>
      </c>
      <c r="N118" s="67">
        <v>45637</v>
      </c>
      <c r="O118" s="67" t="s">
        <v>701</v>
      </c>
    </row>
    <row r="119" spans="8:15">
      <c r="H119" s="35">
        <v>45627</v>
      </c>
      <c r="I119" s="67" t="s">
        <v>683</v>
      </c>
      <c r="J119" s="67" t="s">
        <v>148</v>
      </c>
      <c r="K119" s="208" t="str" cm="1">
        <f t="array" ref="K119">_xlfn.IFS(LEFT(J119,2)="PP","PAC",LEFT(J119,3)="PGE","PGE",LEFT(J119,2)="IP","IP",TRUE,"N/A")</f>
        <v>PGE</v>
      </c>
      <c r="L119" s="3">
        <v>12500</v>
      </c>
      <c r="M119" s="67" t="s">
        <v>668</v>
      </c>
      <c r="N119" s="67">
        <v>45637</v>
      </c>
      <c r="O119" s="67" t="s">
        <v>701</v>
      </c>
    </row>
    <row r="120" spans="8:15">
      <c r="H120" s="35">
        <v>45627</v>
      </c>
      <c r="I120" s="67" t="s">
        <v>683</v>
      </c>
      <c r="J120" s="67" t="s">
        <v>166</v>
      </c>
      <c r="K120" s="208" t="str" cm="1">
        <f t="array" ref="K120">_xlfn.IFS(LEFT(J120,2)="PP","PAC",LEFT(J120,3)="PGE","PGE",LEFT(J120,2)="IP","IP",TRUE,"N/A")</f>
        <v>PGE</v>
      </c>
      <c r="L120" s="3">
        <v>12500</v>
      </c>
      <c r="M120" s="67" t="s">
        <v>668</v>
      </c>
      <c r="N120" s="67">
        <v>45637</v>
      </c>
      <c r="O120" s="67" t="s">
        <v>701</v>
      </c>
    </row>
    <row r="121" spans="8:15">
      <c r="H121" s="35">
        <v>45627</v>
      </c>
      <c r="I121" s="67" t="s">
        <v>683</v>
      </c>
      <c r="J121" s="67" t="s">
        <v>149</v>
      </c>
      <c r="K121" s="208" t="str" cm="1">
        <f t="array" ref="K121">_xlfn.IFS(LEFT(J121,2)="PP","PAC",LEFT(J121,3)="PGE","PGE",LEFT(J121,2)="IP","IP",TRUE,"N/A")</f>
        <v>PGE</v>
      </c>
      <c r="L121" s="3">
        <v>8750</v>
      </c>
      <c r="M121" s="67" t="s">
        <v>668</v>
      </c>
      <c r="N121" s="67">
        <v>45637</v>
      </c>
      <c r="O121" s="67" t="s">
        <v>701</v>
      </c>
    </row>
    <row r="122" spans="8:15">
      <c r="H122" s="35">
        <v>45627</v>
      </c>
      <c r="I122" s="67" t="s">
        <v>683</v>
      </c>
      <c r="J122" s="67" t="s">
        <v>158</v>
      </c>
      <c r="K122" s="208" t="str" cm="1">
        <f t="array" ref="K122">_xlfn.IFS(LEFT(J122,2)="PP","PAC",LEFT(J122,3)="PGE","PGE",LEFT(J122,2)="IP","IP",TRUE,"N/A")</f>
        <v>PGE</v>
      </c>
      <c r="L122" s="3">
        <v>6300</v>
      </c>
      <c r="M122" s="67" t="s">
        <v>668</v>
      </c>
      <c r="N122" s="67">
        <v>45637</v>
      </c>
      <c r="O122" s="67" t="s">
        <v>701</v>
      </c>
    </row>
    <row r="123" spans="8:15">
      <c r="I123" s="261">
        <v>2025</v>
      </c>
      <c r="J123" s="262" t="s">
        <v>661</v>
      </c>
      <c r="K123" s="208" t="str" cm="1">
        <f t="array" ref="K123">_xlfn.IFS(LEFT(J123,2)="PP","PAC",LEFT(J123,3)="PGE","PGE",LEFT(J123,2)="IP","IP",TRUE,"N/A")</f>
        <v>N/A</v>
      </c>
      <c r="L123" s="261" t="s">
        <v>662</v>
      </c>
      <c r="M123" s="261" t="s">
        <v>663</v>
      </c>
      <c r="N123" s="261" t="s">
        <v>664</v>
      </c>
      <c r="O123" s="261" t="s">
        <v>665</v>
      </c>
    </row>
    <row r="124" spans="8:15">
      <c r="H124" s="35">
        <v>45658</v>
      </c>
      <c r="I124" s="67" t="s">
        <v>666</v>
      </c>
      <c r="J124" s="67" t="s">
        <v>165</v>
      </c>
      <c r="K124" s="208" t="str" cm="1">
        <f t="array" ref="K124">_xlfn.IFS(LEFT(J124,2)="PP","PAC",LEFT(J124,3)="PGE","PGE",LEFT(J124,2)="IP","IP",TRUE,"N/A")</f>
        <v>PGE</v>
      </c>
      <c r="L124" s="3">
        <v>14850</v>
      </c>
      <c r="M124" s="67" t="s">
        <v>668</v>
      </c>
      <c r="N124" s="67">
        <v>45678</v>
      </c>
      <c r="O124" s="67" t="s">
        <v>702</v>
      </c>
    </row>
    <row r="125" spans="8:15">
      <c r="H125" s="35">
        <v>45658</v>
      </c>
      <c r="I125" s="67" t="s">
        <v>703</v>
      </c>
      <c r="J125" s="67" t="s">
        <v>164</v>
      </c>
      <c r="K125" s="208" t="str" cm="1">
        <f t="array" ref="K125">_xlfn.IFS(LEFT(J125,2)="PP","PAC",LEFT(J125,3)="PGE","PGE",LEFT(J125,2)="IP","IP",TRUE,"N/A")</f>
        <v>PAC</v>
      </c>
      <c r="L125" s="3">
        <v>14375</v>
      </c>
      <c r="M125" s="67" t="s">
        <v>668</v>
      </c>
      <c r="N125" s="67">
        <v>45678</v>
      </c>
      <c r="O125" s="67" t="s">
        <v>702</v>
      </c>
    </row>
    <row r="126" spans="8:15">
      <c r="H126" s="35">
        <v>45658</v>
      </c>
      <c r="I126" s="67" t="s">
        <v>666</v>
      </c>
      <c r="J126" s="67" t="s">
        <v>704</v>
      </c>
      <c r="K126" s="208" t="str" cm="1">
        <f t="array" ref="K126">_xlfn.IFS(LEFT(J126,2)="PP","PAC",LEFT(J126,3)="PGE","PGE",LEFT(J126,2)="IP","IP",TRUE,"N/A")</f>
        <v>PAC</v>
      </c>
      <c r="L126" s="3">
        <v>6250</v>
      </c>
      <c r="M126" s="67" t="s">
        <v>668</v>
      </c>
      <c r="N126" s="67">
        <v>45688</v>
      </c>
      <c r="O126" s="67" t="s">
        <v>669</v>
      </c>
    </row>
    <row r="127" spans="8:15">
      <c r="H127" s="35">
        <v>45658</v>
      </c>
      <c r="I127" s="67" t="s">
        <v>666</v>
      </c>
      <c r="J127" s="67" t="s">
        <v>705</v>
      </c>
      <c r="K127" s="208" t="str" cm="1">
        <f t="array" ref="K127">_xlfn.IFS(LEFT(J127,2)="PP","PAC",LEFT(J127,3)="PGE","PGE",LEFT(J127,2)="IP","IP",TRUE,"N/A")</f>
        <v>PAC</v>
      </c>
      <c r="L127" s="3">
        <v>7497.5</v>
      </c>
      <c r="M127" s="67" t="s">
        <v>668</v>
      </c>
      <c r="N127" s="67">
        <v>45688</v>
      </c>
      <c r="O127" s="67" t="s">
        <v>669</v>
      </c>
    </row>
    <row r="128" spans="8:15">
      <c r="H128" s="35">
        <v>45689</v>
      </c>
      <c r="I128" s="67" t="s">
        <v>670</v>
      </c>
      <c r="J128" s="67" t="s">
        <v>706</v>
      </c>
      <c r="K128" s="208" t="str" cm="1">
        <f t="array" ref="K128">_xlfn.IFS(LEFT(J128,2)="PP","PAC",LEFT(J128,3)="PGE","PGE",LEFT(J128,2)="IP","IP",TRUE,"N/A")</f>
        <v>PAC</v>
      </c>
      <c r="L128" s="3">
        <v>1125</v>
      </c>
      <c r="M128" s="67" t="s">
        <v>668</v>
      </c>
      <c r="N128" s="67">
        <v>45692</v>
      </c>
      <c r="O128" s="67" t="s">
        <v>669</v>
      </c>
    </row>
    <row r="129" spans="8:15">
      <c r="H129" s="35">
        <v>45717</v>
      </c>
      <c r="I129" s="67" t="s">
        <v>672</v>
      </c>
      <c r="J129" s="67" t="s">
        <v>150</v>
      </c>
      <c r="K129" s="208" t="str" cm="1">
        <f t="array" ref="K129">_xlfn.IFS(LEFT(J129,2)="PP","PAC",LEFT(J129,3)="PGE","PGE",LEFT(J129,2)="IP","IP",TRUE,"N/A")</f>
        <v>PGE</v>
      </c>
      <c r="L129" s="3">
        <v>10000</v>
      </c>
      <c r="M129" s="67" t="s">
        <v>668</v>
      </c>
      <c r="N129" s="67">
        <v>45721</v>
      </c>
      <c r="O129" s="67" t="s">
        <v>707</v>
      </c>
    </row>
    <row r="130" spans="8:15">
      <c r="H130" s="35">
        <v>45717</v>
      </c>
      <c r="I130" s="67" t="s">
        <v>672</v>
      </c>
      <c r="J130" s="67" t="s">
        <v>170</v>
      </c>
      <c r="K130" s="208" t="str" cm="1">
        <f t="array" ref="K130">_xlfn.IFS(LEFT(J130,2)="PP","PAC",LEFT(J130,3)="PGE","PGE",LEFT(J130,2)="IP","IP",TRUE,"N/A")</f>
        <v>PAC</v>
      </c>
      <c r="L130" s="3">
        <v>4755</v>
      </c>
      <c r="M130" s="67" t="s">
        <v>668</v>
      </c>
      <c r="N130" s="67">
        <v>45721</v>
      </c>
      <c r="O130" s="67" t="s">
        <v>707</v>
      </c>
    </row>
    <row r="131" spans="8:15">
      <c r="H131" s="35">
        <v>45748</v>
      </c>
      <c r="I131" s="67" t="s">
        <v>674</v>
      </c>
      <c r="J131" s="67" t="s">
        <v>139</v>
      </c>
      <c r="K131" s="208" t="str" cm="1">
        <f t="array" ref="K131">_xlfn.IFS(LEFT(J131,2)="PP","PAC",LEFT(J131,3)="PGE","PGE",LEFT(J131,2)="IP","IP",TRUE,"N/A")</f>
        <v>PAC</v>
      </c>
      <c r="L131" s="3">
        <v>9612.6</v>
      </c>
      <c r="M131" s="67" t="s">
        <v>668</v>
      </c>
      <c r="N131" s="67">
        <v>45745</v>
      </c>
      <c r="O131" s="67" t="s">
        <v>708</v>
      </c>
    </row>
    <row r="132" spans="8:15">
      <c r="H132" s="35">
        <v>45748</v>
      </c>
      <c r="I132" s="67" t="s">
        <v>674</v>
      </c>
      <c r="J132" s="67" t="s">
        <v>140</v>
      </c>
      <c r="K132" s="208" t="str" cm="1">
        <f t="array" ref="K132">_xlfn.IFS(LEFT(J132,2)="PP","PAC",LEFT(J132,3)="PGE","PGE",LEFT(J132,2)="IP","IP",TRUE,"N/A")</f>
        <v>PAC</v>
      </c>
      <c r="L132" s="3">
        <v>14516.15</v>
      </c>
      <c r="M132" s="67" t="s">
        <v>668</v>
      </c>
      <c r="N132" s="67">
        <v>45745</v>
      </c>
      <c r="O132" s="67" t="s">
        <v>708</v>
      </c>
    </row>
    <row r="133" spans="8:15">
      <c r="H133" s="35">
        <v>45778</v>
      </c>
      <c r="I133" s="67" t="s">
        <v>60</v>
      </c>
      <c r="J133" s="67" t="s">
        <v>673</v>
      </c>
      <c r="K133" s="208" t="str" cm="1">
        <f t="array" ref="K133">_xlfn.IFS(LEFT(J133,2)="PP","PAC",LEFT(J133,3)="PGE","PGE",LEFT(J133,2)="IP","IP",TRUE,"N/A")</f>
        <v>N/A</v>
      </c>
      <c r="L133" s="3"/>
      <c r="M133" s="67"/>
      <c r="N133" s="67"/>
      <c r="O133" s="67"/>
    </row>
    <row r="134" spans="8:15">
      <c r="H134" s="35">
        <v>45809</v>
      </c>
      <c r="I134" s="67" t="s">
        <v>675</v>
      </c>
      <c r="J134" s="67" t="s">
        <v>159</v>
      </c>
      <c r="K134" s="208" t="str" cm="1">
        <f t="array" ref="K134">_xlfn.IFS(LEFT(J134,2)="PP","PAC",LEFT(J134,3)="PGE","PGE",LEFT(J134,2)="IP","IP",TRUE,"N/A")</f>
        <v>PGE</v>
      </c>
      <c r="L134" s="3">
        <v>12825</v>
      </c>
      <c r="M134" s="67" t="s">
        <v>668</v>
      </c>
      <c r="N134" s="67"/>
      <c r="O134" s="67" t="s">
        <v>709</v>
      </c>
    </row>
  </sheetData>
  <mergeCells count="2">
    <mergeCell ref="B3:F3"/>
    <mergeCell ref="B39:F39"/>
  </mergeCells>
  <phoneticPr fontId="17" type="noConversion"/>
  <pageMargins left="0.7" right="0.7" top="0.75" bottom="0.75" header="0.3" footer="0.3"/>
  <headerFooter>
    <oddFooter>&amp;C_x000D_&amp;1#&amp;"Calibri"&amp;10&amp;K000000 Level 3 - Restricted</oddFooter>
  </headerFooter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39AE-BF66-4AD4-B583-A964DE0ED21A}">
  <sheetPr codeName="Sheet32">
    <tabColor theme="7" tint="0.39997558519241921"/>
  </sheetPr>
  <dimension ref="A2:XL83"/>
  <sheetViews>
    <sheetView workbookViewId="0">
      <selection activeCell="F13" sqref="F13"/>
    </sheetView>
  </sheetViews>
  <sheetFormatPr defaultRowHeight="15" outlineLevelCol="1"/>
  <cols>
    <col min="1" max="1" width="25.42578125" bestFit="1" customWidth="1"/>
    <col min="2" max="2" width="23.42578125" bestFit="1" customWidth="1"/>
    <col min="3" max="3" width="9.42578125" hidden="1" customWidth="1"/>
    <col min="4" max="4" width="10.28515625" hidden="1" customWidth="1"/>
    <col min="5" max="5" width="18.42578125" bestFit="1" customWidth="1"/>
    <col min="6" max="6" width="53.85546875" bestFit="1" customWidth="1"/>
    <col min="7" max="7" width="22.85546875" bestFit="1" customWidth="1"/>
    <col min="8" max="8" width="42.85546875" bestFit="1" customWidth="1"/>
    <col min="9" max="9" width="45.42578125" bestFit="1" customWidth="1"/>
    <col min="10" max="10" width="19" style="141" bestFit="1" customWidth="1"/>
    <col min="11" max="11" width="25.42578125" style="141" bestFit="1" customWidth="1"/>
    <col min="12" max="12" width="25.42578125" style="141" hidden="1" customWidth="1"/>
    <col min="13" max="13" width="28.85546875" style="141" bestFit="1" customWidth="1"/>
    <col min="14" max="14" width="28" style="141" bestFit="1" customWidth="1"/>
    <col min="15" max="15" width="37.140625" style="141" customWidth="1"/>
    <col min="16" max="16" width="15.5703125" style="141" hidden="1" customWidth="1"/>
    <col min="17" max="17" width="28.28515625" style="141" bestFit="1" customWidth="1"/>
    <col min="18" max="18" width="42.5703125" style="177" bestFit="1" customWidth="1"/>
    <col min="19" max="19" width="15.5703125" style="177" hidden="1" customWidth="1"/>
    <col min="20" max="20" width="37" style="141" bestFit="1" customWidth="1"/>
    <col min="21" max="21" width="95" style="141" bestFit="1" customWidth="1"/>
    <col min="22" max="22" width="25" customWidth="1"/>
    <col min="23" max="23" width="37.7109375" bestFit="1" customWidth="1"/>
    <col min="24" max="24" width="28.85546875" bestFit="1" customWidth="1"/>
    <col min="25" max="25" width="28" style="144" bestFit="1" customWidth="1"/>
    <col min="26" max="26" width="9.7109375" customWidth="1" outlineLevel="1"/>
    <col min="27" max="28" width="7.85546875" customWidth="1" outlineLevel="1"/>
    <col min="29" max="29" width="7.5703125" customWidth="1" outlineLevel="1"/>
    <col min="30" max="31" width="8" customWidth="1" outlineLevel="1"/>
    <col min="32" max="33" width="10.7109375" customWidth="1" outlineLevel="1"/>
    <col min="34" max="34" width="8" customWidth="1" outlineLevel="1"/>
    <col min="35" max="58" width="10.7109375" customWidth="1" outlineLevel="1"/>
    <col min="59" max="59" width="9.140625" customWidth="1" outlineLevel="1"/>
    <col min="60" max="64" width="10.7109375" customWidth="1" outlineLevel="1"/>
    <col min="65" max="65" width="9.140625" customWidth="1" outlineLevel="1"/>
    <col min="66" max="85" width="10.7109375" customWidth="1" outlineLevel="1"/>
    <col min="86" max="86" width="10.7109375" customWidth="1"/>
    <col min="87" max="88" width="10.7109375" customWidth="1" outlineLevel="1"/>
    <col min="89" max="92" width="11.140625" customWidth="1" outlineLevel="1"/>
    <col min="93" max="115" width="12.7109375" customWidth="1" outlineLevel="1"/>
    <col min="116" max="116" width="12.7109375" bestFit="1" customWidth="1"/>
    <col min="120" max="120" width="18.85546875" customWidth="1"/>
    <col min="121" max="122" width="12" bestFit="1" customWidth="1"/>
    <col min="123" max="123" width="10.140625" bestFit="1" customWidth="1"/>
    <col min="124" max="124" width="12" bestFit="1" customWidth="1"/>
    <col min="125" max="131" width="13.28515625" customWidth="1"/>
    <col min="132" max="133" width="10.7109375" bestFit="1" customWidth="1"/>
    <col min="134" max="134" width="11.85546875" bestFit="1" customWidth="1"/>
    <col min="135" max="135" width="16" bestFit="1" customWidth="1"/>
    <col min="136" max="136" width="15.140625" bestFit="1" customWidth="1"/>
    <col min="137" max="137" width="10.140625" bestFit="1" customWidth="1"/>
    <col min="138" max="141" width="10.28515625" bestFit="1" customWidth="1"/>
    <col min="142" max="142" width="15.28515625" bestFit="1" customWidth="1"/>
    <col min="143" max="143" width="10.28515625" bestFit="1" customWidth="1"/>
    <col min="144" max="146" width="11.5703125" bestFit="1" customWidth="1"/>
    <col min="147" max="152" width="10.7109375" bestFit="1" customWidth="1"/>
    <col min="153" max="155" width="11.140625" bestFit="1" customWidth="1"/>
    <col min="156" max="158" width="11.5703125" bestFit="1" customWidth="1"/>
    <col min="159" max="161" width="10.28515625" bestFit="1" customWidth="1"/>
    <col min="162" max="164" width="10.7109375" bestFit="1" customWidth="1"/>
    <col min="165" max="167" width="10" bestFit="1" customWidth="1"/>
    <col min="168" max="170" width="10.7109375" bestFit="1" customWidth="1"/>
    <col min="171" max="174" width="10" bestFit="1" customWidth="1"/>
    <col min="175" max="177" width="10.28515625" bestFit="1" customWidth="1"/>
    <col min="178" max="181" width="10" bestFit="1" customWidth="1"/>
    <col min="182" max="184" width="11.140625" bestFit="1" customWidth="1"/>
    <col min="185" max="188" width="10" bestFit="1" customWidth="1"/>
    <col min="189" max="191" width="10.7109375" bestFit="1" customWidth="1"/>
    <col min="192" max="196" width="10" bestFit="1" customWidth="1"/>
    <col min="197" max="199" width="11.140625" bestFit="1" customWidth="1"/>
    <col min="200" max="209" width="10.7109375" bestFit="1" customWidth="1"/>
    <col min="210" max="213" width="9.5703125" bestFit="1" customWidth="1"/>
    <col min="214" max="215" width="11.140625" bestFit="1" customWidth="1"/>
    <col min="216" max="216" width="9.5703125" bestFit="1" customWidth="1"/>
    <col min="217" max="219" width="11.140625" bestFit="1" customWidth="1"/>
    <col min="220" max="220" width="10.7109375" bestFit="1" customWidth="1"/>
    <col min="221" max="221" width="11.5703125" bestFit="1" customWidth="1"/>
    <col min="222" max="224" width="10.7109375" bestFit="1" customWidth="1"/>
    <col min="225" max="225" width="11.5703125" bestFit="1" customWidth="1"/>
    <col min="226" max="228" width="11.140625" bestFit="1" customWidth="1"/>
    <col min="229" max="229" width="11.5703125" bestFit="1" customWidth="1"/>
    <col min="230" max="235" width="10.28515625" bestFit="1" customWidth="1"/>
    <col min="236" max="238" width="11.5703125" bestFit="1" customWidth="1"/>
    <col min="239" max="243" width="11.140625" bestFit="1" customWidth="1"/>
    <col min="244" max="245" width="10.28515625" bestFit="1" customWidth="1"/>
    <col min="246" max="248" width="11.5703125" bestFit="1" customWidth="1"/>
    <col min="249" max="249" width="9.5703125" bestFit="1" customWidth="1"/>
    <col min="250" max="254" width="10.7109375" bestFit="1" customWidth="1"/>
    <col min="255" max="255" width="11.5703125" bestFit="1" customWidth="1"/>
    <col min="256" max="265" width="9.5703125" bestFit="1" customWidth="1"/>
    <col min="266" max="276" width="10.7109375" bestFit="1" customWidth="1"/>
    <col min="277" max="278" width="9.5703125" bestFit="1" customWidth="1"/>
    <col min="279" max="281" width="11.140625" bestFit="1" customWidth="1"/>
    <col min="282" max="283" width="9.5703125" bestFit="1" customWidth="1"/>
    <col min="284" max="288" width="10" bestFit="1" customWidth="1"/>
    <col min="289" max="291" width="10.7109375" bestFit="1" customWidth="1"/>
    <col min="292" max="305" width="11.140625" bestFit="1" customWidth="1"/>
    <col min="306" max="327" width="10.7109375" bestFit="1" customWidth="1"/>
    <col min="328" max="331" width="9.5703125" bestFit="1" customWidth="1"/>
    <col min="332" max="332" width="10" bestFit="1" customWidth="1"/>
    <col min="333" max="350" width="10.7109375" bestFit="1" customWidth="1"/>
    <col min="351" max="351" width="11.140625" bestFit="1" customWidth="1"/>
    <col min="352" max="352" width="10.7109375" bestFit="1" customWidth="1"/>
    <col min="353" max="366" width="11.140625" bestFit="1" customWidth="1"/>
    <col min="367" max="368" width="10" bestFit="1" customWidth="1"/>
    <col min="369" max="370" width="11.140625" bestFit="1" customWidth="1"/>
    <col min="371" max="381" width="10.7109375" bestFit="1" customWidth="1"/>
    <col min="382" max="395" width="10.28515625" bestFit="1" customWidth="1"/>
    <col min="396" max="396" width="10.7109375" bestFit="1" customWidth="1"/>
    <col min="397" max="410" width="11.140625" bestFit="1" customWidth="1"/>
    <col min="411" max="414" width="10.7109375" bestFit="1" customWidth="1"/>
    <col min="415" max="417" width="10.28515625" bestFit="1" customWidth="1"/>
    <col min="418" max="423" width="11.140625" bestFit="1" customWidth="1"/>
    <col min="424" max="459" width="11.5703125" bestFit="1" customWidth="1"/>
    <col min="460" max="468" width="12" bestFit="1" customWidth="1"/>
    <col min="469" max="485" width="9.5703125" bestFit="1" customWidth="1"/>
    <col min="486" max="491" width="10.28515625" bestFit="1" customWidth="1"/>
    <col min="492" max="510" width="10.7109375" bestFit="1" customWidth="1"/>
    <col min="511" max="513" width="11.140625" bestFit="1" customWidth="1"/>
    <col min="514" max="519" width="10.7109375" bestFit="1" customWidth="1"/>
    <col min="520" max="524" width="11.140625" bestFit="1" customWidth="1"/>
    <col min="525" max="536" width="10.7109375" bestFit="1" customWidth="1"/>
    <col min="537" max="537" width="11.140625" bestFit="1" customWidth="1"/>
    <col min="538" max="541" width="10" bestFit="1" customWidth="1"/>
    <col min="542" max="543" width="11.140625" bestFit="1" customWidth="1"/>
    <col min="544" max="559" width="10" bestFit="1" customWidth="1"/>
    <col min="560" max="564" width="10.7109375" bestFit="1" customWidth="1"/>
    <col min="565" max="577" width="10" bestFit="1" customWidth="1"/>
    <col min="578" max="587" width="10.7109375" bestFit="1" customWidth="1"/>
    <col min="588" max="599" width="11.140625" bestFit="1" customWidth="1"/>
    <col min="600" max="609" width="10.7109375" bestFit="1" customWidth="1"/>
    <col min="610" max="623" width="10" bestFit="1" customWidth="1"/>
    <col min="624" max="633" width="11.140625" bestFit="1" customWidth="1"/>
    <col min="634" max="636" width="10.7109375" bestFit="1" customWidth="1"/>
  </cols>
  <sheetData>
    <row r="2" spans="1:150">
      <c r="A2" t="s">
        <v>710</v>
      </c>
      <c r="B2" s="270">
        <v>45838</v>
      </c>
      <c r="O2" s="205" t="s">
        <v>711</v>
      </c>
      <c r="T2" s="177"/>
      <c r="U2" s="177"/>
      <c r="X2" s="76"/>
      <c r="Z2">
        <f t="shared" ref="Z2:AE2" si="0">YEAR(Z3)</f>
        <v>2021</v>
      </c>
      <c r="AA2">
        <f t="shared" si="0"/>
        <v>2021</v>
      </c>
      <c r="AB2">
        <f t="shared" si="0"/>
        <v>2021</v>
      </c>
      <c r="AC2">
        <f t="shared" si="0"/>
        <v>2021</v>
      </c>
      <c r="AD2">
        <f t="shared" si="0"/>
        <v>2021</v>
      </c>
      <c r="AE2">
        <f t="shared" si="0"/>
        <v>2021</v>
      </c>
      <c r="AF2">
        <f>YEAR(AF3)</f>
        <v>2021</v>
      </c>
      <c r="AG2">
        <f t="shared" ref="AG2:CG2" si="1">YEAR(AG3)</f>
        <v>2021</v>
      </c>
      <c r="AH2">
        <f t="shared" si="1"/>
        <v>2021</v>
      </c>
      <c r="AI2">
        <f t="shared" si="1"/>
        <v>2021</v>
      </c>
      <c r="AJ2">
        <f t="shared" si="1"/>
        <v>2021</v>
      </c>
      <c r="AK2">
        <f t="shared" si="1"/>
        <v>2021</v>
      </c>
      <c r="AL2">
        <f t="shared" si="1"/>
        <v>2022</v>
      </c>
      <c r="AM2">
        <f t="shared" si="1"/>
        <v>2022</v>
      </c>
      <c r="AN2">
        <f t="shared" si="1"/>
        <v>2022</v>
      </c>
      <c r="AO2">
        <f t="shared" si="1"/>
        <v>2022</v>
      </c>
      <c r="AP2">
        <f t="shared" si="1"/>
        <v>2022</v>
      </c>
      <c r="AQ2">
        <f t="shared" si="1"/>
        <v>2022</v>
      </c>
      <c r="AR2">
        <f t="shared" si="1"/>
        <v>2022</v>
      </c>
      <c r="AS2">
        <f t="shared" si="1"/>
        <v>2022</v>
      </c>
      <c r="AT2">
        <f t="shared" si="1"/>
        <v>2022</v>
      </c>
      <c r="AU2">
        <f t="shared" si="1"/>
        <v>2022</v>
      </c>
      <c r="AV2">
        <f t="shared" si="1"/>
        <v>2022</v>
      </c>
      <c r="AW2">
        <f t="shared" si="1"/>
        <v>2022</v>
      </c>
      <c r="AX2">
        <f t="shared" si="1"/>
        <v>2023</v>
      </c>
      <c r="AY2">
        <f t="shared" si="1"/>
        <v>2023</v>
      </c>
      <c r="AZ2">
        <f t="shared" si="1"/>
        <v>2023</v>
      </c>
      <c r="BA2">
        <f t="shared" si="1"/>
        <v>2023</v>
      </c>
      <c r="BB2">
        <f t="shared" si="1"/>
        <v>2023</v>
      </c>
      <c r="BC2">
        <f t="shared" si="1"/>
        <v>2023</v>
      </c>
      <c r="BD2">
        <f t="shared" si="1"/>
        <v>2023</v>
      </c>
      <c r="BE2">
        <f t="shared" si="1"/>
        <v>2023</v>
      </c>
      <c r="BF2">
        <f t="shared" si="1"/>
        <v>2023</v>
      </c>
      <c r="BG2">
        <f t="shared" si="1"/>
        <v>2023</v>
      </c>
      <c r="BH2">
        <f t="shared" si="1"/>
        <v>2023</v>
      </c>
      <c r="BI2">
        <f t="shared" si="1"/>
        <v>2023</v>
      </c>
      <c r="BJ2">
        <f t="shared" si="1"/>
        <v>2024</v>
      </c>
      <c r="BK2">
        <f t="shared" si="1"/>
        <v>2024</v>
      </c>
      <c r="BL2">
        <f t="shared" si="1"/>
        <v>2024</v>
      </c>
      <c r="BM2">
        <f t="shared" si="1"/>
        <v>2024</v>
      </c>
      <c r="BN2">
        <f t="shared" si="1"/>
        <v>2024</v>
      </c>
      <c r="BO2">
        <f t="shared" si="1"/>
        <v>2024</v>
      </c>
      <c r="BP2">
        <f t="shared" si="1"/>
        <v>2024</v>
      </c>
      <c r="BQ2">
        <f t="shared" si="1"/>
        <v>2024</v>
      </c>
      <c r="BR2">
        <f t="shared" si="1"/>
        <v>2024</v>
      </c>
      <c r="BS2">
        <f t="shared" si="1"/>
        <v>2024</v>
      </c>
      <c r="BT2">
        <f t="shared" si="1"/>
        <v>2024</v>
      </c>
      <c r="BU2">
        <f t="shared" si="1"/>
        <v>2024</v>
      </c>
      <c r="BV2">
        <f t="shared" si="1"/>
        <v>2025</v>
      </c>
      <c r="BW2">
        <f t="shared" si="1"/>
        <v>2025</v>
      </c>
      <c r="BX2">
        <f t="shared" si="1"/>
        <v>2025</v>
      </c>
      <c r="BY2">
        <f t="shared" si="1"/>
        <v>2025</v>
      </c>
      <c r="BZ2">
        <f t="shared" si="1"/>
        <v>2025</v>
      </c>
      <c r="CA2">
        <f t="shared" si="1"/>
        <v>2025</v>
      </c>
      <c r="CB2">
        <f t="shared" si="1"/>
        <v>2025</v>
      </c>
      <c r="CC2">
        <f t="shared" si="1"/>
        <v>2025</v>
      </c>
      <c r="CD2">
        <f t="shared" si="1"/>
        <v>2025</v>
      </c>
      <c r="CE2">
        <f t="shared" si="1"/>
        <v>2025</v>
      </c>
      <c r="CF2">
        <f t="shared" si="1"/>
        <v>2025</v>
      </c>
      <c r="CG2">
        <f t="shared" si="1"/>
        <v>2025</v>
      </c>
      <c r="CI2" s="94">
        <f>_xlfn.AGGREGATE(9,5,CI4:CI101)</f>
        <v>32902.559999999998</v>
      </c>
      <c r="CJ2" s="94">
        <f t="shared" ref="CJ2:DL2" si="2">_xlfn.AGGREGATE(9,5,CJ4:CJ101)</f>
        <v>79567.849999999977</v>
      </c>
      <c r="CK2" s="94">
        <f t="shared" si="2"/>
        <v>214000.58000000002</v>
      </c>
      <c r="CL2" s="94">
        <f t="shared" si="2"/>
        <v>296567.04000000004</v>
      </c>
      <c r="CM2" s="94">
        <f t="shared" si="2"/>
        <v>624398.35699999996</v>
      </c>
      <c r="CN2" s="94">
        <f t="shared" si="2"/>
        <v>899320.65925000026</v>
      </c>
      <c r="CO2" s="94">
        <f t="shared" si="2"/>
        <v>1111548.3473000003</v>
      </c>
      <c r="CP2" s="94">
        <f t="shared" si="2"/>
        <v>1148970.4472999999</v>
      </c>
      <c r="CQ2" s="94">
        <f t="shared" si="2"/>
        <v>1148970.4472999999</v>
      </c>
      <c r="CR2" s="94">
        <f t="shared" si="2"/>
        <v>1148970.4472999999</v>
      </c>
      <c r="CS2" s="94">
        <f t="shared" si="2"/>
        <v>1148970.4472999999</v>
      </c>
      <c r="CT2" s="94">
        <f t="shared" si="2"/>
        <v>1148970.4472999999</v>
      </c>
      <c r="CU2" s="94">
        <f t="shared" si="2"/>
        <v>1148970.4472999999</v>
      </c>
      <c r="CV2" s="94">
        <f t="shared" si="2"/>
        <v>1148970.4472999999</v>
      </c>
      <c r="CW2" s="94">
        <f t="shared" si="2"/>
        <v>1148970.4472999999</v>
      </c>
      <c r="CX2" s="94">
        <f t="shared" si="2"/>
        <v>1148970.4472999999</v>
      </c>
      <c r="CY2" s="94">
        <f t="shared" si="2"/>
        <v>1148970.4472999999</v>
      </c>
      <c r="CZ2" s="94">
        <f t="shared" si="2"/>
        <v>1148970.4472999999</v>
      </c>
      <c r="DA2" s="94">
        <f t="shared" si="2"/>
        <v>1148970.4472999999</v>
      </c>
      <c r="DB2" s="94">
        <f t="shared" si="2"/>
        <v>1148970.4472999999</v>
      </c>
      <c r="DC2" s="94">
        <f t="shared" si="2"/>
        <v>1109584.0823000001</v>
      </c>
      <c r="DD2" s="94">
        <f t="shared" si="2"/>
        <v>1069465.7313000003</v>
      </c>
      <c r="DE2" s="94">
        <f t="shared" si="2"/>
        <v>926868.68580000033</v>
      </c>
      <c r="DF2" s="94">
        <f t="shared" si="2"/>
        <v>848219.41830000025</v>
      </c>
      <c r="DG2" s="94">
        <f t="shared" si="2"/>
        <v>492659.53079999995</v>
      </c>
      <c r="DH2" s="94">
        <f t="shared" si="2"/>
        <v>227647.12027499999</v>
      </c>
      <c r="DI2" s="94">
        <f t="shared" si="2"/>
        <v>28033.254999999997</v>
      </c>
      <c r="DJ2" s="94">
        <f t="shared" si="2"/>
        <v>0</v>
      </c>
      <c r="DK2" s="94">
        <f t="shared" si="2"/>
        <v>0</v>
      </c>
      <c r="DL2" s="94">
        <f t="shared" si="2"/>
        <v>0</v>
      </c>
    </row>
    <row r="3" spans="1:150" ht="30">
      <c r="A3" s="160" t="s">
        <v>205</v>
      </c>
      <c r="B3" s="161" t="s">
        <v>79</v>
      </c>
      <c r="C3" s="161" t="s">
        <v>104</v>
      </c>
      <c r="D3" s="161" t="s">
        <v>712</v>
      </c>
      <c r="E3" s="161" t="s">
        <v>105</v>
      </c>
      <c r="F3" s="161" t="s">
        <v>206</v>
      </c>
      <c r="G3" s="161" t="s">
        <v>107</v>
      </c>
      <c r="H3" s="161" t="s">
        <v>713</v>
      </c>
      <c r="I3" s="161" t="s">
        <v>714</v>
      </c>
      <c r="J3" s="173" t="s">
        <v>92</v>
      </c>
      <c r="K3" s="173" t="s">
        <v>80</v>
      </c>
      <c r="L3" s="173"/>
      <c r="M3" s="173" t="s">
        <v>93</v>
      </c>
      <c r="N3" s="173" t="s">
        <v>210</v>
      </c>
      <c r="O3" s="191" t="s">
        <v>715</v>
      </c>
      <c r="P3" s="191" t="s">
        <v>716</v>
      </c>
      <c r="Q3" s="191" t="s">
        <v>108</v>
      </c>
      <c r="R3" s="192" t="s">
        <v>717</v>
      </c>
      <c r="S3" s="192" t="s">
        <v>716</v>
      </c>
      <c r="T3" s="173" t="s">
        <v>218</v>
      </c>
      <c r="U3" s="173" t="s">
        <v>718</v>
      </c>
      <c r="V3" s="161" t="s">
        <v>95</v>
      </c>
      <c r="W3" s="161" t="s">
        <v>96</v>
      </c>
      <c r="X3" s="161" t="s">
        <v>97</v>
      </c>
      <c r="Y3" s="162" t="s">
        <v>98</v>
      </c>
      <c r="Z3" s="163">
        <v>44197</v>
      </c>
      <c r="AA3" s="163">
        <v>44228</v>
      </c>
      <c r="AB3" s="163">
        <v>44256</v>
      </c>
      <c r="AC3" s="163">
        <v>44287</v>
      </c>
      <c r="AD3" s="163">
        <v>44317</v>
      </c>
      <c r="AE3" s="163">
        <v>44348</v>
      </c>
      <c r="AF3" s="163">
        <v>44378</v>
      </c>
      <c r="AG3" s="163">
        <v>44409</v>
      </c>
      <c r="AH3" s="163">
        <v>44440</v>
      </c>
      <c r="AI3" s="163">
        <v>44470</v>
      </c>
      <c r="AJ3" s="163">
        <v>44501</v>
      </c>
      <c r="AK3" s="163">
        <v>44531</v>
      </c>
      <c r="AL3" s="163">
        <v>44562</v>
      </c>
      <c r="AM3" s="163">
        <v>44593</v>
      </c>
      <c r="AN3" s="163">
        <v>44621</v>
      </c>
      <c r="AO3" s="163">
        <v>44652</v>
      </c>
      <c r="AP3" s="163">
        <v>44682</v>
      </c>
      <c r="AQ3" s="163">
        <v>44713</v>
      </c>
      <c r="AR3" s="163">
        <v>44743</v>
      </c>
      <c r="AS3" s="163">
        <v>44774</v>
      </c>
      <c r="AT3" s="163">
        <v>44805</v>
      </c>
      <c r="AU3" s="163">
        <v>44835</v>
      </c>
      <c r="AV3" s="163">
        <v>44866</v>
      </c>
      <c r="AW3" s="163">
        <v>44896</v>
      </c>
      <c r="AX3" s="163">
        <v>44927</v>
      </c>
      <c r="AY3" s="163">
        <v>44958</v>
      </c>
      <c r="AZ3" s="163">
        <v>44986</v>
      </c>
      <c r="BA3" s="163">
        <v>45017</v>
      </c>
      <c r="BB3" s="163">
        <v>45047</v>
      </c>
      <c r="BC3" s="163">
        <v>45078</v>
      </c>
      <c r="BD3" s="163">
        <v>45108</v>
      </c>
      <c r="BE3" s="163">
        <v>45139</v>
      </c>
      <c r="BF3" s="163">
        <v>45170</v>
      </c>
      <c r="BG3" s="163">
        <v>45200</v>
      </c>
      <c r="BH3" s="163">
        <v>45231</v>
      </c>
      <c r="BI3" s="163">
        <v>45261</v>
      </c>
      <c r="BJ3" s="163">
        <v>45292</v>
      </c>
      <c r="BK3" s="163">
        <v>45323</v>
      </c>
      <c r="BL3" s="163">
        <v>45352</v>
      </c>
      <c r="BM3" s="163">
        <v>45383</v>
      </c>
      <c r="BN3" s="163">
        <v>45413</v>
      </c>
      <c r="BO3" s="163">
        <v>45444</v>
      </c>
      <c r="BP3" s="163">
        <v>45474</v>
      </c>
      <c r="BQ3" s="163">
        <v>45505</v>
      </c>
      <c r="BR3" s="163">
        <v>45536</v>
      </c>
      <c r="BS3" s="163">
        <v>45566</v>
      </c>
      <c r="BT3" s="163">
        <v>45597</v>
      </c>
      <c r="BU3" s="163">
        <v>45627</v>
      </c>
      <c r="BV3" s="163">
        <v>45658</v>
      </c>
      <c r="BW3" s="163">
        <v>45689</v>
      </c>
      <c r="BX3" s="163">
        <v>45717</v>
      </c>
      <c r="BY3" s="163">
        <v>45748</v>
      </c>
      <c r="BZ3" s="163">
        <v>45778</v>
      </c>
      <c r="CA3" s="163">
        <v>45809</v>
      </c>
      <c r="CB3" s="163">
        <v>45839</v>
      </c>
      <c r="CC3" s="163">
        <v>45870</v>
      </c>
      <c r="CD3" s="163">
        <v>45901</v>
      </c>
      <c r="CE3" s="163">
        <v>45931</v>
      </c>
      <c r="CF3" s="163">
        <v>45962</v>
      </c>
      <c r="CG3" s="163">
        <v>45992</v>
      </c>
      <c r="CI3" s="161">
        <v>2021</v>
      </c>
      <c r="CJ3" s="173">
        <v>2022</v>
      </c>
      <c r="CK3" s="173">
        <v>2023</v>
      </c>
      <c r="CL3" s="173">
        <v>2024</v>
      </c>
      <c r="CM3" s="173">
        <v>2025</v>
      </c>
      <c r="CN3" s="173">
        <v>2026</v>
      </c>
      <c r="CO3" s="173">
        <v>2027</v>
      </c>
      <c r="CP3" s="173">
        <v>2028</v>
      </c>
      <c r="CQ3" s="173">
        <v>2029</v>
      </c>
      <c r="CR3" s="173">
        <v>2030</v>
      </c>
      <c r="CS3" s="173">
        <v>2031</v>
      </c>
      <c r="CT3" s="173">
        <v>2032</v>
      </c>
      <c r="CU3" s="173">
        <v>2033</v>
      </c>
      <c r="CV3" s="173">
        <v>2034</v>
      </c>
      <c r="CW3" s="173">
        <v>2035</v>
      </c>
      <c r="CX3" s="173">
        <v>2036</v>
      </c>
      <c r="CY3" s="173">
        <v>2037</v>
      </c>
      <c r="CZ3" s="173">
        <v>2038</v>
      </c>
      <c r="DA3" s="173">
        <v>2039</v>
      </c>
      <c r="DB3" s="173">
        <v>2040</v>
      </c>
      <c r="DC3" s="173">
        <v>2041</v>
      </c>
      <c r="DD3" s="173">
        <v>2042</v>
      </c>
      <c r="DE3" s="173">
        <v>2043</v>
      </c>
      <c r="DF3" s="173">
        <v>2044</v>
      </c>
      <c r="DG3" s="173">
        <v>2045</v>
      </c>
      <c r="DH3" s="173">
        <v>2046</v>
      </c>
      <c r="DI3" s="173">
        <v>2047</v>
      </c>
      <c r="DJ3" s="173">
        <v>2048</v>
      </c>
      <c r="DK3" s="173">
        <v>2049</v>
      </c>
      <c r="DL3" s="173">
        <v>2050</v>
      </c>
      <c r="DO3" s="167"/>
      <c r="DP3" s="203">
        <f>'Program Inputs'!$D$4</f>
        <v>2020</v>
      </c>
      <c r="DQ3" s="203">
        <f t="shared" ref="DQ3:EI3" si="3">DP3+1</f>
        <v>2021</v>
      </c>
      <c r="DR3" s="203">
        <f t="shared" si="3"/>
        <v>2022</v>
      </c>
      <c r="DS3" s="203">
        <f t="shared" si="3"/>
        <v>2023</v>
      </c>
      <c r="DT3" s="203">
        <f t="shared" si="3"/>
        <v>2024</v>
      </c>
      <c r="DU3" s="203">
        <f t="shared" si="3"/>
        <v>2025</v>
      </c>
      <c r="DV3" s="203">
        <f t="shared" si="3"/>
        <v>2026</v>
      </c>
      <c r="DW3" s="203">
        <f t="shared" si="3"/>
        <v>2027</v>
      </c>
      <c r="DX3" s="203">
        <f t="shared" si="3"/>
        <v>2028</v>
      </c>
      <c r="DY3" s="203">
        <f t="shared" si="3"/>
        <v>2029</v>
      </c>
      <c r="DZ3" s="203">
        <f t="shared" si="3"/>
        <v>2030</v>
      </c>
      <c r="EA3" s="203">
        <f t="shared" si="3"/>
        <v>2031</v>
      </c>
      <c r="EB3" s="203">
        <f t="shared" si="3"/>
        <v>2032</v>
      </c>
      <c r="EC3" s="203">
        <f t="shared" si="3"/>
        <v>2033</v>
      </c>
      <c r="ED3" s="203">
        <f t="shared" si="3"/>
        <v>2034</v>
      </c>
      <c r="EE3" s="203">
        <f t="shared" si="3"/>
        <v>2035</v>
      </c>
      <c r="EF3" s="203">
        <f t="shared" si="3"/>
        <v>2036</v>
      </c>
      <c r="EG3" s="203">
        <f t="shared" si="3"/>
        <v>2037</v>
      </c>
      <c r="EH3" s="203">
        <f t="shared" si="3"/>
        <v>2038</v>
      </c>
      <c r="EI3" s="203">
        <f t="shared" si="3"/>
        <v>2039</v>
      </c>
      <c r="EJ3" s="203">
        <f t="shared" ref="EJ3:ET3" si="4">EI3+1</f>
        <v>2040</v>
      </c>
      <c r="EK3" s="203">
        <f t="shared" si="4"/>
        <v>2041</v>
      </c>
      <c r="EL3" s="203">
        <f t="shared" si="4"/>
        <v>2042</v>
      </c>
      <c r="EM3" s="203">
        <f t="shared" si="4"/>
        <v>2043</v>
      </c>
      <c r="EN3" s="203">
        <f t="shared" si="4"/>
        <v>2044</v>
      </c>
      <c r="EO3" s="203">
        <f t="shared" si="4"/>
        <v>2045</v>
      </c>
      <c r="EP3" s="203">
        <f t="shared" si="4"/>
        <v>2046</v>
      </c>
      <c r="EQ3" s="203">
        <f t="shared" si="4"/>
        <v>2047</v>
      </c>
      <c r="ER3" s="203">
        <f t="shared" si="4"/>
        <v>2048</v>
      </c>
      <c r="ES3" s="203">
        <f t="shared" si="4"/>
        <v>2049</v>
      </c>
      <c r="ET3" s="203">
        <f t="shared" si="4"/>
        <v>2050</v>
      </c>
    </row>
    <row r="4" spans="1:150">
      <c r="A4" s="155" t="str" cm="1">
        <f t="array" ref="A4">INDEX('Monthly Report July 2025'!C:C,MATCH(E4,'Monthly Report July 2025'!E:E,0),0)</f>
        <v>SPQ0158</v>
      </c>
      <c r="B4" s="155" t="str" cm="1">
        <f t="array" ref="B4">_xlfn.IFS(LEFT(E4,3)="PGE","PGE",LEFT(E4,2)="PP","PAC",TRUE,"IP")</f>
        <v>PGE</v>
      </c>
      <c r="C4" s="155" t="str">
        <f>IF(ISNA(MATCH(E4,'Monthly Report July 2025'!E:E,0)),"Missing","Present")</f>
        <v>Present</v>
      </c>
      <c r="D4" s="155" t="str">
        <f>IF(ISNA(MATCH(E4,'Project Operational Timelines'!C:C,0))=TRUE,"Missing","Present")</f>
        <v>Present</v>
      </c>
      <c r="E4" s="155" t="s">
        <v>109</v>
      </c>
      <c r="F4" s="155" t="str" cm="1">
        <f t="array" ref="F4">INDEX('Monthly Report July 2025'!F:F,MATCH(E4,'Monthly Report July 2025'!E:E,),0)</f>
        <v>Carnes Creek Solar LLC</v>
      </c>
      <c r="G4" s="155" t="str" cm="1">
        <f t="array" ref="G4">_xlfn.IFS(INDEX('Monthly Report July 2025'!O:O,MATCH(E4,'Monthly Report July 2025'!E:E,0),0)="Operational","Operational",INDEX('Monthly Report July 2025'!O:O,MATCH(E4,'Monthly Report July 2025'!E:E,0),0)="Certified","Certified",TRUE,"Pre-Certified")</f>
        <v>Operational</v>
      </c>
      <c r="H4" s="155" t="str" cm="1">
        <f t="array" ref="H4">INDEX('Monthly Report July 2025'!H:H,MATCH($E4,'Monthly Report July 2025'!$E:$E,0),0)</f>
        <v>Conifer Energy Partners</v>
      </c>
      <c r="I4" s="155" t="str" cm="1">
        <f t="array" ref="I4">INDEX('Monthly Report July 2025'!I:I,MATCH($E4,'Monthly Report July 2025'!$E:$E,0),0)</f>
        <v>Arcadia</v>
      </c>
      <c r="J4" s="174" cm="1">
        <f t="array" ref="J4">INDEX('Monthly Report July 2025'!J:J,MATCH($E4,'Monthly Report July 2025'!$E:$E,0),0)</f>
        <v>1</v>
      </c>
      <c r="K4" s="174" t="str" cm="1">
        <f t="array" ref="K4">INDEX('Monthly Report July 2025'!K:K,MATCH($E4,'Monthly Report July 2025'!$E:$E,0),0)</f>
        <v>No</v>
      </c>
      <c r="L4" s="174" t="b" cm="1">
        <f t="array" ref="L4">INDEX('Monthly Report July 2025'!L:L,MATCH(E4,'Monthly Report July 2025'!E:E,0),0)=M4</f>
        <v>1</v>
      </c>
      <c r="M4" s="273" cm="1">
        <f t="array" ref="M4">INDEX('Monthly Report July 2025'!L:L,MATCH($E4,'Monthly Report July 2025'!$E:$E,0),0)</f>
        <v>2500</v>
      </c>
      <c r="N4" s="175" cm="1">
        <f t="array" ref="N4">INDEX('Monthly Report July 2025'!M:M,MATCH($E4,'Monthly Report July 2025'!$E:$E,0),0)</f>
        <v>43948</v>
      </c>
      <c r="O4" s="175" t="str" cm="1">
        <f t="array" ref="O4">_xlfn.IFS(G4="Operational","Operational",G4="Certified","Certified",TRUE,INDEX('Monthly Report July 2025'!O:O,MATCH(E4,'Monthly Report July 2025'!E:E,0),0))</f>
        <v>Operational</v>
      </c>
      <c r="P4" s="175" t="b" cm="1">
        <f t="array" ref="P4">_xlfn.IFS(G4="Operational",O4="Operational",G4="Certified",O4="Certified",TRUE,G4="Pre-Certified")</f>
        <v>1</v>
      </c>
      <c r="Q4" s="175" cm="1">
        <f t="array" ref="Q4">IF(O4="Operational",INDEX('Monthly Report July 2025'!R:R,MATCH(E4,'Monthly Report July 2025'!E:E,0),0),"")</f>
        <v>44910</v>
      </c>
      <c r="R4" s="175" cm="1">
        <f t="array" ref="R4">INDEX('Monthly Report July 2025'!P:P,MATCH(E4,'Monthly Report July 2025'!E:E,0),0)</f>
        <v>44895</v>
      </c>
      <c r="S4" s="175" t="b">
        <f t="shared" ref="S4:S35" si="5">IF(OR(G4="Operational",G4="Certified"),R4&lt;&gt;"Not Yet Certified",R4="Not Yet Certified")</f>
        <v>1</v>
      </c>
      <c r="T4" s="175" cm="1">
        <f t="array" ref="T4">INDEX('Monthly Report July 2025'!U:U,MATCH(E4,'Monthly Report July 2025'!E:E,0),0)</f>
        <v>44908</v>
      </c>
      <c r="U4" s="175" t="str">
        <f t="shared" ref="U4:U67" si="6">IF(OR(O4="Operational",O4="Certified"),"IGNORE",EDATE(O4,6)&gt;T4)</f>
        <v>IGNORE</v>
      </c>
      <c r="V4" s="156">
        <f t="shared" ref="V4:V35" si="7">IF(OR(O4="Certified",O4="Operational"),R4,O4)</f>
        <v>44895</v>
      </c>
      <c r="W4" s="156" cm="1">
        <f t="array" ref="W4">_xlfn.IFS(U4=TRUE,EDATE(O4,6),U4=FALSE,T4,O4="Operational",Q4,AND(O4="Certified",EDATE(R4,6)&gt;T4),EDATE(R4,6),TRUE,T4)</f>
        <v>44910</v>
      </c>
      <c r="X4" s="156">
        <f t="shared" ref="X4:X35" si="8">IFERROR(EDATE(W4,2),EDATE(O4,8))</f>
        <v>44972</v>
      </c>
      <c r="Y4" s="157">
        <f t="shared" ref="Y4:Y35" si="9">IF(K4="No",M4*0.85*0.85,M4*0.85*0.45)</f>
        <v>1806.25</v>
      </c>
      <c r="Z4" s="202" cm="1">
        <f t="array" ref="Z4">_xlfn.IFS(Z$3&lt;$B$2,SUMPRODUCT(('PA Fees Actual'!$B$5:$B$882=$E4)*('PA Fees Actual'!$A$5:$A$882&gt;=Z$3)*('PA Fees Actual'!$A$5:$A$882&lt;=EOMONTH(Z$3,0))*'PA Fees Actual'!$D$5:$D$882),Z$3&gt;=EOMONTH($X4,-1)+1,$Y4,TRUE,0)</f>
        <v>0</v>
      </c>
      <c r="AA4" s="202" cm="1">
        <f t="array" ref="AA4">_xlfn.IFS(AA$3&lt;$B$2,SUMPRODUCT(('PA Fees Actual'!$B$5:$B$882=$E4)*('PA Fees Actual'!$A$5:$A$882&gt;=AA$3)*('PA Fees Actual'!$A$5:$A$882&lt;=EOMONTH(AA$3,0))*'PA Fees Actual'!$D$5:$D$882),AA$3&gt;=EOMONTH($X4,-1)+1,$Y4,TRUE,0)</f>
        <v>0</v>
      </c>
      <c r="AB4" s="202" cm="1">
        <f t="array" ref="AB4">_xlfn.IFS(AB$3&lt;$B$2,SUMPRODUCT(('PA Fees Actual'!$B$5:$B$882=$E4)*('PA Fees Actual'!$A$5:$A$882&gt;=AB$3)*('PA Fees Actual'!$A$5:$A$882&lt;=EOMONTH(AB$3,0))*'PA Fees Actual'!$D$5:$D$882),AB$3&gt;=EOMONTH($X4,-1)+1,$Y4,TRUE,0)</f>
        <v>0</v>
      </c>
      <c r="AC4" s="202" cm="1">
        <f t="array" ref="AC4">_xlfn.IFS(AC$3&lt;$B$2,SUMPRODUCT(('PA Fees Actual'!$B$5:$B$882=$E4)*('PA Fees Actual'!$A$5:$A$882&gt;=AC$3)*('PA Fees Actual'!$A$5:$A$882&lt;=EOMONTH(AC$3,0))*'PA Fees Actual'!$D$5:$D$882),AC$3&gt;=EOMONTH($X4,-1)+1,$Y4,TRUE,0)</f>
        <v>0</v>
      </c>
      <c r="AD4" s="202" cm="1">
        <f t="array" ref="AD4">_xlfn.IFS(AD$3&lt;$B$2,SUMPRODUCT(('PA Fees Actual'!$B$5:$B$882=$E4)*('PA Fees Actual'!$A$5:$A$882&gt;=AD$3)*('PA Fees Actual'!$A$5:$A$882&lt;=EOMONTH(AD$3,0))*'PA Fees Actual'!$D$5:$D$882),AD$3&gt;=EOMONTH($X4,-1)+1,$Y4,TRUE,0)</f>
        <v>0</v>
      </c>
      <c r="AE4" s="202" cm="1">
        <f t="array" ref="AE4">_xlfn.IFS(AE$3&lt;$B$2,SUMPRODUCT(('PA Fees Actual'!$B$5:$B$882=$E4)*('PA Fees Actual'!$A$5:$A$882&gt;=AE$3)*('PA Fees Actual'!$A$5:$A$882&lt;=EOMONTH(AE$3,0))*'PA Fees Actual'!$D$5:$D$882),AE$3&gt;=EOMONTH($X4,-1)+1,$Y4,TRUE,0)</f>
        <v>0</v>
      </c>
      <c r="AF4" s="202" cm="1">
        <f t="array" ref="AF4">_xlfn.IFS(AF$3&lt;$B$2,SUMPRODUCT(('PA Fees Actual'!$B$5:$B$882=$E4)*('PA Fees Actual'!$A$5:$A$882&gt;=AF$3)*('PA Fees Actual'!$A$5:$A$882&lt;=EOMONTH(AF$3,0))*'PA Fees Actual'!$D$5:$D$882),AF$3&gt;=EOMONTH($X4,-1)+1,$Y4,TRUE,0)</f>
        <v>0</v>
      </c>
      <c r="AG4" s="202" cm="1">
        <f t="array" ref="AG4">_xlfn.IFS(AG$3&lt;$B$2,SUMPRODUCT(('PA Fees Actual'!$B$5:$B$882=$E4)*('PA Fees Actual'!$A$5:$A$882&gt;=AG$3)*('PA Fees Actual'!$A$5:$A$882&lt;=EOMONTH(AG$3,0))*'PA Fees Actual'!$D$5:$D$882),AG$3&gt;=EOMONTH($X4,-1)+1,$Y4,TRUE,0)</f>
        <v>0</v>
      </c>
      <c r="AH4" s="202" cm="1">
        <f t="array" ref="AH4">_xlfn.IFS(AH$3&lt;$B$2,SUMPRODUCT(('PA Fees Actual'!$B$5:$B$882=$E4)*('PA Fees Actual'!$A$5:$A$882&gt;=AH$3)*('PA Fees Actual'!$A$5:$A$882&lt;=EOMONTH(AH$3,0))*'PA Fees Actual'!$D$5:$D$882),AH$3&gt;=EOMONTH($X4,-1)+1,$Y4,TRUE,0)</f>
        <v>0</v>
      </c>
      <c r="AI4" s="202" cm="1">
        <f t="array" ref="AI4">_xlfn.IFS(AI$3&lt;$B$2,SUMPRODUCT(('PA Fees Actual'!$B$5:$B$882=$E4)*('PA Fees Actual'!$A$5:$A$882&gt;=AI$3)*('PA Fees Actual'!$A$5:$A$882&lt;=EOMONTH(AI$3,0))*'PA Fees Actual'!$D$5:$D$882),AI$3&gt;=EOMONTH($X4,-1)+1,$Y4,TRUE,0)</f>
        <v>0</v>
      </c>
      <c r="AJ4" s="202" cm="1">
        <f t="array" ref="AJ4">_xlfn.IFS(AJ$3&lt;$B$2,SUMPRODUCT(('PA Fees Actual'!$B$5:$B$882=$E4)*('PA Fees Actual'!$A$5:$A$882&gt;=AJ$3)*('PA Fees Actual'!$A$5:$A$882&lt;=EOMONTH(AJ$3,0))*'PA Fees Actual'!$D$5:$D$882),AJ$3&gt;=EOMONTH($X4,-1)+1,$Y4,TRUE,0)</f>
        <v>0</v>
      </c>
      <c r="AK4" s="202" cm="1">
        <f t="array" ref="AK4">_xlfn.IFS(AK$3&lt;$B$2,SUMPRODUCT(('PA Fees Actual'!$B$5:$B$882=$E4)*('PA Fees Actual'!$A$5:$A$882&gt;=AK$3)*('PA Fees Actual'!$A$5:$A$882&lt;=EOMONTH(AK$3,0))*'PA Fees Actual'!$D$5:$D$882),AK$3&gt;=EOMONTH($X4,-1)+1,$Y4,TRUE,0)</f>
        <v>0</v>
      </c>
      <c r="AL4" s="202" cm="1">
        <f t="array" ref="AL4">_xlfn.IFS(AL$3&lt;$B$2,SUMPRODUCT(('PA Fees Actual'!$B$5:$B$882=$E4)*('PA Fees Actual'!$A$5:$A$882&gt;=AL$3)*('PA Fees Actual'!$A$5:$A$882&lt;=EOMONTH(AL$3,0))*'PA Fees Actual'!$D$5:$D$882),AL$3&gt;=EOMONTH($X4,-1)+1,$Y4,TRUE,0)</f>
        <v>0</v>
      </c>
      <c r="AM4" s="202" cm="1">
        <f t="array" ref="AM4">_xlfn.IFS(AM$3&lt;$B$2,SUMPRODUCT(('PA Fees Actual'!$B$5:$B$882=$E4)*('PA Fees Actual'!$A$5:$A$882&gt;=AM$3)*('PA Fees Actual'!$A$5:$A$882&lt;=EOMONTH(AM$3,0))*'PA Fees Actual'!$D$5:$D$882),AM$3&gt;=EOMONTH($X4,-1)+1,$Y4,TRUE,0)</f>
        <v>0</v>
      </c>
      <c r="AN4" s="202" cm="1">
        <f t="array" ref="AN4">_xlfn.IFS(AN$3&lt;$B$2,SUMPRODUCT(('PA Fees Actual'!$B$5:$B$882=$E4)*('PA Fees Actual'!$A$5:$A$882&gt;=AN$3)*('PA Fees Actual'!$A$5:$A$882&lt;=EOMONTH(AN$3,0))*'PA Fees Actual'!$D$5:$D$882),AN$3&gt;=EOMONTH($X4,-1)+1,$Y4,TRUE,0)</f>
        <v>0</v>
      </c>
      <c r="AO4" s="202" cm="1">
        <f t="array" ref="AO4">_xlfn.IFS(AO$3&lt;$B$2,SUMPRODUCT(('PA Fees Actual'!$B$5:$B$882=$E4)*('PA Fees Actual'!$A$5:$A$882&gt;=AO$3)*('PA Fees Actual'!$A$5:$A$882&lt;=EOMONTH(AO$3,0))*'PA Fees Actual'!$D$5:$D$882),AO$3&gt;=EOMONTH($X4,-1)+1,$Y4,TRUE,0)</f>
        <v>0</v>
      </c>
      <c r="AP4" s="202" cm="1">
        <f t="array" ref="AP4">_xlfn.IFS(AP$3&lt;$B$2,SUMPRODUCT(('PA Fees Actual'!$B$5:$B$882=$E4)*('PA Fees Actual'!$A$5:$A$882&gt;=AP$3)*('PA Fees Actual'!$A$5:$A$882&lt;=EOMONTH(AP$3,0))*'PA Fees Actual'!$D$5:$D$882),AP$3&gt;=EOMONTH($X4,-1)+1,$Y4,TRUE,0)</f>
        <v>0</v>
      </c>
      <c r="AQ4" s="202" cm="1">
        <f t="array" ref="AQ4">_xlfn.IFS(AQ$3&lt;$B$2,SUMPRODUCT(('PA Fees Actual'!$B$5:$B$882=$E4)*('PA Fees Actual'!$A$5:$A$882&gt;=AQ$3)*('PA Fees Actual'!$A$5:$A$882&lt;=EOMONTH(AQ$3,0))*'PA Fees Actual'!$D$5:$D$882),AQ$3&gt;=EOMONTH($X4,-1)+1,$Y4,TRUE,0)</f>
        <v>0</v>
      </c>
      <c r="AR4" s="202" cm="1">
        <f t="array" ref="AR4">_xlfn.IFS(AR$3&lt;$B$2,SUMPRODUCT(('PA Fees Actual'!$B$5:$B$882=$E4)*('PA Fees Actual'!$A$5:$A$882&gt;=AR$3)*('PA Fees Actual'!$A$5:$A$882&lt;=EOMONTH(AR$3,0))*'PA Fees Actual'!$D$5:$D$882),AR$3&gt;=EOMONTH($X4,-1)+1,$Y4,TRUE,0)</f>
        <v>0</v>
      </c>
      <c r="AS4" s="202" cm="1">
        <f t="array" ref="AS4">_xlfn.IFS(AS$3&lt;$B$2,SUMPRODUCT(('PA Fees Actual'!$B$5:$B$882=$E4)*('PA Fees Actual'!$A$5:$A$882&gt;=AS$3)*('PA Fees Actual'!$A$5:$A$882&lt;=EOMONTH(AS$3,0))*'PA Fees Actual'!$D$5:$D$882),AS$3&gt;=EOMONTH($X4,-1)+1,$Y4,TRUE,0)</f>
        <v>0</v>
      </c>
      <c r="AT4" s="202" cm="1">
        <f t="array" ref="AT4">_xlfn.IFS(AT$3&lt;$B$2,SUMPRODUCT(('PA Fees Actual'!$B$5:$B$882=$E4)*('PA Fees Actual'!$A$5:$A$882&gt;=AT$3)*('PA Fees Actual'!$A$5:$A$882&lt;=EOMONTH(AT$3,0))*'PA Fees Actual'!$D$5:$D$882),AT$3&gt;=EOMONTH($X4,-1)+1,$Y4,TRUE,0)</f>
        <v>0</v>
      </c>
      <c r="AU4" s="202" cm="1">
        <f t="array" ref="AU4">_xlfn.IFS(AU$3&lt;$B$2,SUMPRODUCT(('PA Fees Actual'!$B$5:$B$882=$E4)*('PA Fees Actual'!$A$5:$A$882&gt;=AU$3)*('PA Fees Actual'!$A$5:$A$882&lt;=EOMONTH(AU$3,0))*'PA Fees Actual'!$D$5:$D$882),AU$3&gt;=EOMONTH($X4,-1)+1,$Y4,TRUE,0)</f>
        <v>0</v>
      </c>
      <c r="AV4" s="202" cm="1">
        <f t="array" ref="AV4">_xlfn.IFS(AV$3&lt;$B$2,SUMPRODUCT(('PA Fees Actual'!$B$5:$B$882=$E4)*('PA Fees Actual'!$A$5:$A$882&gt;=AV$3)*('PA Fees Actual'!$A$5:$A$882&lt;=EOMONTH(AV$3,0))*'PA Fees Actual'!$D$5:$D$882),AV$3&gt;=EOMONTH($X4,-1)+1,$Y4,TRUE,0)</f>
        <v>0</v>
      </c>
      <c r="AW4" s="202" cm="1">
        <f t="array" ref="AW4">_xlfn.IFS(AW$3&lt;$B$2,SUMPRODUCT(('PA Fees Actual'!$B$5:$B$882=$E4)*('PA Fees Actual'!$A$5:$A$882&gt;=AW$3)*('PA Fees Actual'!$A$5:$A$882&lt;=EOMONTH(AW$3,0))*'PA Fees Actual'!$D$5:$D$882),AW$3&gt;=EOMONTH($X4,-1)+1,$Y4,TRUE,0)</f>
        <v>0</v>
      </c>
      <c r="AX4" s="202" cm="1">
        <f t="array" ref="AX4">_xlfn.IFS(AX$3&lt;$B$2,SUMPRODUCT(('PA Fees Actual'!$B$5:$B$882=$E4)*('PA Fees Actual'!$A$5:$A$882&gt;=AX$3)*('PA Fees Actual'!$A$5:$A$882&lt;=EOMONTH(AX$3,0))*'PA Fees Actual'!$D$5:$D$882),AX$3&gt;=EOMONTH($X4,-1)+1,$Y4,TRUE,0)</f>
        <v>0</v>
      </c>
      <c r="AY4" s="202" cm="1">
        <f t="array" ref="AY4">_xlfn.IFS(AY$3&lt;$B$2,SUMPRODUCT(('PA Fees Actual'!$B$5:$B$882=$E4)*('PA Fees Actual'!$A$5:$A$882&gt;=AY$3)*('PA Fees Actual'!$A$5:$A$882&lt;=EOMONTH(AY$3,0))*'PA Fees Actual'!$D$5:$D$882),AY$3&gt;=EOMONTH($X4,-1)+1,$Y4,TRUE,0)</f>
        <v>0</v>
      </c>
      <c r="AZ4" s="202" cm="1">
        <f t="array" ref="AZ4">_xlfn.IFS(AZ$3&lt;$B$2,SUMPRODUCT(('PA Fees Actual'!$B$5:$B$882=$E4)*('PA Fees Actual'!$A$5:$A$882&gt;=AZ$3)*('PA Fees Actual'!$A$5:$A$882&lt;=EOMONTH(AZ$3,0))*'PA Fees Actual'!$D$5:$D$882),AZ$3&gt;=EOMONTH($X4,-1)+1,$Y4,TRUE,0)</f>
        <v>1497.47</v>
      </c>
      <c r="BA4" s="202" cm="1">
        <f t="array" ref="BA4">_xlfn.IFS(BA$3&lt;$B$2,SUMPRODUCT(('PA Fees Actual'!$B$5:$B$882=$E4)*('PA Fees Actual'!$A$5:$A$882&gt;=BA$3)*('PA Fees Actual'!$A$5:$A$882&lt;=EOMONTH(BA$3,0))*'PA Fees Actual'!$D$5:$D$882),BA$3&gt;=EOMONTH($X4,-1)+1,$Y4,TRUE,0)</f>
        <v>4241.21</v>
      </c>
      <c r="BB4" s="202" cm="1">
        <f t="array" ref="BB4">_xlfn.IFS(BB$3&lt;$B$2,SUMPRODUCT(('PA Fees Actual'!$B$5:$B$882=$E4)*('PA Fees Actual'!$A$5:$A$882&gt;=BB$3)*('PA Fees Actual'!$A$5:$A$882&lt;=EOMONTH(BB$3,0))*'PA Fees Actual'!$D$5:$D$882),BB$3&gt;=EOMONTH($X4,-1)+1,$Y4,TRUE,0)</f>
        <v>0</v>
      </c>
      <c r="BC4" s="202" cm="1">
        <f t="array" ref="BC4">_xlfn.IFS(BC$3&lt;$B$2,SUMPRODUCT(('PA Fees Actual'!$B$5:$B$882=$E4)*('PA Fees Actual'!$A$5:$A$882&gt;=BC$3)*('PA Fees Actual'!$A$5:$A$882&lt;=EOMONTH(BC$3,0))*'PA Fees Actual'!$D$5:$D$882),BC$3&gt;=EOMONTH($X4,-1)+1,$Y4,TRUE,0)</f>
        <v>1912.94</v>
      </c>
      <c r="BD4" s="202" cm="1">
        <f t="array" ref="BD4">_xlfn.IFS(BD$3&lt;$B$2,SUMPRODUCT(('PA Fees Actual'!$B$5:$B$882=$E4)*('PA Fees Actual'!$A$5:$A$882&gt;=BD$3)*('PA Fees Actual'!$A$5:$A$882&lt;=EOMONTH(BD$3,0))*'PA Fees Actual'!$D$5:$D$882),BD$3&gt;=EOMONTH($X4,-1)+1,$Y4,TRUE,0)</f>
        <v>0</v>
      </c>
      <c r="BE4" s="202" cm="1">
        <f t="array" ref="BE4">_xlfn.IFS(BE$3&lt;$B$2,SUMPRODUCT(('PA Fees Actual'!$B$5:$B$882=$E4)*('PA Fees Actual'!$A$5:$A$882&gt;=BE$3)*('PA Fees Actual'!$A$5:$A$882&lt;=EOMONTH(BE$3,0))*'PA Fees Actual'!$D$5:$D$882),BE$3&gt;=EOMONTH($X4,-1)+1,$Y4,TRUE,0)</f>
        <v>0</v>
      </c>
      <c r="BF4" s="202" cm="1">
        <f t="array" ref="BF4">_xlfn.IFS(BF$3&lt;$B$2,SUMPRODUCT(('PA Fees Actual'!$B$5:$B$882=$E4)*('PA Fees Actual'!$A$5:$A$882&gt;=BF$3)*('PA Fees Actual'!$A$5:$A$882&lt;=EOMONTH(BF$3,0))*'PA Fees Actual'!$D$5:$D$882),BF$3&gt;=EOMONTH($X4,-1)+1,$Y4,TRUE,0)</f>
        <v>5734.34</v>
      </c>
      <c r="BG4" s="202" cm="1">
        <f t="array" ref="BG4">_xlfn.IFS(BG$3&lt;$B$2,SUMPRODUCT(('PA Fees Actual'!$B$5:$B$882=$E4)*('PA Fees Actual'!$A$5:$A$882&gt;=BG$3)*('PA Fees Actual'!$A$5:$A$882&lt;=EOMONTH(BG$3,0))*'PA Fees Actual'!$D$5:$D$882),BG$3&gt;=EOMONTH($X4,-1)+1,$Y4,TRUE,0)</f>
        <v>0</v>
      </c>
      <c r="BH4" s="202" cm="1">
        <f t="array" ref="BH4">_xlfn.IFS(BH$3&lt;$B$2,SUMPRODUCT(('PA Fees Actual'!$B$5:$B$882=$E4)*('PA Fees Actual'!$A$5:$A$882&gt;=BH$3)*('PA Fees Actual'!$A$5:$A$882&lt;=EOMONTH(BH$3,0))*'PA Fees Actual'!$D$5:$D$882),BH$3&gt;=EOMONTH($X4,-1)+1,$Y4,TRUE,0)</f>
        <v>0</v>
      </c>
      <c r="BI4" s="202" cm="1">
        <f t="array" ref="BI4">_xlfn.IFS(BI$3&lt;$B$2,SUMPRODUCT(('PA Fees Actual'!$B$5:$B$882=$E4)*('PA Fees Actual'!$A$5:$A$882&gt;=BI$3)*('PA Fees Actual'!$A$5:$A$882&lt;=EOMONTH(BI$3,0))*'PA Fees Actual'!$D$5:$D$882),BI$3&gt;=EOMONTH($X4,-1)+1,$Y4,TRUE,0)</f>
        <v>3830.6</v>
      </c>
      <c r="BJ4" s="202" cm="1">
        <f t="array" ref="BJ4">_xlfn.IFS(BJ$3&lt;$B$2,SUMPRODUCT(('PA Fees Actual'!$B$5:$B$882=$E4)*('PA Fees Actual'!$A$5:$A$882&gt;=BJ$3)*('PA Fees Actual'!$A$5:$A$882&lt;=EOMONTH(BJ$3,0))*'PA Fees Actual'!$D$5:$D$882),BJ$3&gt;=EOMONTH($X4,-1)+1,$Y4,TRUE,0)</f>
        <v>1908.04</v>
      </c>
      <c r="BK4" s="202" cm="1">
        <f t="array" ref="BK4">_xlfn.IFS(BK$3&lt;$B$2,SUMPRODUCT(('PA Fees Actual'!$B$5:$B$882=$E4)*('PA Fees Actual'!$A$5:$A$882&gt;=BK$3)*('PA Fees Actual'!$A$5:$A$882&lt;=EOMONTH(BK$3,0))*'PA Fees Actual'!$D$5:$D$882),BK$3&gt;=EOMONTH($X4,-1)+1,$Y4,TRUE,0)</f>
        <v>1526.13</v>
      </c>
      <c r="BL4" s="202" cm="1">
        <f t="array" ref="BL4">_xlfn.IFS(BL$3&lt;$B$2,SUMPRODUCT(('PA Fees Actual'!$B$5:$B$882=$E4)*('PA Fees Actual'!$A$5:$A$882&gt;=BL$3)*('PA Fees Actual'!$A$5:$A$882&lt;=EOMONTH(BL$3,0))*'PA Fees Actual'!$D$5:$D$882),BL$3&gt;=EOMONTH($X4,-1)+1,$Y4,TRUE,0)</f>
        <v>4179.63</v>
      </c>
      <c r="BM4" s="202" cm="1">
        <f t="array" ref="BM4">_xlfn.IFS(BM$3&lt;$B$2,SUMPRODUCT(('PA Fees Actual'!$B$5:$B$882=$E4)*('PA Fees Actual'!$A$5:$A$882&gt;=BM$3)*('PA Fees Actual'!$A$5:$A$882&lt;=EOMONTH(BM$3,0))*'PA Fees Actual'!$D$5:$D$882),BM$3&gt;=EOMONTH($X4,-1)+1,$Y4,TRUE,0)</f>
        <v>0</v>
      </c>
      <c r="BN4" s="202" cm="1">
        <f t="array" ref="BN4">_xlfn.IFS(BN$3&lt;$B$2,SUMPRODUCT(('PA Fees Actual'!$B$5:$B$882=$E4)*('PA Fees Actual'!$A$5:$A$882&gt;=BN$3)*('PA Fees Actual'!$A$5:$A$882&lt;=EOMONTH(BN$3,0))*'PA Fees Actual'!$D$5:$D$882),BN$3&gt;=EOMONTH($X4,-1)+1,$Y4,TRUE,0)</f>
        <v>3795.59</v>
      </c>
      <c r="BO4" s="202" cm="1">
        <f t="array" ref="BO4">_xlfn.IFS(BO$3&lt;$B$2,SUMPRODUCT(('PA Fees Actual'!$B$5:$B$882=$E4)*('PA Fees Actual'!$A$5:$A$882&gt;=BO$3)*('PA Fees Actual'!$A$5:$A$882&lt;=EOMONTH(BO$3,0))*'PA Fees Actual'!$D$5:$D$882),BO$3&gt;=EOMONTH($X4,-1)+1,$Y4,TRUE,0)</f>
        <v>0</v>
      </c>
      <c r="BP4" s="202" cm="1">
        <f t="array" ref="BP4">_xlfn.IFS(BP$3&lt;$B$2,SUMPRODUCT(('PA Fees Actual'!$B$5:$B$882=$E4)*('PA Fees Actual'!$A$5:$A$882&gt;=BP$3)*('PA Fees Actual'!$A$5:$A$882&lt;=EOMONTH(BP$3,0))*'PA Fees Actual'!$D$5:$D$882),BP$3&gt;=EOMONTH($X4,-1)+1,$Y4,TRUE,0)</f>
        <v>2847.54</v>
      </c>
      <c r="BQ4" s="202" cm="1">
        <f t="array" ref="BQ4">_xlfn.IFS(BQ$3&lt;$B$2,SUMPRODUCT(('PA Fees Actual'!$B$5:$B$882=$E4)*('PA Fees Actual'!$A$5:$A$882&gt;=BQ$3)*('PA Fees Actual'!$A$5:$A$882&lt;=EOMONTH(BQ$3,0))*'PA Fees Actual'!$D$5:$D$882),BQ$3&gt;=EOMONTH($X4,-1)+1,$Y4,TRUE,0)</f>
        <v>0</v>
      </c>
      <c r="BR4" s="202" cm="1">
        <f t="array" ref="BR4">_xlfn.IFS(BR$3&lt;$B$2,SUMPRODUCT(('PA Fees Actual'!$B$5:$B$882=$E4)*('PA Fees Actual'!$A$5:$A$882&gt;=BR$3)*('PA Fees Actual'!$A$5:$A$882&lt;=EOMONTH(BR$3,0))*'PA Fees Actual'!$D$5:$D$882),BR$3&gt;=EOMONTH($X4,-1)+1,$Y4,TRUE,0)</f>
        <v>3385.6000000000004</v>
      </c>
      <c r="BS4" s="202" cm="1">
        <f t="array" ref="BS4">_xlfn.IFS(BS$3&lt;$B$2,SUMPRODUCT(('PA Fees Actual'!$B$5:$B$882=$E4)*('PA Fees Actual'!$A$5:$A$882&gt;=BS$3)*('PA Fees Actual'!$A$5:$A$882&lt;=EOMONTH(BS$3,0))*'PA Fees Actual'!$D$5:$D$882),BS$3&gt;=EOMONTH($X4,-1)+1,$Y4,TRUE,0)</f>
        <v>0</v>
      </c>
      <c r="BT4" s="202" cm="1">
        <f t="array" ref="BT4">_xlfn.IFS(BT$3&lt;$B$2,SUMPRODUCT(('PA Fees Actual'!$B$5:$B$882=$E4)*('PA Fees Actual'!$A$5:$A$882&gt;=BT$3)*('PA Fees Actual'!$A$5:$A$882&lt;=EOMONTH(BT$3,0))*'PA Fees Actual'!$D$5:$D$882),BT$3&gt;=EOMONTH($X4,-1)+1,$Y4,TRUE,0)</f>
        <v>3443.8</v>
      </c>
      <c r="BU4" s="202" cm="1">
        <f t="array" ref="BU4">_xlfn.IFS(BU$3&lt;$B$2,SUMPRODUCT(('PA Fees Actual'!$B$5:$B$882=$E4)*('PA Fees Actual'!$A$5:$A$882&gt;=BU$3)*('PA Fees Actual'!$A$5:$A$882&lt;=EOMONTH(BU$3,0))*'PA Fees Actual'!$D$5:$D$882),BU$3&gt;=EOMONTH($X4,-1)+1,$Y4,TRUE,0)</f>
        <v>1716.84</v>
      </c>
      <c r="BV4" s="202" cm="1">
        <f t="array" ref="BV4">_xlfn.IFS(BV$3&lt;$B$2,SUMPRODUCT(('PA Fees Actual'!$B$5:$B$882=$E4)*('PA Fees Actual'!$A$5:$A$882&gt;=BV$3)*('PA Fees Actual'!$A$5:$A$882&lt;=EOMONTH(BV$3,0))*'PA Fees Actual'!$D$5:$D$882),BV$3&gt;=EOMONTH($X4,-1)+1,$Y4,TRUE,0)</f>
        <v>1806.36</v>
      </c>
      <c r="BW4" s="202" cm="1">
        <f t="array" ref="BW4">_xlfn.IFS(BW$3&lt;$B$2,SUMPRODUCT(('PA Fees Actual'!$B$5:$B$882=$E4)*('PA Fees Actual'!$A$5:$A$882&gt;=BW$3)*('PA Fees Actual'!$A$5:$A$882&lt;=EOMONTH(BW$3,0))*'PA Fees Actual'!$D$5:$D$882),BW$3&gt;=EOMONTH($X4,-1)+1,$Y4,TRUE,0)</f>
        <v>0</v>
      </c>
      <c r="BX4" s="202" cm="1">
        <f t="array" ref="BX4">_xlfn.IFS(BX$3&lt;$B$2,SUMPRODUCT(('PA Fees Actual'!$B$5:$B$882=$E4)*('PA Fees Actual'!$A$5:$A$882&gt;=BX$3)*('PA Fees Actual'!$A$5:$A$882&lt;=EOMONTH(BX$3,0))*'PA Fees Actual'!$D$5:$D$882),BX$3&gt;=EOMONTH($X4,-1)+1,$Y4,TRUE,0)</f>
        <v>3639.7</v>
      </c>
      <c r="BY4" s="202" cm="1">
        <f t="array" ref="BY4">_xlfn.IFS(BY$3&lt;$B$2,SUMPRODUCT(('PA Fees Actual'!$B$5:$B$882=$E4)*('PA Fees Actual'!$A$5:$A$882&gt;=BY$3)*('PA Fees Actual'!$A$5:$A$882&lt;=EOMONTH(BY$3,0))*'PA Fees Actual'!$D$5:$D$882),BY$3&gt;=EOMONTH($X4,-1)+1,$Y4,TRUE,0)</f>
        <v>1837.49</v>
      </c>
      <c r="BZ4" s="202" cm="1">
        <f t="array" ref="BZ4">_xlfn.IFS(BZ$3&lt;$B$2,SUMPRODUCT(('PA Fees Actual'!$B$5:$B$882=$E4)*('PA Fees Actual'!$A$5:$A$882&gt;=BZ$3)*('PA Fees Actual'!$A$5:$A$882&lt;=EOMONTH(BZ$3,0))*'PA Fees Actual'!$D$5:$D$882),BZ$3&gt;=EOMONTH($X4,-1)+1,$Y4,TRUE,0)</f>
        <v>1855.5</v>
      </c>
      <c r="CA4" s="202" cm="1">
        <f t="array" ref="CA4">_xlfn.IFS(CA$3&lt;$B$2,SUMPRODUCT(('PA Fees Actual'!$B$5:$B$882=$E4)*('PA Fees Actual'!$A$5:$A$882&gt;=CA$3)*('PA Fees Actual'!$A$5:$A$882&lt;=EOMONTH(CA$3,0))*'PA Fees Actual'!$D$5:$D$882),CA$3&gt;=EOMONTH($X4,-1)+1,$Y4,TRUE,0)</f>
        <v>1853.52</v>
      </c>
      <c r="CB4" s="202" cm="1">
        <f t="array" ref="CB4">_xlfn.IFS(CB$3&lt;$B$2,SUMPRODUCT(('PA Fees Actual'!$B$5:$B$882=$E4)*('PA Fees Actual'!$A$5:$A$882&gt;=CB$3)*('PA Fees Actual'!$A$5:$A$882&lt;=EOMONTH(CB$3,0))*'PA Fees Actual'!$D$5:$D$882),CB$3&gt;=EOMONTH($X4,-1)+1,$Y4,TRUE,0)</f>
        <v>1806.25</v>
      </c>
      <c r="CC4" s="202" cm="1">
        <f t="array" ref="CC4">_xlfn.IFS(CC$3&lt;$B$2,SUMPRODUCT(('PA Fees Actual'!$B$5:$B$882=$E4)*('PA Fees Actual'!$A$5:$A$882&gt;=CC$3)*('PA Fees Actual'!$A$5:$A$882&lt;=EOMONTH(CC$3,0))*'PA Fees Actual'!$D$5:$D$882),CC$3&gt;=EOMONTH($X4,-1)+1,$Y4,TRUE,0)</f>
        <v>1806.25</v>
      </c>
      <c r="CD4" s="202" cm="1">
        <f t="array" ref="CD4">_xlfn.IFS(CD$3&lt;$B$2,SUMPRODUCT(('PA Fees Actual'!$B$5:$B$882=$E4)*('PA Fees Actual'!$A$5:$A$882&gt;=CD$3)*('PA Fees Actual'!$A$5:$A$882&lt;=EOMONTH(CD$3,0))*'PA Fees Actual'!$D$5:$D$882),CD$3&gt;=EOMONTH($X4,-1)+1,$Y4,TRUE,0)</f>
        <v>1806.25</v>
      </c>
      <c r="CE4" s="202" cm="1">
        <f t="array" ref="CE4">_xlfn.IFS(CE$3&lt;$B$2,SUMPRODUCT(('PA Fees Actual'!$B$5:$B$882=$E4)*('PA Fees Actual'!$A$5:$A$882&gt;=CE$3)*('PA Fees Actual'!$A$5:$A$882&lt;=EOMONTH(CE$3,0))*'PA Fees Actual'!$D$5:$D$882),CE$3&gt;=EOMONTH($X4,-1)+1,$Y4,TRUE,0)</f>
        <v>1806.25</v>
      </c>
      <c r="CF4" s="202" cm="1">
        <f t="array" ref="CF4">_xlfn.IFS(CF$3&lt;$B$2,SUMPRODUCT(('PA Fees Actual'!$B$5:$B$882=$E4)*('PA Fees Actual'!$A$5:$A$882&gt;=CF$3)*('PA Fees Actual'!$A$5:$A$882&lt;=EOMONTH(CF$3,0))*'PA Fees Actual'!$D$5:$D$882),CF$3&gt;=EOMONTH($X4,-1)+1,$Y4,TRUE,0)</f>
        <v>1806.25</v>
      </c>
      <c r="CG4" s="202" cm="1">
        <f t="array" ref="CG4">_xlfn.IFS(CG$3&lt;$B$2,SUMPRODUCT(('PA Fees Actual'!$B$5:$B$882=$E4)*('PA Fees Actual'!$A$5:$A$882&gt;=CG$3)*('PA Fees Actual'!$A$5:$A$882&lt;=EOMONTH(CG$3,0))*'PA Fees Actual'!$D$5:$D$882),CG$3&gt;=EOMONTH($X4,-1)+1,$Y4,TRUE,0)</f>
        <v>1806.25</v>
      </c>
      <c r="CI4" s="202" cm="1">
        <f t="array" ref="CI4">_xlfn.IFS(CF$3&lt;=YEAR($B$2),SUMPRODUCT(($E$4:$E$79=$E4)*($Z$2:$CG$2=CI$3)*($Z$2:$CG$2&lt;CJ$3)*$Z$4:$CG$79),CI$3&lt;YEAR($X4),0,CI$3=YEAR($X4),DATEDIF($X4,DATE(CI$3,12,31),"m")*$Y4,AND(CI$3&gt;YEAR($X4),CI$3-YEAR($X4)&lt;20),$Y4*12,CI$3-YEAR($X4)=20,DATEDIF(DATE(YEAR($X4),1,1),$X4,"m")*$Y4,CI$3-YEAR($X4)&gt;20,0)</f>
        <v>0</v>
      </c>
      <c r="CJ4" s="202" cm="1">
        <f t="array" ref="CJ4">_xlfn.IFS(CJ$3&lt;=YEAR($B$2),SUMPRODUCT(($E$4:$E$79=$E4)*($Z$2:$CG$2=CJ$3)*($Z$2:$CG$2&lt;CK$3)*$Z$4:$CG$79),CJ$3&lt;YEAR($X4),0,CJ$3=YEAR($X4),DATEDIF($X4,DATE(CJ$3,12,31),"m")*$Y4,AND(CJ$3&gt;YEAR($X4),CJ$3-YEAR($X4)&lt;20),$Y4*12,CJ$3-YEAR($X4)=20,DATEDIF(DATE(YEAR($X4),1,1),$X4,"m")*$Y4,CJ$3-YEAR($X4)&gt;20,0)</f>
        <v>0</v>
      </c>
      <c r="CK4" s="202" cm="1">
        <f t="array" ref="CK4">_xlfn.IFS(CK$3&lt;=YEAR($B$2),SUMPRODUCT(($E$4:$E$79=$E4)*($Z$2:$CG$2=CK$3)*($Z$2:$CG$2&lt;CL$3)*$Z$4:$CG$79),CK$3&lt;YEAR($X4),0,CK$3=YEAR($X4),DATEDIF($X4,DATE(CK$3,12,31),"m")*$Y4,AND(CK$3&gt;YEAR($X4),CK$3-YEAR($X4)&lt;20),$Y4*12,CK$3-YEAR($X4)=20,DATEDIF(DATE(YEAR($X4),1,1),$X4,"m")*$Y4,CK$3-YEAR($X4)&gt;20,0)</f>
        <v>17216.560000000001</v>
      </c>
      <c r="CL4" s="202" cm="1">
        <f t="array" ref="CL4">_xlfn.IFS(CL$3&lt;=YEAR($B$2),SUMPRODUCT(($E$4:$E$79=$E4)*($Z$2:$CG$2=CL$3)*($Z$2:$CG$2&lt;CM$3)*$Z$4:$CG$79),CL$3&lt;YEAR($X4),0,CL$3=YEAR($X4),DATEDIF($X4,DATE(CL$3,12,31),"m")*$Y4,AND(CL$3&gt;YEAR($X4),CL$3-YEAR($X4)&lt;20),$Y4*12,CL$3-YEAR($X4)=20,DATEDIF(DATE(YEAR($X4),1,1),$X4,"m")*$Y4,CL$3-YEAR($X4)&gt;20,0)</f>
        <v>22803.17</v>
      </c>
      <c r="CM4" s="202" cm="1">
        <f t="array" ref="CM4">_xlfn.IFS(CM$3&lt;=YEAR($B$2),SUMPRODUCT(($E$4:$E$79=$E4)*($Z$2:$CG$2=CM$3)*($Z$2:$CG$2&lt;CN$3)*$Z$4:$CG$79),CM$3&lt;YEAR($X4),0,CM$3=YEAR($X4),DATEDIF($X4,DATE(CM$3,12,31),"m")*$Y4,AND(CM$3&gt;YEAR($X4),CM$3-YEAR($X4)&lt;20),$Y4*12,CM$3-YEAR($X4)=20,DATEDIF(DATE(YEAR($X4),1,1),$X4,"m")*$Y4,CM$3-YEAR($X4)&gt;20,0)</f>
        <v>21830.07</v>
      </c>
      <c r="CN4" s="202" cm="1">
        <f t="array" ref="CN4">_xlfn.IFS(CN$3&lt;=YEAR($B$2),SUMPRODUCT(($E$4:$E$79=$E4)*($Z$2:$CG$2=CN$3)*($Z$2:$CG$2&lt;CO$3)*$Z$4:$CG$79),CN$3&lt;YEAR($X4),0,CN$3=YEAR($X4),DATEDIF($X4,DATE(CN$3,12,31),"m")*$Y4,AND(CN$3&gt;YEAR($X4),CN$3-YEAR($X4)&lt;20),$Y4*12,CN$3-YEAR($X4)=20,DATEDIF(DATE(YEAR($X4),1,1),$X4,"m")*$Y4,CN$3-YEAR($X4)&gt;20,0)</f>
        <v>21675</v>
      </c>
      <c r="CO4" s="202" cm="1">
        <f t="array" ref="CO4">_xlfn.IFS(CO$3&lt;=YEAR($B$2),SUMPRODUCT(($E$4:$E$79=$E4)*($Z$2:$CG$2=CO$3)*($Z$2:$CG$2&lt;CP$3)*$Z$4:$CG$79),CO$3&lt;YEAR($X4),0,CO$3=YEAR($X4),DATEDIF($X4,DATE(CO$3,12,31),"m")*$Y4,AND(CO$3&gt;YEAR($X4),CO$3-YEAR($X4)&lt;20),$Y4*12,CO$3-YEAR($X4)=20,DATEDIF(DATE(YEAR($X4),1,1),$X4,"m")*$Y4,CO$3-YEAR($X4)&gt;20,0)</f>
        <v>21675</v>
      </c>
      <c r="CP4" s="202" cm="1">
        <f t="array" ref="CP4">_xlfn.IFS(CP$3&lt;=YEAR($B$2),SUMPRODUCT(($E$4:$E$79=$E4)*($Z$2:$CG$2=CP$3)*($Z$2:$CG$2&lt;CQ$3)*$Z$4:$CG$79),CP$3&lt;YEAR($X4),0,CP$3=YEAR($X4),DATEDIF($X4,DATE(CP$3,12,31),"m")*$Y4,AND(CP$3&gt;YEAR($X4),CP$3-YEAR($X4)&lt;20),$Y4*12,CP$3-YEAR($X4)=20,DATEDIF(DATE(YEAR($X4),1,1),$X4,"m")*$Y4,CP$3-YEAR($X4)&gt;20,0)</f>
        <v>21675</v>
      </c>
      <c r="CQ4" s="202" cm="1">
        <f t="array" ref="CQ4">_xlfn.IFS(CQ$3&lt;=YEAR($B$2),SUMPRODUCT(($E$4:$E$79=$E4)*($Z$2:$CG$2=CQ$3)*($Z$2:$CG$2&lt;CR$3)*$Z$4:$CG$79),CQ$3&lt;YEAR($X4),0,CQ$3=YEAR($X4),DATEDIF($X4,DATE(CQ$3,12,31),"m")*$Y4,AND(CQ$3&gt;YEAR($X4),CQ$3-YEAR($X4)&lt;20),$Y4*12,CQ$3-YEAR($X4)=20,DATEDIF(DATE(YEAR($X4),1,1),$X4,"m")*$Y4,CQ$3-YEAR($X4)&gt;20,0)</f>
        <v>21675</v>
      </c>
      <c r="CR4" s="202" cm="1">
        <f t="array" ref="CR4">_xlfn.IFS(CR$3&lt;=YEAR($B$2),SUMPRODUCT(($E$4:$E$79=$E4)*($Z$2:$CG$2=CR$3)*($Z$2:$CG$2&lt;CS$3)*$Z$4:$CG$79),CR$3&lt;YEAR($X4),0,CR$3=YEAR($X4),DATEDIF($X4,DATE(CR$3,12,31),"m")*$Y4,AND(CR$3&gt;YEAR($X4),CR$3-YEAR($X4)&lt;20),$Y4*12,CR$3-YEAR($X4)=20,DATEDIF(DATE(YEAR($X4),1,1),$X4,"m")*$Y4,CR$3-YEAR($X4)&gt;20,0)</f>
        <v>21675</v>
      </c>
      <c r="CS4" s="202" cm="1">
        <f t="array" ref="CS4">_xlfn.IFS(CS$3&lt;=YEAR($B$2),SUMPRODUCT(($E$4:$E$79=$E4)*($Z$2:$CG$2=CS$3)*($Z$2:$CG$2&lt;CT$3)*$Z$4:$CG$79),CS$3&lt;YEAR($X4),0,CS$3=YEAR($X4),DATEDIF($X4,DATE(CS$3,12,31),"m")*$Y4,AND(CS$3&gt;YEAR($X4),CS$3-YEAR($X4)&lt;20),$Y4*12,CS$3-YEAR($X4)=20,DATEDIF(DATE(YEAR($X4),1,1),$X4,"m")*$Y4,CS$3-YEAR($X4)&gt;20,0)</f>
        <v>21675</v>
      </c>
      <c r="CT4" s="202" cm="1">
        <f t="array" ref="CT4">_xlfn.IFS(CT$3&lt;=YEAR($B$2),SUMPRODUCT(($E$4:$E$79=$E4)*($Z$2:$CG$2=CT$3)*($Z$2:$CG$2&lt;CU$3)*$Z$4:$CG$79),CT$3&lt;YEAR($X4),0,CT$3=YEAR($X4),DATEDIF($X4,DATE(CT$3,12,31),"m")*$Y4,AND(CT$3&gt;YEAR($X4),CT$3-YEAR($X4)&lt;20),$Y4*12,CT$3-YEAR($X4)=20,DATEDIF(DATE(YEAR($X4),1,1),$X4,"m")*$Y4,CT$3-YEAR($X4)&gt;20,0)</f>
        <v>21675</v>
      </c>
      <c r="CU4" s="202" cm="1">
        <f t="array" ref="CU4">_xlfn.IFS(CU$3&lt;=YEAR($B$2),SUMPRODUCT(($E$4:$E$79=$E4)*($Z$2:$CG$2=CU$3)*($Z$2:$CG$2&lt;CV$3)*$Z$4:$CG$79),CU$3&lt;YEAR($X4),0,CU$3=YEAR($X4),DATEDIF($X4,DATE(CU$3,12,31),"m")*$Y4,AND(CU$3&gt;YEAR($X4),CU$3-YEAR($X4)&lt;20),$Y4*12,CU$3-YEAR($X4)=20,DATEDIF(DATE(YEAR($X4),1,1),$X4,"m")*$Y4,CU$3-YEAR($X4)&gt;20,0)</f>
        <v>21675</v>
      </c>
      <c r="CV4" s="202" cm="1">
        <f t="array" ref="CV4">_xlfn.IFS(CV$3&lt;=YEAR($B$2),SUMPRODUCT(($E$4:$E$79=$E4)*($Z$2:$CG$2=CV$3)*($Z$2:$CG$2&lt;CW$3)*$Z$4:$CG$79),CV$3&lt;YEAR($X4),0,CV$3=YEAR($X4),DATEDIF($X4,DATE(CV$3,12,31),"m")*$Y4,AND(CV$3&gt;YEAR($X4),CV$3-YEAR($X4)&lt;20),$Y4*12,CV$3-YEAR($X4)=20,DATEDIF(DATE(YEAR($X4),1,1),$X4,"m")*$Y4,CV$3-YEAR($X4)&gt;20,0)</f>
        <v>21675</v>
      </c>
      <c r="CW4" s="202" cm="1">
        <f t="array" ref="CW4">_xlfn.IFS(CW$3&lt;=YEAR($B$2),SUMPRODUCT(($E$4:$E$79=$E4)*($Z$2:$CG$2=CW$3)*($Z$2:$CG$2&lt;CX$3)*$Z$4:$CG$79),CW$3&lt;YEAR($X4),0,CW$3=YEAR($X4),DATEDIF($X4,DATE(CW$3,12,31),"m")*$Y4,AND(CW$3&gt;YEAR($X4),CW$3-YEAR($X4)&lt;20),$Y4*12,CW$3-YEAR($X4)=20,DATEDIF(DATE(YEAR($X4),1,1),$X4,"m")*$Y4,CW$3-YEAR($X4)&gt;20,0)</f>
        <v>21675</v>
      </c>
      <c r="CX4" s="202" cm="1">
        <f t="array" ref="CX4">_xlfn.IFS(CX$3&lt;=YEAR($B$2),SUMPRODUCT(($E$4:$E$79=$E4)*($Z$2:$CG$2=CX$3)*($Z$2:$CG$2&lt;CY$3)*$Z$4:$CG$79),CX$3&lt;YEAR($X4),0,CX$3=YEAR($X4),DATEDIF($X4,DATE(CX$3,12,31),"m")*$Y4,AND(CX$3&gt;YEAR($X4),CX$3-YEAR($X4)&lt;20),$Y4*12,CX$3-YEAR($X4)=20,DATEDIF(DATE(YEAR($X4),1,1),$X4,"m")*$Y4,CX$3-YEAR($X4)&gt;20,0)</f>
        <v>21675</v>
      </c>
      <c r="CY4" s="202" cm="1">
        <f t="array" ref="CY4">_xlfn.IFS(CY$3&lt;=YEAR($B$2),SUMPRODUCT(($E$4:$E$79=$E4)*($Z$2:$CG$2=CY$3)*($Z$2:$CG$2&lt;CZ$3)*$Z$4:$CG$79),CY$3&lt;YEAR($X4),0,CY$3=YEAR($X4),DATEDIF($X4,DATE(CY$3,12,31),"m")*$Y4,AND(CY$3&gt;YEAR($X4),CY$3-YEAR($X4)&lt;20),$Y4*12,CY$3-YEAR($X4)=20,DATEDIF(DATE(YEAR($X4),1,1),$X4,"m")*$Y4,CY$3-YEAR($X4)&gt;20,0)</f>
        <v>21675</v>
      </c>
      <c r="CZ4" s="202" cm="1">
        <f t="array" ref="CZ4">_xlfn.IFS(CZ$3&lt;=YEAR($B$2),SUMPRODUCT(($E$4:$E$79=$E4)*($Z$2:$CG$2=CZ$3)*($Z$2:$CG$2&lt;DA$3)*$Z$4:$CG$79),CZ$3&lt;YEAR($X4),0,CZ$3=YEAR($X4),DATEDIF($X4,DATE(CZ$3,12,31),"m")*$Y4,AND(CZ$3&gt;YEAR($X4),CZ$3-YEAR($X4)&lt;20),$Y4*12,CZ$3-YEAR($X4)=20,DATEDIF(DATE(YEAR($X4),1,1),$X4,"m")*$Y4,CZ$3-YEAR($X4)&gt;20,0)</f>
        <v>21675</v>
      </c>
      <c r="DA4" s="202" cm="1">
        <f t="array" ref="DA4">_xlfn.IFS(DA$3&lt;=YEAR($B$2),SUMPRODUCT(($E$4:$E$79=$E4)*($Z$2:$CG$2=DA$3)*($Z$2:$CG$2&lt;DB$3)*$Z$4:$CG$79),DA$3&lt;YEAR($X4),0,DA$3=YEAR($X4),DATEDIF($X4,DATE(DA$3,12,31),"m")*$Y4,AND(DA$3&gt;YEAR($X4),DA$3-YEAR($X4)&lt;20),$Y4*12,DA$3-YEAR($X4)=20,DATEDIF(DATE(YEAR($X4),1,1),$X4,"m")*$Y4,DA$3-YEAR($X4)&gt;20,0)</f>
        <v>21675</v>
      </c>
      <c r="DB4" s="202" cm="1">
        <f t="array" ref="DB4">_xlfn.IFS(DB$3&lt;=YEAR($B$2),SUMPRODUCT(($E$4:$E$79=$E4)*($Z$2:$CG$2=DB$3)*($Z$2:$CG$2&lt;DC$3)*$Z$4:$CG$79),DB$3&lt;YEAR($X4),0,DB$3=YEAR($X4),DATEDIF($X4,DATE(DB$3,12,31),"m")*$Y4,AND(DB$3&gt;YEAR($X4),DB$3-YEAR($X4)&lt;20),$Y4*12,DB$3-YEAR($X4)=20,DATEDIF(DATE(YEAR($X4),1,1),$X4,"m")*$Y4,DB$3-YEAR($X4)&gt;20,0)</f>
        <v>21675</v>
      </c>
      <c r="DC4" s="202" cm="1">
        <f t="array" ref="DC4">_xlfn.IFS(DC$3&lt;=YEAR($B$2),SUMPRODUCT(($E$4:$E$79=$E4)*($Z$2:$CG$2=DC$3)*($Z$2:$CG$2&lt;DD$3)*$Z$4:$CG$79),DC$3&lt;YEAR($X4),0,DC$3=YEAR($X4),DATEDIF($X4,DATE(DC$3,12,31),"m")*$Y4,AND(DC$3&gt;YEAR($X4),DC$3-YEAR($X4)&lt;20),$Y4*12,DC$3-YEAR($X4)=20,DATEDIF(DATE(YEAR($X4),1,1),$X4,"m")*$Y4,DC$3-YEAR($X4)&gt;20,0)</f>
        <v>21675</v>
      </c>
      <c r="DD4" s="202" cm="1">
        <f t="array" ref="DD4">_xlfn.IFS(DD$3&lt;=YEAR($B$2),SUMPRODUCT(($E$4:$E$79=$E4)*($Z$2:$CG$2=DD$3)*($Z$2:$CG$2&lt;DE$3)*$Z$4:$CG$79),DD$3&lt;YEAR($X4),0,DD$3=YEAR($X4),DATEDIF($X4,DATE(DD$3,12,31),"m")*$Y4,AND(DD$3&gt;YEAR($X4),DD$3-YEAR($X4)&lt;20),$Y4*12,DD$3-YEAR($X4)=20,DATEDIF(DATE(YEAR($X4),1,1),$X4,"m")*$Y4,DD$3-YEAR($X4)&gt;20,0)</f>
        <v>21675</v>
      </c>
      <c r="DE4" s="202" cm="1">
        <f t="array" ref="DE4">_xlfn.IFS(DE$3&lt;=YEAR($B$2),SUMPRODUCT(($E$4:$E$79=$E4)*($Z$2:$CG$2=DE$3)*($Z$2:$CG$2&lt;DF$3)*$Z$4:$CG$79),DE$3&lt;YEAR($X4),0,DE$3=YEAR($X4),DATEDIF($X4,DATE(DE$3,12,31),"m")*$Y4,AND(DE$3&gt;YEAR($X4),DE$3-YEAR($X4)&lt;20),$Y4*12,DE$3-YEAR($X4)=20,DATEDIF(DATE(YEAR($X4),1,1),$X4,"m")*$Y4,DE$3-YEAR($X4)&gt;20,0)</f>
        <v>1806.25</v>
      </c>
      <c r="DF4" s="202" cm="1">
        <f t="array" ref="DF4">_xlfn.IFS(DF$3&lt;=YEAR($B$2),SUMPRODUCT(($E$4:$E$79=$E4)*($Z$2:$CG$2=DF$3)*($Z$2:$CG$2&lt;DG$3)*$Z$4:$CG$79),DF$3&lt;YEAR($X4),0,DF$3=YEAR($X4),DATEDIF($X4,DATE(DF$3,12,31),"m")*$Y4,AND(DF$3&gt;YEAR($X4),DF$3-YEAR($X4)&lt;20),$Y4*12,DF$3-YEAR($X4)=20,DATEDIF(DATE(YEAR($X4),1,1),$X4,"m")*$Y4,DF$3-YEAR($X4)&gt;20,0)</f>
        <v>0</v>
      </c>
      <c r="DG4" s="202" cm="1">
        <f t="array" ref="DG4">_xlfn.IFS(DG$3&lt;=YEAR($B$2),SUMPRODUCT(($E$4:$E$79=$E4)*($Z$2:$CG$2=DG$3)*($Z$2:$CG$2&lt;DH$3)*$Z$4:$CG$79),DG$3&lt;YEAR($X4),0,DG$3=YEAR($X4),DATEDIF($X4,DATE(DG$3,12,31),"m")*$Y4,AND(DG$3&gt;YEAR($X4),DG$3-YEAR($X4)&lt;20),$Y4*12,DG$3-YEAR($X4)=20,DATEDIF(DATE(YEAR($X4),1,1),$X4,"m")*$Y4,DG$3-YEAR($X4)&gt;20,0)</f>
        <v>0</v>
      </c>
      <c r="DH4" s="202" cm="1">
        <f t="array" ref="DH4">_xlfn.IFS(DH$3&lt;=YEAR($B$2),SUMPRODUCT(($E$4:$E$79=$E4)*($Z$2:$CG$2=DH$3)*($Z$2:$CG$2&lt;DI$3)*$Z$4:$CG$79),DH$3&lt;YEAR($X4),0,DH$3=YEAR($X4),DATEDIF($X4,DATE(DH$3,12,31),"m")*$Y4,AND(DH$3&gt;YEAR($X4),DH$3-YEAR($X4)&lt;20),$Y4*12,DH$3-YEAR($X4)=20,DATEDIF(DATE(YEAR($X4),1,1),$X4,"m")*$Y4,DH$3-YEAR($X4)&gt;20,0)</f>
        <v>0</v>
      </c>
      <c r="DI4" s="202" cm="1">
        <f t="array" ref="DI4">_xlfn.IFS(DI$3&lt;=YEAR($B$2),SUMPRODUCT(($E$4:$E$79=$E4)*($Z$2:$CG$2=DI$3)*($Z$2:$CG$2&lt;DJ$3)*$Z$4:$CG$79),DI$3&lt;YEAR($X4),0,DI$3=YEAR($X4),DATEDIF($X4,DATE(DI$3,12,31),"m")*$Y4,AND(DI$3&gt;YEAR($X4),DI$3-YEAR($X4)&lt;20),$Y4*12,DI$3-YEAR($X4)=20,DATEDIF(DATE(YEAR($X4),1,1),$X4,"m")*$Y4,DI$3-YEAR($X4)&gt;20,0)</f>
        <v>0</v>
      </c>
      <c r="DJ4" s="202" cm="1">
        <f t="array" ref="DJ4">_xlfn.IFS(DJ$3&lt;=YEAR($B$2),SUMPRODUCT(($E$4:$E$79=$E4)*($Z$2:$CG$2=DJ$3)*($Z$2:$CG$2&lt;DK$3)*$Z$4:$CG$79),DJ$3&lt;YEAR($X4),0,DJ$3=YEAR($X4),DATEDIF($X4,DATE(DJ$3,12,31),"m")*$Y4,AND(DJ$3&gt;YEAR($X4),DJ$3-YEAR($X4)&lt;20),$Y4*12,DJ$3-YEAR($X4)=20,DATEDIF(DATE(YEAR($X4),1,1),$X4,"m")*$Y4,DJ$3-YEAR($X4)&gt;20,0)</f>
        <v>0</v>
      </c>
      <c r="DK4" s="202" cm="1">
        <f t="array" ref="DK4">_xlfn.IFS(DK$3&lt;=YEAR($B$2),SUMPRODUCT(($E$4:$E$79=$E4)*($Z$2:$CG$2=DK$3)*($Z$2:$CG$2&lt;DL$3)*$Z$4:$CG$79),DK$3&lt;YEAR($X4),0,DK$3=YEAR($X4),DATEDIF($X4,DATE(DK$3,12,31),"m")*$Y4,AND(DK$3&gt;YEAR($X4),DK$3-YEAR($X4)&lt;20),$Y4*12,DK$3-YEAR($X4)=20,DATEDIF(DATE(YEAR($X4),1,1),$X4,"m")*$Y4,DK$3-YEAR($X4)&gt;20,0)</f>
        <v>0</v>
      </c>
      <c r="DL4" s="202" cm="1">
        <f t="array" ref="DL4">_xlfn.IFS(DL$3&lt;=YEAR($B$2),SUMPRODUCT(($E$4:$E$79=$E4)*($Z$2:$CG$2=DL$3)*($Z$2:$CG$2&lt;DM$3)*$Z$4:$CG$79),DL$3&lt;YEAR($X4),0,DL$3=YEAR($X4),DATEDIF($X4,DATE(DL$3,12,31),"m")*$Y4,AND(DL$3&gt;YEAR($X4),DL$3-YEAR($X4)&lt;20),$Y4*12,DL$3-YEAR($X4)=20,DATEDIF(DATE(YEAR($X4),1,1),$X4,"m")*$Y4,DL$3-YEAR($X4)&gt;20,0)</f>
        <v>0</v>
      </c>
      <c r="DO4" s="167" t="s">
        <v>11</v>
      </c>
      <c r="DP4" s="168">
        <v>0</v>
      </c>
      <c r="DQ4" s="159">
        <f t="shared" ref="DQ4:DZ6" si="10">SUMIF($B:$B,$DO4,CI:CI)</f>
        <v>32902.559999999998</v>
      </c>
      <c r="DR4" s="159">
        <f t="shared" si="10"/>
        <v>78256.299999999988</v>
      </c>
      <c r="DS4" s="159">
        <f t="shared" si="10"/>
        <v>206295.81</v>
      </c>
      <c r="DT4" s="159">
        <f t="shared" si="10"/>
        <v>256606.07</v>
      </c>
      <c r="DU4" s="159">
        <f t="shared" si="10"/>
        <v>439024.21499999997</v>
      </c>
      <c r="DV4" s="159">
        <f t="shared" si="10"/>
        <v>536297.72500000009</v>
      </c>
      <c r="DW4" s="159">
        <f t="shared" si="10"/>
        <v>638266.70000000019</v>
      </c>
      <c r="DX4" s="159">
        <f t="shared" si="10"/>
        <v>660421.95000000019</v>
      </c>
      <c r="DY4" s="159">
        <f t="shared" si="10"/>
        <v>660421.95000000019</v>
      </c>
      <c r="DZ4" s="159">
        <f t="shared" si="10"/>
        <v>660421.95000000019</v>
      </c>
      <c r="EA4" s="159">
        <f t="shared" ref="EA4:EJ6" si="11">SUMIF($B:$B,$DO4,CS:CS)</f>
        <v>660421.95000000019</v>
      </c>
      <c r="EB4" s="159">
        <f t="shared" si="11"/>
        <v>660421.95000000019</v>
      </c>
      <c r="EC4" s="159">
        <f t="shared" si="11"/>
        <v>660421.95000000019</v>
      </c>
      <c r="ED4" s="159">
        <f t="shared" si="11"/>
        <v>660421.95000000019</v>
      </c>
      <c r="EE4" s="159">
        <f t="shared" si="11"/>
        <v>660421.95000000019</v>
      </c>
      <c r="EF4" s="159">
        <f t="shared" si="11"/>
        <v>660421.95000000019</v>
      </c>
      <c r="EG4" s="159">
        <f t="shared" si="11"/>
        <v>660421.95000000019</v>
      </c>
      <c r="EH4" s="159">
        <f t="shared" si="11"/>
        <v>660421.95000000019</v>
      </c>
      <c r="EI4" s="159">
        <f t="shared" si="11"/>
        <v>660421.95000000019</v>
      </c>
      <c r="EJ4" s="159">
        <f t="shared" si="11"/>
        <v>660421.95000000019</v>
      </c>
      <c r="EK4" s="159">
        <f t="shared" ref="EK4:ET6" si="12">SUMIF($B:$B,$DO4,DC:DC)</f>
        <v>621035.58500000008</v>
      </c>
      <c r="EL4" s="159">
        <f t="shared" si="12"/>
        <v>581864.6100000001</v>
      </c>
      <c r="EM4" s="159">
        <f t="shared" si="12"/>
        <v>444784.51500000001</v>
      </c>
      <c r="EN4" s="159">
        <f t="shared" si="12"/>
        <v>411241.05</v>
      </c>
      <c r="EO4" s="159">
        <f t="shared" si="12"/>
        <v>204784.55</v>
      </c>
      <c r="EP4" s="159">
        <f t="shared" si="12"/>
        <v>111886.1375</v>
      </c>
      <c r="EQ4" s="159">
        <f t="shared" si="12"/>
        <v>18315.375</v>
      </c>
      <c r="ER4" s="159">
        <f t="shared" si="12"/>
        <v>0</v>
      </c>
      <c r="ES4" s="159">
        <f t="shared" si="12"/>
        <v>0</v>
      </c>
      <c r="ET4" s="159">
        <f t="shared" si="12"/>
        <v>0</v>
      </c>
    </row>
    <row r="5" spans="1:150">
      <c r="A5" s="155" t="str" cm="1">
        <f t="array" ref="A5">INDEX('Monthly Report July 2025'!C:C,MATCH(E5,'Monthly Report July 2025'!E:E,0),0)</f>
        <v>OCS044</v>
      </c>
      <c r="B5" s="155" t="str" cm="1">
        <f t="array" ref="B5">_xlfn.IFS(LEFT(E5,3)="PGE","PGE",LEFT(E5,2)="PP","PAC",TRUE,"IP")</f>
        <v>PAC</v>
      </c>
      <c r="C5" s="155" t="str">
        <f>IF(ISNA(MATCH(E5,'Monthly Report July 2025'!E:E,0)),"Missing","Present")</f>
        <v>Present</v>
      </c>
      <c r="D5" s="155" t="str">
        <f>IF(ISNA(MATCH(E5,'Project Operational Timelines'!C:C,0))=TRUE,"Missing","Present")</f>
        <v>Present</v>
      </c>
      <c r="E5" s="155" t="s">
        <v>110</v>
      </c>
      <c r="F5" s="155" t="str" cm="1">
        <f t="array" ref="F5">INDEX('Monthly Report July 2025'!F:F,MATCH(E5,'Monthly Report July 2025'!E:E,),0)</f>
        <v>Cherry Creek Solar</v>
      </c>
      <c r="G5" s="155" t="str" cm="1">
        <f t="array" ref="G5">_xlfn.IFS(INDEX('Monthly Report July 2025'!O:O,MATCH(E5,'Monthly Report July 2025'!E:E,0),0)="Operational","Operational",INDEX('Monthly Report July 2025'!O:O,MATCH(E5,'Monthly Report July 2025'!E:E,0),0)="Certified","Certified",TRUE,"Pre-Certified")</f>
        <v>Operational</v>
      </c>
      <c r="H5" s="155" t="str" cm="1">
        <f t="array" ref="H5">INDEX('Monthly Report July 2025'!H:H,MATCH($E5,'Monthly Report July 2025'!$E:$E,0),0)</f>
        <v>TLS Capital</v>
      </c>
      <c r="I5" s="155" t="str" cm="1">
        <f t="array" ref="I5">INDEX('Monthly Report July 2025'!I:I,MATCH($E5,'Monthly Report July 2025'!$E:$E,0),0)</f>
        <v>GreenKey Solar</v>
      </c>
      <c r="J5" s="174" cm="1">
        <f t="array" ref="J5">INDEX('Monthly Report July 2025'!J:J,MATCH($E5,'Monthly Report July 2025'!$E:$E,0),0)</f>
        <v>1</v>
      </c>
      <c r="K5" s="174" t="str" cm="1">
        <f t="array" ref="K5">INDEX('Monthly Report July 2025'!K:K,MATCH($E5,'Monthly Report July 2025'!$E:$E,0),0)</f>
        <v>Yes</v>
      </c>
      <c r="L5" s="174" t="b" cm="1">
        <f t="array" ref="L5">INDEX('Monthly Report July 2025'!L:L,MATCH(E5,'Monthly Report July 2025'!E:E,0),0)=M5</f>
        <v>1</v>
      </c>
      <c r="M5" s="273" cm="1">
        <f t="array" ref="M5">INDEX('Monthly Report July 2025'!L:L,MATCH($E5,'Monthly Report July 2025'!$E:$E,0),0)</f>
        <v>359</v>
      </c>
      <c r="N5" s="175" cm="1">
        <f t="array" ref="N5">INDEX('Monthly Report July 2025'!M:M,MATCH($E5,'Monthly Report July 2025'!$E:$E,0),0)</f>
        <v>44406</v>
      </c>
      <c r="O5" s="175" t="str" cm="1">
        <f t="array" ref="O5">_xlfn.IFS(G5="Operational","Operational",G5="Certified","Certified",TRUE,INDEX('Monthly Report July 2025'!O:O,MATCH(E5,'Monthly Report July 2025'!E:E,0),0))</f>
        <v>Operational</v>
      </c>
      <c r="P5" s="175" t="b" cm="1">
        <f t="array" ref="P5">_xlfn.IFS(G5="Operational",O5="Operational",G5="Certified",O5="Certified",TRUE,G5="Pre-Certified")</f>
        <v>1</v>
      </c>
      <c r="Q5" s="175" cm="1">
        <f t="array" ref="Q5">IF(O5="Operational",INDEX('Monthly Report July 2025'!R:R,MATCH(E5,'Monthly Report July 2025'!E:E,0),0),"")</f>
        <v>45063</v>
      </c>
      <c r="R5" s="175" cm="1">
        <f t="array" ref="R5">INDEX('Monthly Report July 2025'!P:P,MATCH(E5,'Monthly Report July 2025'!E:E,0),0)</f>
        <v>44909</v>
      </c>
      <c r="S5" s="175" t="b">
        <f t="shared" si="5"/>
        <v>1</v>
      </c>
      <c r="T5" s="175" cm="1">
        <f t="array" ref="T5">INDEX('Monthly Report July 2025'!U:U,MATCH(E5,'Monthly Report July 2025'!E:E,0),0)</f>
        <v>44852</v>
      </c>
      <c r="U5" s="175" t="str">
        <f t="shared" si="6"/>
        <v>IGNORE</v>
      </c>
      <c r="V5" s="156">
        <f t="shared" si="7"/>
        <v>44909</v>
      </c>
      <c r="W5" s="156" cm="1">
        <f t="array" ref="W5">_xlfn.IFS(U5=TRUE,EDATE(O5,6),U5=FALSE,T5,O5="Operational",Q5,AND(O5="Certified",EDATE(R5,6)&gt;T5),EDATE(R5,6),TRUE,T5)</f>
        <v>45063</v>
      </c>
      <c r="X5" s="156">
        <f t="shared" si="8"/>
        <v>45124</v>
      </c>
      <c r="Y5" s="157">
        <f t="shared" si="9"/>
        <v>137.3175</v>
      </c>
      <c r="Z5" s="202" cm="1">
        <f t="array" ref="Z5">_xlfn.IFS(Z$3&lt;$B$2,SUMPRODUCT(('PA Fees Actual'!$B$5:$B$882=$E5)*('PA Fees Actual'!$A$5:$A$882&gt;=Z$3)*('PA Fees Actual'!$A$5:$A$882&lt;=EOMONTH(Z$3,0))*'PA Fees Actual'!$D$5:$D$882),Z$3&gt;=EOMONTH($X5,-1)+1,$Y5,TRUE,0)</f>
        <v>0</v>
      </c>
      <c r="AA5" s="202" cm="1">
        <f t="array" ref="AA5">_xlfn.IFS(AA$3&lt;$B$2,SUMPRODUCT(('PA Fees Actual'!$B$5:$B$882=$E5)*('PA Fees Actual'!$A$5:$A$882&gt;=AA$3)*('PA Fees Actual'!$A$5:$A$882&lt;=EOMONTH(AA$3,0))*'PA Fees Actual'!$D$5:$D$882),AA$3&gt;=EOMONTH($X5,-1)+1,$Y5,TRUE,0)</f>
        <v>0</v>
      </c>
      <c r="AB5" s="202" cm="1">
        <f t="array" ref="AB5">_xlfn.IFS(AB$3&lt;$B$2,SUMPRODUCT(('PA Fees Actual'!$B$5:$B$882=$E5)*('PA Fees Actual'!$A$5:$A$882&gt;=AB$3)*('PA Fees Actual'!$A$5:$A$882&lt;=EOMONTH(AB$3,0))*'PA Fees Actual'!$D$5:$D$882),AB$3&gt;=EOMONTH($X5,-1)+1,$Y5,TRUE,0)</f>
        <v>0</v>
      </c>
      <c r="AC5" s="202" cm="1">
        <f t="array" ref="AC5">_xlfn.IFS(AC$3&lt;$B$2,SUMPRODUCT(('PA Fees Actual'!$B$5:$B$882=$E5)*('PA Fees Actual'!$A$5:$A$882&gt;=AC$3)*('PA Fees Actual'!$A$5:$A$882&lt;=EOMONTH(AC$3,0))*'PA Fees Actual'!$D$5:$D$882),AC$3&gt;=EOMONTH($X5,-1)+1,$Y5,TRUE,0)</f>
        <v>0</v>
      </c>
      <c r="AD5" s="202" cm="1">
        <f t="array" ref="AD5">_xlfn.IFS(AD$3&lt;$B$2,SUMPRODUCT(('PA Fees Actual'!$B$5:$B$882=$E5)*('PA Fees Actual'!$A$5:$A$882&gt;=AD$3)*('PA Fees Actual'!$A$5:$A$882&lt;=EOMONTH(AD$3,0))*'PA Fees Actual'!$D$5:$D$882),AD$3&gt;=EOMONTH($X5,-1)+1,$Y5,TRUE,0)</f>
        <v>0</v>
      </c>
      <c r="AE5" s="202" cm="1">
        <f t="array" ref="AE5">_xlfn.IFS(AE$3&lt;$B$2,SUMPRODUCT(('PA Fees Actual'!$B$5:$B$882=$E5)*('PA Fees Actual'!$A$5:$A$882&gt;=AE$3)*('PA Fees Actual'!$A$5:$A$882&lt;=EOMONTH(AE$3,0))*'PA Fees Actual'!$D$5:$D$882),AE$3&gt;=EOMONTH($X5,-1)+1,$Y5,TRUE,0)</f>
        <v>0</v>
      </c>
      <c r="AF5" s="202" cm="1">
        <f t="array" ref="AF5">_xlfn.IFS(AF$3&lt;$B$2,SUMPRODUCT(('PA Fees Actual'!$B$5:$B$882=$E5)*('PA Fees Actual'!$A$5:$A$882&gt;=AF$3)*('PA Fees Actual'!$A$5:$A$882&lt;=EOMONTH(AF$3,0))*'PA Fees Actual'!$D$5:$D$882),AF$3&gt;=EOMONTH($X5,-1)+1,$Y5,TRUE,0)</f>
        <v>0</v>
      </c>
      <c r="AG5" s="202" cm="1">
        <f t="array" ref="AG5">_xlfn.IFS(AG$3&lt;$B$2,SUMPRODUCT(('PA Fees Actual'!$B$5:$B$882=$E5)*('PA Fees Actual'!$A$5:$A$882&gt;=AG$3)*('PA Fees Actual'!$A$5:$A$882&lt;=EOMONTH(AG$3,0))*'PA Fees Actual'!$D$5:$D$882),AG$3&gt;=EOMONTH($X5,-1)+1,$Y5,TRUE,0)</f>
        <v>0</v>
      </c>
      <c r="AH5" s="202" cm="1">
        <f t="array" ref="AH5">_xlfn.IFS(AH$3&lt;$B$2,SUMPRODUCT(('PA Fees Actual'!$B$5:$B$882=$E5)*('PA Fees Actual'!$A$5:$A$882&gt;=AH$3)*('PA Fees Actual'!$A$5:$A$882&lt;=EOMONTH(AH$3,0))*'PA Fees Actual'!$D$5:$D$882),AH$3&gt;=EOMONTH($X5,-1)+1,$Y5,TRUE,0)</f>
        <v>0</v>
      </c>
      <c r="AI5" s="202" cm="1">
        <f t="array" ref="AI5">_xlfn.IFS(AI$3&lt;$B$2,SUMPRODUCT(('PA Fees Actual'!$B$5:$B$882=$E5)*('PA Fees Actual'!$A$5:$A$882&gt;=AI$3)*('PA Fees Actual'!$A$5:$A$882&lt;=EOMONTH(AI$3,0))*'PA Fees Actual'!$D$5:$D$882),AI$3&gt;=EOMONTH($X5,-1)+1,$Y5,TRUE,0)</f>
        <v>0</v>
      </c>
      <c r="AJ5" s="202" cm="1">
        <f t="array" ref="AJ5">_xlfn.IFS(AJ$3&lt;$B$2,SUMPRODUCT(('PA Fees Actual'!$B$5:$B$882=$E5)*('PA Fees Actual'!$A$5:$A$882&gt;=AJ$3)*('PA Fees Actual'!$A$5:$A$882&lt;=EOMONTH(AJ$3,0))*'PA Fees Actual'!$D$5:$D$882),AJ$3&gt;=EOMONTH($X5,-1)+1,$Y5,TRUE,0)</f>
        <v>0</v>
      </c>
      <c r="AK5" s="202" cm="1">
        <f t="array" ref="AK5">_xlfn.IFS(AK$3&lt;$B$2,SUMPRODUCT(('PA Fees Actual'!$B$5:$B$882=$E5)*('PA Fees Actual'!$A$5:$A$882&gt;=AK$3)*('PA Fees Actual'!$A$5:$A$882&lt;=EOMONTH(AK$3,0))*'PA Fees Actual'!$D$5:$D$882),AK$3&gt;=EOMONTH($X5,-1)+1,$Y5,TRUE,0)</f>
        <v>0</v>
      </c>
      <c r="AL5" s="202" cm="1">
        <f t="array" ref="AL5">_xlfn.IFS(AL$3&lt;$B$2,SUMPRODUCT(('PA Fees Actual'!$B$5:$B$882=$E5)*('PA Fees Actual'!$A$5:$A$882&gt;=AL$3)*('PA Fees Actual'!$A$5:$A$882&lt;=EOMONTH(AL$3,0))*'PA Fees Actual'!$D$5:$D$882),AL$3&gt;=EOMONTH($X5,-1)+1,$Y5,TRUE,0)</f>
        <v>0</v>
      </c>
      <c r="AM5" s="202" cm="1">
        <f t="array" ref="AM5">_xlfn.IFS(AM$3&lt;$B$2,SUMPRODUCT(('PA Fees Actual'!$B$5:$B$882=$E5)*('PA Fees Actual'!$A$5:$A$882&gt;=AM$3)*('PA Fees Actual'!$A$5:$A$882&lt;=EOMONTH(AM$3,0))*'PA Fees Actual'!$D$5:$D$882),AM$3&gt;=EOMONTH($X5,-1)+1,$Y5,TRUE,0)</f>
        <v>0</v>
      </c>
      <c r="AN5" s="202" cm="1">
        <f t="array" ref="AN5">_xlfn.IFS(AN$3&lt;$B$2,SUMPRODUCT(('PA Fees Actual'!$B$5:$B$882=$E5)*('PA Fees Actual'!$A$5:$A$882&gt;=AN$3)*('PA Fees Actual'!$A$5:$A$882&lt;=EOMONTH(AN$3,0))*'PA Fees Actual'!$D$5:$D$882),AN$3&gt;=EOMONTH($X5,-1)+1,$Y5,TRUE,0)</f>
        <v>0</v>
      </c>
      <c r="AO5" s="202" cm="1">
        <f t="array" ref="AO5">_xlfn.IFS(AO$3&lt;$B$2,SUMPRODUCT(('PA Fees Actual'!$B$5:$B$882=$E5)*('PA Fees Actual'!$A$5:$A$882&gt;=AO$3)*('PA Fees Actual'!$A$5:$A$882&lt;=EOMONTH(AO$3,0))*'PA Fees Actual'!$D$5:$D$882),AO$3&gt;=EOMONTH($X5,-1)+1,$Y5,TRUE,0)</f>
        <v>0</v>
      </c>
      <c r="AP5" s="202" cm="1">
        <f t="array" ref="AP5">_xlfn.IFS(AP$3&lt;$B$2,SUMPRODUCT(('PA Fees Actual'!$B$5:$B$882=$E5)*('PA Fees Actual'!$A$5:$A$882&gt;=AP$3)*('PA Fees Actual'!$A$5:$A$882&lt;=EOMONTH(AP$3,0))*'PA Fees Actual'!$D$5:$D$882),AP$3&gt;=EOMONTH($X5,-1)+1,$Y5,TRUE,0)</f>
        <v>0</v>
      </c>
      <c r="AQ5" s="202" cm="1">
        <f t="array" ref="AQ5">_xlfn.IFS(AQ$3&lt;$B$2,SUMPRODUCT(('PA Fees Actual'!$B$5:$B$882=$E5)*('PA Fees Actual'!$A$5:$A$882&gt;=AQ$3)*('PA Fees Actual'!$A$5:$A$882&lt;=EOMONTH(AQ$3,0))*'PA Fees Actual'!$D$5:$D$882),AQ$3&gt;=EOMONTH($X5,-1)+1,$Y5,TRUE,0)</f>
        <v>0</v>
      </c>
      <c r="AR5" s="202" cm="1">
        <f t="array" ref="AR5">_xlfn.IFS(AR$3&lt;$B$2,SUMPRODUCT(('PA Fees Actual'!$B$5:$B$882=$E5)*('PA Fees Actual'!$A$5:$A$882&gt;=AR$3)*('PA Fees Actual'!$A$5:$A$882&lt;=EOMONTH(AR$3,0))*'PA Fees Actual'!$D$5:$D$882),AR$3&gt;=EOMONTH($X5,-1)+1,$Y5,TRUE,0)</f>
        <v>0</v>
      </c>
      <c r="AS5" s="202" cm="1">
        <f t="array" ref="AS5">_xlfn.IFS(AS$3&lt;$B$2,SUMPRODUCT(('PA Fees Actual'!$B$5:$B$882=$E5)*('PA Fees Actual'!$A$5:$A$882&gt;=AS$3)*('PA Fees Actual'!$A$5:$A$882&lt;=EOMONTH(AS$3,0))*'PA Fees Actual'!$D$5:$D$882),AS$3&gt;=EOMONTH($X5,-1)+1,$Y5,TRUE,0)</f>
        <v>0</v>
      </c>
      <c r="AT5" s="202" cm="1">
        <f t="array" ref="AT5">_xlfn.IFS(AT$3&lt;$B$2,SUMPRODUCT(('PA Fees Actual'!$B$5:$B$882=$E5)*('PA Fees Actual'!$A$5:$A$882&gt;=AT$3)*('PA Fees Actual'!$A$5:$A$882&lt;=EOMONTH(AT$3,0))*'PA Fees Actual'!$D$5:$D$882),AT$3&gt;=EOMONTH($X5,-1)+1,$Y5,TRUE,0)</f>
        <v>0</v>
      </c>
      <c r="AU5" s="202" cm="1">
        <f t="array" ref="AU5">_xlfn.IFS(AU$3&lt;$B$2,SUMPRODUCT(('PA Fees Actual'!$B$5:$B$882=$E5)*('PA Fees Actual'!$A$5:$A$882&gt;=AU$3)*('PA Fees Actual'!$A$5:$A$882&lt;=EOMONTH(AU$3,0))*'PA Fees Actual'!$D$5:$D$882),AU$3&gt;=EOMONTH($X5,-1)+1,$Y5,TRUE,0)</f>
        <v>0</v>
      </c>
      <c r="AV5" s="202" cm="1">
        <f t="array" ref="AV5">_xlfn.IFS(AV$3&lt;$B$2,SUMPRODUCT(('PA Fees Actual'!$B$5:$B$882=$E5)*('PA Fees Actual'!$A$5:$A$882&gt;=AV$3)*('PA Fees Actual'!$A$5:$A$882&lt;=EOMONTH(AV$3,0))*'PA Fees Actual'!$D$5:$D$882),AV$3&gt;=EOMONTH($X5,-1)+1,$Y5,TRUE,0)</f>
        <v>0</v>
      </c>
      <c r="AW5" s="202" cm="1">
        <f t="array" ref="AW5">_xlfn.IFS(AW$3&lt;$B$2,SUMPRODUCT(('PA Fees Actual'!$B$5:$B$882=$E5)*('PA Fees Actual'!$A$5:$A$882&gt;=AW$3)*('PA Fees Actual'!$A$5:$A$882&lt;=EOMONTH(AW$3,0))*'PA Fees Actual'!$D$5:$D$882),AW$3&gt;=EOMONTH($X5,-1)+1,$Y5,TRUE,0)</f>
        <v>0</v>
      </c>
      <c r="AX5" s="202" cm="1">
        <f t="array" ref="AX5">_xlfn.IFS(AX$3&lt;$B$2,SUMPRODUCT(('PA Fees Actual'!$B$5:$B$882=$E5)*('PA Fees Actual'!$A$5:$A$882&gt;=AX$3)*('PA Fees Actual'!$A$5:$A$882&lt;=EOMONTH(AX$3,0))*'PA Fees Actual'!$D$5:$D$882),AX$3&gt;=EOMONTH($X5,-1)+1,$Y5,TRUE,0)</f>
        <v>0</v>
      </c>
      <c r="AY5" s="202" cm="1">
        <f t="array" ref="AY5">_xlfn.IFS(AY$3&lt;$B$2,SUMPRODUCT(('PA Fees Actual'!$B$5:$B$882=$E5)*('PA Fees Actual'!$A$5:$A$882&gt;=AY$3)*('PA Fees Actual'!$A$5:$A$882&lt;=EOMONTH(AY$3,0))*'PA Fees Actual'!$D$5:$D$882),AY$3&gt;=EOMONTH($X5,-1)+1,$Y5,TRUE,0)</f>
        <v>0</v>
      </c>
      <c r="AZ5" s="202" cm="1">
        <f t="array" ref="AZ5">_xlfn.IFS(AZ$3&lt;$B$2,SUMPRODUCT(('PA Fees Actual'!$B$5:$B$882=$E5)*('PA Fees Actual'!$A$5:$A$882&gt;=AZ$3)*('PA Fees Actual'!$A$5:$A$882&lt;=EOMONTH(AZ$3,0))*'PA Fees Actual'!$D$5:$D$882),AZ$3&gt;=EOMONTH($X5,-1)+1,$Y5,TRUE,0)</f>
        <v>0</v>
      </c>
      <c r="BA5" s="202" cm="1">
        <f t="array" ref="BA5">_xlfn.IFS(BA$3&lt;$B$2,SUMPRODUCT(('PA Fees Actual'!$B$5:$B$882=$E5)*('PA Fees Actual'!$A$5:$A$882&gt;=BA$3)*('PA Fees Actual'!$A$5:$A$882&lt;=EOMONTH(BA$3,0))*'PA Fees Actual'!$D$5:$D$882),BA$3&gt;=EOMONTH($X5,-1)+1,$Y5,TRUE,0)</f>
        <v>0</v>
      </c>
      <c r="BB5" s="202" cm="1">
        <f t="array" ref="BB5">_xlfn.IFS(BB$3&lt;$B$2,SUMPRODUCT(('PA Fees Actual'!$B$5:$B$882=$E5)*('PA Fees Actual'!$A$5:$A$882&gt;=BB$3)*('PA Fees Actual'!$A$5:$A$882&lt;=EOMONTH(BB$3,0))*'PA Fees Actual'!$D$5:$D$882),BB$3&gt;=EOMONTH($X5,-1)+1,$Y5,TRUE,0)</f>
        <v>0</v>
      </c>
      <c r="BC5" s="202" cm="1">
        <f t="array" ref="BC5">_xlfn.IFS(BC$3&lt;$B$2,SUMPRODUCT(('PA Fees Actual'!$B$5:$B$882=$E5)*('PA Fees Actual'!$A$5:$A$882&gt;=BC$3)*('PA Fees Actual'!$A$5:$A$882&lt;=EOMONTH(BC$3,0))*'PA Fees Actual'!$D$5:$D$882),BC$3&gt;=EOMONTH($X5,-1)+1,$Y5,TRUE,0)</f>
        <v>0</v>
      </c>
      <c r="BD5" s="202" cm="1">
        <f t="array" ref="BD5">_xlfn.IFS(BD$3&lt;$B$2,SUMPRODUCT(('PA Fees Actual'!$B$5:$B$882=$E5)*('PA Fees Actual'!$A$5:$A$882&gt;=BD$3)*('PA Fees Actual'!$A$5:$A$882&lt;=EOMONTH(BD$3,0))*'PA Fees Actual'!$D$5:$D$882),BD$3&gt;=EOMONTH($X5,-1)+1,$Y5,TRUE,0)</f>
        <v>188.59</v>
      </c>
      <c r="BE5" s="202" cm="1">
        <f t="array" ref="BE5">_xlfn.IFS(BE$3&lt;$B$2,SUMPRODUCT(('PA Fees Actual'!$B$5:$B$882=$E5)*('PA Fees Actual'!$A$5:$A$882&gt;=BE$3)*('PA Fees Actual'!$A$5:$A$882&lt;=EOMONTH(BE$3,0))*'PA Fees Actual'!$D$5:$D$882),BE$3&gt;=EOMONTH($X5,-1)+1,$Y5,TRUE,0)</f>
        <v>0</v>
      </c>
      <c r="BF5" s="202" cm="1">
        <f t="array" ref="BF5">_xlfn.IFS(BF$3&lt;$B$2,SUMPRODUCT(('PA Fees Actual'!$B$5:$B$882=$E5)*('PA Fees Actual'!$A$5:$A$882&gt;=BF$3)*('PA Fees Actual'!$A$5:$A$882&lt;=EOMONTH(BF$3,0))*'PA Fees Actual'!$D$5:$D$882),BF$3&gt;=EOMONTH($X5,-1)+1,$Y5,TRUE,0)</f>
        <v>0</v>
      </c>
      <c r="BG5" s="202" cm="1">
        <f t="array" ref="BG5">_xlfn.IFS(BG$3&lt;$B$2,SUMPRODUCT(('PA Fees Actual'!$B$5:$B$882=$E5)*('PA Fees Actual'!$A$5:$A$882&gt;=BG$3)*('PA Fees Actual'!$A$5:$A$882&lt;=EOMONTH(BG$3,0))*'PA Fees Actual'!$D$5:$D$882),BG$3&gt;=EOMONTH($X5,-1)+1,$Y5,TRUE,0)</f>
        <v>82.2</v>
      </c>
      <c r="BH5" s="202" cm="1">
        <f t="array" ref="BH5">_xlfn.IFS(BH$3&lt;$B$2,SUMPRODUCT(('PA Fees Actual'!$B$5:$B$882=$E5)*('PA Fees Actual'!$A$5:$A$882&gt;=BH$3)*('PA Fees Actual'!$A$5:$A$882&lt;=EOMONTH(BH$3,0))*'PA Fees Actual'!$D$5:$D$882),BH$3&gt;=EOMONTH($X5,-1)+1,$Y5,TRUE,0)</f>
        <v>152.69</v>
      </c>
      <c r="BI5" s="202" cm="1">
        <f t="array" ref="BI5">_xlfn.IFS(BI$3&lt;$B$2,SUMPRODUCT(('PA Fees Actual'!$B$5:$B$882=$E5)*('PA Fees Actual'!$A$5:$A$882&gt;=BI$3)*('PA Fees Actual'!$A$5:$A$882&lt;=EOMONTH(BI$3,0))*'PA Fees Actual'!$D$5:$D$882),BI$3&gt;=EOMONTH($X5,-1)+1,$Y5,TRUE,0)</f>
        <v>149.63</v>
      </c>
      <c r="BJ5" s="202" cm="1">
        <f t="array" ref="BJ5">_xlfn.IFS(BJ$3&lt;$B$2,SUMPRODUCT(('PA Fees Actual'!$B$5:$B$882=$E5)*('PA Fees Actual'!$A$5:$A$882&gt;=BJ$3)*('PA Fees Actual'!$A$5:$A$882&lt;=EOMONTH(BJ$3,0))*'PA Fees Actual'!$D$5:$D$882),BJ$3&gt;=EOMONTH($X5,-1)+1,$Y5,TRUE,0)</f>
        <v>299.26</v>
      </c>
      <c r="BK5" s="202" cm="1">
        <f t="array" ref="BK5">_xlfn.IFS(BK$3&lt;$B$2,SUMPRODUCT(('PA Fees Actual'!$B$5:$B$882=$E5)*('PA Fees Actual'!$A$5:$A$882&gt;=BK$3)*('PA Fees Actual'!$A$5:$A$882&lt;=EOMONTH(BK$3,0))*'PA Fees Actual'!$D$5:$D$882),BK$3&gt;=EOMONTH($X5,-1)+1,$Y5,TRUE,0)</f>
        <v>0</v>
      </c>
      <c r="BL5" s="202" cm="1">
        <f t="array" ref="BL5">_xlfn.IFS(BL$3&lt;$B$2,SUMPRODUCT(('PA Fees Actual'!$B$5:$B$882=$E5)*('PA Fees Actual'!$A$5:$A$882&gt;=BL$3)*('PA Fees Actual'!$A$5:$A$882&lt;=EOMONTH(BL$3,0))*'PA Fees Actual'!$D$5:$D$882),BL$3&gt;=EOMONTH($X5,-1)+1,$Y5,TRUE,0)</f>
        <v>149.63</v>
      </c>
      <c r="BM5" s="202" cm="1">
        <f t="array" ref="BM5">_xlfn.IFS(BM$3&lt;$B$2,SUMPRODUCT(('PA Fees Actual'!$B$5:$B$882=$E5)*('PA Fees Actual'!$A$5:$A$882&gt;=BM$3)*('PA Fees Actual'!$A$5:$A$882&lt;=EOMONTH(BM$3,0))*'PA Fees Actual'!$D$5:$D$882),BM$3&gt;=EOMONTH($X5,-1)+1,$Y5,TRUE,0)</f>
        <v>299.26</v>
      </c>
      <c r="BN5" s="202" cm="1">
        <f t="array" ref="BN5">_xlfn.IFS(BN$3&lt;$B$2,SUMPRODUCT(('PA Fees Actual'!$B$5:$B$882=$E5)*('PA Fees Actual'!$A$5:$A$882&gt;=BN$3)*('PA Fees Actual'!$A$5:$A$882&lt;=EOMONTH(BN$3,0))*'PA Fees Actual'!$D$5:$D$882),BN$3&gt;=EOMONTH($X5,-1)+1,$Y5,TRUE,0)</f>
        <v>0</v>
      </c>
      <c r="BO5" s="202" cm="1">
        <f t="array" ref="BO5">_xlfn.IFS(BO$3&lt;$B$2,SUMPRODUCT(('PA Fees Actual'!$B$5:$B$882=$E5)*('PA Fees Actual'!$A$5:$A$882&gt;=BO$3)*('PA Fees Actual'!$A$5:$A$882&lt;=EOMONTH(BO$3,0))*'PA Fees Actual'!$D$5:$D$882),BO$3&gt;=EOMONTH($X5,-1)+1,$Y5,TRUE,0)</f>
        <v>0</v>
      </c>
      <c r="BP5" s="202" cm="1">
        <f t="array" ref="BP5">_xlfn.IFS(BP$3&lt;$B$2,SUMPRODUCT(('PA Fees Actual'!$B$5:$B$882=$E5)*('PA Fees Actual'!$A$5:$A$882&gt;=BP$3)*('PA Fees Actual'!$A$5:$A$882&lt;=EOMONTH(BP$3,0))*'PA Fees Actual'!$D$5:$D$882),BP$3&gt;=EOMONTH($X5,-1)+1,$Y5,TRUE,0)</f>
        <v>299.26</v>
      </c>
      <c r="BQ5" s="202" cm="1">
        <f t="array" ref="BQ5">_xlfn.IFS(BQ$3&lt;$B$2,SUMPRODUCT(('PA Fees Actual'!$B$5:$B$882=$E5)*('PA Fees Actual'!$A$5:$A$882&gt;=BQ$3)*('PA Fees Actual'!$A$5:$A$882&lt;=EOMONTH(BQ$3,0))*'PA Fees Actual'!$D$5:$D$882),BQ$3&gt;=EOMONTH($X5,-1)+1,$Y5,TRUE,0)</f>
        <v>301.11</v>
      </c>
      <c r="BR5" s="202" cm="1">
        <f t="array" ref="BR5">_xlfn.IFS(BR$3&lt;$B$2,SUMPRODUCT(('PA Fees Actual'!$B$5:$B$882=$E5)*('PA Fees Actual'!$A$5:$A$882&gt;=BR$3)*('PA Fees Actual'!$A$5:$A$882&lt;=EOMONTH(BR$3,0))*'PA Fees Actual'!$D$5:$D$882),BR$3&gt;=EOMONTH($X5,-1)+1,$Y5,TRUE,0)</f>
        <v>0</v>
      </c>
      <c r="BS5" s="202" cm="1">
        <f t="array" ref="BS5">_xlfn.IFS(BS$3&lt;$B$2,SUMPRODUCT(('PA Fees Actual'!$B$5:$B$882=$E5)*('PA Fees Actual'!$A$5:$A$882&gt;=BS$3)*('PA Fees Actual'!$A$5:$A$882&lt;=EOMONTH(BS$3,0))*'PA Fees Actual'!$D$5:$D$882),BS$3&gt;=EOMONTH($X5,-1)+1,$Y5,TRUE,0)</f>
        <v>151.47999999999999</v>
      </c>
      <c r="BT5" s="202" cm="1">
        <f t="array" ref="BT5">_xlfn.IFS(BT$3&lt;$B$2,SUMPRODUCT(('PA Fees Actual'!$B$5:$B$882=$E5)*('PA Fees Actual'!$A$5:$A$882&gt;=BT$3)*('PA Fees Actual'!$A$5:$A$882&lt;=EOMONTH(BT$3,0))*'PA Fees Actual'!$D$5:$D$882),BT$3&gt;=EOMONTH($X5,-1)+1,$Y5,TRUE,0)</f>
        <v>151.47999999999999</v>
      </c>
      <c r="BU5" s="202" cm="1">
        <f t="array" ref="BU5">_xlfn.IFS(BU$3&lt;$B$2,SUMPRODUCT(('PA Fees Actual'!$B$5:$B$882=$E5)*('PA Fees Actual'!$A$5:$A$882&gt;=BU$3)*('PA Fees Actual'!$A$5:$A$882&lt;=EOMONTH(BU$3,0))*'PA Fees Actual'!$D$5:$D$882),BU$3&gt;=EOMONTH($X5,-1)+1,$Y5,TRUE,0)</f>
        <v>151.47999999999999</v>
      </c>
      <c r="BV5" s="202" cm="1">
        <f t="array" ref="BV5">_xlfn.IFS(BV$3&lt;$B$2,SUMPRODUCT(('PA Fees Actual'!$B$5:$B$882=$E5)*('PA Fees Actual'!$A$5:$A$882&gt;=BV$3)*('PA Fees Actual'!$A$5:$A$882&lt;=EOMONTH(BV$3,0))*'PA Fees Actual'!$D$5:$D$882),BV$3&gt;=EOMONTH($X5,-1)+1,$Y5,TRUE,0)</f>
        <v>151.47999999999999</v>
      </c>
      <c r="BW5" s="202" cm="1">
        <f t="array" ref="BW5">_xlfn.IFS(BW$3&lt;$B$2,SUMPRODUCT(('PA Fees Actual'!$B$5:$B$882=$E5)*('PA Fees Actual'!$A$5:$A$882&gt;=BW$3)*('PA Fees Actual'!$A$5:$A$882&lt;=EOMONTH(BW$3,0))*'PA Fees Actual'!$D$5:$D$882),BW$3&gt;=EOMONTH($X5,-1)+1,$Y5,TRUE,0)</f>
        <v>0</v>
      </c>
      <c r="BX5" s="202" cm="1">
        <f t="array" ref="BX5">_xlfn.IFS(BX$3&lt;$B$2,SUMPRODUCT(('PA Fees Actual'!$B$5:$B$882=$E5)*('PA Fees Actual'!$A$5:$A$882&gt;=BX$3)*('PA Fees Actual'!$A$5:$A$882&lt;=EOMONTH(BX$3,0))*'PA Fees Actual'!$D$5:$D$882),BX$3&gt;=EOMONTH($X5,-1)+1,$Y5,TRUE,0)</f>
        <v>610.76</v>
      </c>
      <c r="BY5" s="202" cm="1">
        <f t="array" ref="BY5">_xlfn.IFS(BY$3&lt;$B$2,SUMPRODUCT(('PA Fees Actual'!$B$5:$B$882=$E5)*('PA Fees Actual'!$A$5:$A$882&gt;=BY$3)*('PA Fees Actual'!$A$5:$A$882&lt;=EOMONTH(BY$3,0))*'PA Fees Actual'!$D$5:$D$882),BY$3&gt;=EOMONTH($X5,-1)+1,$Y5,TRUE,0)</f>
        <v>150.9</v>
      </c>
      <c r="BZ5" s="202" cm="1">
        <f t="array" ref="BZ5">_xlfn.IFS(BZ$3&lt;$B$2,SUMPRODUCT(('PA Fees Actual'!$B$5:$B$882=$E5)*('PA Fees Actual'!$A$5:$A$882&gt;=BZ$3)*('PA Fees Actual'!$A$5:$A$882&lt;=EOMONTH(BZ$3,0))*'PA Fees Actual'!$D$5:$D$882),BZ$3&gt;=EOMONTH($X5,-1)+1,$Y5,TRUE,0)</f>
        <v>0</v>
      </c>
      <c r="CA5" s="202" cm="1">
        <f t="array" ref="CA5">_xlfn.IFS(CA$3&lt;$B$2,SUMPRODUCT(('PA Fees Actual'!$B$5:$B$882=$E5)*('PA Fees Actual'!$A$5:$A$882&gt;=CA$3)*('PA Fees Actual'!$A$5:$A$882&lt;=EOMONTH(CA$3,0))*'PA Fees Actual'!$D$5:$D$882),CA$3&gt;=EOMONTH($X5,-1)+1,$Y5,TRUE,0)</f>
        <v>0</v>
      </c>
      <c r="CB5" s="202" cm="1">
        <f t="array" ref="CB5">_xlfn.IFS(CB$3&lt;$B$2,SUMPRODUCT(('PA Fees Actual'!$B$5:$B$882=$E5)*('PA Fees Actual'!$A$5:$A$882&gt;=CB$3)*('PA Fees Actual'!$A$5:$A$882&lt;=EOMONTH(CB$3,0))*'PA Fees Actual'!$D$5:$D$882),CB$3&gt;=EOMONTH($X5,-1)+1,$Y5,TRUE,0)</f>
        <v>137.3175</v>
      </c>
      <c r="CC5" s="202" cm="1">
        <f t="array" ref="CC5">_xlfn.IFS(CC$3&lt;$B$2,SUMPRODUCT(('PA Fees Actual'!$B$5:$B$882=$E5)*('PA Fees Actual'!$A$5:$A$882&gt;=CC$3)*('PA Fees Actual'!$A$5:$A$882&lt;=EOMONTH(CC$3,0))*'PA Fees Actual'!$D$5:$D$882),CC$3&gt;=EOMONTH($X5,-1)+1,$Y5,TRUE,0)</f>
        <v>137.3175</v>
      </c>
      <c r="CD5" s="202" cm="1">
        <f t="array" ref="CD5">_xlfn.IFS(CD$3&lt;$B$2,SUMPRODUCT(('PA Fees Actual'!$B$5:$B$882=$E5)*('PA Fees Actual'!$A$5:$A$882&gt;=CD$3)*('PA Fees Actual'!$A$5:$A$882&lt;=EOMONTH(CD$3,0))*'PA Fees Actual'!$D$5:$D$882),CD$3&gt;=EOMONTH($X5,-1)+1,$Y5,TRUE,0)</f>
        <v>137.3175</v>
      </c>
      <c r="CE5" s="202" cm="1">
        <f t="array" ref="CE5">_xlfn.IFS(CE$3&lt;$B$2,SUMPRODUCT(('PA Fees Actual'!$B$5:$B$882=$E5)*('PA Fees Actual'!$A$5:$A$882&gt;=CE$3)*('PA Fees Actual'!$A$5:$A$882&lt;=EOMONTH(CE$3,0))*'PA Fees Actual'!$D$5:$D$882),CE$3&gt;=EOMONTH($X5,-1)+1,$Y5,TRUE,0)</f>
        <v>137.3175</v>
      </c>
      <c r="CF5" s="202" cm="1">
        <f t="array" ref="CF5">_xlfn.IFS(CF$3&lt;$B$2,SUMPRODUCT(('PA Fees Actual'!$B$5:$B$882=$E5)*('PA Fees Actual'!$A$5:$A$882&gt;=CF$3)*('PA Fees Actual'!$A$5:$A$882&lt;=EOMONTH(CF$3,0))*'PA Fees Actual'!$D$5:$D$882),CF$3&gt;=EOMONTH($X5,-1)+1,$Y5,TRUE,0)</f>
        <v>137.3175</v>
      </c>
      <c r="CG5" s="202" cm="1">
        <f t="array" ref="CG5">_xlfn.IFS(CG$3&lt;$B$2,SUMPRODUCT(('PA Fees Actual'!$B$5:$B$882=$E5)*('PA Fees Actual'!$A$5:$A$882&gt;=CG$3)*('PA Fees Actual'!$A$5:$A$882&lt;=EOMONTH(CG$3,0))*'PA Fees Actual'!$D$5:$D$882),CG$3&gt;=EOMONTH($X5,-1)+1,$Y5,TRUE,0)</f>
        <v>137.3175</v>
      </c>
      <c r="CI5" s="202" cm="1">
        <f t="array" ref="CI5">_xlfn.IFS(CI$3&lt;=YEAR($B$2),SUMPRODUCT(($E$4:$E$79=$E5)*($Z$2:$CG$2=CI$3)*($Z$2:$CG$2&lt;CJ$3)*$Z$4:$CG$79),CI$3&lt;YEAR($X5),0,CI$3=YEAR($X5),DATEDIF($X5,DATE(CI$3,12,31),"m")*$Y5,AND(CI$3&gt;YEAR($X5),CI$3-YEAR($X5)&lt;20),$Y5*12,CI$3-YEAR($X5)=20,DATEDIF(DATE(YEAR($X5),1,1),$X5,"m")*$Y5,CI$3-YEAR($X5)&gt;20,0)</f>
        <v>0</v>
      </c>
      <c r="CJ5" s="202" cm="1">
        <f t="array" ref="CJ5">_xlfn.IFS(CJ$3&lt;=YEAR($B$2),SUMPRODUCT(($E$4:$E$79=$E5)*($Z$2:$CG$2=CJ$3)*($Z$2:$CG$2&lt;CK$3)*$Z$4:$CG$79),CJ$3&lt;YEAR($X5),0,CJ$3=YEAR($X5),DATEDIF($X5,DATE(CJ$3,12,31),"m")*$Y5,AND(CJ$3&gt;YEAR($X5),CJ$3-YEAR($X5)&lt;20),$Y5*12,CJ$3-YEAR($X5)=20,DATEDIF(DATE(YEAR($X5),1,1),$X5,"m")*$Y5,CJ$3-YEAR($X5)&gt;20,0)</f>
        <v>0</v>
      </c>
      <c r="CK5" s="202" cm="1">
        <f t="array" ref="CK5">_xlfn.IFS(CK$3&lt;=YEAR($B$2),SUMPRODUCT(($E$4:$E$79=$E5)*($Z$2:$CG$2=CK$3)*($Z$2:$CG$2&lt;CL$3)*$Z$4:$CG$79),CK$3&lt;YEAR($X5),0,CK$3=YEAR($X5),DATEDIF($X5,DATE(CK$3,12,31),"m")*$Y5,AND(CK$3&gt;YEAR($X5),CK$3-YEAR($X5)&lt;20),$Y5*12,CK$3-YEAR($X5)=20,DATEDIF(DATE(YEAR($X5),1,1),$X5,"m")*$Y5,CK$3-YEAR($X5)&gt;20,0)</f>
        <v>573.11</v>
      </c>
      <c r="CL5" s="202" cm="1">
        <f t="array" ref="CL5">_xlfn.IFS(CL$3&lt;=YEAR($B$2),SUMPRODUCT(($E$4:$E$79=$E5)*($Z$2:$CG$2=CL$3)*($Z$2:$CG$2&lt;CM$3)*$Z$4:$CG$79),CL$3&lt;YEAR($X5),0,CL$3=YEAR($X5),DATEDIF($X5,DATE(CL$3,12,31),"m")*$Y5,AND(CL$3&gt;YEAR($X5),CL$3-YEAR($X5)&lt;20),$Y5*12,CL$3-YEAR($X5)=20,DATEDIF(DATE(YEAR($X5),1,1),$X5,"m")*$Y5,CL$3-YEAR($X5)&gt;20,0)</f>
        <v>1802.96</v>
      </c>
      <c r="CM5" s="202" cm="1">
        <f t="array" ref="CM5">_xlfn.IFS(CM$3&lt;=YEAR($B$2),SUMPRODUCT(($E$4:$E$79=$E5)*($Z$2:$CG$2=CM$3)*($Z$2:$CG$2&lt;CN$3)*$Z$4:$CG$79),CM$3&lt;YEAR($X5),0,CM$3=YEAR($X5),DATEDIF($X5,DATE(CM$3,12,31),"m")*$Y5,AND(CM$3&gt;YEAR($X5),CM$3-YEAR($X5)&lt;20),$Y5*12,CM$3-YEAR($X5)=20,DATEDIF(DATE(YEAR($X5),1,1),$X5,"m")*$Y5,CM$3-YEAR($X5)&gt;20,0)</f>
        <v>1737.0450000000005</v>
      </c>
      <c r="CN5" s="202" cm="1">
        <f t="array" ref="CN5">_xlfn.IFS(CN$3&lt;=YEAR($B$2),SUMPRODUCT(($E$4:$E$79=$E5)*($Z$2:$CG$2=CN$3)*($Z$2:$CG$2&lt;CO$3)*$Z$4:$CG$79),CN$3&lt;YEAR($X5),0,CN$3=YEAR($X5),DATEDIF($X5,DATE(CN$3,12,31),"m")*$Y5,AND(CN$3&gt;YEAR($X5),CN$3-YEAR($X5)&lt;20),$Y5*12,CN$3-YEAR($X5)=20,DATEDIF(DATE(YEAR($X5),1,1),$X5,"m")*$Y5,CN$3-YEAR($X5)&gt;20,0)</f>
        <v>1647.81</v>
      </c>
      <c r="CO5" s="202" cm="1">
        <f t="array" ref="CO5">_xlfn.IFS(CO$3&lt;=YEAR($B$2),SUMPRODUCT(($E$4:$E$79=$E5)*($Z$2:$CG$2=CO$3)*($Z$2:$CG$2&lt;CP$3)*$Z$4:$CG$79),CO$3&lt;YEAR($X5),0,CO$3=YEAR($X5),DATEDIF($X5,DATE(CO$3,12,31),"m")*$Y5,AND(CO$3&gt;YEAR($X5),CO$3-YEAR($X5)&lt;20),$Y5*12,CO$3-YEAR($X5)=20,DATEDIF(DATE(YEAR($X5),1,1),$X5,"m")*$Y5,CO$3-YEAR($X5)&gt;20,0)</f>
        <v>1647.81</v>
      </c>
      <c r="CP5" s="202" cm="1">
        <f t="array" ref="CP5">_xlfn.IFS(CP$3&lt;=YEAR($B$2),SUMPRODUCT(($E$4:$E$79=$E5)*($Z$2:$CG$2=CP$3)*($Z$2:$CG$2&lt;CQ$3)*$Z$4:$CG$79),CP$3&lt;YEAR($X5),0,CP$3=YEAR($X5),DATEDIF($X5,DATE(CP$3,12,31),"m")*$Y5,AND(CP$3&gt;YEAR($X5),CP$3-YEAR($X5)&lt;20),$Y5*12,CP$3-YEAR($X5)=20,DATEDIF(DATE(YEAR($X5),1,1),$X5,"m")*$Y5,CP$3-YEAR($X5)&gt;20,0)</f>
        <v>1647.81</v>
      </c>
      <c r="CQ5" s="202" cm="1">
        <f t="array" ref="CQ5">_xlfn.IFS(CQ$3&lt;=YEAR($B$2),SUMPRODUCT(($E$4:$E$79=$E5)*($Z$2:$CG$2=CQ$3)*($Z$2:$CG$2&lt;CR$3)*$Z$4:$CG$79),CQ$3&lt;YEAR($X5),0,CQ$3=YEAR($X5),DATEDIF($X5,DATE(CQ$3,12,31),"m")*$Y5,AND(CQ$3&gt;YEAR($X5),CQ$3-YEAR($X5)&lt;20),$Y5*12,CQ$3-YEAR($X5)=20,DATEDIF(DATE(YEAR($X5),1,1),$X5,"m")*$Y5,CQ$3-YEAR($X5)&gt;20,0)</f>
        <v>1647.81</v>
      </c>
      <c r="CR5" s="202" cm="1">
        <f t="array" ref="CR5">_xlfn.IFS(CR$3&lt;=YEAR($B$2),SUMPRODUCT(($E$4:$E$79=$E5)*($Z$2:$CG$2=CR$3)*($Z$2:$CG$2&lt;CS$3)*$Z$4:$CG$79),CR$3&lt;YEAR($X5),0,CR$3=YEAR($X5),DATEDIF($X5,DATE(CR$3,12,31),"m")*$Y5,AND(CR$3&gt;YEAR($X5),CR$3-YEAR($X5)&lt;20),$Y5*12,CR$3-YEAR($X5)=20,DATEDIF(DATE(YEAR($X5),1,1),$X5,"m")*$Y5,CR$3-YEAR($X5)&gt;20,0)</f>
        <v>1647.81</v>
      </c>
      <c r="CS5" s="202" cm="1">
        <f t="array" ref="CS5">_xlfn.IFS(CS$3&lt;=YEAR($B$2),SUMPRODUCT(($E$4:$E$79=$E5)*($Z$2:$CG$2=CS$3)*($Z$2:$CG$2&lt;CT$3)*$Z$4:$CG$79),CS$3&lt;YEAR($X5),0,CS$3=YEAR($X5),DATEDIF($X5,DATE(CS$3,12,31),"m")*$Y5,AND(CS$3&gt;YEAR($X5),CS$3-YEAR($X5)&lt;20),$Y5*12,CS$3-YEAR($X5)=20,DATEDIF(DATE(YEAR($X5),1,1),$X5,"m")*$Y5,CS$3-YEAR($X5)&gt;20,0)</f>
        <v>1647.81</v>
      </c>
      <c r="CT5" s="202" cm="1">
        <f t="array" ref="CT5">_xlfn.IFS(CT$3&lt;=YEAR($B$2),SUMPRODUCT(($E$4:$E$79=$E5)*($Z$2:$CG$2=CT$3)*($Z$2:$CG$2&lt;CU$3)*$Z$4:$CG$79),CT$3&lt;YEAR($X5),0,CT$3=YEAR($X5),DATEDIF($X5,DATE(CT$3,12,31),"m")*$Y5,AND(CT$3&gt;YEAR($X5),CT$3-YEAR($X5)&lt;20),$Y5*12,CT$3-YEAR($X5)=20,DATEDIF(DATE(YEAR($X5),1,1),$X5,"m")*$Y5,CT$3-YEAR($X5)&gt;20,0)</f>
        <v>1647.81</v>
      </c>
      <c r="CU5" s="202" cm="1">
        <f t="array" ref="CU5">_xlfn.IFS(CU$3&lt;=YEAR($B$2),SUMPRODUCT(($E$4:$E$79=$E5)*($Z$2:$CG$2=CU$3)*($Z$2:$CG$2&lt;CV$3)*$Z$4:$CG$79),CU$3&lt;YEAR($X5),0,CU$3=YEAR($X5),DATEDIF($X5,DATE(CU$3,12,31),"m")*$Y5,AND(CU$3&gt;YEAR($X5),CU$3-YEAR($X5)&lt;20),$Y5*12,CU$3-YEAR($X5)=20,DATEDIF(DATE(YEAR($X5),1,1),$X5,"m")*$Y5,CU$3-YEAR($X5)&gt;20,0)</f>
        <v>1647.81</v>
      </c>
      <c r="CV5" s="202" cm="1">
        <f t="array" ref="CV5">_xlfn.IFS(CV$3&lt;=YEAR($B$2),SUMPRODUCT(($E$4:$E$79=$E5)*($Z$2:$CG$2=CV$3)*($Z$2:$CG$2&lt;CW$3)*$Z$4:$CG$79),CV$3&lt;YEAR($X5),0,CV$3=YEAR($X5),DATEDIF($X5,DATE(CV$3,12,31),"m")*$Y5,AND(CV$3&gt;YEAR($X5),CV$3-YEAR($X5)&lt;20),$Y5*12,CV$3-YEAR($X5)=20,DATEDIF(DATE(YEAR($X5),1,1),$X5,"m")*$Y5,CV$3-YEAR($X5)&gt;20,0)</f>
        <v>1647.81</v>
      </c>
      <c r="CW5" s="202" cm="1">
        <f t="array" ref="CW5">_xlfn.IFS(CW$3&lt;=YEAR($B$2),SUMPRODUCT(($E$4:$E$79=$E5)*($Z$2:$CG$2=CW$3)*($Z$2:$CG$2&lt;CX$3)*$Z$4:$CG$79),CW$3&lt;YEAR($X5),0,CW$3=YEAR($X5),DATEDIF($X5,DATE(CW$3,12,31),"m")*$Y5,AND(CW$3&gt;YEAR($X5),CW$3-YEAR($X5)&lt;20),$Y5*12,CW$3-YEAR($X5)=20,DATEDIF(DATE(YEAR($X5),1,1),$X5,"m")*$Y5,CW$3-YEAR($X5)&gt;20,0)</f>
        <v>1647.81</v>
      </c>
      <c r="CX5" s="202" cm="1">
        <f t="array" ref="CX5">_xlfn.IFS(CX$3&lt;=YEAR($B$2),SUMPRODUCT(($E$4:$E$79=$E5)*($Z$2:$CG$2=CX$3)*($Z$2:$CG$2&lt;CY$3)*$Z$4:$CG$79),CX$3&lt;YEAR($X5),0,CX$3=YEAR($X5),DATEDIF($X5,DATE(CX$3,12,31),"m")*$Y5,AND(CX$3&gt;YEAR($X5),CX$3-YEAR($X5)&lt;20),$Y5*12,CX$3-YEAR($X5)=20,DATEDIF(DATE(YEAR($X5),1,1),$X5,"m")*$Y5,CX$3-YEAR($X5)&gt;20,0)</f>
        <v>1647.81</v>
      </c>
      <c r="CY5" s="202" cm="1">
        <f t="array" ref="CY5">_xlfn.IFS(CY$3&lt;=YEAR($B$2),SUMPRODUCT(($E$4:$E$79=$E5)*($Z$2:$CG$2=CY$3)*($Z$2:$CG$2&lt;CZ$3)*$Z$4:$CG$79),CY$3&lt;YEAR($X5),0,CY$3=YEAR($X5),DATEDIF($X5,DATE(CY$3,12,31),"m")*$Y5,AND(CY$3&gt;YEAR($X5),CY$3-YEAR($X5)&lt;20),$Y5*12,CY$3-YEAR($X5)=20,DATEDIF(DATE(YEAR($X5),1,1),$X5,"m")*$Y5,CY$3-YEAR($X5)&gt;20,0)</f>
        <v>1647.81</v>
      </c>
      <c r="CZ5" s="202" cm="1">
        <f t="array" ref="CZ5">_xlfn.IFS(CZ$3&lt;=YEAR($B$2),SUMPRODUCT(($E$4:$E$79=$E5)*($Z$2:$CG$2=CZ$3)*($Z$2:$CG$2&lt;DA$3)*$Z$4:$CG$79),CZ$3&lt;YEAR($X5),0,CZ$3=YEAR($X5),DATEDIF($X5,DATE(CZ$3,12,31),"m")*$Y5,AND(CZ$3&gt;YEAR($X5),CZ$3-YEAR($X5)&lt;20),$Y5*12,CZ$3-YEAR($X5)=20,DATEDIF(DATE(YEAR($X5),1,1),$X5,"m")*$Y5,CZ$3-YEAR($X5)&gt;20,0)</f>
        <v>1647.81</v>
      </c>
      <c r="DA5" s="202" cm="1">
        <f t="array" ref="DA5">_xlfn.IFS(DA$3&lt;=YEAR($B$2),SUMPRODUCT(($E$4:$E$79=$E5)*($Z$2:$CG$2=DA$3)*($Z$2:$CG$2&lt;DB$3)*$Z$4:$CG$79),DA$3&lt;YEAR($X5),0,DA$3=YEAR($X5),DATEDIF($X5,DATE(DA$3,12,31),"m")*$Y5,AND(DA$3&gt;YEAR($X5),DA$3-YEAR($X5)&lt;20),$Y5*12,DA$3-YEAR($X5)=20,DATEDIF(DATE(YEAR($X5),1,1),$X5,"m")*$Y5,DA$3-YEAR($X5)&gt;20,0)</f>
        <v>1647.81</v>
      </c>
      <c r="DB5" s="202" cm="1">
        <f t="array" ref="DB5">_xlfn.IFS(DB$3&lt;=YEAR($B$2),SUMPRODUCT(($E$4:$E$79=$E5)*($Z$2:$CG$2=DB$3)*($Z$2:$CG$2&lt;DC$3)*$Z$4:$CG$79),DB$3&lt;YEAR($X5),0,DB$3=YEAR($X5),DATEDIF($X5,DATE(DB$3,12,31),"m")*$Y5,AND(DB$3&gt;YEAR($X5),DB$3-YEAR($X5)&lt;20),$Y5*12,DB$3-YEAR($X5)=20,DATEDIF(DATE(YEAR($X5),1,1),$X5,"m")*$Y5,DB$3-YEAR($X5)&gt;20,0)</f>
        <v>1647.81</v>
      </c>
      <c r="DC5" s="202" cm="1">
        <f t="array" ref="DC5">_xlfn.IFS(DC$3&lt;=YEAR($B$2),SUMPRODUCT(($E$4:$E$79=$E5)*($Z$2:$CG$2=DC$3)*($Z$2:$CG$2&lt;DD$3)*$Z$4:$CG$79),DC$3&lt;YEAR($X5),0,DC$3=YEAR($X5),DATEDIF($X5,DATE(DC$3,12,31),"m")*$Y5,AND(DC$3&gt;YEAR($X5),DC$3-YEAR($X5)&lt;20),$Y5*12,DC$3-YEAR($X5)=20,DATEDIF(DATE(YEAR($X5),1,1),$X5,"m")*$Y5,DC$3-YEAR($X5)&gt;20,0)</f>
        <v>1647.81</v>
      </c>
      <c r="DD5" s="202" cm="1">
        <f t="array" ref="DD5">_xlfn.IFS(DD$3&lt;=YEAR($B$2),SUMPRODUCT(($E$4:$E$79=$E5)*($Z$2:$CG$2=DD$3)*($Z$2:$CG$2&lt;DE$3)*$Z$4:$CG$79),DD$3&lt;YEAR($X5),0,DD$3=YEAR($X5),DATEDIF($X5,DATE(DD$3,12,31),"m")*$Y5,AND(DD$3&gt;YEAR($X5),DD$3-YEAR($X5)&lt;20),$Y5*12,DD$3-YEAR($X5)=20,DATEDIF(DATE(YEAR($X5),1,1),$X5,"m")*$Y5,DD$3-YEAR($X5)&gt;20,0)</f>
        <v>1647.81</v>
      </c>
      <c r="DE5" s="202" cm="1">
        <f t="array" ref="DE5">_xlfn.IFS(DE$3&lt;=YEAR($B$2),SUMPRODUCT(($E$4:$E$79=$E5)*($Z$2:$CG$2=DE$3)*($Z$2:$CG$2&lt;DF$3)*$Z$4:$CG$79),DE$3&lt;YEAR($X5),0,DE$3=YEAR($X5),DATEDIF($X5,DATE(DE$3,12,31),"m")*$Y5,AND(DE$3&gt;YEAR($X5),DE$3-YEAR($X5)&lt;20),$Y5*12,DE$3-YEAR($X5)=20,DATEDIF(DATE(YEAR($X5),1,1),$X5,"m")*$Y5,DE$3-YEAR($X5)&gt;20,0)</f>
        <v>823.90499999999997</v>
      </c>
      <c r="DF5" s="202" cm="1">
        <f t="array" ref="DF5">_xlfn.IFS(DF$3&lt;=YEAR($B$2),SUMPRODUCT(($E$4:$E$79=$E5)*($Z$2:$CG$2=DF$3)*($Z$2:$CG$2&lt;DG$3)*$Z$4:$CG$79),DF$3&lt;YEAR($X5),0,DF$3=YEAR($X5),DATEDIF($X5,DATE(DF$3,12,31),"m")*$Y5,AND(DF$3&gt;YEAR($X5),DF$3-YEAR($X5)&lt;20),$Y5*12,DF$3-YEAR($X5)=20,DATEDIF(DATE(YEAR($X5),1,1),$X5,"m")*$Y5,DF$3-YEAR($X5)&gt;20,0)</f>
        <v>0</v>
      </c>
      <c r="DG5" s="202" cm="1">
        <f t="array" ref="DG5">_xlfn.IFS(DG$3&lt;=YEAR($B$2),SUMPRODUCT(($E$4:$E$79=$E5)*($Z$2:$CG$2=DG$3)*($Z$2:$CG$2&lt;DH$3)*$Z$4:$CG$79),DG$3&lt;YEAR($X5),0,DG$3=YEAR($X5),DATEDIF($X5,DATE(DG$3,12,31),"m")*$Y5,AND(DG$3&gt;YEAR($X5),DG$3-YEAR($X5)&lt;20),$Y5*12,DG$3-YEAR($X5)=20,DATEDIF(DATE(YEAR($X5),1,1),$X5,"m")*$Y5,DG$3-YEAR($X5)&gt;20,0)</f>
        <v>0</v>
      </c>
      <c r="DH5" s="202" cm="1">
        <f t="array" ref="DH5">_xlfn.IFS(DH$3&lt;=YEAR($B$2),SUMPRODUCT(($E$4:$E$79=$E5)*($Z$2:$CG$2=DH$3)*($Z$2:$CG$2&lt;DI$3)*$Z$4:$CG$79),DH$3&lt;YEAR($X5),0,DH$3=YEAR($X5),DATEDIF($X5,DATE(DH$3,12,31),"m")*$Y5,AND(DH$3&gt;YEAR($X5),DH$3-YEAR($X5)&lt;20),$Y5*12,DH$3-YEAR($X5)=20,DATEDIF(DATE(YEAR($X5),1,1),$X5,"m")*$Y5,DH$3-YEAR($X5)&gt;20,0)</f>
        <v>0</v>
      </c>
      <c r="DI5" s="202" cm="1">
        <f t="array" ref="DI5">_xlfn.IFS(DI$3&lt;=YEAR($B$2),SUMPRODUCT(($E$4:$E$79=$E5)*($Z$2:$CG$2=DI$3)*($Z$2:$CG$2&lt;DJ$3)*$Z$4:$CG$79),DI$3&lt;YEAR($X5),0,DI$3=YEAR($X5),DATEDIF($X5,DATE(DI$3,12,31),"m")*$Y5,AND(DI$3&gt;YEAR($X5),DI$3-YEAR($X5)&lt;20),$Y5*12,DI$3-YEAR($X5)=20,DATEDIF(DATE(YEAR($X5),1,1),$X5,"m")*$Y5,DI$3-YEAR($X5)&gt;20,0)</f>
        <v>0</v>
      </c>
      <c r="DJ5" s="202" cm="1">
        <f t="array" ref="DJ5">_xlfn.IFS(DJ$3&lt;=YEAR($B$2),SUMPRODUCT(($E$4:$E$79=$E5)*($Z$2:$CG$2=DJ$3)*($Z$2:$CG$2&lt;DK$3)*$Z$4:$CG$79),DJ$3&lt;YEAR($X5),0,DJ$3=YEAR($X5),DATEDIF($X5,DATE(DJ$3,12,31),"m")*$Y5,AND(DJ$3&gt;YEAR($X5),DJ$3-YEAR($X5)&lt;20),$Y5*12,DJ$3-YEAR($X5)=20,DATEDIF(DATE(YEAR($X5),1,1),$X5,"m")*$Y5,DJ$3-YEAR($X5)&gt;20,0)</f>
        <v>0</v>
      </c>
      <c r="DK5" s="202" cm="1">
        <f t="array" ref="DK5">_xlfn.IFS(DK$3&lt;=YEAR($B$2),SUMPRODUCT(($E$4:$E$79=$E5)*($Z$2:$CG$2=DK$3)*($Z$2:$CG$2&lt;DL$3)*$Z$4:$CG$79),DK$3&lt;YEAR($X5),0,DK$3=YEAR($X5),DATEDIF($X5,DATE(DK$3,12,31),"m")*$Y5,AND(DK$3&gt;YEAR($X5),DK$3-YEAR($X5)&lt;20),$Y5*12,DK$3-YEAR($X5)=20,DATEDIF(DATE(YEAR($X5),1,1),$X5,"m")*$Y5,DK$3-YEAR($X5)&gt;20,0)</f>
        <v>0</v>
      </c>
      <c r="DL5" s="202" cm="1">
        <f t="array" ref="DL5">_xlfn.IFS(DL$3&lt;=YEAR($B$2),SUMPRODUCT(($E$4:$E$79=$E5)*($Z$2:$CG$2=DL$3)*($Z$2:$CG$2&lt;DM$3)*$Z$4:$CG$79),DL$3&lt;YEAR($X5),0,DL$3=YEAR($X5),DATEDIF($X5,DATE(DL$3,12,31),"m")*$Y5,AND(DL$3&gt;YEAR($X5),DL$3-YEAR($X5)&lt;20),$Y5*12,DL$3-YEAR($X5)=20,DATEDIF(DATE(YEAR($X5),1,1),$X5,"m")*$Y5,DL$3-YEAR($X5)&gt;20,0)</f>
        <v>0</v>
      </c>
      <c r="DO5" s="167" t="s">
        <v>12</v>
      </c>
      <c r="DP5" s="168">
        <v>0</v>
      </c>
      <c r="DQ5" s="159">
        <f t="shared" si="10"/>
        <v>0</v>
      </c>
      <c r="DR5" s="159">
        <f t="shared" si="10"/>
        <v>1311.5500000000002</v>
      </c>
      <c r="DS5" s="159">
        <f t="shared" si="10"/>
        <v>7704.77</v>
      </c>
      <c r="DT5" s="159">
        <f t="shared" si="10"/>
        <v>35873.06</v>
      </c>
      <c r="DU5" s="159">
        <f t="shared" si="10"/>
        <v>159745.56199999995</v>
      </c>
      <c r="DV5" s="159">
        <f t="shared" si="10"/>
        <v>337446.43424999993</v>
      </c>
      <c r="DW5" s="159">
        <f t="shared" si="10"/>
        <v>447705.14729999995</v>
      </c>
      <c r="DX5" s="159">
        <f t="shared" si="10"/>
        <v>462971.99729999999</v>
      </c>
      <c r="DY5" s="159">
        <f t="shared" si="10"/>
        <v>462971.99729999999</v>
      </c>
      <c r="DZ5" s="159">
        <f t="shared" si="10"/>
        <v>462971.99729999999</v>
      </c>
      <c r="EA5" s="159">
        <f t="shared" si="11"/>
        <v>462971.99729999999</v>
      </c>
      <c r="EB5" s="159">
        <f t="shared" si="11"/>
        <v>462971.99729999999</v>
      </c>
      <c r="EC5" s="159">
        <f t="shared" si="11"/>
        <v>462971.99729999999</v>
      </c>
      <c r="ED5" s="159">
        <f t="shared" si="11"/>
        <v>462971.99729999999</v>
      </c>
      <c r="EE5" s="159">
        <f t="shared" si="11"/>
        <v>462971.99729999999</v>
      </c>
      <c r="EF5" s="159">
        <f t="shared" si="11"/>
        <v>462971.99729999999</v>
      </c>
      <c r="EG5" s="159">
        <f t="shared" si="11"/>
        <v>462971.99729999999</v>
      </c>
      <c r="EH5" s="159">
        <f t="shared" si="11"/>
        <v>462971.99729999999</v>
      </c>
      <c r="EI5" s="159">
        <f t="shared" si="11"/>
        <v>462971.99729999999</v>
      </c>
      <c r="EJ5" s="159">
        <f t="shared" si="11"/>
        <v>462971.99729999999</v>
      </c>
      <c r="EK5" s="159">
        <f t="shared" si="12"/>
        <v>462971.99729999999</v>
      </c>
      <c r="EL5" s="159">
        <f t="shared" si="12"/>
        <v>462024.6213</v>
      </c>
      <c r="EM5" s="159">
        <f t="shared" si="12"/>
        <v>456507.67080000002</v>
      </c>
      <c r="EN5" s="159">
        <f t="shared" si="12"/>
        <v>422058.74330000003</v>
      </c>
      <c r="EO5" s="159">
        <f t="shared" si="12"/>
        <v>287874.98080000002</v>
      </c>
      <c r="EP5" s="159">
        <f t="shared" si="12"/>
        <v>115760.98277500001</v>
      </c>
      <c r="EQ5" s="159">
        <f t="shared" si="12"/>
        <v>9717.880000000001</v>
      </c>
      <c r="ER5" s="159">
        <f t="shared" si="12"/>
        <v>0</v>
      </c>
      <c r="ES5" s="159">
        <f t="shared" si="12"/>
        <v>0</v>
      </c>
      <c r="ET5" s="159">
        <f t="shared" si="12"/>
        <v>0</v>
      </c>
    </row>
    <row r="6" spans="1:150">
      <c r="A6" s="155" t="str" cm="1">
        <f t="array" ref="A6">INDEX('Monthly Report July 2025'!C:C,MATCH(E6,'Monthly Report July 2025'!E:E,0),0)</f>
        <v>SPQ0152</v>
      </c>
      <c r="B6" s="155" t="str" cm="1">
        <f t="array" ref="B6">_xlfn.IFS(LEFT(E6,3)="PGE","PGE",LEFT(E6,2)="PP","PAC",TRUE,"IP")</f>
        <v>PGE</v>
      </c>
      <c r="C6" s="155" t="str">
        <f>IF(ISNA(MATCH(E6,'Monthly Report July 2025'!E:E,0)),"Missing","Present")</f>
        <v>Present</v>
      </c>
      <c r="D6" s="155" t="str">
        <f>IF(ISNA(MATCH(E6,'Project Operational Timelines'!C:C,0))=TRUE,"Missing","Present")</f>
        <v>Present</v>
      </c>
      <c r="E6" s="155" t="s">
        <v>111</v>
      </c>
      <c r="F6" s="155" t="str" cm="1">
        <f t="array" ref="F6">INDEX('Monthly Report July 2025'!F:F,MATCH(E6,'Monthly Report July 2025'!E:E,),0)</f>
        <v>Cosper Creek Solar LLC</v>
      </c>
      <c r="G6" s="155" t="str" cm="1">
        <f t="array" ref="G6">_xlfn.IFS(INDEX('Monthly Report July 2025'!O:O,MATCH(E6,'Monthly Report July 2025'!E:E,0),0)="Operational","Operational",INDEX('Monthly Report July 2025'!O:O,MATCH(E6,'Monthly Report July 2025'!E:E,0),0)="Certified","Certified",TRUE,"Pre-Certified")</f>
        <v>Operational</v>
      </c>
      <c r="H6" s="155" t="str" cm="1">
        <f t="array" ref="H6">INDEX('Monthly Report July 2025'!H:H,MATCH($E6,'Monthly Report July 2025'!$E:$E,0),0)</f>
        <v>TLS Capital</v>
      </c>
      <c r="I6" s="155" t="str" cm="1">
        <f t="array" ref="I6">INDEX('Monthly Report July 2025'!I:I,MATCH($E6,'Monthly Report July 2025'!$E:$E,0),0)</f>
        <v>Arcadia</v>
      </c>
      <c r="J6" s="174" cm="1">
        <f t="array" ref="J6">INDEX('Monthly Report July 2025'!J:J,MATCH($E6,'Monthly Report July 2025'!$E:$E,0),0)</f>
        <v>1</v>
      </c>
      <c r="K6" s="174" t="str" cm="1">
        <f t="array" ref="K6">INDEX('Monthly Report July 2025'!K:K,MATCH($E6,'Monthly Report July 2025'!$E:$E,0),0)</f>
        <v>No</v>
      </c>
      <c r="L6" s="174" t="b" cm="1">
        <f t="array" ref="L6">INDEX('Monthly Report July 2025'!L:L,MATCH(E6,'Monthly Report July 2025'!E:E,0),0)=M6</f>
        <v>1</v>
      </c>
      <c r="M6" s="273" cm="1">
        <f t="array" ref="M6">INDEX('Monthly Report July 2025'!L:L,MATCH($E6,'Monthly Report July 2025'!$E:$E,0),0)</f>
        <v>2500</v>
      </c>
      <c r="N6" s="175" cm="1">
        <f t="array" ref="N6">INDEX('Monthly Report July 2025'!M:M,MATCH($E6,'Monthly Report July 2025'!$E:$E,0),0)</f>
        <v>43948</v>
      </c>
      <c r="O6" s="175" t="str" cm="1">
        <f t="array" ref="O6">_xlfn.IFS(G6="Operational","Operational",G6="Certified","Certified",TRUE,INDEX('Monthly Report July 2025'!O:O,MATCH(E6,'Monthly Report July 2025'!E:E,0),0))</f>
        <v>Operational</v>
      </c>
      <c r="P6" s="175" t="b" cm="1">
        <f t="array" ref="P6">_xlfn.IFS(G6="Operational",O6="Operational",G6="Certified",O6="Certified",TRUE,G6="Pre-Certified")</f>
        <v>1</v>
      </c>
      <c r="Q6" s="175" cm="1">
        <f t="array" ref="Q6">IF(O6="Operational",INDEX('Monthly Report July 2025'!R:R,MATCH(E6,'Monthly Report July 2025'!E:E,0),0),"")</f>
        <v>44910</v>
      </c>
      <c r="R6" s="175" cm="1">
        <f t="array" ref="R6">INDEX('Monthly Report July 2025'!P:P,MATCH(E6,'Monthly Report July 2025'!E:E,0),0)</f>
        <v>44895</v>
      </c>
      <c r="S6" s="175" t="b">
        <f t="shared" si="5"/>
        <v>1</v>
      </c>
      <c r="T6" s="175" cm="1">
        <f t="array" ref="T6">INDEX('Monthly Report July 2025'!U:U,MATCH(E6,'Monthly Report July 2025'!E:E,0),0)</f>
        <v>44348</v>
      </c>
      <c r="U6" s="175" t="str">
        <f t="shared" si="6"/>
        <v>IGNORE</v>
      </c>
      <c r="V6" s="156">
        <f t="shared" si="7"/>
        <v>44895</v>
      </c>
      <c r="W6" s="156" cm="1">
        <f t="array" ref="W6">_xlfn.IFS(U6=TRUE,EDATE(O6,6),U6=FALSE,T6,O6="Operational",Q6,AND(O6="Certified",EDATE(R6,6)&gt;T6),EDATE(R6,6),TRUE,T6)</f>
        <v>44910</v>
      </c>
      <c r="X6" s="156">
        <f t="shared" si="8"/>
        <v>44972</v>
      </c>
      <c r="Y6" s="157">
        <f t="shared" si="9"/>
        <v>1806.25</v>
      </c>
      <c r="Z6" s="202" cm="1">
        <f t="array" ref="Z6">_xlfn.IFS(Z$3&lt;$B$2,SUMPRODUCT(('PA Fees Actual'!$B$5:$B$882=$E6)*('PA Fees Actual'!$A$5:$A$882&gt;=Z$3)*('PA Fees Actual'!$A$5:$A$882&lt;=EOMONTH(Z$3,0))*'PA Fees Actual'!$D$5:$D$882),Z$3&gt;=EOMONTH($X6,-1)+1,$Y6,TRUE,0)</f>
        <v>0</v>
      </c>
      <c r="AA6" s="202" cm="1">
        <f t="array" ref="AA6">_xlfn.IFS(AA$3&lt;$B$2,SUMPRODUCT(('PA Fees Actual'!$B$5:$B$882=$E6)*('PA Fees Actual'!$A$5:$A$882&gt;=AA$3)*('PA Fees Actual'!$A$5:$A$882&lt;=EOMONTH(AA$3,0))*'PA Fees Actual'!$D$5:$D$882),AA$3&gt;=EOMONTH($X6,-1)+1,$Y6,TRUE,0)</f>
        <v>0</v>
      </c>
      <c r="AB6" s="202" cm="1">
        <f t="array" ref="AB6">_xlfn.IFS(AB$3&lt;$B$2,SUMPRODUCT(('PA Fees Actual'!$B$5:$B$882=$E6)*('PA Fees Actual'!$A$5:$A$882&gt;=AB$3)*('PA Fees Actual'!$A$5:$A$882&lt;=EOMONTH(AB$3,0))*'PA Fees Actual'!$D$5:$D$882),AB$3&gt;=EOMONTH($X6,-1)+1,$Y6,TRUE,0)</f>
        <v>0</v>
      </c>
      <c r="AC6" s="202" cm="1">
        <f t="array" ref="AC6">_xlfn.IFS(AC$3&lt;$B$2,SUMPRODUCT(('PA Fees Actual'!$B$5:$B$882=$E6)*('PA Fees Actual'!$A$5:$A$882&gt;=AC$3)*('PA Fees Actual'!$A$5:$A$882&lt;=EOMONTH(AC$3,0))*'PA Fees Actual'!$D$5:$D$882),AC$3&gt;=EOMONTH($X6,-1)+1,$Y6,TRUE,0)</f>
        <v>0</v>
      </c>
      <c r="AD6" s="202" cm="1">
        <f t="array" ref="AD6">_xlfn.IFS(AD$3&lt;$B$2,SUMPRODUCT(('PA Fees Actual'!$B$5:$B$882=$E6)*('PA Fees Actual'!$A$5:$A$882&gt;=AD$3)*('PA Fees Actual'!$A$5:$A$882&lt;=EOMONTH(AD$3,0))*'PA Fees Actual'!$D$5:$D$882),AD$3&gt;=EOMONTH($X6,-1)+1,$Y6,TRUE,0)</f>
        <v>0</v>
      </c>
      <c r="AE6" s="202" cm="1">
        <f t="array" ref="AE6">_xlfn.IFS(AE$3&lt;$B$2,SUMPRODUCT(('PA Fees Actual'!$B$5:$B$882=$E6)*('PA Fees Actual'!$A$5:$A$882&gt;=AE$3)*('PA Fees Actual'!$A$5:$A$882&lt;=EOMONTH(AE$3,0))*'PA Fees Actual'!$D$5:$D$882),AE$3&gt;=EOMONTH($X6,-1)+1,$Y6,TRUE,0)</f>
        <v>0</v>
      </c>
      <c r="AF6" s="202" cm="1">
        <f t="array" ref="AF6">_xlfn.IFS(AF$3&lt;$B$2,SUMPRODUCT(('PA Fees Actual'!$B$5:$B$882=$E6)*('PA Fees Actual'!$A$5:$A$882&gt;=AF$3)*('PA Fees Actual'!$A$5:$A$882&lt;=EOMONTH(AF$3,0))*'PA Fees Actual'!$D$5:$D$882),AF$3&gt;=EOMONTH($X6,-1)+1,$Y6,TRUE,0)</f>
        <v>0</v>
      </c>
      <c r="AG6" s="202" cm="1">
        <f t="array" ref="AG6">_xlfn.IFS(AG$3&lt;$B$2,SUMPRODUCT(('PA Fees Actual'!$B$5:$B$882=$E6)*('PA Fees Actual'!$A$5:$A$882&gt;=AG$3)*('PA Fees Actual'!$A$5:$A$882&lt;=EOMONTH(AG$3,0))*'PA Fees Actual'!$D$5:$D$882),AG$3&gt;=EOMONTH($X6,-1)+1,$Y6,TRUE,0)</f>
        <v>0</v>
      </c>
      <c r="AH6" s="202" cm="1">
        <f t="array" ref="AH6">_xlfn.IFS(AH$3&lt;$B$2,SUMPRODUCT(('PA Fees Actual'!$B$5:$B$882=$E6)*('PA Fees Actual'!$A$5:$A$882&gt;=AH$3)*('PA Fees Actual'!$A$5:$A$882&lt;=EOMONTH(AH$3,0))*'PA Fees Actual'!$D$5:$D$882),AH$3&gt;=EOMONTH($X6,-1)+1,$Y6,TRUE,0)</f>
        <v>0</v>
      </c>
      <c r="AI6" s="202" cm="1">
        <f t="array" ref="AI6">_xlfn.IFS(AI$3&lt;$B$2,SUMPRODUCT(('PA Fees Actual'!$B$5:$B$882=$E6)*('PA Fees Actual'!$A$5:$A$882&gt;=AI$3)*('PA Fees Actual'!$A$5:$A$882&lt;=EOMONTH(AI$3,0))*'PA Fees Actual'!$D$5:$D$882),AI$3&gt;=EOMONTH($X6,-1)+1,$Y6,TRUE,0)</f>
        <v>0</v>
      </c>
      <c r="AJ6" s="202" cm="1">
        <f t="array" ref="AJ6">_xlfn.IFS(AJ$3&lt;$B$2,SUMPRODUCT(('PA Fees Actual'!$B$5:$B$882=$E6)*('PA Fees Actual'!$A$5:$A$882&gt;=AJ$3)*('PA Fees Actual'!$A$5:$A$882&lt;=EOMONTH(AJ$3,0))*'PA Fees Actual'!$D$5:$D$882),AJ$3&gt;=EOMONTH($X6,-1)+1,$Y6,TRUE,0)</f>
        <v>0</v>
      </c>
      <c r="AK6" s="202" cm="1">
        <f t="array" ref="AK6">_xlfn.IFS(AK$3&lt;$B$2,SUMPRODUCT(('PA Fees Actual'!$B$5:$B$882=$E6)*('PA Fees Actual'!$A$5:$A$882&gt;=AK$3)*('PA Fees Actual'!$A$5:$A$882&lt;=EOMONTH(AK$3,0))*'PA Fees Actual'!$D$5:$D$882),AK$3&gt;=EOMONTH($X6,-1)+1,$Y6,TRUE,0)</f>
        <v>0</v>
      </c>
      <c r="AL6" s="202" cm="1">
        <f t="array" ref="AL6">_xlfn.IFS(AL$3&lt;$B$2,SUMPRODUCT(('PA Fees Actual'!$B$5:$B$882=$E6)*('PA Fees Actual'!$A$5:$A$882&gt;=AL$3)*('PA Fees Actual'!$A$5:$A$882&lt;=EOMONTH(AL$3,0))*'PA Fees Actual'!$D$5:$D$882),AL$3&gt;=EOMONTH($X6,-1)+1,$Y6,TRUE,0)</f>
        <v>0</v>
      </c>
      <c r="AM6" s="202" cm="1">
        <f t="array" ref="AM6">_xlfn.IFS(AM$3&lt;$B$2,SUMPRODUCT(('PA Fees Actual'!$B$5:$B$882=$E6)*('PA Fees Actual'!$A$5:$A$882&gt;=AM$3)*('PA Fees Actual'!$A$5:$A$882&lt;=EOMONTH(AM$3,0))*'PA Fees Actual'!$D$5:$D$882),AM$3&gt;=EOMONTH($X6,-1)+1,$Y6,TRUE,0)</f>
        <v>0</v>
      </c>
      <c r="AN6" s="202" cm="1">
        <f t="array" ref="AN6">_xlfn.IFS(AN$3&lt;$B$2,SUMPRODUCT(('PA Fees Actual'!$B$5:$B$882=$E6)*('PA Fees Actual'!$A$5:$A$882&gt;=AN$3)*('PA Fees Actual'!$A$5:$A$882&lt;=EOMONTH(AN$3,0))*'PA Fees Actual'!$D$5:$D$882),AN$3&gt;=EOMONTH($X6,-1)+1,$Y6,TRUE,0)</f>
        <v>0</v>
      </c>
      <c r="AO6" s="202" cm="1">
        <f t="array" ref="AO6">_xlfn.IFS(AO$3&lt;$B$2,SUMPRODUCT(('PA Fees Actual'!$B$5:$B$882=$E6)*('PA Fees Actual'!$A$5:$A$882&gt;=AO$3)*('PA Fees Actual'!$A$5:$A$882&lt;=EOMONTH(AO$3,0))*'PA Fees Actual'!$D$5:$D$882),AO$3&gt;=EOMONTH($X6,-1)+1,$Y6,TRUE,0)</f>
        <v>0</v>
      </c>
      <c r="AP6" s="202" cm="1">
        <f t="array" ref="AP6">_xlfn.IFS(AP$3&lt;$B$2,SUMPRODUCT(('PA Fees Actual'!$B$5:$B$882=$E6)*('PA Fees Actual'!$A$5:$A$882&gt;=AP$3)*('PA Fees Actual'!$A$5:$A$882&lt;=EOMONTH(AP$3,0))*'PA Fees Actual'!$D$5:$D$882),AP$3&gt;=EOMONTH($X6,-1)+1,$Y6,TRUE,0)</f>
        <v>0</v>
      </c>
      <c r="AQ6" s="202" cm="1">
        <f t="array" ref="AQ6">_xlfn.IFS(AQ$3&lt;$B$2,SUMPRODUCT(('PA Fees Actual'!$B$5:$B$882=$E6)*('PA Fees Actual'!$A$5:$A$882&gt;=AQ$3)*('PA Fees Actual'!$A$5:$A$882&lt;=EOMONTH(AQ$3,0))*'PA Fees Actual'!$D$5:$D$882),AQ$3&gt;=EOMONTH($X6,-1)+1,$Y6,TRUE,0)</f>
        <v>0</v>
      </c>
      <c r="AR6" s="202" cm="1">
        <f t="array" ref="AR6">_xlfn.IFS(AR$3&lt;$B$2,SUMPRODUCT(('PA Fees Actual'!$B$5:$B$882=$E6)*('PA Fees Actual'!$A$5:$A$882&gt;=AR$3)*('PA Fees Actual'!$A$5:$A$882&lt;=EOMONTH(AR$3,0))*'PA Fees Actual'!$D$5:$D$882),AR$3&gt;=EOMONTH($X6,-1)+1,$Y6,TRUE,0)</f>
        <v>0</v>
      </c>
      <c r="AS6" s="202" cm="1">
        <f t="array" ref="AS6">_xlfn.IFS(AS$3&lt;$B$2,SUMPRODUCT(('PA Fees Actual'!$B$5:$B$882=$E6)*('PA Fees Actual'!$A$5:$A$882&gt;=AS$3)*('PA Fees Actual'!$A$5:$A$882&lt;=EOMONTH(AS$3,0))*'PA Fees Actual'!$D$5:$D$882),AS$3&gt;=EOMONTH($X6,-1)+1,$Y6,TRUE,0)</f>
        <v>0</v>
      </c>
      <c r="AT6" s="202" cm="1">
        <f t="array" ref="AT6">_xlfn.IFS(AT$3&lt;$B$2,SUMPRODUCT(('PA Fees Actual'!$B$5:$B$882=$E6)*('PA Fees Actual'!$A$5:$A$882&gt;=AT$3)*('PA Fees Actual'!$A$5:$A$882&lt;=EOMONTH(AT$3,0))*'PA Fees Actual'!$D$5:$D$882),AT$3&gt;=EOMONTH($X6,-1)+1,$Y6,TRUE,0)</f>
        <v>0</v>
      </c>
      <c r="AU6" s="202" cm="1">
        <f t="array" ref="AU6">_xlfn.IFS(AU$3&lt;$B$2,SUMPRODUCT(('PA Fees Actual'!$B$5:$B$882=$E6)*('PA Fees Actual'!$A$5:$A$882&gt;=AU$3)*('PA Fees Actual'!$A$5:$A$882&lt;=EOMONTH(AU$3,0))*'PA Fees Actual'!$D$5:$D$882),AU$3&gt;=EOMONTH($X6,-1)+1,$Y6,TRUE,0)</f>
        <v>0</v>
      </c>
      <c r="AV6" s="202" cm="1">
        <f t="array" ref="AV6">_xlfn.IFS(AV$3&lt;$B$2,SUMPRODUCT(('PA Fees Actual'!$B$5:$B$882=$E6)*('PA Fees Actual'!$A$5:$A$882&gt;=AV$3)*('PA Fees Actual'!$A$5:$A$882&lt;=EOMONTH(AV$3,0))*'PA Fees Actual'!$D$5:$D$882),AV$3&gt;=EOMONTH($X6,-1)+1,$Y6,TRUE,0)</f>
        <v>0</v>
      </c>
      <c r="AW6" s="202" cm="1">
        <f t="array" ref="AW6">_xlfn.IFS(AW$3&lt;$B$2,SUMPRODUCT(('PA Fees Actual'!$B$5:$B$882=$E6)*('PA Fees Actual'!$A$5:$A$882&gt;=AW$3)*('PA Fees Actual'!$A$5:$A$882&lt;=EOMONTH(AW$3,0))*'PA Fees Actual'!$D$5:$D$882),AW$3&gt;=EOMONTH($X6,-1)+1,$Y6,TRUE,0)</f>
        <v>0</v>
      </c>
      <c r="AX6" s="202" cm="1">
        <f t="array" ref="AX6">_xlfn.IFS(AX$3&lt;$B$2,SUMPRODUCT(('PA Fees Actual'!$B$5:$B$882=$E6)*('PA Fees Actual'!$A$5:$A$882&gt;=AX$3)*('PA Fees Actual'!$A$5:$A$882&lt;=EOMONTH(AX$3,0))*'PA Fees Actual'!$D$5:$D$882),AX$3&gt;=EOMONTH($X6,-1)+1,$Y6,TRUE,0)</f>
        <v>0</v>
      </c>
      <c r="AY6" s="202" cm="1">
        <f t="array" ref="AY6">_xlfn.IFS(AY$3&lt;$B$2,SUMPRODUCT(('PA Fees Actual'!$B$5:$B$882=$E6)*('PA Fees Actual'!$A$5:$A$882&gt;=AY$3)*('PA Fees Actual'!$A$5:$A$882&lt;=EOMONTH(AY$3,0))*'PA Fees Actual'!$D$5:$D$882),AY$3&gt;=EOMONTH($X6,-1)+1,$Y6,TRUE,0)</f>
        <v>0</v>
      </c>
      <c r="AZ6" s="202" cm="1">
        <f t="array" ref="AZ6">_xlfn.IFS(AZ$3&lt;$B$2,SUMPRODUCT(('PA Fees Actual'!$B$5:$B$882=$E6)*('PA Fees Actual'!$A$5:$A$882&gt;=AZ$3)*('PA Fees Actual'!$A$5:$A$882&lt;=EOMONTH(AZ$3,0))*'PA Fees Actual'!$D$5:$D$882),AZ$3&gt;=EOMONTH($X6,-1)+1,$Y6,TRUE,0)</f>
        <v>1494.32</v>
      </c>
      <c r="BA6" s="202" cm="1">
        <f t="array" ref="BA6">_xlfn.IFS(BA$3&lt;$B$2,SUMPRODUCT(('PA Fees Actual'!$B$5:$B$882=$E6)*('PA Fees Actual'!$A$5:$A$882&gt;=BA$3)*('PA Fees Actual'!$A$5:$A$882&lt;=EOMONTH(BA$3,0))*'PA Fees Actual'!$D$5:$D$882),BA$3&gt;=EOMONTH($X6,-1)+1,$Y6,TRUE,0)</f>
        <v>3901.31</v>
      </c>
      <c r="BB6" s="202" cm="1">
        <f t="array" ref="BB6">_xlfn.IFS(BB$3&lt;$B$2,SUMPRODUCT(('PA Fees Actual'!$B$5:$B$882=$E6)*('PA Fees Actual'!$A$5:$A$882&gt;=BB$3)*('PA Fees Actual'!$A$5:$A$882&lt;=EOMONTH(BB$3,0))*'PA Fees Actual'!$D$5:$D$882),BB$3&gt;=EOMONTH($X6,-1)+1,$Y6,TRUE,0)</f>
        <v>0</v>
      </c>
      <c r="BC6" s="202" cm="1">
        <f t="array" ref="BC6">_xlfn.IFS(BC$3&lt;$B$2,SUMPRODUCT(('PA Fees Actual'!$B$5:$B$882=$E6)*('PA Fees Actual'!$A$5:$A$882&gt;=BC$3)*('PA Fees Actual'!$A$5:$A$882&lt;=EOMONTH(BC$3,0))*'PA Fees Actual'!$D$5:$D$882),BC$3&gt;=EOMONTH($X6,-1)+1,$Y6,TRUE,0)</f>
        <v>2276.2199999999998</v>
      </c>
      <c r="BD6" s="202" cm="1">
        <f t="array" ref="BD6">_xlfn.IFS(BD$3&lt;$B$2,SUMPRODUCT(('PA Fees Actual'!$B$5:$B$882=$E6)*('PA Fees Actual'!$A$5:$A$882&gt;=BD$3)*('PA Fees Actual'!$A$5:$A$882&lt;=EOMONTH(BD$3,0))*'PA Fees Actual'!$D$5:$D$882),BD$3&gt;=EOMONTH($X6,-1)+1,$Y6,TRUE,0)</f>
        <v>0</v>
      </c>
      <c r="BE6" s="202" cm="1">
        <f t="array" ref="BE6">_xlfn.IFS(BE$3&lt;$B$2,SUMPRODUCT(('PA Fees Actual'!$B$5:$B$882=$E6)*('PA Fees Actual'!$A$5:$A$882&gt;=BE$3)*('PA Fees Actual'!$A$5:$A$882&lt;=EOMONTH(BE$3,0))*'PA Fees Actual'!$D$5:$D$882),BE$3&gt;=EOMONTH($X6,-1)+1,$Y6,TRUE,0)</f>
        <v>0</v>
      </c>
      <c r="BF6" s="202" cm="1">
        <f t="array" ref="BF6">_xlfn.IFS(BF$3&lt;$B$2,SUMPRODUCT(('PA Fees Actual'!$B$5:$B$882=$E6)*('PA Fees Actual'!$A$5:$A$882&gt;=BF$3)*('PA Fees Actual'!$A$5:$A$882&lt;=EOMONTH(BF$3,0))*'PA Fees Actual'!$D$5:$D$882),BF$3&gt;=EOMONTH($X6,-1)+1,$Y6,TRUE,0)</f>
        <v>5477.61</v>
      </c>
      <c r="BG6" s="202" cm="1">
        <f t="array" ref="BG6">_xlfn.IFS(BG$3&lt;$B$2,SUMPRODUCT(('PA Fees Actual'!$B$5:$B$882=$E6)*('PA Fees Actual'!$A$5:$A$882&gt;=BG$3)*('PA Fees Actual'!$A$5:$A$882&lt;=EOMONTH(BG$3,0))*'PA Fees Actual'!$D$5:$D$882),BG$3&gt;=EOMONTH($X6,-1)+1,$Y6,TRUE,0)</f>
        <v>0</v>
      </c>
      <c r="BH6" s="202" cm="1">
        <f t="array" ref="BH6">_xlfn.IFS(BH$3&lt;$B$2,SUMPRODUCT(('PA Fees Actual'!$B$5:$B$882=$E6)*('PA Fees Actual'!$A$5:$A$882&gt;=BH$3)*('PA Fees Actual'!$A$5:$A$882&lt;=EOMONTH(BH$3,0))*'PA Fees Actual'!$D$5:$D$882),BH$3&gt;=EOMONTH($X6,-1)+1,$Y6,TRUE,0)</f>
        <v>0</v>
      </c>
      <c r="BI6" s="202" cm="1">
        <f t="array" ref="BI6">_xlfn.IFS(BI$3&lt;$B$2,SUMPRODUCT(('PA Fees Actual'!$B$5:$B$882=$E6)*('PA Fees Actual'!$A$5:$A$882&gt;=BI$3)*('PA Fees Actual'!$A$5:$A$882&lt;=EOMONTH(BI$3,0))*'PA Fees Actual'!$D$5:$D$882),BI$3&gt;=EOMONTH($X6,-1)+1,$Y6,TRUE,0)</f>
        <v>5997.89</v>
      </c>
      <c r="BJ6" s="202" cm="1">
        <f t="array" ref="BJ6">_xlfn.IFS(BJ$3&lt;$B$2,SUMPRODUCT(('PA Fees Actual'!$B$5:$B$882=$E6)*('PA Fees Actual'!$A$5:$A$882&gt;=BJ$3)*('PA Fees Actual'!$A$5:$A$882&lt;=EOMONTH(BJ$3,0))*'PA Fees Actual'!$D$5:$D$882),BJ$3&gt;=EOMONTH($X6,-1)+1,$Y6,TRUE,0)</f>
        <v>1909.95</v>
      </c>
      <c r="BK6" s="202" cm="1">
        <f t="array" ref="BK6">_xlfn.IFS(BK$3&lt;$B$2,SUMPRODUCT(('PA Fees Actual'!$B$5:$B$882=$E6)*('PA Fees Actual'!$A$5:$A$882&gt;=BK$3)*('PA Fees Actual'!$A$5:$A$882&lt;=EOMONTH(BK$3,0))*'PA Fees Actual'!$D$5:$D$882),BK$3&gt;=EOMONTH($X6,-1)+1,$Y6,TRUE,0)</f>
        <v>1909.95</v>
      </c>
      <c r="BL6" s="202" cm="1">
        <f t="array" ref="BL6">_xlfn.IFS(BL$3&lt;$B$2,SUMPRODUCT(('PA Fees Actual'!$B$5:$B$882=$E6)*('PA Fees Actual'!$A$5:$A$882&gt;=BL$3)*('PA Fees Actual'!$A$5:$A$882&lt;=EOMONTH(BL$3,0))*'PA Fees Actual'!$D$5:$D$882),BL$3&gt;=EOMONTH($X6,-1)+1,$Y6,TRUE,0)</f>
        <v>1892.81</v>
      </c>
      <c r="BM6" s="202" cm="1">
        <f t="array" ref="BM6">_xlfn.IFS(BM$3&lt;$B$2,SUMPRODUCT(('PA Fees Actual'!$B$5:$B$882=$E6)*('PA Fees Actual'!$A$5:$A$882&gt;=BM$3)*('PA Fees Actual'!$A$5:$A$882&lt;=EOMONTH(BM$3,0))*'PA Fees Actual'!$D$5:$D$882),BM$3&gt;=EOMONTH($X6,-1)+1,$Y6,TRUE,0)</f>
        <v>0</v>
      </c>
      <c r="BN6" s="202" cm="1">
        <f t="array" ref="BN6">_xlfn.IFS(BN$3&lt;$B$2,SUMPRODUCT(('PA Fees Actual'!$B$5:$B$882=$E6)*('PA Fees Actual'!$A$5:$A$882&gt;=BN$3)*('PA Fees Actual'!$A$5:$A$882&lt;=EOMONTH(BN$3,0))*'PA Fees Actual'!$D$5:$D$882),BN$3&gt;=EOMONTH($X6,-1)+1,$Y6,TRUE,0)</f>
        <v>3804.02</v>
      </c>
      <c r="BO6" s="202" cm="1">
        <f t="array" ref="BO6">_xlfn.IFS(BO$3&lt;$B$2,SUMPRODUCT(('PA Fees Actual'!$B$5:$B$882=$E6)*('PA Fees Actual'!$A$5:$A$882&gt;=BO$3)*('PA Fees Actual'!$A$5:$A$882&lt;=EOMONTH(BO$3,0))*'PA Fees Actual'!$D$5:$D$882),BO$3&gt;=EOMONTH($X6,-1)+1,$Y6,TRUE,0)</f>
        <v>0</v>
      </c>
      <c r="BP6" s="202" cm="1">
        <f t="array" ref="BP6">_xlfn.IFS(BP$3&lt;$B$2,SUMPRODUCT(('PA Fees Actual'!$B$5:$B$882=$E6)*('PA Fees Actual'!$A$5:$A$882&gt;=BP$3)*('PA Fees Actual'!$A$5:$A$882&lt;=EOMONTH(BP$3,0))*'PA Fees Actual'!$D$5:$D$882),BP$3&gt;=EOMONTH($X6,-1)+1,$Y6,TRUE,0)</f>
        <v>3402.76</v>
      </c>
      <c r="BQ6" s="202" cm="1">
        <f t="array" ref="BQ6">_xlfn.IFS(BQ$3&lt;$B$2,SUMPRODUCT(('PA Fees Actual'!$B$5:$B$882=$E6)*('PA Fees Actual'!$A$5:$A$882&gt;=BQ$3)*('PA Fees Actual'!$A$5:$A$882&lt;=EOMONTH(BQ$3,0))*'PA Fees Actual'!$D$5:$D$882),BQ$3&gt;=EOMONTH($X6,-1)+1,$Y6,TRUE,0)</f>
        <v>0</v>
      </c>
      <c r="BR6" s="202" cm="1">
        <f t="array" ref="BR6">_xlfn.IFS(BR$3&lt;$B$2,SUMPRODUCT(('PA Fees Actual'!$B$5:$B$882=$E6)*('PA Fees Actual'!$A$5:$A$882&gt;=BR$3)*('PA Fees Actual'!$A$5:$A$882&lt;=EOMONTH(BR$3,0))*'PA Fees Actual'!$D$5:$D$882),BR$3&gt;=EOMONTH($X6,-1)+1,$Y6,TRUE,0)</f>
        <v>3504.1800000000003</v>
      </c>
      <c r="BS6" s="202" cm="1">
        <f t="array" ref="BS6">_xlfn.IFS(BS$3&lt;$B$2,SUMPRODUCT(('PA Fees Actual'!$B$5:$B$882=$E6)*('PA Fees Actual'!$A$5:$A$882&gt;=BS$3)*('PA Fees Actual'!$A$5:$A$882&lt;=EOMONTH(BS$3,0))*'PA Fees Actual'!$D$5:$D$882),BS$3&gt;=EOMONTH($X6,-1)+1,$Y6,TRUE,0)</f>
        <v>1769.12</v>
      </c>
      <c r="BT6" s="202" cm="1">
        <f t="array" ref="BT6">_xlfn.IFS(BT$3&lt;$B$2,SUMPRODUCT(('PA Fees Actual'!$B$5:$B$882=$E6)*('PA Fees Actual'!$A$5:$A$882&gt;=BT$3)*('PA Fees Actual'!$A$5:$A$882&lt;=EOMONTH(BT$3,0))*'PA Fees Actual'!$D$5:$D$882),BT$3&gt;=EOMONTH($X6,-1)+1,$Y6,TRUE,0)</f>
        <v>1349.42</v>
      </c>
      <c r="BU6" s="202" cm="1">
        <f t="array" ref="BU6">_xlfn.IFS(BU$3&lt;$B$2,SUMPRODUCT(('PA Fees Actual'!$B$5:$B$882=$E6)*('PA Fees Actual'!$A$5:$A$882&gt;=BU$3)*('PA Fees Actual'!$A$5:$A$882&lt;=EOMONTH(BU$3,0))*'PA Fees Actual'!$D$5:$D$882),BU$3&gt;=EOMONTH($X6,-1)+1,$Y6,TRUE,0)</f>
        <v>2188.8200000000002</v>
      </c>
      <c r="BV6" s="202" cm="1">
        <f t="array" ref="BV6">_xlfn.IFS(BV$3&lt;$B$2,SUMPRODUCT(('PA Fees Actual'!$B$5:$B$882=$E6)*('PA Fees Actual'!$A$5:$A$882&gt;=BV$3)*('PA Fees Actual'!$A$5:$A$882&lt;=EOMONTH(BV$3,0))*'PA Fees Actual'!$D$5:$D$882),BV$3&gt;=EOMONTH($X6,-1)+1,$Y6,TRUE,0)</f>
        <v>1827.95</v>
      </c>
      <c r="BW6" s="202" cm="1">
        <f t="array" ref="BW6">_xlfn.IFS(BW$3&lt;$B$2,SUMPRODUCT(('PA Fees Actual'!$B$5:$B$882=$E6)*('PA Fees Actual'!$A$5:$A$882&gt;=BW$3)*('PA Fees Actual'!$A$5:$A$882&lt;=EOMONTH(BW$3,0))*'PA Fees Actual'!$D$5:$D$882),BW$3&gt;=EOMONTH($X6,-1)+1,$Y6,TRUE,0)</f>
        <v>1869.47</v>
      </c>
      <c r="BX6" s="202" cm="1">
        <f t="array" ref="BX6">_xlfn.IFS(BX$3&lt;$B$2,SUMPRODUCT(('PA Fees Actual'!$B$5:$B$882=$E6)*('PA Fees Actual'!$A$5:$A$882&gt;=BX$3)*('PA Fees Actual'!$A$5:$A$882&lt;=EOMONTH(BX$3,0))*'PA Fees Actual'!$D$5:$D$882),BX$3&gt;=EOMONTH($X6,-1)+1,$Y6,TRUE,0)</f>
        <v>0</v>
      </c>
      <c r="BY6" s="202" cm="1">
        <f t="array" ref="BY6">_xlfn.IFS(BY$3&lt;$B$2,SUMPRODUCT(('PA Fees Actual'!$B$5:$B$882=$E6)*('PA Fees Actual'!$A$5:$A$882&gt;=BY$3)*('PA Fees Actual'!$A$5:$A$882&lt;=EOMONTH(BY$3,0))*'PA Fees Actual'!$D$5:$D$882),BY$3&gt;=EOMONTH($X6,-1)+1,$Y6,TRUE,0)</f>
        <v>3741.78</v>
      </c>
      <c r="BZ6" s="202" cm="1">
        <f t="array" ref="BZ6">_xlfn.IFS(BZ$3&lt;$B$2,SUMPRODUCT(('PA Fees Actual'!$B$5:$B$882=$E6)*('PA Fees Actual'!$A$5:$A$882&gt;=BZ$3)*('PA Fees Actual'!$A$5:$A$882&lt;=EOMONTH(BZ$3,0))*'PA Fees Actual'!$D$5:$D$882),BZ$3&gt;=EOMONTH($X6,-1)+1,$Y6,TRUE,0)</f>
        <v>1856.74</v>
      </c>
      <c r="CA6" s="202" cm="1">
        <f t="array" ref="CA6">_xlfn.IFS(CA$3&lt;$B$2,SUMPRODUCT(('PA Fees Actual'!$B$5:$B$882=$E6)*('PA Fees Actual'!$A$5:$A$882&gt;=CA$3)*('PA Fees Actual'!$A$5:$A$882&lt;=EOMONTH(CA$3,0))*'PA Fees Actual'!$D$5:$D$882),CA$3&gt;=EOMONTH($X6,-1)+1,$Y6,TRUE,0)</f>
        <v>1883.07</v>
      </c>
      <c r="CB6" s="202" cm="1">
        <f t="array" ref="CB6">_xlfn.IFS(CB$3&lt;$B$2,SUMPRODUCT(('PA Fees Actual'!$B$5:$B$882=$E6)*('PA Fees Actual'!$A$5:$A$882&gt;=CB$3)*('PA Fees Actual'!$A$5:$A$882&lt;=EOMONTH(CB$3,0))*'PA Fees Actual'!$D$5:$D$882),CB$3&gt;=EOMONTH($X6,-1)+1,$Y6,TRUE,0)</f>
        <v>1806.25</v>
      </c>
      <c r="CC6" s="202" cm="1">
        <f t="array" ref="CC6">_xlfn.IFS(CC$3&lt;$B$2,SUMPRODUCT(('PA Fees Actual'!$B$5:$B$882=$E6)*('PA Fees Actual'!$A$5:$A$882&gt;=CC$3)*('PA Fees Actual'!$A$5:$A$882&lt;=EOMONTH(CC$3,0))*'PA Fees Actual'!$D$5:$D$882),CC$3&gt;=EOMONTH($X6,-1)+1,$Y6,TRUE,0)</f>
        <v>1806.25</v>
      </c>
      <c r="CD6" s="202" cm="1">
        <f t="array" ref="CD6">_xlfn.IFS(CD$3&lt;$B$2,SUMPRODUCT(('PA Fees Actual'!$B$5:$B$882=$E6)*('PA Fees Actual'!$A$5:$A$882&gt;=CD$3)*('PA Fees Actual'!$A$5:$A$882&lt;=EOMONTH(CD$3,0))*'PA Fees Actual'!$D$5:$D$882),CD$3&gt;=EOMONTH($X6,-1)+1,$Y6,TRUE,0)</f>
        <v>1806.25</v>
      </c>
      <c r="CE6" s="202" cm="1">
        <f t="array" ref="CE6">_xlfn.IFS(CE$3&lt;$B$2,SUMPRODUCT(('PA Fees Actual'!$B$5:$B$882=$E6)*('PA Fees Actual'!$A$5:$A$882&gt;=CE$3)*('PA Fees Actual'!$A$5:$A$882&lt;=EOMONTH(CE$3,0))*'PA Fees Actual'!$D$5:$D$882),CE$3&gt;=EOMONTH($X6,-1)+1,$Y6,TRUE,0)</f>
        <v>1806.25</v>
      </c>
      <c r="CF6" s="202" cm="1">
        <f t="array" ref="CF6">_xlfn.IFS(CF$3&lt;$B$2,SUMPRODUCT(('PA Fees Actual'!$B$5:$B$882=$E6)*('PA Fees Actual'!$A$5:$A$882&gt;=CF$3)*('PA Fees Actual'!$A$5:$A$882&lt;=EOMONTH(CF$3,0))*'PA Fees Actual'!$D$5:$D$882),CF$3&gt;=EOMONTH($X6,-1)+1,$Y6,TRUE,0)</f>
        <v>1806.25</v>
      </c>
      <c r="CG6" s="202" cm="1">
        <f t="array" ref="CG6">_xlfn.IFS(CG$3&lt;$B$2,SUMPRODUCT(('PA Fees Actual'!$B$5:$B$882=$E6)*('PA Fees Actual'!$A$5:$A$882&gt;=CG$3)*('PA Fees Actual'!$A$5:$A$882&lt;=EOMONTH(CG$3,0))*'PA Fees Actual'!$D$5:$D$882),CG$3&gt;=EOMONTH($X6,-1)+1,$Y6,TRUE,0)</f>
        <v>1806.25</v>
      </c>
      <c r="CI6" s="202" cm="1">
        <f t="array" ref="CI6">_xlfn.IFS(CI$3&lt;=YEAR($B$2),SUMPRODUCT(($E$4:$E$79=$E6)*($Z$2:$CG$2=CI$3)*($Z$2:$CG$2&lt;CJ$3)*$Z$4:$CG$79),CI$3&lt;YEAR($X6),0,CI$3=YEAR($X6),DATEDIF($X6,DATE(CI$3,12,31),"m")*$Y6,AND(CI$3&gt;YEAR($X6),CI$3-YEAR($X6)&lt;20),$Y6*12,CI$3-YEAR($X6)=20,DATEDIF(DATE(YEAR($X6),1,1),$X6,"m")*$Y6,CI$3-YEAR($X6)&gt;20,0)</f>
        <v>0</v>
      </c>
      <c r="CJ6" s="202" cm="1">
        <f t="array" ref="CJ6">_xlfn.IFS(CJ$3&lt;=YEAR($B$2),SUMPRODUCT(($E$4:$E$79=$E6)*($Z$2:$CG$2=CJ$3)*($Z$2:$CG$2&lt;CK$3)*$Z$4:$CG$79),CJ$3&lt;YEAR($X6),0,CJ$3=YEAR($X6),DATEDIF($X6,DATE(CJ$3,12,31),"m")*$Y6,AND(CJ$3&gt;YEAR($X6),CJ$3-YEAR($X6)&lt;20),$Y6*12,CJ$3-YEAR($X6)=20,DATEDIF(DATE(YEAR($X6),1,1),$X6,"m")*$Y6,CJ$3-YEAR($X6)&gt;20,0)</f>
        <v>0</v>
      </c>
      <c r="CK6" s="202" cm="1">
        <f t="array" ref="CK6">_xlfn.IFS(CK$3&lt;=YEAR($B$2),SUMPRODUCT(($E$4:$E$79=$E6)*($Z$2:$CG$2=CK$3)*($Z$2:$CG$2&lt;CL$3)*$Z$4:$CG$79),CK$3&lt;YEAR($X6),0,CK$3=YEAR($X6),DATEDIF($X6,DATE(CK$3,12,31),"m")*$Y6,AND(CK$3&gt;YEAR($X6),CK$3-YEAR($X6)&lt;20),$Y6*12,CK$3-YEAR($X6)=20,DATEDIF(DATE(YEAR($X6),1,1),$X6,"m")*$Y6,CK$3-YEAR($X6)&gt;20,0)</f>
        <v>19147.349999999999</v>
      </c>
      <c r="CL6" s="202" cm="1">
        <f t="array" ref="CL6">_xlfn.IFS(CL$3&lt;=YEAR($B$2),SUMPRODUCT(($E$4:$E$79=$E6)*($Z$2:$CG$2=CL$3)*($Z$2:$CG$2&lt;CM$3)*$Z$4:$CG$79),CL$3&lt;YEAR($X6),0,CL$3=YEAR($X6),DATEDIF($X6,DATE(CL$3,12,31),"m")*$Y6,AND(CL$3&gt;YEAR($X6),CL$3-YEAR($X6)&lt;20),$Y6*12,CL$3-YEAR($X6)=20,DATEDIF(DATE(YEAR($X6),1,1),$X6,"m")*$Y6,CL$3-YEAR($X6)&gt;20,0)</f>
        <v>21731.03</v>
      </c>
      <c r="CM6" s="202" cm="1">
        <f t="array" ref="CM6">_xlfn.IFS(CM$3&lt;=YEAR($B$2),SUMPRODUCT(($E$4:$E$79=$E6)*($Z$2:$CG$2=CM$3)*($Z$2:$CG$2&lt;CN$3)*$Z$4:$CG$79),CM$3&lt;YEAR($X6),0,CM$3=YEAR($X6),DATEDIF($X6,DATE(CM$3,12,31),"m")*$Y6,AND(CM$3&gt;YEAR($X6),CM$3-YEAR($X6)&lt;20),$Y6*12,CM$3-YEAR($X6)=20,DATEDIF(DATE(YEAR($X6),1,1),$X6,"m")*$Y6,CM$3-YEAR($X6)&gt;20,0)</f>
        <v>22016.510000000002</v>
      </c>
      <c r="CN6" s="202" cm="1">
        <f t="array" ref="CN6">_xlfn.IFS(CN$3&lt;=YEAR($B$2),SUMPRODUCT(($E$4:$E$79=$E6)*($Z$2:$CG$2=CN$3)*($Z$2:$CG$2&lt;CO$3)*$Z$4:$CG$79),CN$3&lt;YEAR($X6),0,CN$3=YEAR($X6),DATEDIF($X6,DATE(CN$3,12,31),"m")*$Y6,AND(CN$3&gt;YEAR($X6),CN$3-YEAR($X6)&lt;20),$Y6*12,CN$3-YEAR($X6)=20,DATEDIF(DATE(YEAR($X6),1,1),$X6,"m")*$Y6,CN$3-YEAR($X6)&gt;20,0)</f>
        <v>21675</v>
      </c>
      <c r="CO6" s="202" cm="1">
        <f t="array" ref="CO6">_xlfn.IFS(CO$3&lt;=YEAR($B$2),SUMPRODUCT(($E$4:$E$79=$E6)*($Z$2:$CG$2=CO$3)*($Z$2:$CG$2&lt;CP$3)*$Z$4:$CG$79),CO$3&lt;YEAR($X6),0,CO$3=YEAR($X6),DATEDIF($X6,DATE(CO$3,12,31),"m")*$Y6,AND(CO$3&gt;YEAR($X6),CO$3-YEAR($X6)&lt;20),$Y6*12,CO$3-YEAR($X6)=20,DATEDIF(DATE(YEAR($X6),1,1),$X6,"m")*$Y6,CO$3-YEAR($X6)&gt;20,0)</f>
        <v>21675</v>
      </c>
      <c r="CP6" s="202" cm="1">
        <f t="array" ref="CP6">_xlfn.IFS(CP$3&lt;=YEAR($B$2),SUMPRODUCT(($E$4:$E$79=$E6)*($Z$2:$CG$2=CP$3)*($Z$2:$CG$2&lt;CQ$3)*$Z$4:$CG$79),CP$3&lt;YEAR($X6),0,CP$3=YEAR($X6),DATEDIF($X6,DATE(CP$3,12,31),"m")*$Y6,AND(CP$3&gt;YEAR($X6),CP$3-YEAR($X6)&lt;20),$Y6*12,CP$3-YEAR($X6)=20,DATEDIF(DATE(YEAR($X6),1,1),$X6,"m")*$Y6,CP$3-YEAR($X6)&gt;20,0)</f>
        <v>21675</v>
      </c>
      <c r="CQ6" s="202" cm="1">
        <f t="array" ref="CQ6">_xlfn.IFS(CQ$3&lt;=YEAR($B$2),SUMPRODUCT(($E$4:$E$79=$E6)*($Z$2:$CG$2=CQ$3)*($Z$2:$CG$2&lt;CR$3)*$Z$4:$CG$79),CQ$3&lt;YEAR($X6),0,CQ$3=YEAR($X6),DATEDIF($X6,DATE(CQ$3,12,31),"m")*$Y6,AND(CQ$3&gt;YEAR($X6),CQ$3-YEAR($X6)&lt;20),$Y6*12,CQ$3-YEAR($X6)=20,DATEDIF(DATE(YEAR($X6),1,1),$X6,"m")*$Y6,CQ$3-YEAR($X6)&gt;20,0)</f>
        <v>21675</v>
      </c>
      <c r="CR6" s="202" cm="1">
        <f t="array" ref="CR6">_xlfn.IFS(CR$3&lt;=YEAR($B$2),SUMPRODUCT(($E$4:$E$79=$E6)*($Z$2:$CG$2=CR$3)*($Z$2:$CG$2&lt;CS$3)*$Z$4:$CG$79),CR$3&lt;YEAR($X6),0,CR$3=YEAR($X6),DATEDIF($X6,DATE(CR$3,12,31),"m")*$Y6,AND(CR$3&gt;YEAR($X6),CR$3-YEAR($X6)&lt;20),$Y6*12,CR$3-YEAR($X6)=20,DATEDIF(DATE(YEAR($X6),1,1),$X6,"m")*$Y6,CR$3-YEAR($X6)&gt;20,0)</f>
        <v>21675</v>
      </c>
      <c r="CS6" s="202" cm="1">
        <f t="array" ref="CS6">_xlfn.IFS(CS$3&lt;=YEAR($B$2),SUMPRODUCT(($E$4:$E$79=$E6)*($Z$2:$CG$2=CS$3)*($Z$2:$CG$2&lt;CT$3)*$Z$4:$CG$79),CS$3&lt;YEAR($X6),0,CS$3=YEAR($X6),DATEDIF($X6,DATE(CS$3,12,31),"m")*$Y6,AND(CS$3&gt;YEAR($X6),CS$3-YEAR($X6)&lt;20),$Y6*12,CS$3-YEAR($X6)=20,DATEDIF(DATE(YEAR($X6),1,1),$X6,"m")*$Y6,CS$3-YEAR($X6)&gt;20,0)</f>
        <v>21675</v>
      </c>
      <c r="CT6" s="202" cm="1">
        <f t="array" ref="CT6">_xlfn.IFS(CT$3&lt;=YEAR($B$2),SUMPRODUCT(($E$4:$E$79=$E6)*($Z$2:$CG$2=CT$3)*($Z$2:$CG$2&lt;CU$3)*$Z$4:$CG$79),CT$3&lt;YEAR($X6),0,CT$3=YEAR($X6),DATEDIF($X6,DATE(CT$3,12,31),"m")*$Y6,AND(CT$3&gt;YEAR($X6),CT$3-YEAR($X6)&lt;20),$Y6*12,CT$3-YEAR($X6)=20,DATEDIF(DATE(YEAR($X6),1,1),$X6,"m")*$Y6,CT$3-YEAR($X6)&gt;20,0)</f>
        <v>21675</v>
      </c>
      <c r="CU6" s="202" cm="1">
        <f t="array" ref="CU6">_xlfn.IFS(CU$3&lt;=YEAR($B$2),SUMPRODUCT(($E$4:$E$79=$E6)*($Z$2:$CG$2=CU$3)*($Z$2:$CG$2&lt;CV$3)*$Z$4:$CG$79),CU$3&lt;YEAR($X6),0,CU$3=YEAR($X6),DATEDIF($X6,DATE(CU$3,12,31),"m")*$Y6,AND(CU$3&gt;YEAR($X6),CU$3-YEAR($X6)&lt;20),$Y6*12,CU$3-YEAR($X6)=20,DATEDIF(DATE(YEAR($X6),1,1),$X6,"m")*$Y6,CU$3-YEAR($X6)&gt;20,0)</f>
        <v>21675</v>
      </c>
      <c r="CV6" s="202" cm="1">
        <f t="array" ref="CV6">_xlfn.IFS(CV$3&lt;=YEAR($B$2),SUMPRODUCT(($E$4:$E$79=$E6)*($Z$2:$CG$2=CV$3)*($Z$2:$CG$2&lt;CW$3)*$Z$4:$CG$79),CV$3&lt;YEAR($X6),0,CV$3=YEAR($X6),DATEDIF($X6,DATE(CV$3,12,31),"m")*$Y6,AND(CV$3&gt;YEAR($X6),CV$3-YEAR($X6)&lt;20),$Y6*12,CV$3-YEAR($X6)=20,DATEDIF(DATE(YEAR($X6),1,1),$X6,"m")*$Y6,CV$3-YEAR($X6)&gt;20,0)</f>
        <v>21675</v>
      </c>
      <c r="CW6" s="202" cm="1">
        <f t="array" ref="CW6">_xlfn.IFS(CW$3&lt;=YEAR($B$2),SUMPRODUCT(($E$4:$E$79=$E6)*($Z$2:$CG$2=CW$3)*($Z$2:$CG$2&lt;CX$3)*$Z$4:$CG$79),CW$3&lt;YEAR($X6),0,CW$3=YEAR($X6),DATEDIF($X6,DATE(CW$3,12,31),"m")*$Y6,AND(CW$3&gt;YEAR($X6),CW$3-YEAR($X6)&lt;20),$Y6*12,CW$3-YEAR($X6)=20,DATEDIF(DATE(YEAR($X6),1,1),$X6,"m")*$Y6,CW$3-YEAR($X6)&gt;20,0)</f>
        <v>21675</v>
      </c>
      <c r="CX6" s="202" cm="1">
        <f t="array" ref="CX6">_xlfn.IFS(CX$3&lt;=YEAR($B$2),SUMPRODUCT(($E$4:$E$79=$E6)*($Z$2:$CG$2=CX$3)*($Z$2:$CG$2&lt;CY$3)*$Z$4:$CG$79),CX$3&lt;YEAR($X6),0,CX$3=YEAR($X6),DATEDIF($X6,DATE(CX$3,12,31),"m")*$Y6,AND(CX$3&gt;YEAR($X6),CX$3-YEAR($X6)&lt;20),$Y6*12,CX$3-YEAR($X6)=20,DATEDIF(DATE(YEAR($X6),1,1),$X6,"m")*$Y6,CX$3-YEAR($X6)&gt;20,0)</f>
        <v>21675</v>
      </c>
      <c r="CY6" s="202" cm="1">
        <f t="array" ref="CY6">_xlfn.IFS(CY$3&lt;=YEAR($B$2),SUMPRODUCT(($E$4:$E$79=$E6)*($Z$2:$CG$2=CY$3)*($Z$2:$CG$2&lt;CZ$3)*$Z$4:$CG$79),CY$3&lt;YEAR($X6),0,CY$3=YEAR($X6),DATEDIF($X6,DATE(CY$3,12,31),"m")*$Y6,AND(CY$3&gt;YEAR($X6),CY$3-YEAR($X6)&lt;20),$Y6*12,CY$3-YEAR($X6)=20,DATEDIF(DATE(YEAR($X6),1,1),$X6,"m")*$Y6,CY$3-YEAR($X6)&gt;20,0)</f>
        <v>21675</v>
      </c>
      <c r="CZ6" s="202" cm="1">
        <f t="array" ref="CZ6">_xlfn.IFS(CZ$3&lt;=YEAR($B$2),SUMPRODUCT(($E$4:$E$79=$E6)*($Z$2:$CG$2=CZ$3)*($Z$2:$CG$2&lt;DA$3)*$Z$4:$CG$79),CZ$3&lt;YEAR($X6),0,CZ$3=YEAR($X6),DATEDIF($X6,DATE(CZ$3,12,31),"m")*$Y6,AND(CZ$3&gt;YEAR($X6),CZ$3-YEAR($X6)&lt;20),$Y6*12,CZ$3-YEAR($X6)=20,DATEDIF(DATE(YEAR($X6),1,1),$X6,"m")*$Y6,CZ$3-YEAR($X6)&gt;20,0)</f>
        <v>21675</v>
      </c>
      <c r="DA6" s="202" cm="1">
        <f t="array" ref="DA6">_xlfn.IFS(DA$3&lt;=YEAR($B$2),SUMPRODUCT(($E$4:$E$79=$E6)*($Z$2:$CG$2=DA$3)*($Z$2:$CG$2&lt;DB$3)*$Z$4:$CG$79),DA$3&lt;YEAR($X6),0,DA$3=YEAR($X6),DATEDIF($X6,DATE(DA$3,12,31),"m")*$Y6,AND(DA$3&gt;YEAR($X6),DA$3-YEAR($X6)&lt;20),$Y6*12,DA$3-YEAR($X6)=20,DATEDIF(DATE(YEAR($X6),1,1),$X6,"m")*$Y6,DA$3-YEAR($X6)&gt;20,0)</f>
        <v>21675</v>
      </c>
      <c r="DB6" s="202" cm="1">
        <f t="array" ref="DB6">_xlfn.IFS(DB$3&lt;=YEAR($B$2),SUMPRODUCT(($E$4:$E$79=$E6)*($Z$2:$CG$2=DB$3)*($Z$2:$CG$2&lt;DC$3)*$Z$4:$CG$79),DB$3&lt;YEAR($X6),0,DB$3=YEAR($X6),DATEDIF($X6,DATE(DB$3,12,31),"m")*$Y6,AND(DB$3&gt;YEAR($X6),DB$3-YEAR($X6)&lt;20),$Y6*12,DB$3-YEAR($X6)=20,DATEDIF(DATE(YEAR($X6),1,1),$X6,"m")*$Y6,DB$3-YEAR($X6)&gt;20,0)</f>
        <v>21675</v>
      </c>
      <c r="DC6" s="202" cm="1">
        <f t="array" ref="DC6">_xlfn.IFS(DC$3&lt;=YEAR($B$2),SUMPRODUCT(($E$4:$E$79=$E6)*($Z$2:$CG$2=DC$3)*($Z$2:$CG$2&lt;DD$3)*$Z$4:$CG$79),DC$3&lt;YEAR($X6),0,DC$3=YEAR($X6),DATEDIF($X6,DATE(DC$3,12,31),"m")*$Y6,AND(DC$3&gt;YEAR($X6),DC$3-YEAR($X6)&lt;20),$Y6*12,DC$3-YEAR($X6)=20,DATEDIF(DATE(YEAR($X6),1,1),$X6,"m")*$Y6,DC$3-YEAR($X6)&gt;20,0)</f>
        <v>21675</v>
      </c>
      <c r="DD6" s="202" cm="1">
        <f t="array" ref="DD6">_xlfn.IFS(DD$3&lt;=YEAR($B$2),SUMPRODUCT(($E$4:$E$79=$E6)*($Z$2:$CG$2=DD$3)*($Z$2:$CG$2&lt;DE$3)*$Z$4:$CG$79),DD$3&lt;YEAR($X6),0,DD$3=YEAR($X6),DATEDIF($X6,DATE(DD$3,12,31),"m")*$Y6,AND(DD$3&gt;YEAR($X6),DD$3-YEAR($X6)&lt;20),$Y6*12,DD$3-YEAR($X6)=20,DATEDIF(DATE(YEAR($X6),1,1),$X6,"m")*$Y6,DD$3-YEAR($X6)&gt;20,0)</f>
        <v>21675</v>
      </c>
      <c r="DE6" s="202" cm="1">
        <f t="array" ref="DE6">_xlfn.IFS(DE$3&lt;=YEAR($B$2),SUMPRODUCT(($E$4:$E$79=$E6)*($Z$2:$CG$2=DE$3)*($Z$2:$CG$2&lt;DF$3)*$Z$4:$CG$79),DE$3&lt;YEAR($X6),0,DE$3=YEAR($X6),DATEDIF($X6,DATE(DE$3,12,31),"m")*$Y6,AND(DE$3&gt;YEAR($X6),DE$3-YEAR($X6)&lt;20),$Y6*12,DE$3-YEAR($X6)=20,DATEDIF(DATE(YEAR($X6),1,1),$X6,"m")*$Y6,DE$3-YEAR($X6)&gt;20,0)</f>
        <v>1806.25</v>
      </c>
      <c r="DF6" s="202" cm="1">
        <f t="array" ref="DF6">_xlfn.IFS(DF$3&lt;=YEAR($B$2),SUMPRODUCT(($E$4:$E$79=$E6)*($Z$2:$CG$2=DF$3)*($Z$2:$CG$2&lt;DG$3)*$Z$4:$CG$79),DF$3&lt;YEAR($X6),0,DF$3=YEAR($X6),DATEDIF($X6,DATE(DF$3,12,31),"m")*$Y6,AND(DF$3&gt;YEAR($X6),DF$3-YEAR($X6)&lt;20),$Y6*12,DF$3-YEAR($X6)=20,DATEDIF(DATE(YEAR($X6),1,1),$X6,"m")*$Y6,DF$3-YEAR($X6)&gt;20,0)</f>
        <v>0</v>
      </c>
      <c r="DG6" s="202" cm="1">
        <f t="array" ref="DG6">_xlfn.IFS(DG$3&lt;=YEAR($B$2),SUMPRODUCT(($E$4:$E$79=$E6)*($Z$2:$CG$2=DG$3)*($Z$2:$CG$2&lt;DH$3)*$Z$4:$CG$79),DG$3&lt;YEAR($X6),0,DG$3=YEAR($X6),DATEDIF($X6,DATE(DG$3,12,31),"m")*$Y6,AND(DG$3&gt;YEAR($X6),DG$3-YEAR($X6)&lt;20),$Y6*12,DG$3-YEAR($X6)=20,DATEDIF(DATE(YEAR($X6),1,1),$X6,"m")*$Y6,DG$3-YEAR($X6)&gt;20,0)</f>
        <v>0</v>
      </c>
      <c r="DH6" s="202" cm="1">
        <f t="array" ref="DH6">_xlfn.IFS(DH$3&lt;=YEAR($B$2),SUMPRODUCT(($E$4:$E$79=$E6)*($Z$2:$CG$2=DH$3)*($Z$2:$CG$2&lt;DI$3)*$Z$4:$CG$79),DH$3&lt;YEAR($X6),0,DH$3=YEAR($X6),DATEDIF($X6,DATE(DH$3,12,31),"m")*$Y6,AND(DH$3&gt;YEAR($X6),DH$3-YEAR($X6)&lt;20),$Y6*12,DH$3-YEAR($X6)=20,DATEDIF(DATE(YEAR($X6),1,1),$X6,"m")*$Y6,DH$3-YEAR($X6)&gt;20,0)</f>
        <v>0</v>
      </c>
      <c r="DI6" s="202" cm="1">
        <f t="array" ref="DI6">_xlfn.IFS(DI$3&lt;=YEAR($B$2),SUMPRODUCT(($E$4:$E$79=$E6)*($Z$2:$CG$2=DI$3)*($Z$2:$CG$2&lt;DJ$3)*$Z$4:$CG$79),DI$3&lt;YEAR($X6),0,DI$3=YEAR($X6),DATEDIF($X6,DATE(DI$3,12,31),"m")*$Y6,AND(DI$3&gt;YEAR($X6),DI$3-YEAR($X6)&lt;20),$Y6*12,DI$3-YEAR($X6)=20,DATEDIF(DATE(YEAR($X6),1,1),$X6,"m")*$Y6,DI$3-YEAR($X6)&gt;20,0)</f>
        <v>0</v>
      </c>
      <c r="DJ6" s="202" cm="1">
        <f t="array" ref="DJ6">_xlfn.IFS(DJ$3&lt;=YEAR($B$2),SUMPRODUCT(($E$4:$E$79=$E6)*($Z$2:$CG$2=DJ$3)*($Z$2:$CG$2&lt;DK$3)*$Z$4:$CG$79),DJ$3&lt;YEAR($X6),0,DJ$3=YEAR($X6),DATEDIF($X6,DATE(DJ$3,12,31),"m")*$Y6,AND(DJ$3&gt;YEAR($X6),DJ$3-YEAR($X6)&lt;20),$Y6*12,DJ$3-YEAR($X6)=20,DATEDIF(DATE(YEAR($X6),1,1),$X6,"m")*$Y6,DJ$3-YEAR($X6)&gt;20,0)</f>
        <v>0</v>
      </c>
      <c r="DK6" s="202" cm="1">
        <f t="array" ref="DK6">_xlfn.IFS(DK$3&lt;=YEAR($B$2),SUMPRODUCT(($E$4:$E$79=$E6)*($Z$2:$CG$2=DK$3)*($Z$2:$CG$2&lt;DL$3)*$Z$4:$CG$79),DK$3&lt;YEAR($X6),0,DK$3=YEAR($X6),DATEDIF($X6,DATE(DK$3,12,31),"m")*$Y6,AND(DK$3&gt;YEAR($X6),DK$3-YEAR($X6)&lt;20),$Y6*12,DK$3-YEAR($X6)=20,DATEDIF(DATE(YEAR($X6),1,1),$X6,"m")*$Y6,DK$3-YEAR($X6)&gt;20,0)</f>
        <v>0</v>
      </c>
      <c r="DL6" s="202" cm="1">
        <f t="array" ref="DL6">_xlfn.IFS(DL$3&lt;=YEAR($B$2),SUMPRODUCT(($E$4:$E$79=$E6)*($Z$2:$CG$2=DL$3)*($Z$2:$CG$2&lt;DM$3)*$Z$4:$CG$79),DL$3&lt;YEAR($X6),0,DL$3=YEAR($X6),DATEDIF($X6,DATE(DL$3,12,31),"m")*$Y6,AND(DL$3&gt;YEAR($X6),DL$3-YEAR($X6)&lt;20),$Y6*12,DL$3-YEAR($X6)=20,DATEDIF(DATE(YEAR($X6),1,1),$X6,"m")*$Y6,DL$3-YEAR($X6)&gt;20,0)</f>
        <v>0</v>
      </c>
      <c r="DO6" s="167" t="s">
        <v>13</v>
      </c>
      <c r="DP6" s="168">
        <v>0</v>
      </c>
      <c r="DQ6" s="159">
        <f t="shared" si="10"/>
        <v>0</v>
      </c>
      <c r="DR6" s="159">
        <f t="shared" si="10"/>
        <v>0</v>
      </c>
      <c r="DS6" s="159">
        <f t="shared" si="10"/>
        <v>0</v>
      </c>
      <c r="DT6" s="159">
        <f t="shared" si="10"/>
        <v>4087.91</v>
      </c>
      <c r="DU6" s="159">
        <f t="shared" si="10"/>
        <v>25628.579999999998</v>
      </c>
      <c r="DV6" s="159">
        <f t="shared" si="10"/>
        <v>25576.5</v>
      </c>
      <c r="DW6" s="159">
        <f t="shared" si="10"/>
        <v>25576.5</v>
      </c>
      <c r="DX6" s="159">
        <f t="shared" si="10"/>
        <v>25576.5</v>
      </c>
      <c r="DY6" s="159">
        <f t="shared" si="10"/>
        <v>25576.5</v>
      </c>
      <c r="DZ6" s="159">
        <f t="shared" si="10"/>
        <v>25576.5</v>
      </c>
      <c r="EA6" s="159">
        <f t="shared" si="11"/>
        <v>25576.5</v>
      </c>
      <c r="EB6" s="159">
        <f t="shared" si="11"/>
        <v>25576.5</v>
      </c>
      <c r="EC6" s="159">
        <f t="shared" si="11"/>
        <v>25576.5</v>
      </c>
      <c r="ED6" s="159">
        <f t="shared" si="11"/>
        <v>25576.5</v>
      </c>
      <c r="EE6" s="159">
        <f t="shared" si="11"/>
        <v>25576.5</v>
      </c>
      <c r="EF6" s="159">
        <f t="shared" si="11"/>
        <v>25576.5</v>
      </c>
      <c r="EG6" s="159">
        <f t="shared" si="11"/>
        <v>25576.5</v>
      </c>
      <c r="EH6" s="159">
        <f t="shared" si="11"/>
        <v>25576.5</v>
      </c>
      <c r="EI6" s="159">
        <f t="shared" si="11"/>
        <v>25576.5</v>
      </c>
      <c r="EJ6" s="159">
        <f t="shared" si="11"/>
        <v>25576.5</v>
      </c>
      <c r="EK6" s="159">
        <f t="shared" si="12"/>
        <v>25576.5</v>
      </c>
      <c r="EL6" s="159">
        <f t="shared" si="12"/>
        <v>25576.5</v>
      </c>
      <c r="EM6" s="159">
        <f t="shared" si="12"/>
        <v>25576.5</v>
      </c>
      <c r="EN6" s="159">
        <f t="shared" si="12"/>
        <v>14919.625</v>
      </c>
      <c r="EO6" s="159">
        <f t="shared" si="12"/>
        <v>0</v>
      </c>
      <c r="EP6" s="159">
        <f t="shared" si="12"/>
        <v>0</v>
      </c>
      <c r="EQ6" s="159">
        <f t="shared" si="12"/>
        <v>0</v>
      </c>
      <c r="ER6" s="159">
        <f t="shared" si="12"/>
        <v>0</v>
      </c>
      <c r="ES6" s="159">
        <f t="shared" si="12"/>
        <v>0</v>
      </c>
      <c r="ET6" s="159">
        <f t="shared" si="12"/>
        <v>0</v>
      </c>
    </row>
    <row r="7" spans="1:150">
      <c r="A7" s="155" t="str" cm="1">
        <f t="array" ref="A7">INDEX('Monthly Report July 2025'!C:C,MATCH(E7,'Monthly Report July 2025'!E:E,0),0)</f>
        <v>SPQ0070</v>
      </c>
      <c r="B7" s="155" t="str" cm="1">
        <f t="array" ref="B7">_xlfn.IFS(LEFT(E7,3)="PGE","PGE",LEFT(E7,2)="PP","PAC",TRUE,"IP")</f>
        <v>PGE</v>
      </c>
      <c r="C7" s="155" t="str">
        <f>IF(ISNA(MATCH(E7,'Monthly Report July 2025'!E:E,0)),"Missing","Present")</f>
        <v>Present</v>
      </c>
      <c r="D7" s="155" t="str">
        <f>IF(ISNA(MATCH(E7,'Project Operational Timelines'!C:C,0))=TRUE,"Missing","Present")</f>
        <v>Present</v>
      </c>
      <c r="E7" s="155" t="s">
        <v>112</v>
      </c>
      <c r="F7" s="155" t="str" cm="1">
        <f t="array" ref="F7">INDEX('Monthly Report July 2025'!F:F,MATCH(E7,'Monthly Report July 2025'!E:E,),0)</f>
        <v>Dunn Rd</v>
      </c>
      <c r="G7" s="155" t="str" cm="1">
        <f t="array" ref="G7">_xlfn.IFS(INDEX('Monthly Report July 2025'!O:O,MATCH(E7,'Monthly Report July 2025'!E:E,0),0)="Operational","Operational",INDEX('Monthly Report July 2025'!O:O,MATCH(E7,'Monthly Report July 2025'!E:E,0),0)="Certified","Certified",TRUE,"Pre-Certified")</f>
        <v>Operational</v>
      </c>
      <c r="H7" s="155" t="str" cm="1">
        <f t="array" ref="H7">INDEX('Monthly Report July 2025'!H:H,MATCH($E7,'Monthly Report July 2025'!$E:$E,0),0)</f>
        <v>Neighborhood Power</v>
      </c>
      <c r="I7" s="155" t="str" cm="1">
        <f t="array" ref="I7">INDEX('Monthly Report July 2025'!I:I,MATCH($E7,'Monthly Report July 2025'!$E:$E,0),0)</f>
        <v>Neighborhood Power</v>
      </c>
      <c r="J7" s="174" cm="1">
        <f t="array" ref="J7">INDEX('Monthly Report July 2025'!J:J,MATCH($E7,'Monthly Report July 2025'!$E:$E,0),0)</f>
        <v>1</v>
      </c>
      <c r="K7" s="174" t="str" cm="1">
        <f t="array" ref="K7">INDEX('Monthly Report July 2025'!K:K,MATCH($E7,'Monthly Report July 2025'!$E:$E,0),0)</f>
        <v>No</v>
      </c>
      <c r="L7" s="174" t="b" cm="1">
        <f t="array" ref="L7">INDEX('Monthly Report July 2025'!L:L,MATCH(E7,'Monthly Report July 2025'!E:E,0),0)=M7</f>
        <v>1</v>
      </c>
      <c r="M7" s="273" cm="1">
        <f t="array" ref="M7">INDEX('Monthly Report July 2025'!L:L,MATCH($E7,'Monthly Report July 2025'!$E:$E,0),0)</f>
        <v>1848</v>
      </c>
      <c r="N7" s="175" cm="1">
        <f t="array" ref="N7">INDEX('Monthly Report July 2025'!M:M,MATCH($E7,'Monthly Report July 2025'!$E:$E,0),0)</f>
        <v>43958</v>
      </c>
      <c r="O7" s="175" t="str" cm="1">
        <f t="array" ref="O7">_xlfn.IFS(G7="Operational","Operational",G7="Certified","Certified",TRUE,INDEX('Monthly Report July 2025'!O:O,MATCH(E7,'Monthly Report July 2025'!E:E,0),0))</f>
        <v>Operational</v>
      </c>
      <c r="P7" s="175" t="b" cm="1">
        <f t="array" ref="P7">_xlfn.IFS(G7="Operational",O7="Operational",G7="Certified",O7="Certified",TRUE,G7="Pre-Certified")</f>
        <v>1</v>
      </c>
      <c r="Q7" s="175" cm="1">
        <f t="array" ref="Q7">IF(O7="Operational",INDEX('Monthly Report July 2025'!R:R,MATCH(E7,'Monthly Report July 2025'!E:E,0),0),"")</f>
        <v>44256</v>
      </c>
      <c r="R7" s="175" cm="1">
        <f t="array" ref="R7">INDEX('Monthly Report July 2025'!P:P,MATCH(E7,'Monthly Report July 2025'!E:E,0),0)</f>
        <v>44238</v>
      </c>
      <c r="S7" s="175" t="b">
        <f t="shared" si="5"/>
        <v>1</v>
      </c>
      <c r="T7" s="175" cm="1">
        <f t="array" ref="T7">INDEX('Monthly Report July 2025'!U:U,MATCH(E7,'Monthly Report July 2025'!E:E,0),0)</f>
        <v>44238</v>
      </c>
      <c r="U7" s="175" t="str">
        <f t="shared" si="6"/>
        <v>IGNORE</v>
      </c>
      <c r="V7" s="156">
        <f t="shared" si="7"/>
        <v>44238</v>
      </c>
      <c r="W7" s="156" cm="1">
        <f t="array" ref="W7">_xlfn.IFS(U7=TRUE,EDATE(O7,6),U7=FALSE,T7,O7="Operational",Q7,AND(O7="Certified",EDATE(R7,6)&gt;T7),EDATE(R7,6),TRUE,T7)</f>
        <v>44256</v>
      </c>
      <c r="X7" s="156">
        <f t="shared" si="8"/>
        <v>44317</v>
      </c>
      <c r="Y7" s="157">
        <f t="shared" si="9"/>
        <v>1335.1799999999998</v>
      </c>
      <c r="Z7" s="202" cm="1">
        <f t="array" ref="Z7">_xlfn.IFS(Z$3&lt;$B$2,SUMPRODUCT(('PA Fees Actual'!$B$5:$B$882=$E7)*('PA Fees Actual'!$A$5:$A$882&gt;=Z$3)*('PA Fees Actual'!$A$5:$A$882&lt;=EOMONTH(Z$3,0))*'PA Fees Actual'!$D$5:$D$882),Z$3&gt;=EOMONTH($X7,-1)+1,$Y7,TRUE,0)</f>
        <v>0</v>
      </c>
      <c r="AA7" s="202" cm="1">
        <f t="array" ref="AA7">_xlfn.IFS(AA$3&lt;$B$2,SUMPRODUCT(('PA Fees Actual'!$B$5:$B$882=$E7)*('PA Fees Actual'!$A$5:$A$882&gt;=AA$3)*('PA Fees Actual'!$A$5:$A$882&lt;=EOMONTH(AA$3,0))*'PA Fees Actual'!$D$5:$D$882),AA$3&gt;=EOMONTH($X7,-1)+1,$Y7,TRUE,0)</f>
        <v>0</v>
      </c>
      <c r="AB7" s="202" cm="1">
        <f t="array" ref="AB7">_xlfn.IFS(AB$3&lt;$B$2,SUMPRODUCT(('PA Fees Actual'!$B$5:$B$882=$E7)*('PA Fees Actual'!$A$5:$A$882&gt;=AB$3)*('PA Fees Actual'!$A$5:$A$882&lt;=EOMONTH(AB$3,0))*'PA Fees Actual'!$D$5:$D$882),AB$3&gt;=EOMONTH($X7,-1)+1,$Y7,TRUE,0)</f>
        <v>0</v>
      </c>
      <c r="AC7" s="202" cm="1">
        <f t="array" ref="AC7">_xlfn.IFS(AC$3&lt;$B$2,SUMPRODUCT(('PA Fees Actual'!$B$5:$B$882=$E7)*('PA Fees Actual'!$A$5:$A$882&gt;=AC$3)*('PA Fees Actual'!$A$5:$A$882&lt;=EOMONTH(AC$3,0))*'PA Fees Actual'!$D$5:$D$882),AC$3&gt;=EOMONTH($X7,-1)+1,$Y7,TRUE,0)</f>
        <v>0</v>
      </c>
      <c r="AD7" s="202" cm="1">
        <f t="array" ref="AD7">_xlfn.IFS(AD$3&lt;$B$2,SUMPRODUCT(('PA Fees Actual'!$B$5:$B$882=$E7)*('PA Fees Actual'!$A$5:$A$882&gt;=AD$3)*('PA Fees Actual'!$A$5:$A$882&lt;=EOMONTH(AD$3,0))*'PA Fees Actual'!$D$5:$D$882),AD$3&gt;=EOMONTH($X7,-1)+1,$Y7,TRUE,0)</f>
        <v>0</v>
      </c>
      <c r="AE7" s="202" cm="1">
        <f t="array" ref="AE7">_xlfn.IFS(AE$3&lt;$B$2,SUMPRODUCT(('PA Fees Actual'!$B$5:$B$882=$E7)*('PA Fees Actual'!$A$5:$A$882&gt;=AE$3)*('PA Fees Actual'!$A$5:$A$882&lt;=EOMONTH(AE$3,0))*'PA Fees Actual'!$D$5:$D$882),AE$3&gt;=EOMONTH($X7,-1)+1,$Y7,TRUE,0)</f>
        <v>67.7</v>
      </c>
      <c r="AF7" s="202" cm="1">
        <f t="array" ref="AF7">_xlfn.IFS(AF$3&lt;$B$2,SUMPRODUCT(('PA Fees Actual'!$B$5:$B$882=$E7)*('PA Fees Actual'!$A$5:$A$882&gt;=AF$3)*('PA Fees Actual'!$A$5:$A$882&lt;=EOMONTH(AF$3,0))*'PA Fees Actual'!$D$5:$D$882),AF$3&gt;=EOMONTH($X7,-1)+1,$Y7,TRUE,0)</f>
        <v>1180.79</v>
      </c>
      <c r="AG7" s="202" cm="1">
        <f t="array" ref="AG7">_xlfn.IFS(AG$3&lt;$B$2,SUMPRODUCT(('PA Fees Actual'!$B$5:$B$882=$E7)*('PA Fees Actual'!$A$5:$A$882&gt;=AG$3)*('PA Fees Actual'!$A$5:$A$882&lt;=EOMONTH(AG$3,0))*'PA Fees Actual'!$D$5:$D$882),AG$3&gt;=EOMONTH($X7,-1)+1,$Y7,TRUE,0)</f>
        <v>1143.6600000000001</v>
      </c>
      <c r="AH7" s="202" cm="1">
        <f t="array" ref="AH7">_xlfn.IFS(AH$3&lt;$B$2,SUMPRODUCT(('PA Fees Actual'!$B$5:$B$882=$E7)*('PA Fees Actual'!$A$5:$A$882&gt;=AH$3)*('PA Fees Actual'!$A$5:$A$882&lt;=EOMONTH(AH$3,0))*'PA Fees Actual'!$D$5:$D$882),AH$3&gt;=EOMONTH($X7,-1)+1,$Y7,TRUE,0)</f>
        <v>0</v>
      </c>
      <c r="AI7" s="202" cm="1">
        <f t="array" ref="AI7">_xlfn.IFS(AI$3&lt;$B$2,SUMPRODUCT(('PA Fees Actual'!$B$5:$B$882=$E7)*('PA Fees Actual'!$A$5:$A$882&gt;=AI$3)*('PA Fees Actual'!$A$5:$A$882&lt;=EOMONTH(AI$3,0))*'PA Fees Actual'!$D$5:$D$882),AI$3&gt;=EOMONTH($X7,-1)+1,$Y7,TRUE,0)</f>
        <v>530.26</v>
      </c>
      <c r="AJ7" s="202" cm="1">
        <f t="array" ref="AJ7">_xlfn.IFS(AJ$3&lt;$B$2,SUMPRODUCT(('PA Fees Actual'!$B$5:$B$882=$E7)*('PA Fees Actual'!$A$5:$A$882&gt;=AJ$3)*('PA Fees Actual'!$A$5:$A$882&lt;=EOMONTH(AJ$3,0))*'PA Fees Actual'!$D$5:$D$882),AJ$3&gt;=EOMONTH($X7,-1)+1,$Y7,TRUE,0)</f>
        <v>6634.41</v>
      </c>
      <c r="AK7" s="202" cm="1">
        <f t="array" ref="AK7">_xlfn.IFS(AK$3&lt;$B$2,SUMPRODUCT(('PA Fees Actual'!$B$5:$B$882=$E7)*('PA Fees Actual'!$A$5:$A$882&gt;=AK$3)*('PA Fees Actual'!$A$5:$A$882&lt;=EOMONTH(AK$3,0))*'PA Fees Actual'!$D$5:$D$882),AK$3&gt;=EOMONTH($X7,-1)+1,$Y7,TRUE,0)</f>
        <v>1381.25</v>
      </c>
      <c r="AL7" s="202" cm="1">
        <f t="array" ref="AL7">_xlfn.IFS(AL$3&lt;$B$2,SUMPRODUCT(('PA Fees Actual'!$B$5:$B$882=$E7)*('PA Fees Actual'!$A$5:$A$882&gt;=AL$3)*('PA Fees Actual'!$A$5:$A$882&lt;=EOMONTH(AL$3,0))*'PA Fees Actual'!$D$5:$D$882),AL$3&gt;=EOMONTH($X7,-1)+1,$Y7,TRUE,0)</f>
        <v>1417.25</v>
      </c>
      <c r="AM7" s="202" cm="1">
        <f t="array" ref="AM7">_xlfn.IFS(AM$3&lt;$B$2,SUMPRODUCT(('PA Fees Actual'!$B$5:$B$882=$E7)*('PA Fees Actual'!$A$5:$A$882&gt;=AM$3)*('PA Fees Actual'!$A$5:$A$882&lt;=EOMONTH(AM$3,0))*'PA Fees Actual'!$D$5:$D$882),AM$3&gt;=EOMONTH($X7,-1)+1,$Y7,TRUE,0)</f>
        <v>212.74999999999994</v>
      </c>
      <c r="AN7" s="202" cm="1">
        <f t="array" ref="AN7">_xlfn.IFS(AN$3&lt;$B$2,SUMPRODUCT(('PA Fees Actual'!$B$5:$B$882=$E7)*('PA Fees Actual'!$A$5:$A$882&gt;=AN$3)*('PA Fees Actual'!$A$5:$A$882&lt;=EOMONTH(AN$3,0))*'PA Fees Actual'!$D$5:$D$882),AN$3&gt;=EOMONTH($X7,-1)+1,$Y7,TRUE,0)</f>
        <v>2442.7999999999997</v>
      </c>
      <c r="AO7" s="202" cm="1">
        <f t="array" ref="AO7">_xlfn.IFS(AO$3&lt;$B$2,SUMPRODUCT(('PA Fees Actual'!$B$5:$B$882=$E7)*('PA Fees Actual'!$A$5:$A$882&gt;=AO$3)*('PA Fees Actual'!$A$5:$A$882&lt;=EOMONTH(AO$3,0))*'PA Fees Actual'!$D$5:$D$882),AO$3&gt;=EOMONTH($X7,-1)+1,$Y7,TRUE,0)</f>
        <v>1458.5</v>
      </c>
      <c r="AP7" s="202" cm="1">
        <f t="array" ref="AP7">_xlfn.IFS(AP$3&lt;$B$2,SUMPRODUCT(('PA Fees Actual'!$B$5:$B$882=$E7)*('PA Fees Actual'!$A$5:$A$882&gt;=AP$3)*('PA Fees Actual'!$A$5:$A$882&lt;=EOMONTH(AP$3,0))*'PA Fees Actual'!$D$5:$D$882),AP$3&gt;=EOMONTH($X7,-1)+1,$Y7,TRUE,0)</f>
        <v>1381.2499999999998</v>
      </c>
      <c r="AQ7" s="202" cm="1">
        <f t="array" ref="AQ7">_xlfn.IFS(AQ$3&lt;$B$2,SUMPRODUCT(('PA Fees Actual'!$B$5:$B$882=$E7)*('PA Fees Actual'!$A$5:$A$882&gt;=AQ$3)*('PA Fees Actual'!$A$5:$A$882&lt;=EOMONTH(AQ$3,0))*'PA Fees Actual'!$D$5:$D$882),AQ$3&gt;=EOMONTH($X7,-1)+1,$Y7,TRUE,0)</f>
        <v>1471.5299999999995</v>
      </c>
      <c r="AR7" s="202" cm="1">
        <f t="array" ref="AR7">_xlfn.IFS(AR$3&lt;$B$2,SUMPRODUCT(('PA Fees Actual'!$B$5:$B$882=$E7)*('PA Fees Actual'!$A$5:$A$882&gt;=AR$3)*('PA Fees Actual'!$A$5:$A$882&lt;=EOMONTH(AR$3,0))*'PA Fees Actual'!$D$5:$D$882),AR$3&gt;=EOMONTH($X7,-1)+1,$Y7,TRUE,0)</f>
        <v>320.64999999999998</v>
      </c>
      <c r="AS7" s="202" cm="1">
        <f t="array" ref="AS7">_xlfn.IFS(AS$3&lt;$B$2,SUMPRODUCT(('PA Fees Actual'!$B$5:$B$882=$E7)*('PA Fees Actual'!$A$5:$A$882&gt;=AS$3)*('PA Fees Actual'!$A$5:$A$882&lt;=EOMONTH(AS$3,0))*'PA Fees Actual'!$D$5:$D$882),AS$3&gt;=EOMONTH($X7,-1)+1,$Y7,TRUE,0)</f>
        <v>2497.1499999999978</v>
      </c>
      <c r="AT7" s="202" cm="1">
        <f t="array" ref="AT7">_xlfn.IFS(AT$3&lt;$B$2,SUMPRODUCT(('PA Fees Actual'!$B$5:$B$882=$E7)*('PA Fees Actual'!$A$5:$A$882&gt;=AT$3)*('PA Fees Actual'!$A$5:$A$882&lt;=EOMONTH(AT$3,0))*'PA Fees Actual'!$D$5:$D$882),AT$3&gt;=EOMONTH($X7,-1)+1,$Y7,TRUE,0)</f>
        <v>54.06</v>
      </c>
      <c r="AU7" s="202" cm="1">
        <f t="array" ref="AU7">_xlfn.IFS(AU$3&lt;$B$2,SUMPRODUCT(('PA Fees Actual'!$B$5:$B$882=$E7)*('PA Fees Actual'!$A$5:$A$882&gt;=AU$3)*('PA Fees Actual'!$A$5:$A$882&lt;=EOMONTH(AU$3,0))*'PA Fees Actual'!$D$5:$D$882),AU$3&gt;=EOMONTH($X7,-1)+1,$Y7,TRUE,0)</f>
        <v>95.9399999999996</v>
      </c>
      <c r="AV7" s="202" cm="1">
        <f t="array" ref="AV7">_xlfn.IFS(AV$3&lt;$B$2,SUMPRODUCT(('PA Fees Actual'!$B$5:$B$882=$E7)*('PA Fees Actual'!$A$5:$A$882&gt;=AV$3)*('PA Fees Actual'!$A$5:$A$882&lt;=EOMONTH(AV$3,0))*'PA Fees Actual'!$D$5:$D$882),AV$3&gt;=EOMONTH($X7,-1)+1,$Y7,TRUE,0)</f>
        <v>3711.55</v>
      </c>
      <c r="AW7" s="202" cm="1">
        <f t="array" ref="AW7">_xlfn.IFS(AW$3&lt;$B$2,SUMPRODUCT(('PA Fees Actual'!$B$5:$B$882=$E7)*('PA Fees Actual'!$A$5:$A$882&gt;=AW$3)*('PA Fees Actual'!$A$5:$A$882&lt;=EOMONTH(AW$3,0))*'PA Fees Actual'!$D$5:$D$882),AW$3&gt;=EOMONTH($X7,-1)+1,$Y7,TRUE,0)</f>
        <v>214.48</v>
      </c>
      <c r="AX7" s="202" cm="1">
        <f t="array" ref="AX7">_xlfn.IFS(AX$3&lt;$B$2,SUMPRODUCT(('PA Fees Actual'!$B$5:$B$882=$E7)*('PA Fees Actual'!$A$5:$A$882&gt;=AX$3)*('PA Fees Actual'!$A$5:$A$882&lt;=EOMONTH(AX$3,0))*'PA Fees Actual'!$D$5:$D$882),AX$3&gt;=EOMONTH($X7,-1)+1,$Y7,TRUE,0)</f>
        <v>2742.17</v>
      </c>
      <c r="AY7" s="202" cm="1">
        <f t="array" ref="AY7">_xlfn.IFS(AY$3&lt;$B$2,SUMPRODUCT(('PA Fees Actual'!$B$5:$B$882=$E7)*('PA Fees Actual'!$A$5:$A$882&gt;=AY$3)*('PA Fees Actual'!$A$5:$A$882&lt;=EOMONTH(AY$3,0))*'PA Fees Actual'!$D$5:$D$882),AY$3&gt;=EOMONTH($X7,-1)+1,$Y7,TRUE,0)</f>
        <v>129.15000000000032</v>
      </c>
      <c r="AZ7" s="202" cm="1">
        <f t="array" ref="AZ7">_xlfn.IFS(AZ$3&lt;$B$2,SUMPRODUCT(('PA Fees Actual'!$B$5:$B$882=$E7)*('PA Fees Actual'!$A$5:$A$882&gt;=AZ$3)*('PA Fees Actual'!$A$5:$A$882&lt;=EOMONTH(AZ$3,0))*'PA Fees Actual'!$D$5:$D$882),AZ$3&gt;=EOMONTH($X7,-1)+1,$Y7,TRUE,0)</f>
        <v>2535.9299999999985</v>
      </c>
      <c r="BA7" s="202" cm="1">
        <f t="array" ref="BA7">_xlfn.IFS(BA$3&lt;$B$2,SUMPRODUCT(('PA Fees Actual'!$B$5:$B$882=$E7)*('PA Fees Actual'!$A$5:$A$882&gt;=BA$3)*('PA Fees Actual'!$A$5:$A$882&lt;=EOMONTH(BA$3,0))*'PA Fees Actual'!$D$5:$D$882),BA$3&gt;=EOMONTH($X7,-1)+1,$Y7,TRUE,0)</f>
        <v>174.67999999999961</v>
      </c>
      <c r="BB7" s="202" cm="1">
        <f t="array" ref="BB7">_xlfn.IFS(BB$3&lt;$B$2,SUMPRODUCT(('PA Fees Actual'!$B$5:$B$882=$E7)*('PA Fees Actual'!$A$5:$A$882&gt;=BB$3)*('PA Fees Actual'!$A$5:$A$882&lt;=EOMONTH(BB$3,0))*'PA Fees Actual'!$D$5:$D$882),BB$3&gt;=EOMONTH($X7,-1)+1,$Y7,TRUE,0)</f>
        <v>1152.3499999999999</v>
      </c>
      <c r="BC7" s="202" cm="1">
        <f t="array" ref="BC7">_xlfn.IFS(BC$3&lt;$B$2,SUMPRODUCT(('PA Fees Actual'!$B$5:$B$882=$E7)*('PA Fees Actual'!$A$5:$A$882&gt;=BC$3)*('PA Fees Actual'!$A$5:$A$882&lt;=EOMONTH(BC$3,0))*'PA Fees Actual'!$D$5:$D$882),BC$3&gt;=EOMONTH($X7,-1)+1,$Y7,TRUE,0)</f>
        <v>1474.4599999999996</v>
      </c>
      <c r="BD7" s="202" cm="1">
        <f t="array" ref="BD7">_xlfn.IFS(BD$3&lt;$B$2,SUMPRODUCT(('PA Fees Actual'!$B$5:$B$882=$E7)*('PA Fees Actual'!$A$5:$A$882&gt;=BD$3)*('PA Fees Actual'!$A$5:$A$882&lt;=EOMONTH(BD$3,0))*'PA Fees Actual'!$D$5:$D$882),BD$3&gt;=EOMONTH($X7,-1)+1,$Y7,TRUE,0)</f>
        <v>1444.49</v>
      </c>
      <c r="BE7" s="202" cm="1">
        <f t="array" ref="BE7">_xlfn.IFS(BE$3&lt;$B$2,SUMPRODUCT(('PA Fees Actual'!$B$5:$B$882=$E7)*('PA Fees Actual'!$A$5:$A$882&gt;=BE$3)*('PA Fees Actual'!$A$5:$A$882&lt;=EOMONTH(BE$3,0))*'PA Fees Actual'!$D$5:$D$882),BE$3&gt;=EOMONTH($X7,-1)+1,$Y7,TRUE,0)</f>
        <v>1873.08</v>
      </c>
      <c r="BF7" s="202" cm="1">
        <f t="array" ref="BF7">_xlfn.IFS(BF$3&lt;$B$2,SUMPRODUCT(('PA Fees Actual'!$B$5:$B$882=$E7)*('PA Fees Actual'!$A$5:$A$882&gt;=BF$3)*('PA Fees Actual'!$A$5:$A$882&lt;=EOMONTH(BF$3,0))*'PA Fees Actual'!$D$5:$D$882),BF$3&gt;=EOMONTH($X7,-1)+1,$Y7,TRUE,0)</f>
        <v>2091.2400000000007</v>
      </c>
      <c r="BG7" s="202" cm="1">
        <f t="array" ref="BG7">_xlfn.IFS(BG$3&lt;$B$2,SUMPRODUCT(('PA Fees Actual'!$B$5:$B$882=$E7)*('PA Fees Actual'!$A$5:$A$882&gt;=BG$3)*('PA Fees Actual'!$A$5:$A$882&lt;=EOMONTH(BG$3,0))*'PA Fees Actual'!$D$5:$D$882),BG$3&gt;=EOMONTH($X7,-1)+1,$Y7,TRUE,0)</f>
        <v>0</v>
      </c>
      <c r="BH7" s="202" cm="1">
        <f t="array" ref="BH7">_xlfn.IFS(BH$3&lt;$B$2,SUMPRODUCT(('PA Fees Actual'!$B$5:$B$882=$E7)*('PA Fees Actual'!$A$5:$A$882&gt;=BH$3)*('PA Fees Actual'!$A$5:$A$882&lt;=EOMONTH(BH$3,0))*'PA Fees Actual'!$D$5:$D$882),BH$3&gt;=EOMONTH($X7,-1)+1,$Y7,TRUE,0)</f>
        <v>1224.46</v>
      </c>
      <c r="BI7" s="202" cm="1">
        <f t="array" ref="BI7">_xlfn.IFS(BI$3&lt;$B$2,SUMPRODUCT(('PA Fees Actual'!$B$5:$B$882=$E7)*('PA Fees Actual'!$A$5:$A$882&gt;=BI$3)*('PA Fees Actual'!$A$5:$A$882&lt;=EOMONTH(BI$3,0))*'PA Fees Actual'!$D$5:$D$882),BI$3&gt;=EOMONTH($X7,-1)+1,$Y7,TRUE,0)</f>
        <v>1642.6499999999999</v>
      </c>
      <c r="BJ7" s="202" cm="1">
        <f t="array" ref="BJ7">_xlfn.IFS(BJ$3&lt;$B$2,SUMPRODUCT(('PA Fees Actual'!$B$5:$B$882=$E7)*('PA Fees Actual'!$A$5:$A$882&gt;=BJ$3)*('PA Fees Actual'!$A$5:$A$882&lt;=EOMONTH(BJ$3,0))*'PA Fees Actual'!$D$5:$D$882),BJ$3&gt;=EOMONTH($X7,-1)+1,$Y7,TRUE,0)</f>
        <v>2316.5899999999997</v>
      </c>
      <c r="BK7" s="202" cm="1">
        <f t="array" ref="BK7">_xlfn.IFS(BK$3&lt;$B$2,SUMPRODUCT(('PA Fees Actual'!$B$5:$B$882=$E7)*('PA Fees Actual'!$A$5:$A$882&gt;=BK$3)*('PA Fees Actual'!$A$5:$A$882&lt;=EOMONTH(BK$3,0))*'PA Fees Actual'!$D$5:$D$882),BK$3&gt;=EOMONTH($X7,-1)+1,$Y7,TRUE,0)</f>
        <v>173.4800000000001</v>
      </c>
      <c r="BL7" s="202" cm="1">
        <f t="array" ref="BL7">_xlfn.IFS(BL$3&lt;$B$2,SUMPRODUCT(('PA Fees Actual'!$B$5:$B$882=$E7)*('PA Fees Actual'!$A$5:$A$882&gt;=BL$3)*('PA Fees Actual'!$A$5:$A$882&lt;=EOMONTH(BL$3,0))*'PA Fees Actual'!$D$5:$D$882),BL$3&gt;=EOMONTH($X7,-1)+1,$Y7,TRUE,0)</f>
        <v>568.05000000000018</v>
      </c>
      <c r="BM7" s="202" cm="1">
        <f t="array" ref="BM7">_xlfn.IFS(BM$3&lt;$B$2,SUMPRODUCT(('PA Fees Actual'!$B$5:$B$882=$E7)*('PA Fees Actual'!$A$5:$A$882&gt;=BM$3)*('PA Fees Actual'!$A$5:$A$882&lt;=EOMONTH(BM$3,0))*'PA Fees Actual'!$D$5:$D$882),BM$3&gt;=EOMONTH($X7,-1)+1,$Y7,TRUE,0)</f>
        <v>87.63</v>
      </c>
      <c r="BN7" s="202" cm="1">
        <f t="array" ref="BN7">_xlfn.IFS(BN$3&lt;$B$2,SUMPRODUCT(('PA Fees Actual'!$B$5:$B$882=$E7)*('PA Fees Actual'!$A$5:$A$882&gt;=BN$3)*('PA Fees Actual'!$A$5:$A$882&lt;=EOMONTH(BN$3,0))*'PA Fees Actual'!$D$5:$D$882),BN$3&gt;=EOMONTH($X7,-1)+1,$Y7,TRUE,0)</f>
        <v>4834.2800000000007</v>
      </c>
      <c r="BO7" s="202" cm="1">
        <f t="array" ref="BO7">_xlfn.IFS(BO$3&lt;$B$2,SUMPRODUCT(('PA Fees Actual'!$B$5:$B$882=$E7)*('PA Fees Actual'!$A$5:$A$882&gt;=BO$3)*('PA Fees Actual'!$A$5:$A$882&lt;=EOMONTH(BO$3,0))*'PA Fees Actual'!$D$5:$D$882),BO$3&gt;=EOMONTH($X7,-1)+1,$Y7,TRUE,0)</f>
        <v>180.72</v>
      </c>
      <c r="BP7" s="202" cm="1">
        <f t="array" ref="BP7">_xlfn.IFS(BP$3&lt;$B$2,SUMPRODUCT(('PA Fees Actual'!$B$5:$B$882=$E7)*('PA Fees Actual'!$A$5:$A$882&gt;=BP$3)*('PA Fees Actual'!$A$5:$A$882&lt;=EOMONTH(BP$3,0))*'PA Fees Actual'!$D$5:$D$882),BP$3&gt;=EOMONTH($X7,-1)+1,$Y7,TRUE,0)</f>
        <v>1048.2</v>
      </c>
      <c r="BQ7" s="202" cm="1">
        <f t="array" ref="BQ7">_xlfn.IFS(BQ$3&lt;$B$2,SUMPRODUCT(('PA Fees Actual'!$B$5:$B$882=$E7)*('PA Fees Actual'!$A$5:$A$882&gt;=BQ$3)*('PA Fees Actual'!$A$5:$A$882&lt;=EOMONTH(BQ$3,0))*'PA Fees Actual'!$D$5:$D$882),BQ$3&gt;=EOMONTH($X7,-1)+1,$Y7,TRUE,0)</f>
        <v>1744.14</v>
      </c>
      <c r="BR7" s="202" cm="1">
        <f t="array" ref="BR7">_xlfn.IFS(BR$3&lt;$B$2,SUMPRODUCT(('PA Fees Actual'!$B$5:$B$882=$E7)*('PA Fees Actual'!$A$5:$A$882&gt;=BR$3)*('PA Fees Actual'!$A$5:$A$882&lt;=EOMONTH(BR$3,0))*'PA Fees Actual'!$D$5:$D$882),BR$3&gt;=EOMONTH($X7,-1)+1,$Y7,TRUE,0)</f>
        <v>1711.98</v>
      </c>
      <c r="BS7" s="202" cm="1">
        <f t="array" ref="BS7">_xlfn.IFS(BS$3&lt;$B$2,SUMPRODUCT(('PA Fees Actual'!$B$5:$B$882=$E7)*('PA Fees Actual'!$A$5:$A$882&gt;=BS$3)*('PA Fees Actual'!$A$5:$A$882&lt;=EOMONTH(BS$3,0))*'PA Fees Actual'!$D$5:$D$882),BS$3&gt;=EOMONTH($X7,-1)+1,$Y7,TRUE,0)</f>
        <v>2236.66</v>
      </c>
      <c r="BT7" s="202" cm="1">
        <f t="array" ref="BT7">_xlfn.IFS(BT$3&lt;$B$2,SUMPRODUCT(('PA Fees Actual'!$B$5:$B$882=$E7)*('PA Fees Actual'!$A$5:$A$882&gt;=BT$3)*('PA Fees Actual'!$A$5:$A$882&lt;=EOMONTH(BT$3,0))*'PA Fees Actual'!$D$5:$D$882),BT$3&gt;=EOMONTH($X7,-1)+1,$Y7,TRUE,0)</f>
        <v>1417.82</v>
      </c>
      <c r="BU7" s="202" cm="1">
        <f t="array" ref="BU7">_xlfn.IFS(BU$3&lt;$B$2,SUMPRODUCT(('PA Fees Actual'!$B$5:$B$882=$E7)*('PA Fees Actual'!$A$5:$A$882&gt;=BU$3)*('PA Fees Actual'!$A$5:$A$882&lt;=EOMONTH(BU$3,0))*'PA Fees Actual'!$D$5:$D$882),BU$3&gt;=EOMONTH($X7,-1)+1,$Y7,TRUE,0)</f>
        <v>388.29999999999995</v>
      </c>
      <c r="BV7" s="202" cm="1">
        <f t="array" ref="BV7">_xlfn.IFS(BV$3&lt;$B$2,SUMPRODUCT(('PA Fees Actual'!$B$5:$B$882=$E7)*('PA Fees Actual'!$A$5:$A$882&gt;=BV$3)*('PA Fees Actual'!$A$5:$A$882&lt;=EOMONTH(BV$3,0))*'PA Fees Actual'!$D$5:$D$882),BV$3&gt;=EOMONTH($X7,-1)+1,$Y7,TRUE,0)</f>
        <v>1261.71</v>
      </c>
      <c r="BW7" s="202" cm="1">
        <f t="array" ref="BW7">_xlfn.IFS(BW$3&lt;$B$2,SUMPRODUCT(('PA Fees Actual'!$B$5:$B$882=$E7)*('PA Fees Actual'!$A$5:$A$882&gt;=BW$3)*('PA Fees Actual'!$A$5:$A$882&lt;=EOMONTH(BW$3,0))*'PA Fees Actual'!$D$5:$D$882),BW$3&gt;=EOMONTH($X7,-1)+1,$Y7,TRUE,0)</f>
        <v>317.77</v>
      </c>
      <c r="BX7" s="202" cm="1">
        <f t="array" ref="BX7">_xlfn.IFS(BX$3&lt;$B$2,SUMPRODUCT(('PA Fees Actual'!$B$5:$B$882=$E7)*('PA Fees Actual'!$A$5:$A$882&gt;=BX$3)*('PA Fees Actual'!$A$5:$A$882&lt;=EOMONTH(BX$3,0))*'PA Fees Actual'!$D$5:$D$882),BX$3&gt;=EOMONTH($X7,-1)+1,$Y7,TRUE,0)</f>
        <v>2904.3799999999997</v>
      </c>
      <c r="BY7" s="202" cm="1">
        <f t="array" ref="BY7">_xlfn.IFS(BY$3&lt;$B$2,SUMPRODUCT(('PA Fees Actual'!$B$5:$B$882=$E7)*('PA Fees Actual'!$A$5:$A$882&gt;=BY$3)*('PA Fees Actual'!$A$5:$A$882&lt;=EOMONTH(BY$3,0))*'PA Fees Actual'!$D$5:$D$882),BY$3&gt;=EOMONTH($X7,-1)+1,$Y7,TRUE,0)</f>
        <v>2312.58</v>
      </c>
      <c r="BZ7" s="202" cm="1">
        <f t="array" ref="BZ7">_xlfn.IFS(BZ$3&lt;$B$2,SUMPRODUCT(('PA Fees Actual'!$B$5:$B$882=$E7)*('PA Fees Actual'!$A$5:$A$882&gt;=BZ$3)*('PA Fees Actual'!$A$5:$A$882&lt;=EOMONTH(BZ$3,0))*'PA Fees Actual'!$D$5:$D$882),BZ$3&gt;=EOMONTH($X7,-1)+1,$Y7,TRUE,0)</f>
        <v>573.45000000000005</v>
      </c>
      <c r="CA7" s="202" cm="1">
        <f t="array" ref="CA7">_xlfn.IFS(CA$3&lt;$B$2,SUMPRODUCT(('PA Fees Actual'!$B$5:$B$882=$E7)*('PA Fees Actual'!$A$5:$A$882&gt;=CA$3)*('PA Fees Actual'!$A$5:$A$882&lt;=EOMONTH(CA$3,0))*'PA Fees Actual'!$D$5:$D$882),CA$3&gt;=EOMONTH($X7,-1)+1,$Y7,TRUE,0)</f>
        <v>888.59999999999991</v>
      </c>
      <c r="CB7" s="202" cm="1">
        <f t="array" ref="CB7">_xlfn.IFS(CB$3&lt;$B$2,SUMPRODUCT(('PA Fees Actual'!$B$5:$B$882=$E7)*('PA Fees Actual'!$A$5:$A$882&gt;=CB$3)*('PA Fees Actual'!$A$5:$A$882&lt;=EOMONTH(CB$3,0))*'PA Fees Actual'!$D$5:$D$882),CB$3&gt;=EOMONTH($X7,-1)+1,$Y7,TRUE,0)</f>
        <v>1335.1799999999998</v>
      </c>
      <c r="CC7" s="202" cm="1">
        <f t="array" ref="CC7">_xlfn.IFS(CC$3&lt;$B$2,SUMPRODUCT(('PA Fees Actual'!$B$5:$B$882=$E7)*('PA Fees Actual'!$A$5:$A$882&gt;=CC$3)*('PA Fees Actual'!$A$5:$A$882&lt;=EOMONTH(CC$3,0))*'PA Fees Actual'!$D$5:$D$882),CC$3&gt;=EOMONTH($X7,-1)+1,$Y7,TRUE,0)</f>
        <v>1335.1799999999998</v>
      </c>
      <c r="CD7" s="202" cm="1">
        <f t="array" ref="CD7">_xlfn.IFS(CD$3&lt;$B$2,SUMPRODUCT(('PA Fees Actual'!$B$5:$B$882=$E7)*('PA Fees Actual'!$A$5:$A$882&gt;=CD$3)*('PA Fees Actual'!$A$5:$A$882&lt;=EOMONTH(CD$3,0))*'PA Fees Actual'!$D$5:$D$882),CD$3&gt;=EOMONTH($X7,-1)+1,$Y7,TRUE,0)</f>
        <v>1335.1799999999998</v>
      </c>
      <c r="CE7" s="202" cm="1">
        <f t="array" ref="CE7">_xlfn.IFS(CE$3&lt;$B$2,SUMPRODUCT(('PA Fees Actual'!$B$5:$B$882=$E7)*('PA Fees Actual'!$A$5:$A$882&gt;=CE$3)*('PA Fees Actual'!$A$5:$A$882&lt;=EOMONTH(CE$3,0))*'PA Fees Actual'!$D$5:$D$882),CE$3&gt;=EOMONTH($X7,-1)+1,$Y7,TRUE,0)</f>
        <v>1335.1799999999998</v>
      </c>
      <c r="CF7" s="202" cm="1">
        <f t="array" ref="CF7">_xlfn.IFS(CF$3&lt;$B$2,SUMPRODUCT(('PA Fees Actual'!$B$5:$B$882=$E7)*('PA Fees Actual'!$A$5:$A$882&gt;=CF$3)*('PA Fees Actual'!$A$5:$A$882&lt;=EOMONTH(CF$3,0))*'PA Fees Actual'!$D$5:$D$882),CF$3&gt;=EOMONTH($X7,-1)+1,$Y7,TRUE,0)</f>
        <v>1335.1799999999998</v>
      </c>
      <c r="CG7" s="202" cm="1">
        <f t="array" ref="CG7">_xlfn.IFS(CG$3&lt;$B$2,SUMPRODUCT(('PA Fees Actual'!$B$5:$B$882=$E7)*('PA Fees Actual'!$A$5:$A$882&gt;=CG$3)*('PA Fees Actual'!$A$5:$A$882&lt;=EOMONTH(CG$3,0))*'PA Fees Actual'!$D$5:$D$882),CG$3&gt;=EOMONTH($X7,-1)+1,$Y7,TRUE,0)</f>
        <v>1335.1799999999998</v>
      </c>
      <c r="CI7" s="202" cm="1">
        <f t="array" ref="CI7">_xlfn.IFS(CI$3&lt;=YEAR($B$2),SUMPRODUCT(($E$4:$E$79=$E7)*($Z$2:$CG$2=CI$3)*($Z$2:$CG$2&lt;CJ$3)*$Z$4:$CG$79),CI$3&lt;YEAR($X7),0,CI$3=YEAR($X7),DATEDIF($X7,DATE(CI$3,12,31),"m")*$Y7,AND(CI$3&gt;YEAR($X7),CI$3-YEAR($X7)&lt;20),$Y7*12,CI$3-YEAR($X7)=20,DATEDIF(DATE(YEAR($X7),1,1),$X7,"m")*$Y7,CI$3-YEAR($X7)&gt;20,0)</f>
        <v>10938.07</v>
      </c>
      <c r="CJ7" s="202" cm="1">
        <f t="array" ref="CJ7">_xlfn.IFS(CJ$3&lt;=YEAR($B$2),SUMPRODUCT(($E$4:$E$79=$E7)*($Z$2:$CG$2=CJ$3)*($Z$2:$CG$2&lt;CK$3)*$Z$4:$CG$79),CJ$3&lt;YEAR($X7),0,CJ$3=YEAR($X7),DATEDIF($X7,DATE(CJ$3,12,31),"m")*$Y7,AND(CJ$3&gt;YEAR($X7),CJ$3-YEAR($X7)&lt;20),$Y7*12,CJ$3-YEAR($X7)=20,DATEDIF(DATE(YEAR($X7),1,1),$X7,"m")*$Y7,CJ$3-YEAR($X7)&gt;20,0)</f>
        <v>15277.909999999993</v>
      </c>
      <c r="CK7" s="202" cm="1">
        <f t="array" ref="CK7">_xlfn.IFS(CK$3&lt;=YEAR($B$2),SUMPRODUCT(($E$4:$E$79=$E7)*($Z$2:$CG$2=CK$3)*($Z$2:$CG$2&lt;CL$3)*$Z$4:$CG$79),CK$3&lt;YEAR($X7),0,CK$3=YEAR($X7),DATEDIF($X7,DATE(CK$3,12,31),"m")*$Y7,AND(CK$3&gt;YEAR($X7),CK$3-YEAR($X7)&lt;20),$Y7*12,CK$3-YEAR($X7)=20,DATEDIF(DATE(YEAR($X7),1,1),$X7,"m")*$Y7,CK$3-YEAR($X7)&gt;20,0)</f>
        <v>16484.66</v>
      </c>
      <c r="CL7" s="202" cm="1">
        <f t="array" ref="CL7">_xlfn.IFS(CL$3&lt;=YEAR($B$2),SUMPRODUCT(($E$4:$E$79=$E7)*($Z$2:$CG$2=CL$3)*($Z$2:$CG$2&lt;CM$3)*$Z$4:$CG$79),CL$3&lt;YEAR($X7),0,CL$3=YEAR($X7),DATEDIF($X7,DATE(CL$3,12,31),"m")*$Y7,AND(CL$3&gt;YEAR($X7),CL$3-YEAR($X7)&lt;20),$Y7*12,CL$3-YEAR($X7)=20,DATEDIF(DATE(YEAR($X7),1,1),$X7,"m")*$Y7,CL$3-YEAR($X7)&gt;20,0)</f>
        <v>16707.849999999999</v>
      </c>
      <c r="CM7" s="202" cm="1">
        <f t="array" ref="CM7">_xlfn.IFS(CM$3&lt;=YEAR($B$2),SUMPRODUCT(($E$4:$E$79=$E7)*($Z$2:$CG$2=CM$3)*($Z$2:$CG$2&lt;CN$3)*$Z$4:$CG$79),CM$3&lt;YEAR($X7),0,CM$3=YEAR($X7),DATEDIF($X7,DATE(CM$3,12,31),"m")*$Y7,AND(CM$3&gt;YEAR($X7),CM$3-YEAR($X7)&lt;20),$Y7*12,CM$3-YEAR($X7)=20,DATEDIF(DATE(YEAR($X7),1,1),$X7,"m")*$Y7,CM$3-YEAR($X7)&gt;20,0)</f>
        <v>16269.570000000002</v>
      </c>
      <c r="CN7" s="202" cm="1">
        <f t="array" ref="CN7">_xlfn.IFS(CN$3&lt;=YEAR($B$2),SUMPRODUCT(($E$4:$E$79=$E7)*($Z$2:$CG$2=CN$3)*($Z$2:$CG$2&lt;CO$3)*$Z$4:$CG$79),CN$3&lt;YEAR($X7),0,CN$3=YEAR($X7),DATEDIF($X7,DATE(CN$3,12,31),"m")*$Y7,AND(CN$3&gt;YEAR($X7),CN$3-YEAR($X7)&lt;20),$Y7*12,CN$3-YEAR($X7)=20,DATEDIF(DATE(YEAR($X7),1,1),$X7,"m")*$Y7,CN$3-YEAR($X7)&gt;20,0)</f>
        <v>16022.159999999998</v>
      </c>
      <c r="CO7" s="202" cm="1">
        <f t="array" ref="CO7">_xlfn.IFS(CO$3&lt;=YEAR($B$2),SUMPRODUCT(($E$4:$E$79=$E7)*($Z$2:$CG$2=CO$3)*($Z$2:$CG$2&lt;CP$3)*$Z$4:$CG$79),CO$3&lt;YEAR($X7),0,CO$3=YEAR($X7),DATEDIF($X7,DATE(CO$3,12,31),"m")*$Y7,AND(CO$3&gt;YEAR($X7),CO$3-YEAR($X7)&lt;20),$Y7*12,CO$3-YEAR($X7)=20,DATEDIF(DATE(YEAR($X7),1,1),$X7,"m")*$Y7,CO$3-YEAR($X7)&gt;20,0)</f>
        <v>16022.159999999998</v>
      </c>
      <c r="CP7" s="202" cm="1">
        <f t="array" ref="CP7">_xlfn.IFS(CP$3&lt;=YEAR($B$2),SUMPRODUCT(($E$4:$E$79=$E7)*($Z$2:$CG$2=CP$3)*($Z$2:$CG$2&lt;CQ$3)*$Z$4:$CG$79),CP$3&lt;YEAR($X7),0,CP$3=YEAR($X7),DATEDIF($X7,DATE(CP$3,12,31),"m")*$Y7,AND(CP$3&gt;YEAR($X7),CP$3-YEAR($X7)&lt;20),$Y7*12,CP$3-YEAR($X7)=20,DATEDIF(DATE(YEAR($X7),1,1),$X7,"m")*$Y7,CP$3-YEAR($X7)&gt;20,0)</f>
        <v>16022.159999999998</v>
      </c>
      <c r="CQ7" s="202" cm="1">
        <f t="array" ref="CQ7">_xlfn.IFS(CQ$3&lt;=YEAR($B$2),SUMPRODUCT(($E$4:$E$79=$E7)*($Z$2:$CG$2=CQ$3)*($Z$2:$CG$2&lt;CR$3)*$Z$4:$CG$79),CQ$3&lt;YEAR($X7),0,CQ$3=YEAR($X7),DATEDIF($X7,DATE(CQ$3,12,31),"m")*$Y7,AND(CQ$3&gt;YEAR($X7),CQ$3-YEAR($X7)&lt;20),$Y7*12,CQ$3-YEAR($X7)=20,DATEDIF(DATE(YEAR($X7),1,1),$X7,"m")*$Y7,CQ$3-YEAR($X7)&gt;20,0)</f>
        <v>16022.159999999998</v>
      </c>
      <c r="CR7" s="202" cm="1">
        <f t="array" ref="CR7">_xlfn.IFS(CR$3&lt;=YEAR($B$2),SUMPRODUCT(($E$4:$E$79=$E7)*($Z$2:$CG$2=CR$3)*($Z$2:$CG$2&lt;CS$3)*$Z$4:$CG$79),CR$3&lt;YEAR($X7),0,CR$3=YEAR($X7),DATEDIF($X7,DATE(CR$3,12,31),"m")*$Y7,AND(CR$3&gt;YEAR($X7),CR$3-YEAR($X7)&lt;20),$Y7*12,CR$3-YEAR($X7)=20,DATEDIF(DATE(YEAR($X7),1,1),$X7,"m")*$Y7,CR$3-YEAR($X7)&gt;20,0)</f>
        <v>16022.159999999998</v>
      </c>
      <c r="CS7" s="202" cm="1">
        <f t="array" ref="CS7">_xlfn.IFS(CS$3&lt;=YEAR($B$2),SUMPRODUCT(($E$4:$E$79=$E7)*($Z$2:$CG$2=CS$3)*($Z$2:$CG$2&lt;CT$3)*$Z$4:$CG$79),CS$3&lt;YEAR($X7),0,CS$3=YEAR($X7),DATEDIF($X7,DATE(CS$3,12,31),"m")*$Y7,AND(CS$3&gt;YEAR($X7),CS$3-YEAR($X7)&lt;20),$Y7*12,CS$3-YEAR($X7)=20,DATEDIF(DATE(YEAR($X7),1,1),$X7,"m")*$Y7,CS$3-YEAR($X7)&gt;20,0)</f>
        <v>16022.159999999998</v>
      </c>
      <c r="CT7" s="202" cm="1">
        <f t="array" ref="CT7">_xlfn.IFS(CT$3&lt;=YEAR($B$2),SUMPRODUCT(($E$4:$E$79=$E7)*($Z$2:$CG$2=CT$3)*($Z$2:$CG$2&lt;CU$3)*$Z$4:$CG$79),CT$3&lt;YEAR($X7),0,CT$3=YEAR($X7),DATEDIF($X7,DATE(CT$3,12,31),"m")*$Y7,AND(CT$3&gt;YEAR($X7),CT$3-YEAR($X7)&lt;20),$Y7*12,CT$3-YEAR($X7)=20,DATEDIF(DATE(YEAR($X7),1,1),$X7,"m")*$Y7,CT$3-YEAR($X7)&gt;20,0)</f>
        <v>16022.159999999998</v>
      </c>
      <c r="CU7" s="202" cm="1">
        <f t="array" ref="CU7">_xlfn.IFS(CU$3&lt;=YEAR($B$2),SUMPRODUCT(($E$4:$E$79=$E7)*($Z$2:$CG$2=CU$3)*($Z$2:$CG$2&lt;CV$3)*$Z$4:$CG$79),CU$3&lt;YEAR($X7),0,CU$3=YEAR($X7),DATEDIF($X7,DATE(CU$3,12,31),"m")*$Y7,AND(CU$3&gt;YEAR($X7),CU$3-YEAR($X7)&lt;20),$Y7*12,CU$3-YEAR($X7)=20,DATEDIF(DATE(YEAR($X7),1,1),$X7,"m")*$Y7,CU$3-YEAR($X7)&gt;20,0)</f>
        <v>16022.159999999998</v>
      </c>
      <c r="CV7" s="202" cm="1">
        <f t="array" ref="CV7">_xlfn.IFS(CV$3&lt;=YEAR($B$2),SUMPRODUCT(($E$4:$E$79=$E7)*($Z$2:$CG$2=CV$3)*($Z$2:$CG$2&lt;CW$3)*$Z$4:$CG$79),CV$3&lt;YEAR($X7),0,CV$3=YEAR($X7),DATEDIF($X7,DATE(CV$3,12,31),"m")*$Y7,AND(CV$3&gt;YEAR($X7),CV$3-YEAR($X7)&lt;20),$Y7*12,CV$3-YEAR($X7)=20,DATEDIF(DATE(YEAR($X7),1,1),$X7,"m")*$Y7,CV$3-YEAR($X7)&gt;20,0)</f>
        <v>16022.159999999998</v>
      </c>
      <c r="CW7" s="202" cm="1">
        <f t="array" ref="CW7">_xlfn.IFS(CW$3&lt;=YEAR($B$2),SUMPRODUCT(($E$4:$E$79=$E7)*($Z$2:$CG$2=CW$3)*($Z$2:$CG$2&lt;CX$3)*$Z$4:$CG$79),CW$3&lt;YEAR($X7),0,CW$3=YEAR($X7),DATEDIF($X7,DATE(CW$3,12,31),"m")*$Y7,AND(CW$3&gt;YEAR($X7),CW$3-YEAR($X7)&lt;20),$Y7*12,CW$3-YEAR($X7)=20,DATEDIF(DATE(YEAR($X7),1,1),$X7,"m")*$Y7,CW$3-YEAR($X7)&gt;20,0)</f>
        <v>16022.159999999998</v>
      </c>
      <c r="CX7" s="202" cm="1">
        <f t="array" ref="CX7">_xlfn.IFS(CX$3&lt;=YEAR($B$2),SUMPRODUCT(($E$4:$E$79=$E7)*($Z$2:$CG$2=CX$3)*($Z$2:$CG$2&lt;CY$3)*$Z$4:$CG$79),CX$3&lt;YEAR($X7),0,CX$3=YEAR($X7),DATEDIF($X7,DATE(CX$3,12,31),"m")*$Y7,AND(CX$3&gt;YEAR($X7),CX$3-YEAR($X7)&lt;20),$Y7*12,CX$3-YEAR($X7)=20,DATEDIF(DATE(YEAR($X7),1,1),$X7,"m")*$Y7,CX$3-YEAR($X7)&gt;20,0)</f>
        <v>16022.159999999998</v>
      </c>
      <c r="CY7" s="202" cm="1">
        <f t="array" ref="CY7">_xlfn.IFS(CY$3&lt;=YEAR($B$2),SUMPRODUCT(($E$4:$E$79=$E7)*($Z$2:$CG$2=CY$3)*($Z$2:$CG$2&lt;CZ$3)*$Z$4:$CG$79),CY$3&lt;YEAR($X7),0,CY$3=YEAR($X7),DATEDIF($X7,DATE(CY$3,12,31),"m")*$Y7,AND(CY$3&gt;YEAR($X7),CY$3-YEAR($X7)&lt;20),$Y7*12,CY$3-YEAR($X7)=20,DATEDIF(DATE(YEAR($X7),1,1),$X7,"m")*$Y7,CY$3-YEAR($X7)&gt;20,0)</f>
        <v>16022.159999999998</v>
      </c>
      <c r="CZ7" s="202" cm="1">
        <f t="array" ref="CZ7">_xlfn.IFS(CZ$3&lt;=YEAR($B$2),SUMPRODUCT(($E$4:$E$79=$E7)*($Z$2:$CG$2=CZ$3)*($Z$2:$CG$2&lt;DA$3)*$Z$4:$CG$79),CZ$3&lt;YEAR($X7),0,CZ$3=YEAR($X7),DATEDIF($X7,DATE(CZ$3,12,31),"m")*$Y7,AND(CZ$3&gt;YEAR($X7),CZ$3-YEAR($X7)&lt;20),$Y7*12,CZ$3-YEAR($X7)=20,DATEDIF(DATE(YEAR($X7),1,1),$X7,"m")*$Y7,CZ$3-YEAR($X7)&gt;20,0)</f>
        <v>16022.159999999998</v>
      </c>
      <c r="DA7" s="202" cm="1">
        <f t="array" ref="DA7">_xlfn.IFS(DA$3&lt;=YEAR($B$2),SUMPRODUCT(($E$4:$E$79=$E7)*($Z$2:$CG$2=DA$3)*($Z$2:$CG$2&lt;DB$3)*$Z$4:$CG$79),DA$3&lt;YEAR($X7),0,DA$3=YEAR($X7),DATEDIF($X7,DATE(DA$3,12,31),"m")*$Y7,AND(DA$3&gt;YEAR($X7),DA$3-YEAR($X7)&lt;20),$Y7*12,DA$3-YEAR($X7)=20,DATEDIF(DATE(YEAR($X7),1,1),$X7,"m")*$Y7,DA$3-YEAR($X7)&gt;20,0)</f>
        <v>16022.159999999998</v>
      </c>
      <c r="DB7" s="202" cm="1">
        <f t="array" ref="DB7">_xlfn.IFS(DB$3&lt;=YEAR($B$2),SUMPRODUCT(($E$4:$E$79=$E7)*($Z$2:$CG$2=DB$3)*($Z$2:$CG$2&lt;DC$3)*$Z$4:$CG$79),DB$3&lt;YEAR($X7),0,DB$3=YEAR($X7),DATEDIF($X7,DATE(DB$3,12,31),"m")*$Y7,AND(DB$3&gt;YEAR($X7),DB$3-YEAR($X7)&lt;20),$Y7*12,DB$3-YEAR($X7)=20,DATEDIF(DATE(YEAR($X7),1,1),$X7,"m")*$Y7,DB$3-YEAR($X7)&gt;20,0)</f>
        <v>16022.159999999998</v>
      </c>
      <c r="DC7" s="202" cm="1">
        <f t="array" ref="DC7">_xlfn.IFS(DC$3&lt;=YEAR($B$2),SUMPRODUCT(($E$4:$E$79=$E7)*($Z$2:$CG$2=DC$3)*($Z$2:$CG$2&lt;DD$3)*$Z$4:$CG$79),DC$3&lt;YEAR($X7),0,DC$3=YEAR($X7),DATEDIF($X7,DATE(DC$3,12,31),"m")*$Y7,AND(DC$3&gt;YEAR($X7),DC$3-YEAR($X7)&lt;20),$Y7*12,DC$3-YEAR($X7)=20,DATEDIF(DATE(YEAR($X7),1,1),$X7,"m")*$Y7,DC$3-YEAR($X7)&gt;20,0)</f>
        <v>5340.7199999999993</v>
      </c>
      <c r="DD7" s="202" cm="1">
        <f t="array" ref="DD7">_xlfn.IFS(DD$3&lt;=YEAR($B$2),SUMPRODUCT(($E$4:$E$79=$E7)*($Z$2:$CG$2=DD$3)*($Z$2:$CG$2&lt;DE$3)*$Z$4:$CG$79),DD$3&lt;YEAR($X7),0,DD$3=YEAR($X7),DATEDIF($X7,DATE(DD$3,12,31),"m")*$Y7,AND(DD$3&gt;YEAR($X7),DD$3-YEAR($X7)&lt;20),$Y7*12,DD$3-YEAR($X7)=20,DATEDIF(DATE(YEAR($X7),1,1),$X7,"m")*$Y7,DD$3-YEAR($X7)&gt;20,0)</f>
        <v>0</v>
      </c>
      <c r="DE7" s="202" cm="1">
        <f t="array" ref="DE7">_xlfn.IFS(DE$3&lt;=YEAR($B$2),SUMPRODUCT(($E$4:$E$79=$E7)*($Z$2:$CG$2=DE$3)*($Z$2:$CG$2&lt;DF$3)*$Z$4:$CG$79),DE$3&lt;YEAR($X7),0,DE$3=YEAR($X7),DATEDIF($X7,DATE(DE$3,12,31),"m")*$Y7,AND(DE$3&gt;YEAR($X7),DE$3-YEAR($X7)&lt;20),$Y7*12,DE$3-YEAR($X7)=20,DATEDIF(DATE(YEAR($X7),1,1),$X7,"m")*$Y7,DE$3-YEAR($X7)&gt;20,0)</f>
        <v>0</v>
      </c>
      <c r="DF7" s="202" cm="1">
        <f t="array" ref="DF7">_xlfn.IFS(DF$3&lt;=YEAR($B$2),SUMPRODUCT(($E$4:$E$79=$E7)*($Z$2:$CG$2=DF$3)*($Z$2:$CG$2&lt;DG$3)*$Z$4:$CG$79),DF$3&lt;YEAR($X7),0,DF$3=YEAR($X7),DATEDIF($X7,DATE(DF$3,12,31),"m")*$Y7,AND(DF$3&gt;YEAR($X7),DF$3-YEAR($X7)&lt;20),$Y7*12,DF$3-YEAR($X7)=20,DATEDIF(DATE(YEAR($X7),1,1),$X7,"m")*$Y7,DF$3-YEAR($X7)&gt;20,0)</f>
        <v>0</v>
      </c>
      <c r="DG7" s="202" cm="1">
        <f t="array" ref="DG7">_xlfn.IFS(DG$3&lt;=YEAR($B$2),SUMPRODUCT(($E$4:$E$79=$E7)*($Z$2:$CG$2=DG$3)*($Z$2:$CG$2&lt;DH$3)*$Z$4:$CG$79),DG$3&lt;YEAR($X7),0,DG$3=YEAR($X7),DATEDIF($X7,DATE(DG$3,12,31),"m")*$Y7,AND(DG$3&gt;YEAR($X7),DG$3-YEAR($X7)&lt;20),$Y7*12,DG$3-YEAR($X7)=20,DATEDIF(DATE(YEAR($X7),1,1),$X7,"m")*$Y7,DG$3-YEAR($X7)&gt;20,0)</f>
        <v>0</v>
      </c>
      <c r="DH7" s="202" cm="1">
        <f t="array" ref="DH7">_xlfn.IFS(DH$3&lt;=YEAR($B$2),SUMPRODUCT(($E$4:$E$79=$E7)*($Z$2:$CG$2=DH$3)*($Z$2:$CG$2&lt;DI$3)*$Z$4:$CG$79),DH$3&lt;YEAR($X7),0,DH$3=YEAR($X7),DATEDIF($X7,DATE(DH$3,12,31),"m")*$Y7,AND(DH$3&gt;YEAR($X7),DH$3-YEAR($X7)&lt;20),$Y7*12,DH$3-YEAR($X7)=20,DATEDIF(DATE(YEAR($X7),1,1),$X7,"m")*$Y7,DH$3-YEAR($X7)&gt;20,0)</f>
        <v>0</v>
      </c>
      <c r="DI7" s="202" cm="1">
        <f t="array" ref="DI7">_xlfn.IFS(DI$3&lt;=YEAR($B$2),SUMPRODUCT(($E$4:$E$79=$E7)*($Z$2:$CG$2=DI$3)*($Z$2:$CG$2&lt;DJ$3)*$Z$4:$CG$79),DI$3&lt;YEAR($X7),0,DI$3=YEAR($X7),DATEDIF($X7,DATE(DI$3,12,31),"m")*$Y7,AND(DI$3&gt;YEAR($X7),DI$3-YEAR($X7)&lt;20),$Y7*12,DI$3-YEAR($X7)=20,DATEDIF(DATE(YEAR($X7),1,1),$X7,"m")*$Y7,DI$3-YEAR($X7)&gt;20,0)</f>
        <v>0</v>
      </c>
      <c r="DJ7" s="202" cm="1">
        <f t="array" ref="DJ7">_xlfn.IFS(DJ$3&lt;=YEAR($B$2),SUMPRODUCT(($E$4:$E$79=$E7)*($Z$2:$CG$2=DJ$3)*($Z$2:$CG$2&lt;DK$3)*$Z$4:$CG$79),DJ$3&lt;YEAR($X7),0,DJ$3=YEAR($X7),DATEDIF($X7,DATE(DJ$3,12,31),"m")*$Y7,AND(DJ$3&gt;YEAR($X7),DJ$3-YEAR($X7)&lt;20),$Y7*12,DJ$3-YEAR($X7)=20,DATEDIF(DATE(YEAR($X7),1,1),$X7,"m")*$Y7,DJ$3-YEAR($X7)&gt;20,0)</f>
        <v>0</v>
      </c>
      <c r="DK7" s="202" cm="1">
        <f t="array" ref="DK7">_xlfn.IFS(DK$3&lt;=YEAR($B$2),SUMPRODUCT(($E$4:$E$79=$E7)*($Z$2:$CG$2=DK$3)*($Z$2:$CG$2&lt;DL$3)*$Z$4:$CG$79),DK$3&lt;YEAR($X7),0,DK$3=YEAR($X7),DATEDIF($X7,DATE(DK$3,12,31),"m")*$Y7,AND(DK$3&gt;YEAR($X7),DK$3-YEAR($X7)&lt;20),$Y7*12,DK$3-YEAR($X7)=20,DATEDIF(DATE(YEAR($X7),1,1),$X7,"m")*$Y7,DK$3-YEAR($X7)&gt;20,0)</f>
        <v>0</v>
      </c>
      <c r="DL7" s="202" cm="1">
        <f t="array" ref="DL7">_xlfn.IFS(DL$3&lt;=YEAR($B$2),SUMPRODUCT(($E$4:$E$79=$E7)*($Z$2:$CG$2=DL$3)*($Z$2:$CG$2&lt;DM$3)*$Z$4:$CG$79),DL$3&lt;YEAR($X7),0,DL$3=YEAR($X7),DATEDIF($X7,DATE(DL$3,12,31),"m")*$Y7,AND(DL$3&gt;YEAR($X7),DL$3-YEAR($X7)&lt;20),$Y7*12,DL$3-YEAR($X7)=20,DATEDIF(DATE(YEAR($X7),1,1),$X7,"m")*$Y7,DL$3-YEAR($X7)&gt;20,0)</f>
        <v>0</v>
      </c>
      <c r="DO7" s="167" t="s">
        <v>10</v>
      </c>
      <c r="DP7" s="168">
        <f t="shared" ref="DP7:EI7" si="13">SUM(DP4:DP6)</f>
        <v>0</v>
      </c>
      <c r="DQ7" s="159">
        <f t="shared" si="13"/>
        <v>32902.559999999998</v>
      </c>
      <c r="DR7" s="159">
        <f t="shared" si="13"/>
        <v>79567.849999999991</v>
      </c>
      <c r="DS7" s="159">
        <f t="shared" si="13"/>
        <v>214000.58</v>
      </c>
      <c r="DT7" s="159">
        <f t="shared" si="13"/>
        <v>296567.03999999998</v>
      </c>
      <c r="DU7" s="159">
        <f t="shared" si="13"/>
        <v>624398.35699999984</v>
      </c>
      <c r="DV7" s="159">
        <f t="shared" si="13"/>
        <v>899320.65925000003</v>
      </c>
      <c r="DW7" s="159">
        <f t="shared" si="13"/>
        <v>1111548.3473</v>
      </c>
      <c r="DX7" s="159">
        <f t="shared" si="13"/>
        <v>1148970.4473000001</v>
      </c>
      <c r="DY7" s="159">
        <f t="shared" si="13"/>
        <v>1148970.4473000001</v>
      </c>
      <c r="DZ7" s="159">
        <f t="shared" si="13"/>
        <v>1148970.4473000001</v>
      </c>
      <c r="EA7" s="159">
        <f t="shared" si="13"/>
        <v>1148970.4473000001</v>
      </c>
      <c r="EB7" s="159">
        <f t="shared" si="13"/>
        <v>1148970.4473000001</v>
      </c>
      <c r="EC7" s="159">
        <f t="shared" si="13"/>
        <v>1148970.4473000001</v>
      </c>
      <c r="ED7" s="159">
        <f t="shared" si="13"/>
        <v>1148970.4473000001</v>
      </c>
      <c r="EE7" s="159">
        <f t="shared" si="13"/>
        <v>1148970.4473000001</v>
      </c>
      <c r="EF7" s="159">
        <f t="shared" si="13"/>
        <v>1148970.4473000001</v>
      </c>
      <c r="EG7" s="159">
        <f t="shared" si="13"/>
        <v>1148970.4473000001</v>
      </c>
      <c r="EH7" s="159">
        <f t="shared" si="13"/>
        <v>1148970.4473000001</v>
      </c>
      <c r="EI7" s="159">
        <f t="shared" si="13"/>
        <v>1148970.4473000001</v>
      </c>
      <c r="EJ7" s="159">
        <f t="shared" ref="EJ7" si="14">SUM(EJ4:EJ6)</f>
        <v>1148970.4473000001</v>
      </c>
      <c r="EK7" s="159">
        <f t="shared" ref="EK7" si="15">SUM(EK4:EK6)</f>
        <v>1109584.0823000001</v>
      </c>
      <c r="EL7" s="159">
        <f t="shared" ref="EL7" si="16">SUM(EL4:EL6)</f>
        <v>1069465.7313000001</v>
      </c>
      <c r="EM7" s="159">
        <f t="shared" ref="EM7" si="17">SUM(EM4:EM6)</f>
        <v>926868.68580000009</v>
      </c>
      <c r="EN7" s="159">
        <f t="shared" ref="EN7" si="18">SUM(EN4:EN6)</f>
        <v>848219.41830000002</v>
      </c>
      <c r="EO7" s="159">
        <f t="shared" ref="EO7" si="19">SUM(EO4:EO6)</f>
        <v>492659.53080000001</v>
      </c>
      <c r="EP7" s="159">
        <f t="shared" ref="EP7" si="20">SUM(EP4:EP6)</f>
        <v>227647.12027499999</v>
      </c>
      <c r="EQ7" s="159">
        <f t="shared" ref="EQ7" si="21">SUM(EQ4:EQ6)</f>
        <v>28033.255000000001</v>
      </c>
      <c r="ER7" s="159">
        <f t="shared" ref="ER7" si="22">SUM(ER4:ER6)</f>
        <v>0</v>
      </c>
      <c r="ES7" s="159">
        <f t="shared" ref="ES7" si="23">SUM(ES4:ES6)</f>
        <v>0</v>
      </c>
      <c r="ET7" s="159">
        <f t="shared" ref="ET7" si="24">SUM(ET4:ET6)</f>
        <v>0</v>
      </c>
    </row>
    <row r="8" spans="1:150">
      <c r="A8" s="155" t="str" cm="1">
        <f t="array" ref="A8">INDEX('Monthly Report July 2025'!C:C,MATCH(E8,'Monthly Report July 2025'!E:E,0),0)</f>
        <v>SPQ0164</v>
      </c>
      <c r="B8" s="155" t="str" cm="1">
        <f t="array" ref="B8">_xlfn.IFS(LEFT(E8,3)="PGE","PGE",LEFT(E8,2)="PP","PAC",TRUE,"IP")</f>
        <v>PGE</v>
      </c>
      <c r="C8" s="155" t="str">
        <f>IF(ISNA(MATCH(E8,'Monthly Report July 2025'!E:E,0)),"Missing","Present")</f>
        <v>Present</v>
      </c>
      <c r="D8" s="155" t="str">
        <f>IF(ISNA(MATCH(E8,'Project Operational Timelines'!C:C,0))=TRUE,"Missing","Present")</f>
        <v>Present</v>
      </c>
      <c r="E8" s="155" t="s">
        <v>113</v>
      </c>
      <c r="F8" s="155" t="str" cm="1">
        <f t="array" ref="F8">INDEX('Monthly Report July 2025'!F:F,MATCH(E8,'Monthly Report July 2025'!E:E,),0)</f>
        <v>Fruitland Creek Solar</v>
      </c>
      <c r="G8" s="155" t="str" cm="1">
        <f t="array" ref="G8">_xlfn.IFS(INDEX('Monthly Report July 2025'!O:O,MATCH(E8,'Monthly Report July 2025'!E:E,0),0)="Operational","Operational",INDEX('Monthly Report July 2025'!O:O,MATCH(E8,'Monthly Report July 2025'!E:E,0),0)="Certified","Certified",TRUE,"Pre-Certified")</f>
        <v>Operational</v>
      </c>
      <c r="H8" s="155" t="str" cm="1">
        <f t="array" ref="H8">INDEX('Monthly Report July 2025'!H:H,MATCH($E8,'Monthly Report July 2025'!$E:$E,0),0)</f>
        <v>TLS Capital</v>
      </c>
      <c r="I8" s="155" t="str" cm="1">
        <f t="array" ref="I8">INDEX('Monthly Report July 2025'!I:I,MATCH($E8,'Monthly Report July 2025'!$E:$E,0),0)</f>
        <v>Arcadia</v>
      </c>
      <c r="J8" s="174" cm="1">
        <f t="array" ref="J8">INDEX('Monthly Report July 2025'!J:J,MATCH($E8,'Monthly Report July 2025'!$E:$E,0),0)</f>
        <v>1</v>
      </c>
      <c r="K8" s="174" t="str" cm="1">
        <f t="array" ref="K8">INDEX('Monthly Report July 2025'!K:K,MATCH($E8,'Monthly Report July 2025'!$E:$E,0),0)</f>
        <v>No</v>
      </c>
      <c r="L8" s="174" t="b" cm="1">
        <f t="array" ref="L8">INDEX('Monthly Report July 2025'!L:L,MATCH(E8,'Monthly Report July 2025'!E:E,0),0)=M8</f>
        <v>1</v>
      </c>
      <c r="M8" s="273" cm="1">
        <f t="array" ref="M8">INDEX('Monthly Report July 2025'!L:L,MATCH($E8,'Monthly Report July 2025'!$E:$E,0),0)</f>
        <v>1750</v>
      </c>
      <c r="N8" s="175" cm="1">
        <f t="array" ref="N8">INDEX('Monthly Report July 2025'!M:M,MATCH($E8,'Monthly Report July 2025'!$E:$E,0),0)</f>
        <v>43948</v>
      </c>
      <c r="O8" s="175" t="str" cm="1">
        <f t="array" ref="O8">_xlfn.IFS(G8="Operational","Operational",G8="Certified","Certified",TRUE,INDEX('Monthly Report July 2025'!O:O,MATCH(E8,'Monthly Report July 2025'!E:E,0),0))</f>
        <v>Operational</v>
      </c>
      <c r="P8" s="175" t="b" cm="1">
        <f t="array" ref="P8">_xlfn.IFS(G8="Operational",O8="Operational",G8="Certified",O8="Certified",TRUE,G8="Pre-Certified")</f>
        <v>1</v>
      </c>
      <c r="Q8" s="175" cm="1">
        <f t="array" ref="Q8">IF(O8="Operational",INDEX('Monthly Report July 2025'!R:R,MATCH(E8,'Monthly Report July 2025'!E:E,0),0),"")</f>
        <v>44910</v>
      </c>
      <c r="R8" s="175" cm="1">
        <f t="array" ref="R8">INDEX('Monthly Report July 2025'!P:P,MATCH(E8,'Monthly Report July 2025'!E:E,0),0)</f>
        <v>44895</v>
      </c>
      <c r="S8" s="175" t="b">
        <f t="shared" si="5"/>
        <v>1</v>
      </c>
      <c r="T8" s="175" cm="1">
        <f t="array" ref="T8">INDEX('Monthly Report July 2025'!U:U,MATCH(E8,'Monthly Report July 2025'!E:E,0),0)</f>
        <v>45426</v>
      </c>
      <c r="U8" s="175" t="str">
        <f t="shared" si="6"/>
        <v>IGNORE</v>
      </c>
      <c r="V8" s="156">
        <f t="shared" si="7"/>
        <v>44895</v>
      </c>
      <c r="W8" s="156" cm="1">
        <f t="array" ref="W8">_xlfn.IFS(U8=TRUE,EDATE(O8,6),U8=FALSE,T8,O8="Operational",Q8,AND(O8="Certified",EDATE(R8,6)&gt;T8),EDATE(R8,6),TRUE,T8)</f>
        <v>44910</v>
      </c>
      <c r="X8" s="156">
        <f t="shared" si="8"/>
        <v>44972</v>
      </c>
      <c r="Y8" s="157">
        <f t="shared" si="9"/>
        <v>1264.375</v>
      </c>
      <c r="Z8" s="202" cm="1">
        <f t="array" ref="Z8">_xlfn.IFS(Z$3&lt;$B$2,SUMPRODUCT(('PA Fees Actual'!$B$5:$B$882=$E8)*('PA Fees Actual'!$A$5:$A$882&gt;=Z$3)*('PA Fees Actual'!$A$5:$A$882&lt;=EOMONTH(Z$3,0))*'PA Fees Actual'!$D$5:$D$882),Z$3&gt;=EOMONTH($X8,-1)+1,$Y8,TRUE,0)</f>
        <v>0</v>
      </c>
      <c r="AA8" s="202" cm="1">
        <f t="array" ref="AA8">_xlfn.IFS(AA$3&lt;$B$2,SUMPRODUCT(('PA Fees Actual'!$B$5:$B$882=$E8)*('PA Fees Actual'!$A$5:$A$882&gt;=AA$3)*('PA Fees Actual'!$A$5:$A$882&lt;=EOMONTH(AA$3,0))*'PA Fees Actual'!$D$5:$D$882),AA$3&gt;=EOMONTH($X8,-1)+1,$Y8,TRUE,0)</f>
        <v>0</v>
      </c>
      <c r="AB8" s="202" cm="1">
        <f t="array" ref="AB8">_xlfn.IFS(AB$3&lt;$B$2,SUMPRODUCT(('PA Fees Actual'!$B$5:$B$882=$E8)*('PA Fees Actual'!$A$5:$A$882&gt;=AB$3)*('PA Fees Actual'!$A$5:$A$882&lt;=EOMONTH(AB$3,0))*'PA Fees Actual'!$D$5:$D$882),AB$3&gt;=EOMONTH($X8,-1)+1,$Y8,TRUE,0)</f>
        <v>0</v>
      </c>
      <c r="AC8" s="202" cm="1">
        <f t="array" ref="AC8">_xlfn.IFS(AC$3&lt;$B$2,SUMPRODUCT(('PA Fees Actual'!$B$5:$B$882=$E8)*('PA Fees Actual'!$A$5:$A$882&gt;=AC$3)*('PA Fees Actual'!$A$5:$A$882&lt;=EOMONTH(AC$3,0))*'PA Fees Actual'!$D$5:$D$882),AC$3&gt;=EOMONTH($X8,-1)+1,$Y8,TRUE,0)</f>
        <v>0</v>
      </c>
      <c r="AD8" s="202" cm="1">
        <f t="array" ref="AD8">_xlfn.IFS(AD$3&lt;$B$2,SUMPRODUCT(('PA Fees Actual'!$B$5:$B$882=$E8)*('PA Fees Actual'!$A$5:$A$882&gt;=AD$3)*('PA Fees Actual'!$A$5:$A$882&lt;=EOMONTH(AD$3,0))*'PA Fees Actual'!$D$5:$D$882),AD$3&gt;=EOMONTH($X8,-1)+1,$Y8,TRUE,0)</f>
        <v>0</v>
      </c>
      <c r="AE8" s="202" cm="1">
        <f t="array" ref="AE8">_xlfn.IFS(AE$3&lt;$B$2,SUMPRODUCT(('PA Fees Actual'!$B$5:$B$882=$E8)*('PA Fees Actual'!$A$5:$A$882&gt;=AE$3)*('PA Fees Actual'!$A$5:$A$882&lt;=EOMONTH(AE$3,0))*'PA Fees Actual'!$D$5:$D$882),AE$3&gt;=EOMONTH($X8,-1)+1,$Y8,TRUE,0)</f>
        <v>0</v>
      </c>
      <c r="AF8" s="202" cm="1">
        <f t="array" ref="AF8">_xlfn.IFS(AF$3&lt;$B$2,SUMPRODUCT(('PA Fees Actual'!$B$5:$B$882=$E8)*('PA Fees Actual'!$A$5:$A$882&gt;=AF$3)*('PA Fees Actual'!$A$5:$A$882&lt;=EOMONTH(AF$3,0))*'PA Fees Actual'!$D$5:$D$882),AF$3&gt;=EOMONTH($X8,-1)+1,$Y8,TRUE,0)</f>
        <v>0</v>
      </c>
      <c r="AG8" s="202" cm="1">
        <f t="array" ref="AG8">_xlfn.IFS(AG$3&lt;$B$2,SUMPRODUCT(('PA Fees Actual'!$B$5:$B$882=$E8)*('PA Fees Actual'!$A$5:$A$882&gt;=AG$3)*('PA Fees Actual'!$A$5:$A$882&lt;=EOMONTH(AG$3,0))*'PA Fees Actual'!$D$5:$D$882),AG$3&gt;=EOMONTH($X8,-1)+1,$Y8,TRUE,0)</f>
        <v>0</v>
      </c>
      <c r="AH8" s="202" cm="1">
        <f t="array" ref="AH8">_xlfn.IFS(AH$3&lt;$B$2,SUMPRODUCT(('PA Fees Actual'!$B$5:$B$882=$E8)*('PA Fees Actual'!$A$5:$A$882&gt;=AH$3)*('PA Fees Actual'!$A$5:$A$882&lt;=EOMONTH(AH$3,0))*'PA Fees Actual'!$D$5:$D$882),AH$3&gt;=EOMONTH($X8,-1)+1,$Y8,TRUE,0)</f>
        <v>0</v>
      </c>
      <c r="AI8" s="202" cm="1">
        <f t="array" ref="AI8">_xlfn.IFS(AI$3&lt;$B$2,SUMPRODUCT(('PA Fees Actual'!$B$5:$B$882=$E8)*('PA Fees Actual'!$A$5:$A$882&gt;=AI$3)*('PA Fees Actual'!$A$5:$A$882&lt;=EOMONTH(AI$3,0))*'PA Fees Actual'!$D$5:$D$882),AI$3&gt;=EOMONTH($X8,-1)+1,$Y8,TRUE,0)</f>
        <v>0</v>
      </c>
      <c r="AJ8" s="202" cm="1">
        <f t="array" ref="AJ8">_xlfn.IFS(AJ$3&lt;$B$2,SUMPRODUCT(('PA Fees Actual'!$B$5:$B$882=$E8)*('PA Fees Actual'!$A$5:$A$882&gt;=AJ$3)*('PA Fees Actual'!$A$5:$A$882&lt;=EOMONTH(AJ$3,0))*'PA Fees Actual'!$D$5:$D$882),AJ$3&gt;=EOMONTH($X8,-1)+1,$Y8,TRUE,0)</f>
        <v>0</v>
      </c>
      <c r="AK8" s="202" cm="1">
        <f t="array" ref="AK8">_xlfn.IFS(AK$3&lt;$B$2,SUMPRODUCT(('PA Fees Actual'!$B$5:$B$882=$E8)*('PA Fees Actual'!$A$5:$A$882&gt;=AK$3)*('PA Fees Actual'!$A$5:$A$882&lt;=EOMONTH(AK$3,0))*'PA Fees Actual'!$D$5:$D$882),AK$3&gt;=EOMONTH($X8,-1)+1,$Y8,TRUE,0)</f>
        <v>0</v>
      </c>
      <c r="AL8" s="202" cm="1">
        <f t="array" ref="AL8">_xlfn.IFS(AL$3&lt;$B$2,SUMPRODUCT(('PA Fees Actual'!$B$5:$B$882=$E8)*('PA Fees Actual'!$A$5:$A$882&gt;=AL$3)*('PA Fees Actual'!$A$5:$A$882&lt;=EOMONTH(AL$3,0))*'PA Fees Actual'!$D$5:$D$882),AL$3&gt;=EOMONTH($X8,-1)+1,$Y8,TRUE,0)</f>
        <v>0</v>
      </c>
      <c r="AM8" s="202" cm="1">
        <f t="array" ref="AM8">_xlfn.IFS(AM$3&lt;$B$2,SUMPRODUCT(('PA Fees Actual'!$B$5:$B$882=$E8)*('PA Fees Actual'!$A$5:$A$882&gt;=AM$3)*('PA Fees Actual'!$A$5:$A$882&lt;=EOMONTH(AM$3,0))*'PA Fees Actual'!$D$5:$D$882),AM$3&gt;=EOMONTH($X8,-1)+1,$Y8,TRUE,0)</f>
        <v>0</v>
      </c>
      <c r="AN8" s="202" cm="1">
        <f t="array" ref="AN8">_xlfn.IFS(AN$3&lt;$B$2,SUMPRODUCT(('PA Fees Actual'!$B$5:$B$882=$E8)*('PA Fees Actual'!$A$5:$A$882&gt;=AN$3)*('PA Fees Actual'!$A$5:$A$882&lt;=EOMONTH(AN$3,0))*'PA Fees Actual'!$D$5:$D$882),AN$3&gt;=EOMONTH($X8,-1)+1,$Y8,TRUE,0)</f>
        <v>0</v>
      </c>
      <c r="AO8" s="202" cm="1">
        <f t="array" ref="AO8">_xlfn.IFS(AO$3&lt;$B$2,SUMPRODUCT(('PA Fees Actual'!$B$5:$B$882=$E8)*('PA Fees Actual'!$A$5:$A$882&gt;=AO$3)*('PA Fees Actual'!$A$5:$A$882&lt;=EOMONTH(AO$3,0))*'PA Fees Actual'!$D$5:$D$882),AO$3&gt;=EOMONTH($X8,-1)+1,$Y8,TRUE,0)</f>
        <v>0</v>
      </c>
      <c r="AP8" s="202" cm="1">
        <f t="array" ref="AP8">_xlfn.IFS(AP$3&lt;$B$2,SUMPRODUCT(('PA Fees Actual'!$B$5:$B$882=$E8)*('PA Fees Actual'!$A$5:$A$882&gt;=AP$3)*('PA Fees Actual'!$A$5:$A$882&lt;=EOMONTH(AP$3,0))*'PA Fees Actual'!$D$5:$D$882),AP$3&gt;=EOMONTH($X8,-1)+1,$Y8,TRUE,0)</f>
        <v>0</v>
      </c>
      <c r="AQ8" s="202" cm="1">
        <f t="array" ref="AQ8">_xlfn.IFS(AQ$3&lt;$B$2,SUMPRODUCT(('PA Fees Actual'!$B$5:$B$882=$E8)*('PA Fees Actual'!$A$5:$A$882&gt;=AQ$3)*('PA Fees Actual'!$A$5:$A$882&lt;=EOMONTH(AQ$3,0))*'PA Fees Actual'!$D$5:$D$882),AQ$3&gt;=EOMONTH($X8,-1)+1,$Y8,TRUE,0)</f>
        <v>0</v>
      </c>
      <c r="AR8" s="202" cm="1">
        <f t="array" ref="AR8">_xlfn.IFS(AR$3&lt;$B$2,SUMPRODUCT(('PA Fees Actual'!$B$5:$B$882=$E8)*('PA Fees Actual'!$A$5:$A$882&gt;=AR$3)*('PA Fees Actual'!$A$5:$A$882&lt;=EOMONTH(AR$3,0))*'PA Fees Actual'!$D$5:$D$882),AR$3&gt;=EOMONTH($X8,-1)+1,$Y8,TRUE,0)</f>
        <v>0</v>
      </c>
      <c r="AS8" s="202" cm="1">
        <f t="array" ref="AS8">_xlfn.IFS(AS$3&lt;$B$2,SUMPRODUCT(('PA Fees Actual'!$B$5:$B$882=$E8)*('PA Fees Actual'!$A$5:$A$882&gt;=AS$3)*('PA Fees Actual'!$A$5:$A$882&lt;=EOMONTH(AS$3,0))*'PA Fees Actual'!$D$5:$D$882),AS$3&gt;=EOMONTH($X8,-1)+1,$Y8,TRUE,0)</f>
        <v>0</v>
      </c>
      <c r="AT8" s="202" cm="1">
        <f t="array" ref="AT8">_xlfn.IFS(AT$3&lt;$B$2,SUMPRODUCT(('PA Fees Actual'!$B$5:$B$882=$E8)*('PA Fees Actual'!$A$5:$A$882&gt;=AT$3)*('PA Fees Actual'!$A$5:$A$882&lt;=EOMONTH(AT$3,0))*'PA Fees Actual'!$D$5:$D$882),AT$3&gt;=EOMONTH($X8,-1)+1,$Y8,TRUE,0)</f>
        <v>0</v>
      </c>
      <c r="AU8" s="202" cm="1">
        <f t="array" ref="AU8">_xlfn.IFS(AU$3&lt;$B$2,SUMPRODUCT(('PA Fees Actual'!$B$5:$B$882=$E8)*('PA Fees Actual'!$A$5:$A$882&gt;=AU$3)*('PA Fees Actual'!$A$5:$A$882&lt;=EOMONTH(AU$3,0))*'PA Fees Actual'!$D$5:$D$882),AU$3&gt;=EOMONTH($X8,-1)+1,$Y8,TRUE,0)</f>
        <v>0</v>
      </c>
      <c r="AV8" s="202" cm="1">
        <f t="array" ref="AV8">_xlfn.IFS(AV$3&lt;$B$2,SUMPRODUCT(('PA Fees Actual'!$B$5:$B$882=$E8)*('PA Fees Actual'!$A$5:$A$882&gt;=AV$3)*('PA Fees Actual'!$A$5:$A$882&lt;=EOMONTH(AV$3,0))*'PA Fees Actual'!$D$5:$D$882),AV$3&gt;=EOMONTH($X8,-1)+1,$Y8,TRUE,0)</f>
        <v>0</v>
      </c>
      <c r="AW8" s="202" cm="1">
        <f t="array" ref="AW8">_xlfn.IFS(AW$3&lt;$B$2,SUMPRODUCT(('PA Fees Actual'!$B$5:$B$882=$E8)*('PA Fees Actual'!$A$5:$A$882&gt;=AW$3)*('PA Fees Actual'!$A$5:$A$882&lt;=EOMONTH(AW$3,0))*'PA Fees Actual'!$D$5:$D$882),AW$3&gt;=EOMONTH($X8,-1)+1,$Y8,TRUE,0)</f>
        <v>0</v>
      </c>
      <c r="AX8" s="202" cm="1">
        <f t="array" ref="AX8">_xlfn.IFS(AX$3&lt;$B$2,SUMPRODUCT(('PA Fees Actual'!$B$5:$B$882=$E8)*('PA Fees Actual'!$A$5:$A$882&gt;=AX$3)*('PA Fees Actual'!$A$5:$A$882&lt;=EOMONTH(AX$3,0))*'PA Fees Actual'!$D$5:$D$882),AX$3&gt;=EOMONTH($X8,-1)+1,$Y8,TRUE,0)</f>
        <v>0</v>
      </c>
      <c r="AY8" s="202" cm="1">
        <f t="array" ref="AY8">_xlfn.IFS(AY$3&lt;$B$2,SUMPRODUCT(('PA Fees Actual'!$B$5:$B$882=$E8)*('PA Fees Actual'!$A$5:$A$882&gt;=AY$3)*('PA Fees Actual'!$A$5:$A$882&lt;=EOMONTH(AY$3,0))*'PA Fees Actual'!$D$5:$D$882),AY$3&gt;=EOMONTH($X8,-1)+1,$Y8,TRUE,0)</f>
        <v>0</v>
      </c>
      <c r="AZ8" s="202" cm="1">
        <f t="array" ref="AZ8">_xlfn.IFS(AZ$3&lt;$B$2,SUMPRODUCT(('PA Fees Actual'!$B$5:$B$882=$E8)*('PA Fees Actual'!$A$5:$A$882&gt;=AZ$3)*('PA Fees Actual'!$A$5:$A$882&lt;=EOMONTH(AZ$3,0))*'PA Fees Actual'!$D$5:$D$882),AZ$3&gt;=EOMONTH($X8,-1)+1,$Y8,TRUE,0)</f>
        <v>1010.55</v>
      </c>
      <c r="BA8" s="202" cm="1">
        <f t="array" ref="BA8">_xlfn.IFS(BA$3&lt;$B$2,SUMPRODUCT(('PA Fees Actual'!$B$5:$B$882=$E8)*('PA Fees Actual'!$A$5:$A$882&gt;=BA$3)*('PA Fees Actual'!$A$5:$A$882&lt;=EOMONTH(BA$3,0))*'PA Fees Actual'!$D$5:$D$882),BA$3&gt;=EOMONTH($X8,-1)+1,$Y8,TRUE,0)</f>
        <v>2717.58</v>
      </c>
      <c r="BB8" s="202" cm="1">
        <f t="array" ref="BB8">_xlfn.IFS(BB$3&lt;$B$2,SUMPRODUCT(('PA Fees Actual'!$B$5:$B$882=$E8)*('PA Fees Actual'!$A$5:$A$882&gt;=BB$3)*('PA Fees Actual'!$A$5:$A$882&lt;=EOMONTH(BB$3,0))*'PA Fees Actual'!$D$5:$D$882),BB$3&gt;=EOMONTH($X8,-1)+1,$Y8,TRUE,0)</f>
        <v>0</v>
      </c>
      <c r="BC8" s="202" cm="1">
        <f t="array" ref="BC8">_xlfn.IFS(BC$3&lt;$B$2,SUMPRODUCT(('PA Fees Actual'!$B$5:$B$882=$E8)*('PA Fees Actual'!$A$5:$A$882&gt;=BC$3)*('PA Fees Actual'!$A$5:$A$882&lt;=EOMONTH(BC$3,0))*'PA Fees Actual'!$D$5:$D$882),BC$3&gt;=EOMONTH($X8,-1)+1,$Y8,TRUE,0)</f>
        <v>1388.82</v>
      </c>
      <c r="BD8" s="202" cm="1">
        <f t="array" ref="BD8">_xlfn.IFS(BD$3&lt;$B$2,SUMPRODUCT(('PA Fees Actual'!$B$5:$B$882=$E8)*('PA Fees Actual'!$A$5:$A$882&gt;=BD$3)*('PA Fees Actual'!$A$5:$A$882&lt;=EOMONTH(BD$3,0))*'PA Fees Actual'!$D$5:$D$882),BD$3&gt;=EOMONTH($X8,-1)+1,$Y8,TRUE,0)</f>
        <v>0</v>
      </c>
      <c r="BE8" s="202" cm="1">
        <f t="array" ref="BE8">_xlfn.IFS(BE$3&lt;$B$2,SUMPRODUCT(('PA Fees Actual'!$B$5:$B$882=$E8)*('PA Fees Actual'!$A$5:$A$882&gt;=BE$3)*('PA Fees Actual'!$A$5:$A$882&lt;=EOMONTH(BE$3,0))*'PA Fees Actual'!$D$5:$D$882),BE$3&gt;=EOMONTH($X8,-1)+1,$Y8,TRUE,0)</f>
        <v>0</v>
      </c>
      <c r="BF8" s="202" cm="1">
        <f t="array" ref="BF8">_xlfn.IFS(BF$3&lt;$B$2,SUMPRODUCT(('PA Fees Actual'!$B$5:$B$882=$E8)*('PA Fees Actual'!$A$5:$A$882&gt;=BF$3)*('PA Fees Actual'!$A$5:$A$882&lt;=EOMONTH(BF$3,0))*'PA Fees Actual'!$D$5:$D$882),BF$3&gt;=EOMONTH($X8,-1)+1,$Y8,TRUE,0)</f>
        <v>4024.52</v>
      </c>
      <c r="BG8" s="202" cm="1">
        <f t="array" ref="BG8">_xlfn.IFS(BG$3&lt;$B$2,SUMPRODUCT(('PA Fees Actual'!$B$5:$B$882=$E8)*('PA Fees Actual'!$A$5:$A$882&gt;=BG$3)*('PA Fees Actual'!$A$5:$A$882&lt;=EOMONTH(BG$3,0))*'PA Fees Actual'!$D$5:$D$882),BG$3&gt;=EOMONTH($X8,-1)+1,$Y8,TRUE,0)</f>
        <v>0</v>
      </c>
      <c r="BH8" s="202" cm="1">
        <f t="array" ref="BH8">_xlfn.IFS(BH$3&lt;$B$2,SUMPRODUCT(('PA Fees Actual'!$B$5:$B$882=$E8)*('PA Fees Actual'!$A$5:$A$882&gt;=BH$3)*('PA Fees Actual'!$A$5:$A$882&lt;=EOMONTH(BH$3,0))*'PA Fees Actual'!$D$5:$D$882),BH$3&gt;=EOMONTH($X8,-1)+1,$Y8,TRUE,0)</f>
        <v>1570.17</v>
      </c>
      <c r="BI8" s="202" cm="1">
        <f t="array" ref="BI8">_xlfn.IFS(BI$3&lt;$B$2,SUMPRODUCT(('PA Fees Actual'!$B$5:$B$882=$E8)*('PA Fees Actual'!$A$5:$A$882&gt;=BI$3)*('PA Fees Actual'!$A$5:$A$882&lt;=EOMONTH(BI$3,0))*'PA Fees Actual'!$D$5:$D$882),BI$3&gt;=EOMONTH($X8,-1)+1,$Y8,TRUE,0)</f>
        <v>1339.02</v>
      </c>
      <c r="BJ8" s="202" cm="1">
        <f t="array" ref="BJ8">_xlfn.IFS(BJ$3&lt;$B$2,SUMPRODUCT(('PA Fees Actual'!$B$5:$B$882=$E8)*('PA Fees Actual'!$A$5:$A$882&gt;=BJ$3)*('PA Fees Actual'!$A$5:$A$882&lt;=EOMONTH(BJ$3,0))*'PA Fees Actual'!$D$5:$D$882),BJ$3&gt;=EOMONTH($X8,-1)+1,$Y8,TRUE,0)</f>
        <v>1332.78</v>
      </c>
      <c r="BK8" s="202" cm="1">
        <f t="array" ref="BK8">_xlfn.IFS(BK$3&lt;$B$2,SUMPRODUCT(('PA Fees Actual'!$B$5:$B$882=$E8)*('PA Fees Actual'!$A$5:$A$882&gt;=BK$3)*('PA Fees Actual'!$A$5:$A$882&lt;=EOMONTH(BK$3,0))*'PA Fees Actual'!$D$5:$D$882),BK$3&gt;=EOMONTH($X8,-1)+1,$Y8,TRUE,0)</f>
        <v>2684.28</v>
      </c>
      <c r="BL8" s="202" cm="1">
        <f t="array" ref="BL8">_xlfn.IFS(BL$3&lt;$B$2,SUMPRODUCT(('PA Fees Actual'!$B$5:$B$882=$E8)*('PA Fees Actual'!$A$5:$A$882&gt;=BL$3)*('PA Fees Actual'!$A$5:$A$882&lt;=EOMONTH(BL$3,0))*'PA Fees Actual'!$D$5:$D$882),BL$3&gt;=EOMONTH($X8,-1)+1,$Y8,TRUE,0)</f>
        <v>1337.23</v>
      </c>
      <c r="BM8" s="202" cm="1">
        <f t="array" ref="BM8">_xlfn.IFS(BM$3&lt;$B$2,SUMPRODUCT(('PA Fees Actual'!$B$5:$B$882=$E8)*('PA Fees Actual'!$A$5:$A$882&gt;=BM$3)*('PA Fees Actual'!$A$5:$A$882&lt;=EOMONTH(BM$3,0))*'PA Fees Actual'!$D$5:$D$882),BM$3&gt;=EOMONTH($X8,-1)+1,$Y8,TRUE,0)</f>
        <v>0</v>
      </c>
      <c r="BN8" s="202" cm="1">
        <f t="array" ref="BN8">_xlfn.IFS(BN$3&lt;$B$2,SUMPRODUCT(('PA Fees Actual'!$B$5:$B$882=$E8)*('PA Fees Actual'!$A$5:$A$882&gt;=BN$3)*('PA Fees Actual'!$A$5:$A$882&lt;=EOMONTH(BN$3,0))*'PA Fees Actual'!$D$5:$D$882),BN$3&gt;=EOMONTH($X8,-1)+1,$Y8,TRUE,0)</f>
        <v>2674.46</v>
      </c>
      <c r="BO8" s="202" cm="1">
        <f t="array" ref="BO8">_xlfn.IFS(BO$3&lt;$B$2,SUMPRODUCT(('PA Fees Actual'!$B$5:$B$882=$E8)*('PA Fees Actual'!$A$5:$A$882&gt;=BO$3)*('PA Fees Actual'!$A$5:$A$882&lt;=EOMONTH(BO$3,0))*'PA Fees Actual'!$D$5:$D$882),BO$3&gt;=EOMONTH($X8,-1)+1,$Y8,TRUE,0)</f>
        <v>0</v>
      </c>
      <c r="BP8" s="202" cm="1">
        <f t="array" ref="BP8">_xlfn.IFS(BP$3&lt;$B$2,SUMPRODUCT(('PA Fees Actual'!$B$5:$B$882=$E8)*('PA Fees Actual'!$A$5:$A$882&gt;=BP$3)*('PA Fees Actual'!$A$5:$A$882&lt;=EOMONTH(BP$3,0))*'PA Fees Actual'!$D$5:$D$882),BP$3&gt;=EOMONTH($X8,-1)+1,$Y8,TRUE,0)</f>
        <v>3912.76</v>
      </c>
      <c r="BQ8" s="202" cm="1">
        <f t="array" ref="BQ8">_xlfn.IFS(BQ$3&lt;$B$2,SUMPRODUCT(('PA Fees Actual'!$B$5:$B$882=$E8)*('PA Fees Actual'!$A$5:$A$882&gt;=BQ$3)*('PA Fees Actual'!$A$5:$A$882&lt;=EOMONTH(BQ$3,0))*'PA Fees Actual'!$D$5:$D$882),BQ$3&gt;=EOMONTH($X8,-1)+1,$Y8,TRUE,0)</f>
        <v>0</v>
      </c>
      <c r="BR8" s="202" cm="1">
        <f t="array" ref="BR8">_xlfn.IFS(BR$3&lt;$B$2,SUMPRODUCT(('PA Fees Actual'!$B$5:$B$882=$E8)*('PA Fees Actual'!$A$5:$A$882&gt;=BR$3)*('PA Fees Actual'!$A$5:$A$882&lt;=EOMONTH(BR$3,0))*'PA Fees Actual'!$D$5:$D$882),BR$3&gt;=EOMONTH($X8,-1)+1,$Y8,TRUE,0)</f>
        <v>1310.5899999999999</v>
      </c>
      <c r="BS8" s="202" cm="1">
        <f t="array" ref="BS8">_xlfn.IFS(BS$3&lt;$B$2,SUMPRODUCT(('PA Fees Actual'!$B$5:$B$882=$E8)*('PA Fees Actual'!$A$5:$A$882&gt;=BS$3)*('PA Fees Actual'!$A$5:$A$882&lt;=EOMONTH(BS$3,0))*'PA Fees Actual'!$D$5:$D$882),BS$3&gt;=EOMONTH($X8,-1)+1,$Y8,TRUE,0)</f>
        <v>1310.5899999999999</v>
      </c>
      <c r="BT8" s="202" cm="1">
        <f t="array" ref="BT8">_xlfn.IFS(BT$3&lt;$B$2,SUMPRODUCT(('PA Fees Actual'!$B$5:$B$882=$E8)*('PA Fees Actual'!$A$5:$A$882&gt;=BT$3)*('PA Fees Actual'!$A$5:$A$882&lt;=EOMONTH(BT$3,0))*'PA Fees Actual'!$D$5:$D$882),BT$3&gt;=EOMONTH($X8,-1)+1,$Y8,TRUE,0)</f>
        <v>1310.5899999999999</v>
      </c>
      <c r="BU8" s="202" cm="1">
        <f t="array" ref="BU8">_xlfn.IFS(BU$3&lt;$B$2,SUMPRODUCT(('PA Fees Actual'!$B$5:$B$882=$E8)*('PA Fees Actual'!$A$5:$A$882&gt;=BU$3)*('PA Fees Actual'!$A$5:$A$882&lt;=EOMONTH(BU$3,0))*'PA Fees Actual'!$D$5:$D$882),BU$3&gt;=EOMONTH($X8,-1)+1,$Y8,TRUE,0)</f>
        <v>1310.5899999999999</v>
      </c>
      <c r="BV8" s="202" cm="1">
        <f t="array" ref="BV8">_xlfn.IFS(BV$3&lt;$B$2,SUMPRODUCT(('PA Fees Actual'!$B$5:$B$882=$E8)*('PA Fees Actual'!$A$5:$A$882&gt;=BV$3)*('PA Fees Actual'!$A$5:$A$882&lt;=EOMONTH(BV$3,0))*'PA Fees Actual'!$D$5:$D$882),BV$3&gt;=EOMONTH($X8,-1)+1,$Y8,TRUE,0)</f>
        <v>1315.96</v>
      </c>
      <c r="BW8" s="202" cm="1">
        <f t="array" ref="BW8">_xlfn.IFS(BW$3&lt;$B$2,SUMPRODUCT(('PA Fees Actual'!$B$5:$B$882=$E8)*('PA Fees Actual'!$A$5:$A$882&gt;=BW$3)*('PA Fees Actual'!$A$5:$A$882&lt;=EOMONTH(BW$3,0))*'PA Fees Actual'!$D$5:$D$882),BW$3&gt;=EOMONTH($X8,-1)+1,$Y8,TRUE,0)</f>
        <v>1322.56</v>
      </c>
      <c r="BX8" s="202" cm="1">
        <f t="array" ref="BX8">_xlfn.IFS(BX$3&lt;$B$2,SUMPRODUCT(('PA Fees Actual'!$B$5:$B$882=$E8)*('PA Fees Actual'!$A$5:$A$882&gt;=BX$3)*('PA Fees Actual'!$A$5:$A$882&lt;=EOMONTH(BX$3,0))*'PA Fees Actual'!$D$5:$D$882),BX$3&gt;=EOMONTH($X8,-1)+1,$Y8,TRUE,0)</f>
        <v>0</v>
      </c>
      <c r="BY8" s="202" cm="1">
        <f t="array" ref="BY8">_xlfn.IFS(BY$3&lt;$B$2,SUMPRODUCT(('PA Fees Actual'!$B$5:$B$882=$E8)*('PA Fees Actual'!$A$5:$A$882&gt;=BY$3)*('PA Fees Actual'!$A$5:$A$882&lt;=EOMONTH(BY$3,0))*'PA Fees Actual'!$D$5:$D$882),BY$3&gt;=EOMONTH($X8,-1)+1,$Y8,TRUE,0)</f>
        <v>2664.58</v>
      </c>
      <c r="BZ8" s="202" cm="1">
        <f t="array" ref="BZ8">_xlfn.IFS(BZ$3&lt;$B$2,SUMPRODUCT(('PA Fees Actual'!$B$5:$B$882=$E8)*('PA Fees Actual'!$A$5:$A$882&gt;=BZ$3)*('PA Fees Actual'!$A$5:$A$882&lt;=EOMONTH(BZ$3,0))*'PA Fees Actual'!$D$5:$D$882),BZ$3&gt;=EOMONTH($X8,-1)+1,$Y8,TRUE,0)</f>
        <v>1030.92</v>
      </c>
      <c r="CA8" s="202" cm="1">
        <f t="array" ref="CA8">_xlfn.IFS(CA$3&lt;$B$2,SUMPRODUCT(('PA Fees Actual'!$B$5:$B$882=$E8)*('PA Fees Actual'!$A$5:$A$882&gt;=CA$3)*('PA Fees Actual'!$A$5:$A$882&lt;=EOMONTH(CA$3,0))*'PA Fees Actual'!$D$5:$D$882),CA$3&gt;=EOMONTH($X8,-1)+1,$Y8,TRUE,0)</f>
        <v>1624.66</v>
      </c>
      <c r="CB8" s="202" cm="1">
        <f t="array" ref="CB8">_xlfn.IFS(CB$3&lt;$B$2,SUMPRODUCT(('PA Fees Actual'!$B$5:$B$882=$E8)*('PA Fees Actual'!$A$5:$A$882&gt;=CB$3)*('PA Fees Actual'!$A$5:$A$882&lt;=EOMONTH(CB$3,0))*'PA Fees Actual'!$D$5:$D$882),CB$3&gt;=EOMONTH($X8,-1)+1,$Y8,TRUE,0)</f>
        <v>1264.375</v>
      </c>
      <c r="CC8" s="202" cm="1">
        <f t="array" ref="CC8">_xlfn.IFS(CC$3&lt;$B$2,SUMPRODUCT(('PA Fees Actual'!$B$5:$B$882=$E8)*('PA Fees Actual'!$A$5:$A$882&gt;=CC$3)*('PA Fees Actual'!$A$5:$A$882&lt;=EOMONTH(CC$3,0))*'PA Fees Actual'!$D$5:$D$882),CC$3&gt;=EOMONTH($X8,-1)+1,$Y8,TRUE,0)</f>
        <v>1264.375</v>
      </c>
      <c r="CD8" s="202" cm="1">
        <f t="array" ref="CD8">_xlfn.IFS(CD$3&lt;$B$2,SUMPRODUCT(('PA Fees Actual'!$B$5:$B$882=$E8)*('PA Fees Actual'!$A$5:$A$882&gt;=CD$3)*('PA Fees Actual'!$A$5:$A$882&lt;=EOMONTH(CD$3,0))*'PA Fees Actual'!$D$5:$D$882),CD$3&gt;=EOMONTH($X8,-1)+1,$Y8,TRUE,0)</f>
        <v>1264.375</v>
      </c>
      <c r="CE8" s="202" cm="1">
        <f t="array" ref="CE8">_xlfn.IFS(CE$3&lt;$B$2,SUMPRODUCT(('PA Fees Actual'!$B$5:$B$882=$E8)*('PA Fees Actual'!$A$5:$A$882&gt;=CE$3)*('PA Fees Actual'!$A$5:$A$882&lt;=EOMONTH(CE$3,0))*'PA Fees Actual'!$D$5:$D$882),CE$3&gt;=EOMONTH($X8,-1)+1,$Y8,TRUE,0)</f>
        <v>1264.375</v>
      </c>
      <c r="CF8" s="202" cm="1">
        <f t="array" ref="CF8">_xlfn.IFS(CF$3&lt;$B$2,SUMPRODUCT(('PA Fees Actual'!$B$5:$B$882=$E8)*('PA Fees Actual'!$A$5:$A$882&gt;=CF$3)*('PA Fees Actual'!$A$5:$A$882&lt;=EOMONTH(CF$3,0))*'PA Fees Actual'!$D$5:$D$882),CF$3&gt;=EOMONTH($X8,-1)+1,$Y8,TRUE,0)</f>
        <v>1264.375</v>
      </c>
      <c r="CG8" s="202" cm="1">
        <f t="array" ref="CG8">_xlfn.IFS(CG$3&lt;$B$2,SUMPRODUCT(('PA Fees Actual'!$B$5:$B$882=$E8)*('PA Fees Actual'!$A$5:$A$882&gt;=CG$3)*('PA Fees Actual'!$A$5:$A$882&lt;=EOMONTH(CG$3,0))*'PA Fees Actual'!$D$5:$D$882),CG$3&gt;=EOMONTH($X8,-1)+1,$Y8,TRUE,0)</f>
        <v>1264.375</v>
      </c>
      <c r="CI8" s="202" cm="1">
        <f t="array" ref="CI8">_xlfn.IFS(CI$3&lt;=YEAR($B$2),SUMPRODUCT(($E$4:$E$79=$E8)*($Z$2:$CG$2=CI$3)*($Z$2:$CG$2&lt;CJ$3)*$Z$4:$CG$79),CI$3&lt;YEAR($X8),0,CI$3=YEAR($X8),DATEDIF($X8,DATE(CI$3,12,31),"m")*$Y8,AND(CI$3&gt;YEAR($X8),CI$3-YEAR($X8)&lt;20),$Y8*12,CI$3-YEAR($X8)=20,DATEDIF(DATE(YEAR($X8),1,1),$X8,"m")*$Y8,CI$3-YEAR($X8)&gt;20,0)</f>
        <v>0</v>
      </c>
      <c r="CJ8" s="202" cm="1">
        <f t="array" ref="CJ8">_xlfn.IFS(CJ$3&lt;=YEAR($B$2),SUMPRODUCT(($E$4:$E$79=$E8)*($Z$2:$CG$2=CJ$3)*($Z$2:$CG$2&lt;CK$3)*$Z$4:$CG$79),CJ$3&lt;YEAR($X8),0,CJ$3=YEAR($X8),DATEDIF($X8,DATE(CJ$3,12,31),"m")*$Y8,AND(CJ$3&gt;YEAR($X8),CJ$3-YEAR($X8)&lt;20),$Y8*12,CJ$3-YEAR($X8)=20,DATEDIF(DATE(YEAR($X8),1,1),$X8,"m")*$Y8,CJ$3-YEAR($X8)&gt;20,0)</f>
        <v>0</v>
      </c>
      <c r="CK8" s="202" cm="1">
        <f t="array" ref="CK8">_xlfn.IFS(CK$3&lt;=YEAR($B$2),SUMPRODUCT(($E$4:$E$79=$E8)*($Z$2:$CG$2=CK$3)*($Z$2:$CG$2&lt;CL$3)*$Z$4:$CG$79),CK$3&lt;YEAR($X8),0,CK$3=YEAR($X8),DATEDIF($X8,DATE(CK$3,12,31),"m")*$Y8,AND(CK$3&gt;YEAR($X8),CK$3-YEAR($X8)&lt;20),$Y8*12,CK$3-YEAR($X8)=20,DATEDIF(DATE(YEAR($X8),1,1),$X8,"m")*$Y8,CK$3-YEAR($X8)&gt;20,0)</f>
        <v>12050.66</v>
      </c>
      <c r="CL8" s="202" cm="1">
        <f t="array" ref="CL8">_xlfn.IFS(CL$3&lt;=YEAR($B$2),SUMPRODUCT(($E$4:$E$79=$E8)*($Z$2:$CG$2=CL$3)*($Z$2:$CG$2&lt;CM$3)*$Z$4:$CG$79),CL$3&lt;YEAR($X8),0,CL$3=YEAR($X8),DATEDIF($X8,DATE(CL$3,12,31),"m")*$Y8,AND(CL$3&gt;YEAR($X8),CL$3-YEAR($X8)&lt;20),$Y8*12,CL$3-YEAR($X8)=20,DATEDIF(DATE(YEAR($X8),1,1),$X8,"m")*$Y8,CL$3-YEAR($X8)&gt;20,0)</f>
        <v>17183.870000000003</v>
      </c>
      <c r="CM8" s="202" cm="1">
        <f t="array" ref="CM8">_xlfn.IFS(CM$3&lt;=YEAR($B$2),SUMPRODUCT(($E$4:$E$79=$E8)*($Z$2:$CG$2=CM$3)*($Z$2:$CG$2&lt;CN$3)*$Z$4:$CG$79),CM$3&lt;YEAR($X8),0,CM$3=YEAR($X8),DATEDIF($X8,DATE(CM$3,12,31),"m")*$Y8,AND(CM$3&gt;YEAR($X8),CM$3-YEAR($X8)&lt;20),$Y8*12,CM$3-YEAR($X8)=20,DATEDIF(DATE(YEAR($X8),1,1),$X8,"m")*$Y8,CM$3-YEAR($X8)&gt;20,0)</f>
        <v>15544.93</v>
      </c>
      <c r="CN8" s="202" cm="1">
        <f t="array" ref="CN8">_xlfn.IFS(CN$3&lt;=YEAR($B$2),SUMPRODUCT(($E$4:$E$79=$E8)*($Z$2:$CG$2=CN$3)*($Z$2:$CG$2&lt;CO$3)*$Z$4:$CG$79),CN$3&lt;YEAR($X8),0,CN$3=YEAR($X8),DATEDIF($X8,DATE(CN$3,12,31),"m")*$Y8,AND(CN$3&gt;YEAR($X8),CN$3-YEAR($X8)&lt;20),$Y8*12,CN$3-YEAR($X8)=20,DATEDIF(DATE(YEAR($X8),1,1),$X8,"m")*$Y8,CN$3-YEAR($X8)&gt;20,0)</f>
        <v>15172.5</v>
      </c>
      <c r="CO8" s="202" cm="1">
        <f t="array" ref="CO8">_xlfn.IFS(CO$3&lt;=YEAR($B$2),SUMPRODUCT(($E$4:$E$79=$E8)*($Z$2:$CG$2=CO$3)*($Z$2:$CG$2&lt;CP$3)*$Z$4:$CG$79),CO$3&lt;YEAR($X8),0,CO$3=YEAR($X8),DATEDIF($X8,DATE(CO$3,12,31),"m")*$Y8,AND(CO$3&gt;YEAR($X8),CO$3-YEAR($X8)&lt;20),$Y8*12,CO$3-YEAR($X8)=20,DATEDIF(DATE(YEAR($X8),1,1),$X8,"m")*$Y8,CO$3-YEAR($X8)&gt;20,0)</f>
        <v>15172.5</v>
      </c>
      <c r="CP8" s="202" cm="1">
        <f t="array" ref="CP8">_xlfn.IFS(CP$3&lt;=YEAR($B$2),SUMPRODUCT(($E$4:$E$79=$E8)*($Z$2:$CG$2=CP$3)*($Z$2:$CG$2&lt;CQ$3)*$Z$4:$CG$79),CP$3&lt;YEAR($X8),0,CP$3=YEAR($X8),DATEDIF($X8,DATE(CP$3,12,31),"m")*$Y8,AND(CP$3&gt;YEAR($X8),CP$3-YEAR($X8)&lt;20),$Y8*12,CP$3-YEAR($X8)=20,DATEDIF(DATE(YEAR($X8),1,1),$X8,"m")*$Y8,CP$3-YEAR($X8)&gt;20,0)</f>
        <v>15172.5</v>
      </c>
      <c r="CQ8" s="202" cm="1">
        <f t="array" ref="CQ8">_xlfn.IFS(CQ$3&lt;=YEAR($B$2),SUMPRODUCT(($E$4:$E$79=$E8)*($Z$2:$CG$2=CQ$3)*($Z$2:$CG$2&lt;CR$3)*$Z$4:$CG$79),CQ$3&lt;YEAR($X8),0,CQ$3=YEAR($X8),DATEDIF($X8,DATE(CQ$3,12,31),"m")*$Y8,AND(CQ$3&gt;YEAR($X8),CQ$3-YEAR($X8)&lt;20),$Y8*12,CQ$3-YEAR($X8)=20,DATEDIF(DATE(YEAR($X8),1,1),$X8,"m")*$Y8,CQ$3-YEAR($X8)&gt;20,0)</f>
        <v>15172.5</v>
      </c>
      <c r="CR8" s="202" cm="1">
        <f t="array" ref="CR8">_xlfn.IFS(CR$3&lt;=YEAR($B$2),SUMPRODUCT(($E$4:$E$79=$E8)*($Z$2:$CG$2=CR$3)*($Z$2:$CG$2&lt;CS$3)*$Z$4:$CG$79),CR$3&lt;YEAR($X8),0,CR$3=YEAR($X8),DATEDIF($X8,DATE(CR$3,12,31),"m")*$Y8,AND(CR$3&gt;YEAR($X8),CR$3-YEAR($X8)&lt;20),$Y8*12,CR$3-YEAR($X8)=20,DATEDIF(DATE(YEAR($X8),1,1),$X8,"m")*$Y8,CR$3-YEAR($X8)&gt;20,0)</f>
        <v>15172.5</v>
      </c>
      <c r="CS8" s="202" cm="1">
        <f t="array" ref="CS8">_xlfn.IFS(CS$3&lt;=YEAR($B$2),SUMPRODUCT(($E$4:$E$79=$E8)*($Z$2:$CG$2=CS$3)*($Z$2:$CG$2&lt;CT$3)*$Z$4:$CG$79),CS$3&lt;YEAR($X8),0,CS$3=YEAR($X8),DATEDIF($X8,DATE(CS$3,12,31),"m")*$Y8,AND(CS$3&gt;YEAR($X8),CS$3-YEAR($X8)&lt;20),$Y8*12,CS$3-YEAR($X8)=20,DATEDIF(DATE(YEAR($X8),1,1),$X8,"m")*$Y8,CS$3-YEAR($X8)&gt;20,0)</f>
        <v>15172.5</v>
      </c>
      <c r="CT8" s="202" cm="1">
        <f t="array" ref="CT8">_xlfn.IFS(CT$3&lt;=YEAR($B$2),SUMPRODUCT(($E$4:$E$79=$E8)*($Z$2:$CG$2=CT$3)*($Z$2:$CG$2&lt;CU$3)*$Z$4:$CG$79),CT$3&lt;YEAR($X8),0,CT$3=YEAR($X8),DATEDIF($X8,DATE(CT$3,12,31),"m")*$Y8,AND(CT$3&gt;YEAR($X8),CT$3-YEAR($X8)&lt;20),$Y8*12,CT$3-YEAR($X8)=20,DATEDIF(DATE(YEAR($X8),1,1),$X8,"m")*$Y8,CT$3-YEAR($X8)&gt;20,0)</f>
        <v>15172.5</v>
      </c>
      <c r="CU8" s="202" cm="1">
        <f t="array" ref="CU8">_xlfn.IFS(CU$3&lt;=YEAR($B$2),SUMPRODUCT(($E$4:$E$79=$E8)*($Z$2:$CG$2=CU$3)*($Z$2:$CG$2&lt;CV$3)*$Z$4:$CG$79),CU$3&lt;YEAR($X8),0,CU$3=YEAR($X8),DATEDIF($X8,DATE(CU$3,12,31),"m")*$Y8,AND(CU$3&gt;YEAR($X8),CU$3-YEAR($X8)&lt;20),$Y8*12,CU$3-YEAR($X8)=20,DATEDIF(DATE(YEAR($X8),1,1),$X8,"m")*$Y8,CU$3-YEAR($X8)&gt;20,0)</f>
        <v>15172.5</v>
      </c>
      <c r="CV8" s="202" cm="1">
        <f t="array" ref="CV8">_xlfn.IFS(CV$3&lt;=YEAR($B$2),SUMPRODUCT(($E$4:$E$79=$E8)*($Z$2:$CG$2=CV$3)*($Z$2:$CG$2&lt;CW$3)*$Z$4:$CG$79),CV$3&lt;YEAR($X8),0,CV$3=YEAR($X8),DATEDIF($X8,DATE(CV$3,12,31),"m")*$Y8,AND(CV$3&gt;YEAR($X8),CV$3-YEAR($X8)&lt;20),$Y8*12,CV$3-YEAR($X8)=20,DATEDIF(DATE(YEAR($X8),1,1),$X8,"m")*$Y8,CV$3-YEAR($X8)&gt;20,0)</f>
        <v>15172.5</v>
      </c>
      <c r="CW8" s="202" cm="1">
        <f t="array" ref="CW8">_xlfn.IFS(CW$3&lt;=YEAR($B$2),SUMPRODUCT(($E$4:$E$79=$E8)*($Z$2:$CG$2=CW$3)*($Z$2:$CG$2&lt;CX$3)*$Z$4:$CG$79),CW$3&lt;YEAR($X8),0,CW$3=YEAR($X8),DATEDIF($X8,DATE(CW$3,12,31),"m")*$Y8,AND(CW$3&gt;YEAR($X8),CW$3-YEAR($X8)&lt;20),$Y8*12,CW$3-YEAR($X8)=20,DATEDIF(DATE(YEAR($X8),1,1),$X8,"m")*$Y8,CW$3-YEAR($X8)&gt;20,0)</f>
        <v>15172.5</v>
      </c>
      <c r="CX8" s="202" cm="1">
        <f t="array" ref="CX8">_xlfn.IFS(CX$3&lt;=YEAR($B$2),SUMPRODUCT(($E$4:$E$79=$E8)*($Z$2:$CG$2=CX$3)*($Z$2:$CG$2&lt;CY$3)*$Z$4:$CG$79),CX$3&lt;YEAR($X8),0,CX$3=YEAR($X8),DATEDIF($X8,DATE(CX$3,12,31),"m")*$Y8,AND(CX$3&gt;YEAR($X8),CX$3-YEAR($X8)&lt;20),$Y8*12,CX$3-YEAR($X8)=20,DATEDIF(DATE(YEAR($X8),1,1),$X8,"m")*$Y8,CX$3-YEAR($X8)&gt;20,0)</f>
        <v>15172.5</v>
      </c>
      <c r="CY8" s="202" cm="1">
        <f t="array" ref="CY8">_xlfn.IFS(CY$3&lt;=YEAR($B$2),SUMPRODUCT(($E$4:$E$79=$E8)*($Z$2:$CG$2=CY$3)*($Z$2:$CG$2&lt;CZ$3)*$Z$4:$CG$79),CY$3&lt;YEAR($X8),0,CY$3=YEAR($X8),DATEDIF($X8,DATE(CY$3,12,31),"m")*$Y8,AND(CY$3&gt;YEAR($X8),CY$3-YEAR($X8)&lt;20),$Y8*12,CY$3-YEAR($X8)=20,DATEDIF(DATE(YEAR($X8),1,1),$X8,"m")*$Y8,CY$3-YEAR($X8)&gt;20,0)</f>
        <v>15172.5</v>
      </c>
      <c r="CZ8" s="202" cm="1">
        <f t="array" ref="CZ8">_xlfn.IFS(CZ$3&lt;=YEAR($B$2),SUMPRODUCT(($E$4:$E$79=$E8)*($Z$2:$CG$2=CZ$3)*($Z$2:$CG$2&lt;DA$3)*$Z$4:$CG$79),CZ$3&lt;YEAR($X8),0,CZ$3=YEAR($X8),DATEDIF($X8,DATE(CZ$3,12,31),"m")*$Y8,AND(CZ$3&gt;YEAR($X8),CZ$3-YEAR($X8)&lt;20),$Y8*12,CZ$3-YEAR($X8)=20,DATEDIF(DATE(YEAR($X8),1,1),$X8,"m")*$Y8,CZ$3-YEAR($X8)&gt;20,0)</f>
        <v>15172.5</v>
      </c>
      <c r="DA8" s="202" cm="1">
        <f t="array" ref="DA8">_xlfn.IFS(DA$3&lt;=YEAR($B$2),SUMPRODUCT(($E$4:$E$79=$E8)*($Z$2:$CG$2=DA$3)*($Z$2:$CG$2&lt;DB$3)*$Z$4:$CG$79),DA$3&lt;YEAR($X8),0,DA$3=YEAR($X8),DATEDIF($X8,DATE(DA$3,12,31),"m")*$Y8,AND(DA$3&gt;YEAR($X8),DA$3-YEAR($X8)&lt;20),$Y8*12,DA$3-YEAR($X8)=20,DATEDIF(DATE(YEAR($X8),1,1),$X8,"m")*$Y8,DA$3-YEAR($X8)&gt;20,0)</f>
        <v>15172.5</v>
      </c>
      <c r="DB8" s="202" cm="1">
        <f t="array" ref="DB8">_xlfn.IFS(DB$3&lt;=YEAR($B$2),SUMPRODUCT(($E$4:$E$79=$E8)*($Z$2:$CG$2=DB$3)*($Z$2:$CG$2&lt;DC$3)*$Z$4:$CG$79),DB$3&lt;YEAR($X8),0,DB$3=YEAR($X8),DATEDIF($X8,DATE(DB$3,12,31),"m")*$Y8,AND(DB$3&gt;YEAR($X8),DB$3-YEAR($X8)&lt;20),$Y8*12,DB$3-YEAR($X8)=20,DATEDIF(DATE(YEAR($X8),1,1),$X8,"m")*$Y8,DB$3-YEAR($X8)&gt;20,0)</f>
        <v>15172.5</v>
      </c>
      <c r="DC8" s="202" cm="1">
        <f t="array" ref="DC8">_xlfn.IFS(DC$3&lt;=YEAR($B$2),SUMPRODUCT(($E$4:$E$79=$E8)*($Z$2:$CG$2=DC$3)*($Z$2:$CG$2&lt;DD$3)*$Z$4:$CG$79),DC$3&lt;YEAR($X8),0,DC$3=YEAR($X8),DATEDIF($X8,DATE(DC$3,12,31),"m")*$Y8,AND(DC$3&gt;YEAR($X8),DC$3-YEAR($X8)&lt;20),$Y8*12,DC$3-YEAR($X8)=20,DATEDIF(DATE(YEAR($X8),1,1),$X8,"m")*$Y8,DC$3-YEAR($X8)&gt;20,0)</f>
        <v>15172.5</v>
      </c>
      <c r="DD8" s="202" cm="1">
        <f t="array" ref="DD8">_xlfn.IFS(DD$3&lt;=YEAR($B$2),SUMPRODUCT(($E$4:$E$79=$E8)*($Z$2:$CG$2=DD$3)*($Z$2:$CG$2&lt;DE$3)*$Z$4:$CG$79),DD$3&lt;YEAR($X8),0,DD$3=YEAR($X8),DATEDIF($X8,DATE(DD$3,12,31),"m")*$Y8,AND(DD$3&gt;YEAR($X8),DD$3-YEAR($X8)&lt;20),$Y8*12,DD$3-YEAR($X8)=20,DATEDIF(DATE(YEAR($X8),1,1),$X8,"m")*$Y8,DD$3-YEAR($X8)&gt;20,0)</f>
        <v>15172.5</v>
      </c>
      <c r="DE8" s="202" cm="1">
        <f t="array" ref="DE8">_xlfn.IFS(DE$3&lt;=YEAR($B$2),SUMPRODUCT(($E$4:$E$79=$E8)*($Z$2:$CG$2=DE$3)*($Z$2:$CG$2&lt;DF$3)*$Z$4:$CG$79),DE$3&lt;YEAR($X8),0,DE$3=YEAR($X8),DATEDIF($X8,DATE(DE$3,12,31),"m")*$Y8,AND(DE$3&gt;YEAR($X8),DE$3-YEAR($X8)&lt;20),$Y8*12,DE$3-YEAR($X8)=20,DATEDIF(DATE(YEAR($X8),1,1),$X8,"m")*$Y8,DE$3-YEAR($X8)&gt;20,0)</f>
        <v>1264.375</v>
      </c>
      <c r="DF8" s="202" cm="1">
        <f t="array" ref="DF8">_xlfn.IFS(DF$3&lt;=YEAR($B$2),SUMPRODUCT(($E$4:$E$79=$E8)*($Z$2:$CG$2=DF$3)*($Z$2:$CG$2&lt;DG$3)*$Z$4:$CG$79),DF$3&lt;YEAR($X8),0,DF$3=YEAR($X8),DATEDIF($X8,DATE(DF$3,12,31),"m")*$Y8,AND(DF$3&gt;YEAR($X8),DF$3-YEAR($X8)&lt;20),$Y8*12,DF$3-YEAR($X8)=20,DATEDIF(DATE(YEAR($X8),1,1),$X8,"m")*$Y8,DF$3-YEAR($X8)&gt;20,0)</f>
        <v>0</v>
      </c>
      <c r="DG8" s="202" cm="1">
        <f t="array" ref="DG8">_xlfn.IFS(DG$3&lt;=YEAR($B$2),SUMPRODUCT(($E$4:$E$79=$E8)*($Z$2:$CG$2=DG$3)*($Z$2:$CG$2&lt;DH$3)*$Z$4:$CG$79),DG$3&lt;YEAR($X8),0,DG$3=YEAR($X8),DATEDIF($X8,DATE(DG$3,12,31),"m")*$Y8,AND(DG$3&gt;YEAR($X8),DG$3-YEAR($X8)&lt;20),$Y8*12,DG$3-YEAR($X8)=20,DATEDIF(DATE(YEAR($X8),1,1),$X8,"m")*$Y8,DG$3-YEAR($X8)&gt;20,0)</f>
        <v>0</v>
      </c>
      <c r="DH8" s="202" cm="1">
        <f t="array" ref="DH8">_xlfn.IFS(DH$3&lt;=YEAR($B$2),SUMPRODUCT(($E$4:$E$79=$E8)*($Z$2:$CG$2=DH$3)*($Z$2:$CG$2&lt;DI$3)*$Z$4:$CG$79),DH$3&lt;YEAR($X8),0,DH$3=YEAR($X8),DATEDIF($X8,DATE(DH$3,12,31),"m")*$Y8,AND(DH$3&gt;YEAR($X8),DH$3-YEAR($X8)&lt;20),$Y8*12,DH$3-YEAR($X8)=20,DATEDIF(DATE(YEAR($X8),1,1),$X8,"m")*$Y8,DH$3-YEAR($X8)&gt;20,0)</f>
        <v>0</v>
      </c>
      <c r="DI8" s="202" cm="1">
        <f t="array" ref="DI8">_xlfn.IFS(DI$3&lt;=YEAR($B$2),SUMPRODUCT(($E$4:$E$79=$E8)*($Z$2:$CG$2=DI$3)*($Z$2:$CG$2&lt;DJ$3)*$Z$4:$CG$79),DI$3&lt;YEAR($X8),0,DI$3=YEAR($X8),DATEDIF($X8,DATE(DI$3,12,31),"m")*$Y8,AND(DI$3&gt;YEAR($X8),DI$3-YEAR($X8)&lt;20),$Y8*12,DI$3-YEAR($X8)=20,DATEDIF(DATE(YEAR($X8),1,1),$X8,"m")*$Y8,DI$3-YEAR($X8)&gt;20,0)</f>
        <v>0</v>
      </c>
      <c r="DJ8" s="202" cm="1">
        <f t="array" ref="DJ8">_xlfn.IFS(DJ$3&lt;=YEAR($B$2),SUMPRODUCT(($E$4:$E$79=$E8)*($Z$2:$CG$2=DJ$3)*($Z$2:$CG$2&lt;DK$3)*$Z$4:$CG$79),DJ$3&lt;YEAR($X8),0,DJ$3=YEAR($X8),DATEDIF($X8,DATE(DJ$3,12,31),"m")*$Y8,AND(DJ$3&gt;YEAR($X8),DJ$3-YEAR($X8)&lt;20),$Y8*12,DJ$3-YEAR($X8)=20,DATEDIF(DATE(YEAR($X8),1,1),$X8,"m")*$Y8,DJ$3-YEAR($X8)&gt;20,0)</f>
        <v>0</v>
      </c>
      <c r="DK8" s="202" cm="1">
        <f t="array" ref="DK8">_xlfn.IFS(DK$3&lt;=YEAR($B$2),SUMPRODUCT(($E$4:$E$79=$E8)*($Z$2:$CG$2=DK$3)*($Z$2:$CG$2&lt;DL$3)*$Z$4:$CG$79),DK$3&lt;YEAR($X8),0,DK$3=YEAR($X8),DATEDIF($X8,DATE(DK$3,12,31),"m")*$Y8,AND(DK$3&gt;YEAR($X8),DK$3-YEAR($X8)&lt;20),$Y8*12,DK$3-YEAR($X8)=20,DATEDIF(DATE(YEAR($X8),1,1),$X8,"m")*$Y8,DK$3-YEAR($X8)&gt;20,0)</f>
        <v>0</v>
      </c>
      <c r="DL8" s="202" cm="1">
        <f t="array" ref="DL8">_xlfn.IFS(DL$3&lt;=YEAR($B$2),SUMPRODUCT(($E$4:$E$79=$E8)*($Z$2:$CG$2=DL$3)*($Z$2:$CG$2&lt;DM$3)*$Z$4:$CG$79),DL$3&lt;YEAR($X8),0,DL$3=YEAR($X8),DATEDIF($X8,DATE(DL$3,12,31),"m")*$Y8,AND(DL$3&gt;YEAR($X8),DL$3-YEAR($X8)&lt;20),$Y8*12,DL$3-YEAR($X8)=20,DATEDIF(DATE(YEAR($X8),1,1),$X8,"m")*$Y8,DL$3-YEAR($X8)&gt;20,0)</f>
        <v>0</v>
      </c>
      <c r="DP8" t="s">
        <v>104</v>
      </c>
      <c r="DQ8" t="b">
        <f>DQ7=CI2</f>
        <v>1</v>
      </c>
      <c r="DR8" t="b">
        <f t="shared" ref="DR8:ET8" si="25">DR7=CJ2</f>
        <v>1</v>
      </c>
      <c r="DS8" t="b">
        <f t="shared" si="25"/>
        <v>1</v>
      </c>
      <c r="DT8" t="b">
        <f t="shared" si="25"/>
        <v>1</v>
      </c>
      <c r="DU8" t="b">
        <f t="shared" si="25"/>
        <v>1</v>
      </c>
      <c r="DV8" t="b">
        <f t="shared" si="25"/>
        <v>1</v>
      </c>
      <c r="DW8" t="b">
        <f t="shared" si="25"/>
        <v>1</v>
      </c>
      <c r="DX8" t="b">
        <f t="shared" si="25"/>
        <v>1</v>
      </c>
      <c r="DY8" t="b">
        <f t="shared" si="25"/>
        <v>1</v>
      </c>
      <c r="DZ8" t="b">
        <f t="shared" si="25"/>
        <v>1</v>
      </c>
      <c r="EA8" t="b">
        <f t="shared" si="25"/>
        <v>1</v>
      </c>
      <c r="EB8" t="b">
        <f t="shared" si="25"/>
        <v>1</v>
      </c>
      <c r="EC8" t="b">
        <f t="shared" si="25"/>
        <v>1</v>
      </c>
      <c r="ED8" t="b">
        <f t="shared" si="25"/>
        <v>1</v>
      </c>
      <c r="EE8" t="b">
        <f t="shared" si="25"/>
        <v>1</v>
      </c>
      <c r="EF8" t="b">
        <f t="shared" si="25"/>
        <v>1</v>
      </c>
      <c r="EG8" t="b">
        <f t="shared" si="25"/>
        <v>1</v>
      </c>
      <c r="EH8" t="b">
        <f t="shared" si="25"/>
        <v>1</v>
      </c>
      <c r="EI8" t="b">
        <f t="shared" si="25"/>
        <v>1</v>
      </c>
      <c r="EJ8" t="b">
        <f t="shared" si="25"/>
        <v>1</v>
      </c>
      <c r="EK8" t="b">
        <f t="shared" si="25"/>
        <v>1</v>
      </c>
      <c r="EL8" t="b">
        <f t="shared" si="25"/>
        <v>1</v>
      </c>
      <c r="EM8" t="b">
        <f t="shared" si="25"/>
        <v>1</v>
      </c>
      <c r="EN8" t="b">
        <f t="shared" si="25"/>
        <v>1</v>
      </c>
      <c r="EO8" t="b">
        <f t="shared" si="25"/>
        <v>1</v>
      </c>
      <c r="EP8" t="b">
        <f t="shared" si="25"/>
        <v>1</v>
      </c>
      <c r="EQ8" t="b">
        <f t="shared" si="25"/>
        <v>1</v>
      </c>
      <c r="ER8" t="b">
        <f t="shared" si="25"/>
        <v>1</v>
      </c>
      <c r="ES8" t="b">
        <f t="shared" si="25"/>
        <v>1</v>
      </c>
      <c r="ET8" t="b">
        <f t="shared" si="25"/>
        <v>1</v>
      </c>
    </row>
    <row r="9" spans="1:150">
      <c r="A9" s="155" t="str" cm="1">
        <f t="array" ref="A9">INDEX('Monthly Report July 2025'!C:C,MATCH(E9,'Monthly Report July 2025'!E:E,0),0)</f>
        <v>OCS018</v>
      </c>
      <c r="B9" s="155" t="str" cm="1">
        <f t="array" ref="B9">_xlfn.IFS(LEFT(E9,3)="PGE","PGE",LEFT(E9,2)="PP","PAC",TRUE,"IP")</f>
        <v>PAC</v>
      </c>
      <c r="C9" s="155" t="str">
        <f>IF(ISNA(MATCH(E9,'Monthly Report July 2025'!E:E,0)),"Missing","Present")</f>
        <v>Present</v>
      </c>
      <c r="D9" s="155" t="str">
        <f>IF(ISNA(MATCH(E9,'Project Operational Timelines'!C:C,0))=TRUE,"Missing","Present")</f>
        <v>Present</v>
      </c>
      <c r="E9" s="155" t="s">
        <v>114</v>
      </c>
      <c r="F9" s="155" t="str" cm="1">
        <f t="array" ref="F9">INDEX('Monthly Report July 2025'!F:F,MATCH(E9,'Monthly Report July 2025'!E:E,),0)</f>
        <v>Hay Creek Solar</v>
      </c>
      <c r="G9" s="155" t="str" cm="1">
        <f t="array" ref="G9">_xlfn.IFS(INDEX('Monthly Report July 2025'!O:O,MATCH(E9,'Monthly Report July 2025'!E:E,0),0)="Operational","Operational",INDEX('Monthly Report July 2025'!O:O,MATCH(E9,'Monthly Report July 2025'!E:E,0),0)="Certified","Certified",TRUE,"Pre-Certified")</f>
        <v>Operational</v>
      </c>
      <c r="H9" s="155" t="str" cm="1">
        <f t="array" ref="H9">INDEX('Monthly Report July 2025'!H:H,MATCH($E9,'Monthly Report July 2025'!$E:$E,0),0)</f>
        <v>TLS Capital</v>
      </c>
      <c r="I9" s="155" t="str" cm="1">
        <f t="array" ref="I9">INDEX('Monthly Report July 2025'!I:I,MATCH($E9,'Monthly Report July 2025'!$E:$E,0),0)</f>
        <v>TLS Capital</v>
      </c>
      <c r="J9" s="174" cm="1">
        <f t="array" ref="J9">INDEX('Monthly Report July 2025'!J:J,MATCH($E9,'Monthly Report July 2025'!$E:$E,0),0)</f>
        <v>2</v>
      </c>
      <c r="K9" s="174" t="str" cm="1">
        <f t="array" ref="K9">INDEX('Monthly Report July 2025'!K:K,MATCH($E9,'Monthly Report July 2025'!$E:$E,0),0)</f>
        <v>No</v>
      </c>
      <c r="L9" s="174" t="b" cm="1">
        <f t="array" ref="L9">INDEX('Monthly Report July 2025'!L:L,MATCH(E9,'Monthly Report July 2025'!E:E,0),0)=M9</f>
        <v>1</v>
      </c>
      <c r="M9" s="273" cm="1">
        <f t="array" ref="M9">INDEX('Monthly Report July 2025'!L:L,MATCH($E9,'Monthly Report July 2025'!$E:$E,0),0)</f>
        <v>567</v>
      </c>
      <c r="N9" s="175" cm="1">
        <f t="array" ref="N9">INDEX('Monthly Report July 2025'!M:M,MATCH($E9,'Monthly Report July 2025'!$E:$E,0),0)</f>
        <v>44666</v>
      </c>
      <c r="O9" s="175" t="str" cm="1">
        <f t="array" ref="O9">_xlfn.IFS(G9="Operational","Operational",G9="Certified","Certified",TRUE,INDEX('Monthly Report July 2025'!O:O,MATCH(E9,'Monthly Report July 2025'!E:E,0),0))</f>
        <v>Operational</v>
      </c>
      <c r="P9" s="175" t="b" cm="1">
        <f t="array" ref="P9">_xlfn.IFS(G9="Operational",O9="Operational",G9="Certified",O9="Certified",TRUE,G9="Pre-Certified")</f>
        <v>1</v>
      </c>
      <c r="Q9" s="175" cm="1">
        <f t="array" ref="Q9">IF(O9="Operational",INDEX('Monthly Report July 2025'!R:R,MATCH(E9,'Monthly Report July 2025'!E:E,0),0),"")</f>
        <v>45139</v>
      </c>
      <c r="R9" s="175" cm="1">
        <f t="array" ref="R9">INDEX('Monthly Report July 2025'!P:P,MATCH(E9,'Monthly Report July 2025'!E:E,0),0)</f>
        <v>44909</v>
      </c>
      <c r="S9" s="175" t="b">
        <f t="shared" si="5"/>
        <v>1</v>
      </c>
      <c r="T9" s="175" cm="1">
        <f t="array" ref="T9">INDEX('Monthly Report July 2025'!U:U,MATCH(E9,'Monthly Report July 2025'!E:E,0),0)</f>
        <v>44879</v>
      </c>
      <c r="U9" s="175" t="str">
        <f t="shared" si="6"/>
        <v>IGNORE</v>
      </c>
      <c r="V9" s="156">
        <f t="shared" si="7"/>
        <v>44909</v>
      </c>
      <c r="W9" s="156" cm="1">
        <f t="array" ref="W9">_xlfn.IFS(U9=TRUE,EDATE(O9,6),U9=FALSE,T9,O9="Operational",Q9,AND(O9="Certified",EDATE(R9,6)&gt;T9),EDATE(R9,6),TRUE,T9)</f>
        <v>45139</v>
      </c>
      <c r="X9" s="156">
        <f t="shared" si="8"/>
        <v>45200</v>
      </c>
      <c r="Y9" s="157">
        <f t="shared" si="9"/>
        <v>409.65749999999997</v>
      </c>
      <c r="Z9" s="202" cm="1">
        <f t="array" ref="Z9">_xlfn.IFS(Z$3&lt;$B$2,SUMPRODUCT(('PA Fees Actual'!$B$5:$B$882=$E9)*('PA Fees Actual'!$A$5:$A$882&gt;=Z$3)*('PA Fees Actual'!$A$5:$A$882&lt;=EOMONTH(Z$3,0))*'PA Fees Actual'!$D$5:$D$882),Z$3&gt;=EOMONTH($X9,-1)+1,$Y9,TRUE,0)</f>
        <v>0</v>
      </c>
      <c r="AA9" s="202" cm="1">
        <f t="array" ref="AA9">_xlfn.IFS(AA$3&lt;$B$2,SUMPRODUCT(('PA Fees Actual'!$B$5:$B$882=$E9)*('PA Fees Actual'!$A$5:$A$882&gt;=AA$3)*('PA Fees Actual'!$A$5:$A$882&lt;=EOMONTH(AA$3,0))*'PA Fees Actual'!$D$5:$D$882),AA$3&gt;=EOMONTH($X9,-1)+1,$Y9,TRUE,0)</f>
        <v>0</v>
      </c>
      <c r="AB9" s="202" cm="1">
        <f t="array" ref="AB9">_xlfn.IFS(AB$3&lt;$B$2,SUMPRODUCT(('PA Fees Actual'!$B$5:$B$882=$E9)*('PA Fees Actual'!$A$5:$A$882&gt;=AB$3)*('PA Fees Actual'!$A$5:$A$882&lt;=EOMONTH(AB$3,0))*'PA Fees Actual'!$D$5:$D$882),AB$3&gt;=EOMONTH($X9,-1)+1,$Y9,TRUE,0)</f>
        <v>0</v>
      </c>
      <c r="AC9" s="202" cm="1">
        <f t="array" ref="AC9">_xlfn.IFS(AC$3&lt;$B$2,SUMPRODUCT(('PA Fees Actual'!$B$5:$B$882=$E9)*('PA Fees Actual'!$A$5:$A$882&gt;=AC$3)*('PA Fees Actual'!$A$5:$A$882&lt;=EOMONTH(AC$3,0))*'PA Fees Actual'!$D$5:$D$882),AC$3&gt;=EOMONTH($X9,-1)+1,$Y9,TRUE,0)</f>
        <v>0</v>
      </c>
      <c r="AD9" s="202" cm="1">
        <f t="array" ref="AD9">_xlfn.IFS(AD$3&lt;$B$2,SUMPRODUCT(('PA Fees Actual'!$B$5:$B$882=$E9)*('PA Fees Actual'!$A$5:$A$882&gt;=AD$3)*('PA Fees Actual'!$A$5:$A$882&lt;=EOMONTH(AD$3,0))*'PA Fees Actual'!$D$5:$D$882),AD$3&gt;=EOMONTH($X9,-1)+1,$Y9,TRUE,0)</f>
        <v>0</v>
      </c>
      <c r="AE9" s="202" cm="1">
        <f t="array" ref="AE9">_xlfn.IFS(AE$3&lt;$B$2,SUMPRODUCT(('PA Fees Actual'!$B$5:$B$882=$E9)*('PA Fees Actual'!$A$5:$A$882&gt;=AE$3)*('PA Fees Actual'!$A$5:$A$882&lt;=EOMONTH(AE$3,0))*'PA Fees Actual'!$D$5:$D$882),AE$3&gt;=EOMONTH($X9,-1)+1,$Y9,TRUE,0)</f>
        <v>0</v>
      </c>
      <c r="AF9" s="202" cm="1">
        <f t="array" ref="AF9">_xlfn.IFS(AF$3&lt;$B$2,SUMPRODUCT(('PA Fees Actual'!$B$5:$B$882=$E9)*('PA Fees Actual'!$A$5:$A$882&gt;=AF$3)*('PA Fees Actual'!$A$5:$A$882&lt;=EOMONTH(AF$3,0))*'PA Fees Actual'!$D$5:$D$882),AF$3&gt;=EOMONTH($X9,-1)+1,$Y9,TRUE,0)</f>
        <v>0</v>
      </c>
      <c r="AG9" s="202" cm="1">
        <f t="array" ref="AG9">_xlfn.IFS(AG$3&lt;$B$2,SUMPRODUCT(('PA Fees Actual'!$B$5:$B$882=$E9)*('PA Fees Actual'!$A$5:$A$882&gt;=AG$3)*('PA Fees Actual'!$A$5:$A$882&lt;=EOMONTH(AG$3,0))*'PA Fees Actual'!$D$5:$D$882),AG$3&gt;=EOMONTH($X9,-1)+1,$Y9,TRUE,0)</f>
        <v>0</v>
      </c>
      <c r="AH9" s="202" cm="1">
        <f t="array" ref="AH9">_xlfn.IFS(AH$3&lt;$B$2,SUMPRODUCT(('PA Fees Actual'!$B$5:$B$882=$E9)*('PA Fees Actual'!$A$5:$A$882&gt;=AH$3)*('PA Fees Actual'!$A$5:$A$882&lt;=EOMONTH(AH$3,0))*'PA Fees Actual'!$D$5:$D$882),AH$3&gt;=EOMONTH($X9,-1)+1,$Y9,TRUE,0)</f>
        <v>0</v>
      </c>
      <c r="AI9" s="202" cm="1">
        <f t="array" ref="AI9">_xlfn.IFS(AI$3&lt;$B$2,SUMPRODUCT(('PA Fees Actual'!$B$5:$B$882=$E9)*('PA Fees Actual'!$A$5:$A$882&gt;=AI$3)*('PA Fees Actual'!$A$5:$A$882&lt;=EOMONTH(AI$3,0))*'PA Fees Actual'!$D$5:$D$882),AI$3&gt;=EOMONTH($X9,-1)+1,$Y9,TRUE,0)</f>
        <v>0</v>
      </c>
      <c r="AJ9" s="202" cm="1">
        <f t="array" ref="AJ9">_xlfn.IFS(AJ$3&lt;$B$2,SUMPRODUCT(('PA Fees Actual'!$B$5:$B$882=$E9)*('PA Fees Actual'!$A$5:$A$882&gt;=AJ$3)*('PA Fees Actual'!$A$5:$A$882&lt;=EOMONTH(AJ$3,0))*'PA Fees Actual'!$D$5:$D$882),AJ$3&gt;=EOMONTH($X9,-1)+1,$Y9,TRUE,0)</f>
        <v>0</v>
      </c>
      <c r="AK9" s="202" cm="1">
        <f t="array" ref="AK9">_xlfn.IFS(AK$3&lt;$B$2,SUMPRODUCT(('PA Fees Actual'!$B$5:$B$882=$E9)*('PA Fees Actual'!$A$5:$A$882&gt;=AK$3)*('PA Fees Actual'!$A$5:$A$882&lt;=EOMONTH(AK$3,0))*'PA Fees Actual'!$D$5:$D$882),AK$3&gt;=EOMONTH($X9,-1)+1,$Y9,TRUE,0)</f>
        <v>0</v>
      </c>
      <c r="AL9" s="202" cm="1">
        <f t="array" ref="AL9">_xlfn.IFS(AL$3&lt;$B$2,SUMPRODUCT(('PA Fees Actual'!$B$5:$B$882=$E9)*('PA Fees Actual'!$A$5:$A$882&gt;=AL$3)*('PA Fees Actual'!$A$5:$A$882&lt;=EOMONTH(AL$3,0))*'PA Fees Actual'!$D$5:$D$882),AL$3&gt;=EOMONTH($X9,-1)+1,$Y9,TRUE,0)</f>
        <v>0</v>
      </c>
      <c r="AM9" s="202" cm="1">
        <f t="array" ref="AM9">_xlfn.IFS(AM$3&lt;$B$2,SUMPRODUCT(('PA Fees Actual'!$B$5:$B$882=$E9)*('PA Fees Actual'!$A$5:$A$882&gt;=AM$3)*('PA Fees Actual'!$A$5:$A$882&lt;=EOMONTH(AM$3,0))*'PA Fees Actual'!$D$5:$D$882),AM$3&gt;=EOMONTH($X9,-1)+1,$Y9,TRUE,0)</f>
        <v>0</v>
      </c>
      <c r="AN9" s="202" cm="1">
        <f t="array" ref="AN9">_xlfn.IFS(AN$3&lt;$B$2,SUMPRODUCT(('PA Fees Actual'!$B$5:$B$882=$E9)*('PA Fees Actual'!$A$5:$A$882&gt;=AN$3)*('PA Fees Actual'!$A$5:$A$882&lt;=EOMONTH(AN$3,0))*'PA Fees Actual'!$D$5:$D$882),AN$3&gt;=EOMONTH($X9,-1)+1,$Y9,TRUE,0)</f>
        <v>0</v>
      </c>
      <c r="AO9" s="202" cm="1">
        <f t="array" ref="AO9">_xlfn.IFS(AO$3&lt;$B$2,SUMPRODUCT(('PA Fees Actual'!$B$5:$B$882=$E9)*('PA Fees Actual'!$A$5:$A$882&gt;=AO$3)*('PA Fees Actual'!$A$5:$A$882&lt;=EOMONTH(AO$3,0))*'PA Fees Actual'!$D$5:$D$882),AO$3&gt;=EOMONTH($X9,-1)+1,$Y9,TRUE,0)</f>
        <v>0</v>
      </c>
      <c r="AP9" s="202" cm="1">
        <f t="array" ref="AP9">_xlfn.IFS(AP$3&lt;$B$2,SUMPRODUCT(('PA Fees Actual'!$B$5:$B$882=$E9)*('PA Fees Actual'!$A$5:$A$882&gt;=AP$3)*('PA Fees Actual'!$A$5:$A$882&lt;=EOMONTH(AP$3,0))*'PA Fees Actual'!$D$5:$D$882),AP$3&gt;=EOMONTH($X9,-1)+1,$Y9,TRUE,0)</f>
        <v>0</v>
      </c>
      <c r="AQ9" s="202" cm="1">
        <f t="array" ref="AQ9">_xlfn.IFS(AQ$3&lt;$B$2,SUMPRODUCT(('PA Fees Actual'!$B$5:$B$882=$E9)*('PA Fees Actual'!$A$5:$A$882&gt;=AQ$3)*('PA Fees Actual'!$A$5:$A$882&lt;=EOMONTH(AQ$3,0))*'PA Fees Actual'!$D$5:$D$882),AQ$3&gt;=EOMONTH($X9,-1)+1,$Y9,TRUE,0)</f>
        <v>0</v>
      </c>
      <c r="AR9" s="202" cm="1">
        <f t="array" ref="AR9">_xlfn.IFS(AR$3&lt;$B$2,SUMPRODUCT(('PA Fees Actual'!$B$5:$B$882=$E9)*('PA Fees Actual'!$A$5:$A$882&gt;=AR$3)*('PA Fees Actual'!$A$5:$A$882&lt;=EOMONTH(AR$3,0))*'PA Fees Actual'!$D$5:$D$882),AR$3&gt;=EOMONTH($X9,-1)+1,$Y9,TRUE,0)</f>
        <v>0</v>
      </c>
      <c r="AS9" s="202" cm="1">
        <f t="array" ref="AS9">_xlfn.IFS(AS$3&lt;$B$2,SUMPRODUCT(('PA Fees Actual'!$B$5:$B$882=$E9)*('PA Fees Actual'!$A$5:$A$882&gt;=AS$3)*('PA Fees Actual'!$A$5:$A$882&lt;=EOMONTH(AS$3,0))*'PA Fees Actual'!$D$5:$D$882),AS$3&gt;=EOMONTH($X9,-1)+1,$Y9,TRUE,0)</f>
        <v>0</v>
      </c>
      <c r="AT9" s="202" cm="1">
        <f t="array" ref="AT9">_xlfn.IFS(AT$3&lt;$B$2,SUMPRODUCT(('PA Fees Actual'!$B$5:$B$882=$E9)*('PA Fees Actual'!$A$5:$A$882&gt;=AT$3)*('PA Fees Actual'!$A$5:$A$882&lt;=EOMONTH(AT$3,0))*'PA Fees Actual'!$D$5:$D$882),AT$3&gt;=EOMONTH($X9,-1)+1,$Y9,TRUE,0)</f>
        <v>0</v>
      </c>
      <c r="AU9" s="202" cm="1">
        <f t="array" ref="AU9">_xlfn.IFS(AU$3&lt;$B$2,SUMPRODUCT(('PA Fees Actual'!$B$5:$B$882=$E9)*('PA Fees Actual'!$A$5:$A$882&gt;=AU$3)*('PA Fees Actual'!$A$5:$A$882&lt;=EOMONTH(AU$3,0))*'PA Fees Actual'!$D$5:$D$882),AU$3&gt;=EOMONTH($X9,-1)+1,$Y9,TRUE,0)</f>
        <v>0</v>
      </c>
      <c r="AV9" s="202" cm="1">
        <f t="array" ref="AV9">_xlfn.IFS(AV$3&lt;$B$2,SUMPRODUCT(('PA Fees Actual'!$B$5:$B$882=$E9)*('PA Fees Actual'!$A$5:$A$882&gt;=AV$3)*('PA Fees Actual'!$A$5:$A$882&lt;=EOMONTH(AV$3,0))*'PA Fees Actual'!$D$5:$D$882),AV$3&gt;=EOMONTH($X9,-1)+1,$Y9,TRUE,0)</f>
        <v>0</v>
      </c>
      <c r="AW9" s="202" cm="1">
        <f t="array" ref="AW9">_xlfn.IFS(AW$3&lt;$B$2,SUMPRODUCT(('PA Fees Actual'!$B$5:$B$882=$E9)*('PA Fees Actual'!$A$5:$A$882&gt;=AW$3)*('PA Fees Actual'!$A$5:$A$882&lt;=EOMONTH(AW$3,0))*'PA Fees Actual'!$D$5:$D$882),AW$3&gt;=EOMONTH($X9,-1)+1,$Y9,TRUE,0)</f>
        <v>0</v>
      </c>
      <c r="AX9" s="202" cm="1">
        <f t="array" ref="AX9">_xlfn.IFS(AX$3&lt;$B$2,SUMPRODUCT(('PA Fees Actual'!$B$5:$B$882=$E9)*('PA Fees Actual'!$A$5:$A$882&gt;=AX$3)*('PA Fees Actual'!$A$5:$A$882&lt;=EOMONTH(AX$3,0))*'PA Fees Actual'!$D$5:$D$882),AX$3&gt;=EOMONTH($X9,-1)+1,$Y9,TRUE,0)</f>
        <v>0</v>
      </c>
      <c r="AY9" s="202" cm="1">
        <f t="array" ref="AY9">_xlfn.IFS(AY$3&lt;$B$2,SUMPRODUCT(('PA Fees Actual'!$B$5:$B$882=$E9)*('PA Fees Actual'!$A$5:$A$882&gt;=AY$3)*('PA Fees Actual'!$A$5:$A$882&lt;=EOMONTH(AY$3,0))*'PA Fees Actual'!$D$5:$D$882),AY$3&gt;=EOMONTH($X9,-1)+1,$Y9,TRUE,0)</f>
        <v>0</v>
      </c>
      <c r="AZ9" s="202" cm="1">
        <f t="array" ref="AZ9">_xlfn.IFS(AZ$3&lt;$B$2,SUMPRODUCT(('PA Fees Actual'!$B$5:$B$882=$E9)*('PA Fees Actual'!$A$5:$A$882&gt;=AZ$3)*('PA Fees Actual'!$A$5:$A$882&lt;=EOMONTH(AZ$3,0))*'PA Fees Actual'!$D$5:$D$882),AZ$3&gt;=EOMONTH($X9,-1)+1,$Y9,TRUE,0)</f>
        <v>0</v>
      </c>
      <c r="BA9" s="202" cm="1">
        <f t="array" ref="BA9">_xlfn.IFS(BA$3&lt;$B$2,SUMPRODUCT(('PA Fees Actual'!$B$5:$B$882=$E9)*('PA Fees Actual'!$A$5:$A$882&gt;=BA$3)*('PA Fees Actual'!$A$5:$A$882&lt;=EOMONTH(BA$3,0))*'PA Fees Actual'!$D$5:$D$882),BA$3&gt;=EOMONTH($X9,-1)+1,$Y9,TRUE,0)</f>
        <v>0</v>
      </c>
      <c r="BB9" s="202" cm="1">
        <f t="array" ref="BB9">_xlfn.IFS(BB$3&lt;$B$2,SUMPRODUCT(('PA Fees Actual'!$B$5:$B$882=$E9)*('PA Fees Actual'!$A$5:$A$882&gt;=BB$3)*('PA Fees Actual'!$A$5:$A$882&lt;=EOMONTH(BB$3,0))*'PA Fees Actual'!$D$5:$D$882),BB$3&gt;=EOMONTH($X9,-1)+1,$Y9,TRUE,0)</f>
        <v>0</v>
      </c>
      <c r="BC9" s="202" cm="1">
        <f t="array" ref="BC9">_xlfn.IFS(BC$3&lt;$B$2,SUMPRODUCT(('PA Fees Actual'!$B$5:$B$882=$E9)*('PA Fees Actual'!$A$5:$A$882&gt;=BC$3)*('PA Fees Actual'!$A$5:$A$882&lt;=EOMONTH(BC$3,0))*'PA Fees Actual'!$D$5:$D$882),BC$3&gt;=EOMONTH($X9,-1)+1,$Y9,TRUE,0)</f>
        <v>0</v>
      </c>
      <c r="BD9" s="202" cm="1">
        <f t="array" ref="BD9">_xlfn.IFS(BD$3&lt;$B$2,SUMPRODUCT(('PA Fees Actual'!$B$5:$B$882=$E9)*('PA Fees Actual'!$A$5:$A$882&gt;=BD$3)*('PA Fees Actual'!$A$5:$A$882&lt;=EOMONTH(BD$3,0))*'PA Fees Actual'!$D$5:$D$882),BD$3&gt;=EOMONTH($X9,-1)+1,$Y9,TRUE,0)</f>
        <v>0</v>
      </c>
      <c r="BE9" s="202" cm="1">
        <f t="array" ref="BE9">_xlfn.IFS(BE$3&lt;$B$2,SUMPRODUCT(('PA Fees Actual'!$B$5:$B$882=$E9)*('PA Fees Actual'!$A$5:$A$882&gt;=BE$3)*('PA Fees Actual'!$A$5:$A$882&lt;=EOMONTH(BE$3,0))*'PA Fees Actual'!$D$5:$D$882),BE$3&gt;=EOMONTH($X9,-1)+1,$Y9,TRUE,0)</f>
        <v>0</v>
      </c>
      <c r="BF9" s="202" cm="1">
        <f t="array" ref="BF9">_xlfn.IFS(BF$3&lt;$B$2,SUMPRODUCT(('PA Fees Actual'!$B$5:$B$882=$E9)*('PA Fees Actual'!$A$5:$A$882&gt;=BF$3)*('PA Fees Actual'!$A$5:$A$882&lt;=EOMONTH(BF$3,0))*'PA Fees Actual'!$D$5:$D$882),BF$3&gt;=EOMONTH($X9,-1)+1,$Y9,TRUE,0)</f>
        <v>0</v>
      </c>
      <c r="BG9" s="202" cm="1">
        <f t="array" ref="BG9">_xlfn.IFS(BG$3&lt;$B$2,SUMPRODUCT(('PA Fees Actual'!$B$5:$B$882=$E9)*('PA Fees Actual'!$A$5:$A$882&gt;=BG$3)*('PA Fees Actual'!$A$5:$A$882&lt;=EOMONTH(BG$3,0))*'PA Fees Actual'!$D$5:$D$882),BG$3&gt;=EOMONTH($X9,-1)+1,$Y9,TRUE,0)</f>
        <v>0</v>
      </c>
      <c r="BH9" s="202" cm="1">
        <f t="array" ref="BH9">_xlfn.IFS(BH$3&lt;$B$2,SUMPRODUCT(('PA Fees Actual'!$B$5:$B$882=$E9)*('PA Fees Actual'!$A$5:$A$882&gt;=BH$3)*('PA Fees Actual'!$A$5:$A$882&lt;=EOMONTH(BH$3,0))*'PA Fees Actual'!$D$5:$D$882),BH$3&gt;=EOMONTH($X9,-1)+1,$Y9,TRUE,0)</f>
        <v>1282.44</v>
      </c>
      <c r="BI9" s="202" cm="1">
        <f t="array" ref="BI9">_xlfn.IFS(BI$3&lt;$B$2,SUMPRODUCT(('PA Fees Actual'!$B$5:$B$882=$E9)*('PA Fees Actual'!$A$5:$A$882&gt;=BI$3)*('PA Fees Actual'!$A$5:$A$882&lt;=EOMONTH(BI$3,0))*'PA Fees Actual'!$D$5:$D$882),BI$3&gt;=EOMONTH($X9,-1)+1,$Y9,TRUE,0)</f>
        <v>427.48</v>
      </c>
      <c r="BJ9" s="202" cm="1">
        <f t="array" ref="BJ9">_xlfn.IFS(BJ$3&lt;$B$2,SUMPRODUCT(('PA Fees Actual'!$B$5:$B$882=$E9)*('PA Fees Actual'!$A$5:$A$882&gt;=BJ$3)*('PA Fees Actual'!$A$5:$A$882&lt;=EOMONTH(BJ$3,0))*'PA Fees Actual'!$D$5:$D$882),BJ$3&gt;=EOMONTH($X9,-1)+1,$Y9,TRUE,0)</f>
        <v>427.48</v>
      </c>
      <c r="BK9" s="202" cm="1">
        <f t="array" ref="BK9">_xlfn.IFS(BK$3&lt;$B$2,SUMPRODUCT(('PA Fees Actual'!$B$5:$B$882=$E9)*('PA Fees Actual'!$A$5:$A$882&gt;=BK$3)*('PA Fees Actual'!$A$5:$A$882&lt;=EOMONTH(BK$3,0))*'PA Fees Actual'!$D$5:$D$882),BK$3&gt;=EOMONTH($X9,-1)+1,$Y9,TRUE,0)</f>
        <v>0</v>
      </c>
      <c r="BL9" s="202" cm="1">
        <f t="array" ref="BL9">_xlfn.IFS(BL$3&lt;$B$2,SUMPRODUCT(('PA Fees Actual'!$B$5:$B$882=$E9)*('PA Fees Actual'!$A$5:$A$882&gt;=BL$3)*('PA Fees Actual'!$A$5:$A$882&lt;=EOMONTH(BL$3,0))*'PA Fees Actual'!$D$5:$D$882),BL$3&gt;=EOMONTH($X9,-1)+1,$Y9,TRUE,0)</f>
        <v>852.66000000000008</v>
      </c>
      <c r="BM9" s="202" cm="1">
        <f t="array" ref="BM9">_xlfn.IFS(BM$3&lt;$B$2,SUMPRODUCT(('PA Fees Actual'!$B$5:$B$882=$E9)*('PA Fees Actual'!$A$5:$A$882&gt;=BM$3)*('PA Fees Actual'!$A$5:$A$882&lt;=EOMONTH(BM$3,0))*'PA Fees Actual'!$D$5:$D$882),BM$3&gt;=EOMONTH($X9,-1)+1,$Y9,TRUE,0)</f>
        <v>426.29</v>
      </c>
      <c r="BN9" s="202" cm="1">
        <f t="array" ref="BN9">_xlfn.IFS(BN$3&lt;$B$2,SUMPRODUCT(('PA Fees Actual'!$B$5:$B$882=$E9)*('PA Fees Actual'!$A$5:$A$882&gt;=BN$3)*('PA Fees Actual'!$A$5:$A$882&lt;=EOMONTH(BN$3,0))*'PA Fees Actual'!$D$5:$D$882),BN$3&gt;=EOMONTH($X9,-1)+1,$Y9,TRUE,0)</f>
        <v>423.91</v>
      </c>
      <c r="BO9" s="202" cm="1">
        <f t="array" ref="BO9">_xlfn.IFS(BO$3&lt;$B$2,SUMPRODUCT(('PA Fees Actual'!$B$5:$B$882=$E9)*('PA Fees Actual'!$A$5:$A$882&gt;=BO$3)*('PA Fees Actual'!$A$5:$A$882&lt;=EOMONTH(BO$3,0))*'PA Fees Actual'!$D$5:$D$882),BO$3&gt;=EOMONTH($X9,-1)+1,$Y9,TRUE,0)</f>
        <v>0</v>
      </c>
      <c r="BP9" s="202" cm="1">
        <f t="array" ref="BP9">_xlfn.IFS(BP$3&lt;$B$2,SUMPRODUCT(('PA Fees Actual'!$B$5:$B$882=$E9)*('PA Fees Actual'!$A$5:$A$882&gt;=BP$3)*('PA Fees Actual'!$A$5:$A$882&lt;=EOMONTH(BP$3,0))*'PA Fees Actual'!$D$5:$D$882),BP$3&gt;=EOMONTH($X9,-1)+1,$Y9,TRUE,0)</f>
        <v>423.91</v>
      </c>
      <c r="BQ9" s="202" cm="1">
        <f t="array" ref="BQ9">_xlfn.IFS(BQ$3&lt;$B$2,SUMPRODUCT(('PA Fees Actual'!$B$5:$B$882=$E9)*('PA Fees Actual'!$A$5:$A$882&gt;=BQ$3)*('PA Fees Actual'!$A$5:$A$882&lt;=EOMONTH(BQ$3,0))*'PA Fees Actual'!$D$5:$D$882),BQ$3&gt;=EOMONTH($X9,-1)+1,$Y9,TRUE,0)</f>
        <v>860.74</v>
      </c>
      <c r="BR9" s="202" cm="1">
        <f t="array" ref="BR9">_xlfn.IFS(BR$3&lt;$B$2,SUMPRODUCT(('PA Fees Actual'!$B$5:$B$882=$E9)*('PA Fees Actual'!$A$5:$A$882&gt;=BR$3)*('PA Fees Actual'!$A$5:$A$882&lt;=EOMONTH(BR$3,0))*'PA Fees Actual'!$D$5:$D$882),BR$3&gt;=EOMONTH($X9,-1)+1,$Y9,TRUE,0)</f>
        <v>431.37</v>
      </c>
      <c r="BS9" s="202" cm="1">
        <f t="array" ref="BS9">_xlfn.IFS(BS$3&lt;$B$2,SUMPRODUCT(('PA Fees Actual'!$B$5:$B$882=$E9)*('PA Fees Actual'!$A$5:$A$882&gt;=BS$3)*('PA Fees Actual'!$A$5:$A$882&lt;=EOMONTH(BS$3,0))*'PA Fees Actual'!$D$5:$D$882),BS$3&gt;=EOMONTH($X9,-1)+1,$Y9,TRUE,0)</f>
        <v>430.37</v>
      </c>
      <c r="BT9" s="202" cm="1">
        <f t="array" ref="BT9">_xlfn.IFS(BT$3&lt;$B$2,SUMPRODUCT(('PA Fees Actual'!$B$5:$B$882=$E9)*('PA Fees Actual'!$A$5:$A$882&gt;=BT$3)*('PA Fees Actual'!$A$5:$A$882&lt;=EOMONTH(BT$3,0))*'PA Fees Actual'!$D$5:$D$882),BT$3&gt;=EOMONTH($X9,-1)+1,$Y9,TRUE,0)</f>
        <v>433.58</v>
      </c>
      <c r="BU9" s="202" cm="1">
        <f t="array" ref="BU9">_xlfn.IFS(BU$3&lt;$B$2,SUMPRODUCT(('PA Fees Actual'!$B$5:$B$882=$E9)*('PA Fees Actual'!$A$5:$A$882&gt;=BU$3)*('PA Fees Actual'!$A$5:$A$882&lt;=EOMONTH(BU$3,0))*'PA Fees Actual'!$D$5:$D$882),BU$3&gt;=EOMONTH($X9,-1)+1,$Y9,TRUE,0)</f>
        <v>-3.21</v>
      </c>
      <c r="BV9" s="202" cm="1">
        <f t="array" ref="BV9">_xlfn.IFS(BV$3&lt;$B$2,SUMPRODUCT(('PA Fees Actual'!$B$5:$B$882=$E9)*('PA Fees Actual'!$A$5:$A$882&gt;=BV$3)*('PA Fees Actual'!$A$5:$A$882&lt;=EOMONTH(BV$3,0))*'PA Fees Actual'!$D$5:$D$882),BV$3&gt;=EOMONTH($X9,-1)+1,$Y9,TRUE,0)</f>
        <v>899.84</v>
      </c>
      <c r="BW9" s="202" cm="1">
        <f t="array" ref="BW9">_xlfn.IFS(BW$3&lt;$B$2,SUMPRODUCT(('PA Fees Actual'!$B$5:$B$882=$E9)*('PA Fees Actual'!$A$5:$A$882&gt;=BW$3)*('PA Fees Actual'!$A$5:$A$882&lt;=EOMONTH(BW$3,0))*'PA Fees Actual'!$D$5:$D$882),BW$3&gt;=EOMONTH($X9,-1)+1,$Y9,TRUE,0)</f>
        <v>-39.1</v>
      </c>
      <c r="BX9" s="202" cm="1">
        <f t="array" ref="BX9">_xlfn.IFS(BX$3&lt;$B$2,SUMPRODUCT(('PA Fees Actual'!$B$5:$B$882=$E9)*('PA Fees Actual'!$A$5:$A$882&gt;=BX$3)*('PA Fees Actual'!$A$5:$A$882&lt;=EOMONTH(BX$3,0))*'PA Fees Actual'!$D$5:$D$882),BX$3&gt;=EOMONTH($X9,-1)+1,$Y9,TRUE,0)</f>
        <v>427.56</v>
      </c>
      <c r="BY9" s="202" cm="1">
        <f t="array" ref="BY9">_xlfn.IFS(BY$3&lt;$B$2,SUMPRODUCT(('PA Fees Actual'!$B$5:$B$882=$E9)*('PA Fees Actual'!$A$5:$A$882&gt;=BY$3)*('PA Fees Actual'!$A$5:$A$882&lt;=EOMONTH(BY$3,0))*'PA Fees Actual'!$D$5:$D$882),BY$3&gt;=EOMONTH($X9,-1)+1,$Y9,TRUE,0)</f>
        <v>848.14</v>
      </c>
      <c r="BZ9" s="202" cm="1">
        <f t="array" ref="BZ9">_xlfn.IFS(BZ$3&lt;$B$2,SUMPRODUCT(('PA Fees Actual'!$B$5:$B$882=$E9)*('PA Fees Actual'!$A$5:$A$882&gt;=BZ$3)*('PA Fees Actual'!$A$5:$A$882&lt;=EOMONTH(BZ$3,0))*'PA Fees Actual'!$D$5:$D$882),BZ$3&gt;=EOMONTH($X9,-1)+1,$Y9,TRUE,0)</f>
        <v>0</v>
      </c>
      <c r="CA9" s="202" cm="1">
        <f t="array" ref="CA9">_xlfn.IFS(CA$3&lt;$B$2,SUMPRODUCT(('PA Fees Actual'!$B$5:$B$882=$E9)*('PA Fees Actual'!$A$5:$A$882&gt;=CA$3)*('PA Fees Actual'!$A$5:$A$882&lt;=EOMONTH(CA$3,0))*'PA Fees Actual'!$D$5:$D$882),CA$3&gt;=EOMONTH($X9,-1)+1,$Y9,TRUE,0)</f>
        <v>423.39</v>
      </c>
      <c r="CB9" s="202" cm="1">
        <f t="array" ref="CB9">_xlfn.IFS(CB$3&lt;$B$2,SUMPRODUCT(('PA Fees Actual'!$B$5:$B$882=$E9)*('PA Fees Actual'!$A$5:$A$882&gt;=CB$3)*('PA Fees Actual'!$A$5:$A$882&lt;=EOMONTH(CB$3,0))*'PA Fees Actual'!$D$5:$D$882),CB$3&gt;=EOMONTH($X9,-1)+1,$Y9,TRUE,0)</f>
        <v>409.65749999999997</v>
      </c>
      <c r="CC9" s="202" cm="1">
        <f t="array" ref="CC9">_xlfn.IFS(CC$3&lt;$B$2,SUMPRODUCT(('PA Fees Actual'!$B$5:$B$882=$E9)*('PA Fees Actual'!$A$5:$A$882&gt;=CC$3)*('PA Fees Actual'!$A$5:$A$882&lt;=EOMONTH(CC$3,0))*'PA Fees Actual'!$D$5:$D$882),CC$3&gt;=EOMONTH($X9,-1)+1,$Y9,TRUE,0)</f>
        <v>409.65749999999997</v>
      </c>
      <c r="CD9" s="202" cm="1">
        <f t="array" ref="CD9">_xlfn.IFS(CD$3&lt;$B$2,SUMPRODUCT(('PA Fees Actual'!$B$5:$B$882=$E9)*('PA Fees Actual'!$A$5:$A$882&gt;=CD$3)*('PA Fees Actual'!$A$5:$A$882&lt;=EOMONTH(CD$3,0))*'PA Fees Actual'!$D$5:$D$882),CD$3&gt;=EOMONTH($X9,-1)+1,$Y9,TRUE,0)</f>
        <v>409.65749999999997</v>
      </c>
      <c r="CE9" s="202" cm="1">
        <f t="array" ref="CE9">_xlfn.IFS(CE$3&lt;$B$2,SUMPRODUCT(('PA Fees Actual'!$B$5:$B$882=$E9)*('PA Fees Actual'!$A$5:$A$882&gt;=CE$3)*('PA Fees Actual'!$A$5:$A$882&lt;=EOMONTH(CE$3,0))*'PA Fees Actual'!$D$5:$D$882),CE$3&gt;=EOMONTH($X9,-1)+1,$Y9,TRUE,0)</f>
        <v>409.65749999999997</v>
      </c>
      <c r="CF9" s="202" cm="1">
        <f t="array" ref="CF9">_xlfn.IFS(CF$3&lt;$B$2,SUMPRODUCT(('PA Fees Actual'!$B$5:$B$882=$E9)*('PA Fees Actual'!$A$5:$A$882&gt;=CF$3)*('PA Fees Actual'!$A$5:$A$882&lt;=EOMONTH(CF$3,0))*'PA Fees Actual'!$D$5:$D$882),CF$3&gt;=EOMONTH($X9,-1)+1,$Y9,TRUE,0)</f>
        <v>409.65749999999997</v>
      </c>
      <c r="CG9" s="202" cm="1">
        <f t="array" ref="CG9">_xlfn.IFS(CG$3&lt;$B$2,SUMPRODUCT(('PA Fees Actual'!$B$5:$B$882=$E9)*('PA Fees Actual'!$A$5:$A$882&gt;=CG$3)*('PA Fees Actual'!$A$5:$A$882&lt;=EOMONTH(CG$3,0))*'PA Fees Actual'!$D$5:$D$882),CG$3&gt;=EOMONTH($X9,-1)+1,$Y9,TRUE,0)</f>
        <v>409.65749999999997</v>
      </c>
      <c r="CI9" s="202" cm="1">
        <f t="array" ref="CI9">_xlfn.IFS(CI$3&lt;=YEAR($B$2),SUMPRODUCT(($E$4:$E$79=$E9)*($Z$2:$CG$2=CI$3)*($Z$2:$CG$2&lt;CJ$3)*$Z$4:$CG$79),CI$3&lt;YEAR($X9),0,CI$3=YEAR($X9),DATEDIF($X9,DATE(CI$3,12,31),"m")*$Y9,AND(CI$3&gt;YEAR($X9),CI$3-YEAR($X9)&lt;20),$Y9*12,CI$3-YEAR($X9)=20,DATEDIF(DATE(YEAR($X9),1,1),$X9,"m")*$Y9,CI$3-YEAR($X9)&gt;20,0)</f>
        <v>0</v>
      </c>
      <c r="CJ9" s="202" cm="1">
        <f t="array" ref="CJ9">_xlfn.IFS(CJ$3&lt;=YEAR($B$2),SUMPRODUCT(($E$4:$E$79=$E9)*($Z$2:$CG$2=CJ$3)*($Z$2:$CG$2&lt;CK$3)*$Z$4:$CG$79),CJ$3&lt;YEAR($X9),0,CJ$3=YEAR($X9),DATEDIF($X9,DATE(CJ$3,12,31),"m")*$Y9,AND(CJ$3&gt;YEAR($X9),CJ$3-YEAR($X9)&lt;20),$Y9*12,CJ$3-YEAR($X9)=20,DATEDIF(DATE(YEAR($X9),1,1),$X9,"m")*$Y9,CJ$3-YEAR($X9)&gt;20,0)</f>
        <v>0</v>
      </c>
      <c r="CK9" s="202" cm="1">
        <f t="array" ref="CK9">_xlfn.IFS(CK$3&lt;=YEAR($B$2),SUMPRODUCT(($E$4:$E$79=$E9)*($Z$2:$CG$2=CK$3)*($Z$2:$CG$2&lt;CL$3)*$Z$4:$CG$79),CK$3&lt;YEAR($X9),0,CK$3=YEAR($X9),DATEDIF($X9,DATE(CK$3,12,31),"m")*$Y9,AND(CK$3&gt;YEAR($X9),CK$3-YEAR($X9)&lt;20),$Y9*12,CK$3-YEAR($X9)=20,DATEDIF(DATE(YEAR($X9),1,1),$X9,"m")*$Y9,CK$3-YEAR($X9)&gt;20,0)</f>
        <v>1709.92</v>
      </c>
      <c r="CL9" s="202" cm="1">
        <f t="array" ref="CL9">_xlfn.IFS(CL$3&lt;=YEAR($B$2),SUMPRODUCT(($E$4:$E$79=$E9)*($Z$2:$CG$2=CL$3)*($Z$2:$CG$2&lt;CM$3)*$Z$4:$CG$79),CL$3&lt;YEAR($X9),0,CL$3=YEAR($X9),DATEDIF($X9,DATE(CL$3,12,31),"m")*$Y9,AND(CL$3&gt;YEAR($X9),CL$3-YEAR($X9)&lt;20),$Y9*12,CL$3-YEAR($X9)=20,DATEDIF(DATE(YEAR($X9),1,1),$X9,"m")*$Y9,CL$3-YEAR($X9)&gt;20,0)</f>
        <v>4707.0999999999995</v>
      </c>
      <c r="CM9" s="202" cm="1">
        <f t="array" ref="CM9">_xlfn.IFS(CM$3&lt;=YEAR($B$2),SUMPRODUCT(($E$4:$E$79=$E9)*($Z$2:$CG$2=CM$3)*($Z$2:$CG$2&lt;CN$3)*$Z$4:$CG$79),CM$3&lt;YEAR($X9),0,CM$3=YEAR($X9),DATEDIF($X9,DATE(CM$3,12,31),"m")*$Y9,AND(CM$3&gt;YEAR($X9),CM$3-YEAR($X9)&lt;20),$Y9*12,CM$3-YEAR($X9)=20,DATEDIF(DATE(YEAR($X9),1,1),$X9,"m")*$Y9,CM$3-YEAR($X9)&gt;20,0)</f>
        <v>5017.7749999999996</v>
      </c>
      <c r="CN9" s="202" cm="1">
        <f t="array" ref="CN9">_xlfn.IFS(CN$3&lt;=YEAR($B$2),SUMPRODUCT(($E$4:$E$79=$E9)*($Z$2:$CG$2=CN$3)*($Z$2:$CG$2&lt;CO$3)*$Z$4:$CG$79),CN$3&lt;YEAR($X9),0,CN$3=YEAR($X9),DATEDIF($X9,DATE(CN$3,12,31),"m")*$Y9,AND(CN$3&gt;YEAR($X9),CN$3-YEAR($X9)&lt;20),$Y9*12,CN$3-YEAR($X9)=20,DATEDIF(DATE(YEAR($X9),1,1),$X9,"m")*$Y9,CN$3-YEAR($X9)&gt;20,0)</f>
        <v>4915.8899999999994</v>
      </c>
      <c r="CO9" s="202" cm="1">
        <f t="array" ref="CO9">_xlfn.IFS(CO$3&lt;=YEAR($B$2),SUMPRODUCT(($E$4:$E$79=$E9)*($Z$2:$CG$2=CO$3)*($Z$2:$CG$2&lt;CP$3)*$Z$4:$CG$79),CO$3&lt;YEAR($X9),0,CO$3=YEAR($X9),DATEDIF($X9,DATE(CO$3,12,31),"m")*$Y9,AND(CO$3&gt;YEAR($X9),CO$3-YEAR($X9)&lt;20),$Y9*12,CO$3-YEAR($X9)=20,DATEDIF(DATE(YEAR($X9),1,1),$X9,"m")*$Y9,CO$3-YEAR($X9)&gt;20,0)</f>
        <v>4915.8899999999994</v>
      </c>
      <c r="CP9" s="202" cm="1">
        <f t="array" ref="CP9">_xlfn.IFS(CP$3&lt;=YEAR($B$2),SUMPRODUCT(($E$4:$E$79=$E9)*($Z$2:$CG$2=CP$3)*($Z$2:$CG$2&lt;CQ$3)*$Z$4:$CG$79),CP$3&lt;YEAR($X9),0,CP$3=YEAR($X9),DATEDIF($X9,DATE(CP$3,12,31),"m")*$Y9,AND(CP$3&gt;YEAR($X9),CP$3-YEAR($X9)&lt;20),$Y9*12,CP$3-YEAR($X9)=20,DATEDIF(DATE(YEAR($X9),1,1),$X9,"m")*$Y9,CP$3-YEAR($X9)&gt;20,0)</f>
        <v>4915.8899999999994</v>
      </c>
      <c r="CQ9" s="202" cm="1">
        <f t="array" ref="CQ9">_xlfn.IFS(CQ$3&lt;=YEAR($B$2),SUMPRODUCT(($E$4:$E$79=$E9)*($Z$2:$CG$2=CQ$3)*($Z$2:$CG$2&lt;CR$3)*$Z$4:$CG$79),CQ$3&lt;YEAR($X9),0,CQ$3=YEAR($X9),DATEDIF($X9,DATE(CQ$3,12,31),"m")*$Y9,AND(CQ$3&gt;YEAR($X9),CQ$3-YEAR($X9)&lt;20),$Y9*12,CQ$3-YEAR($X9)=20,DATEDIF(DATE(YEAR($X9),1,1),$X9,"m")*$Y9,CQ$3-YEAR($X9)&gt;20,0)</f>
        <v>4915.8899999999994</v>
      </c>
      <c r="CR9" s="202" cm="1">
        <f t="array" ref="CR9">_xlfn.IFS(CR$3&lt;=YEAR($B$2),SUMPRODUCT(($E$4:$E$79=$E9)*($Z$2:$CG$2=CR$3)*($Z$2:$CG$2&lt;CS$3)*$Z$4:$CG$79),CR$3&lt;YEAR($X9),0,CR$3=YEAR($X9),DATEDIF($X9,DATE(CR$3,12,31),"m")*$Y9,AND(CR$3&gt;YEAR($X9),CR$3-YEAR($X9)&lt;20),$Y9*12,CR$3-YEAR($X9)=20,DATEDIF(DATE(YEAR($X9),1,1),$X9,"m")*$Y9,CR$3-YEAR($X9)&gt;20,0)</f>
        <v>4915.8899999999994</v>
      </c>
      <c r="CS9" s="202" cm="1">
        <f t="array" ref="CS9">_xlfn.IFS(CS$3&lt;=YEAR($B$2),SUMPRODUCT(($E$4:$E$79=$E9)*($Z$2:$CG$2=CS$3)*($Z$2:$CG$2&lt;CT$3)*$Z$4:$CG$79),CS$3&lt;YEAR($X9),0,CS$3=YEAR($X9),DATEDIF($X9,DATE(CS$3,12,31),"m")*$Y9,AND(CS$3&gt;YEAR($X9),CS$3-YEAR($X9)&lt;20),$Y9*12,CS$3-YEAR($X9)=20,DATEDIF(DATE(YEAR($X9),1,1),$X9,"m")*$Y9,CS$3-YEAR($X9)&gt;20,0)</f>
        <v>4915.8899999999994</v>
      </c>
      <c r="CT9" s="202" cm="1">
        <f t="array" ref="CT9">_xlfn.IFS(CT$3&lt;=YEAR($B$2),SUMPRODUCT(($E$4:$E$79=$E9)*($Z$2:$CG$2=CT$3)*($Z$2:$CG$2&lt;CU$3)*$Z$4:$CG$79),CT$3&lt;YEAR($X9),0,CT$3=YEAR($X9),DATEDIF($X9,DATE(CT$3,12,31),"m")*$Y9,AND(CT$3&gt;YEAR($X9),CT$3-YEAR($X9)&lt;20),$Y9*12,CT$3-YEAR($X9)=20,DATEDIF(DATE(YEAR($X9),1,1),$X9,"m")*$Y9,CT$3-YEAR($X9)&gt;20,0)</f>
        <v>4915.8899999999994</v>
      </c>
      <c r="CU9" s="202" cm="1">
        <f t="array" ref="CU9">_xlfn.IFS(CU$3&lt;=YEAR($B$2),SUMPRODUCT(($E$4:$E$79=$E9)*($Z$2:$CG$2=CU$3)*($Z$2:$CG$2&lt;CV$3)*$Z$4:$CG$79),CU$3&lt;YEAR($X9),0,CU$3=YEAR($X9),DATEDIF($X9,DATE(CU$3,12,31),"m")*$Y9,AND(CU$3&gt;YEAR($X9),CU$3-YEAR($X9)&lt;20),$Y9*12,CU$3-YEAR($X9)=20,DATEDIF(DATE(YEAR($X9),1,1),$X9,"m")*$Y9,CU$3-YEAR($X9)&gt;20,0)</f>
        <v>4915.8899999999994</v>
      </c>
      <c r="CV9" s="202" cm="1">
        <f t="array" ref="CV9">_xlfn.IFS(CV$3&lt;=YEAR($B$2),SUMPRODUCT(($E$4:$E$79=$E9)*($Z$2:$CG$2=CV$3)*($Z$2:$CG$2&lt;CW$3)*$Z$4:$CG$79),CV$3&lt;YEAR($X9),0,CV$3=YEAR($X9),DATEDIF($X9,DATE(CV$3,12,31),"m")*$Y9,AND(CV$3&gt;YEAR($X9),CV$3-YEAR($X9)&lt;20),$Y9*12,CV$3-YEAR($X9)=20,DATEDIF(DATE(YEAR($X9),1,1),$X9,"m")*$Y9,CV$3-YEAR($X9)&gt;20,0)</f>
        <v>4915.8899999999994</v>
      </c>
      <c r="CW9" s="202" cm="1">
        <f t="array" ref="CW9">_xlfn.IFS(CW$3&lt;=YEAR($B$2),SUMPRODUCT(($E$4:$E$79=$E9)*($Z$2:$CG$2=CW$3)*($Z$2:$CG$2&lt;CX$3)*$Z$4:$CG$79),CW$3&lt;YEAR($X9),0,CW$3=YEAR($X9),DATEDIF($X9,DATE(CW$3,12,31),"m")*$Y9,AND(CW$3&gt;YEAR($X9),CW$3-YEAR($X9)&lt;20),$Y9*12,CW$3-YEAR($X9)=20,DATEDIF(DATE(YEAR($X9),1,1),$X9,"m")*$Y9,CW$3-YEAR($X9)&gt;20,0)</f>
        <v>4915.8899999999994</v>
      </c>
      <c r="CX9" s="202" cm="1">
        <f t="array" ref="CX9">_xlfn.IFS(CX$3&lt;=YEAR($B$2),SUMPRODUCT(($E$4:$E$79=$E9)*($Z$2:$CG$2=CX$3)*($Z$2:$CG$2&lt;CY$3)*$Z$4:$CG$79),CX$3&lt;YEAR($X9),0,CX$3=YEAR($X9),DATEDIF($X9,DATE(CX$3,12,31),"m")*$Y9,AND(CX$3&gt;YEAR($X9),CX$3-YEAR($X9)&lt;20),$Y9*12,CX$3-YEAR($X9)=20,DATEDIF(DATE(YEAR($X9),1,1),$X9,"m")*$Y9,CX$3-YEAR($X9)&gt;20,0)</f>
        <v>4915.8899999999994</v>
      </c>
      <c r="CY9" s="202" cm="1">
        <f t="array" ref="CY9">_xlfn.IFS(CY$3&lt;=YEAR($B$2),SUMPRODUCT(($E$4:$E$79=$E9)*($Z$2:$CG$2=CY$3)*($Z$2:$CG$2&lt;CZ$3)*$Z$4:$CG$79),CY$3&lt;YEAR($X9),0,CY$3=YEAR($X9),DATEDIF($X9,DATE(CY$3,12,31),"m")*$Y9,AND(CY$3&gt;YEAR($X9),CY$3-YEAR($X9)&lt;20),$Y9*12,CY$3-YEAR($X9)=20,DATEDIF(DATE(YEAR($X9),1,1),$X9,"m")*$Y9,CY$3-YEAR($X9)&gt;20,0)</f>
        <v>4915.8899999999994</v>
      </c>
      <c r="CZ9" s="202" cm="1">
        <f t="array" ref="CZ9">_xlfn.IFS(CZ$3&lt;=YEAR($B$2),SUMPRODUCT(($E$4:$E$79=$E9)*($Z$2:$CG$2=CZ$3)*($Z$2:$CG$2&lt;DA$3)*$Z$4:$CG$79),CZ$3&lt;YEAR($X9),0,CZ$3=YEAR($X9),DATEDIF($X9,DATE(CZ$3,12,31),"m")*$Y9,AND(CZ$3&gt;YEAR($X9),CZ$3-YEAR($X9)&lt;20),$Y9*12,CZ$3-YEAR($X9)=20,DATEDIF(DATE(YEAR($X9),1,1),$X9,"m")*$Y9,CZ$3-YEAR($X9)&gt;20,0)</f>
        <v>4915.8899999999994</v>
      </c>
      <c r="DA9" s="202" cm="1">
        <f t="array" ref="DA9">_xlfn.IFS(DA$3&lt;=YEAR($B$2),SUMPRODUCT(($E$4:$E$79=$E9)*($Z$2:$CG$2=DA$3)*($Z$2:$CG$2&lt;DB$3)*$Z$4:$CG$79),DA$3&lt;YEAR($X9),0,DA$3=YEAR($X9),DATEDIF($X9,DATE(DA$3,12,31),"m")*$Y9,AND(DA$3&gt;YEAR($X9),DA$3-YEAR($X9)&lt;20),$Y9*12,DA$3-YEAR($X9)=20,DATEDIF(DATE(YEAR($X9),1,1),$X9,"m")*$Y9,DA$3-YEAR($X9)&gt;20,0)</f>
        <v>4915.8899999999994</v>
      </c>
      <c r="DB9" s="202" cm="1">
        <f t="array" ref="DB9">_xlfn.IFS(DB$3&lt;=YEAR($B$2),SUMPRODUCT(($E$4:$E$79=$E9)*($Z$2:$CG$2=DB$3)*($Z$2:$CG$2&lt;DC$3)*$Z$4:$CG$79),DB$3&lt;YEAR($X9),0,DB$3=YEAR($X9),DATEDIF($X9,DATE(DB$3,12,31),"m")*$Y9,AND(DB$3&gt;YEAR($X9),DB$3-YEAR($X9)&lt;20),$Y9*12,DB$3-YEAR($X9)=20,DATEDIF(DATE(YEAR($X9),1,1),$X9,"m")*$Y9,DB$3-YEAR($X9)&gt;20,0)</f>
        <v>4915.8899999999994</v>
      </c>
      <c r="DC9" s="202" cm="1">
        <f t="array" ref="DC9">_xlfn.IFS(DC$3&lt;=YEAR($B$2),SUMPRODUCT(($E$4:$E$79=$E9)*($Z$2:$CG$2=DC$3)*($Z$2:$CG$2&lt;DD$3)*$Z$4:$CG$79),DC$3&lt;YEAR($X9),0,DC$3=YEAR($X9),DATEDIF($X9,DATE(DC$3,12,31),"m")*$Y9,AND(DC$3&gt;YEAR($X9),DC$3-YEAR($X9)&lt;20),$Y9*12,DC$3-YEAR($X9)=20,DATEDIF(DATE(YEAR($X9),1,1),$X9,"m")*$Y9,DC$3-YEAR($X9)&gt;20,0)</f>
        <v>4915.8899999999994</v>
      </c>
      <c r="DD9" s="202" cm="1">
        <f t="array" ref="DD9">_xlfn.IFS(DD$3&lt;=YEAR($B$2),SUMPRODUCT(($E$4:$E$79=$E9)*($Z$2:$CG$2=DD$3)*($Z$2:$CG$2&lt;DE$3)*$Z$4:$CG$79),DD$3&lt;YEAR($X9),0,DD$3=YEAR($X9),DATEDIF($X9,DATE(DD$3,12,31),"m")*$Y9,AND(DD$3&gt;YEAR($X9),DD$3-YEAR($X9)&lt;20),$Y9*12,DD$3-YEAR($X9)=20,DATEDIF(DATE(YEAR($X9),1,1),$X9,"m")*$Y9,DD$3-YEAR($X9)&gt;20,0)</f>
        <v>4915.8899999999994</v>
      </c>
      <c r="DE9" s="202" cm="1">
        <f t="array" ref="DE9">_xlfn.IFS(DE$3&lt;=YEAR($B$2),SUMPRODUCT(($E$4:$E$79=$E9)*($Z$2:$CG$2=DE$3)*($Z$2:$CG$2&lt;DF$3)*$Z$4:$CG$79),DE$3&lt;YEAR($X9),0,DE$3=YEAR($X9),DATEDIF($X9,DATE(DE$3,12,31),"m")*$Y9,AND(DE$3&gt;YEAR($X9),DE$3-YEAR($X9)&lt;20),$Y9*12,DE$3-YEAR($X9)=20,DATEDIF(DATE(YEAR($X9),1,1),$X9,"m")*$Y9,DE$3-YEAR($X9)&gt;20,0)</f>
        <v>3686.9174999999996</v>
      </c>
      <c r="DF9" s="202" cm="1">
        <f t="array" ref="DF9">_xlfn.IFS(DF$3&lt;=YEAR($B$2),SUMPRODUCT(($E$4:$E$79=$E9)*($Z$2:$CG$2=DF$3)*($Z$2:$CG$2&lt;DG$3)*$Z$4:$CG$79),DF$3&lt;YEAR($X9),0,DF$3=YEAR($X9),DATEDIF($X9,DATE(DF$3,12,31),"m")*$Y9,AND(DF$3&gt;YEAR($X9),DF$3-YEAR($X9)&lt;20),$Y9*12,DF$3-YEAR($X9)=20,DATEDIF(DATE(YEAR($X9),1,1),$X9,"m")*$Y9,DF$3-YEAR($X9)&gt;20,0)</f>
        <v>0</v>
      </c>
      <c r="DG9" s="202" cm="1">
        <f t="array" ref="DG9">_xlfn.IFS(DG$3&lt;=YEAR($B$2),SUMPRODUCT(($E$4:$E$79=$E9)*($Z$2:$CG$2=DG$3)*($Z$2:$CG$2&lt;DH$3)*$Z$4:$CG$79),DG$3&lt;YEAR($X9),0,DG$3=YEAR($X9),DATEDIF($X9,DATE(DG$3,12,31),"m")*$Y9,AND(DG$3&gt;YEAR($X9),DG$3-YEAR($X9)&lt;20),$Y9*12,DG$3-YEAR($X9)=20,DATEDIF(DATE(YEAR($X9),1,1),$X9,"m")*$Y9,DG$3-YEAR($X9)&gt;20,0)</f>
        <v>0</v>
      </c>
      <c r="DH9" s="202" cm="1">
        <f t="array" ref="DH9">_xlfn.IFS(DH$3&lt;=YEAR($B$2),SUMPRODUCT(($E$4:$E$79=$E9)*($Z$2:$CG$2=DH$3)*($Z$2:$CG$2&lt;DI$3)*$Z$4:$CG$79),DH$3&lt;YEAR($X9),0,DH$3=YEAR($X9),DATEDIF($X9,DATE(DH$3,12,31),"m")*$Y9,AND(DH$3&gt;YEAR($X9),DH$3-YEAR($X9)&lt;20),$Y9*12,DH$3-YEAR($X9)=20,DATEDIF(DATE(YEAR($X9),1,1),$X9,"m")*$Y9,DH$3-YEAR($X9)&gt;20,0)</f>
        <v>0</v>
      </c>
      <c r="DI9" s="202" cm="1">
        <f t="array" ref="DI9">_xlfn.IFS(DI$3&lt;=YEAR($B$2),SUMPRODUCT(($E$4:$E$79=$E9)*($Z$2:$CG$2=DI$3)*($Z$2:$CG$2&lt;DJ$3)*$Z$4:$CG$79),DI$3&lt;YEAR($X9),0,DI$3=YEAR($X9),DATEDIF($X9,DATE(DI$3,12,31),"m")*$Y9,AND(DI$3&gt;YEAR($X9),DI$3-YEAR($X9)&lt;20),$Y9*12,DI$3-YEAR($X9)=20,DATEDIF(DATE(YEAR($X9),1,1),$X9,"m")*$Y9,DI$3-YEAR($X9)&gt;20,0)</f>
        <v>0</v>
      </c>
      <c r="DJ9" s="202" cm="1">
        <f t="array" ref="DJ9">_xlfn.IFS(DJ$3&lt;=YEAR($B$2),SUMPRODUCT(($E$4:$E$79=$E9)*($Z$2:$CG$2=DJ$3)*($Z$2:$CG$2&lt;DK$3)*$Z$4:$CG$79),DJ$3&lt;YEAR($X9),0,DJ$3=YEAR($X9),DATEDIF($X9,DATE(DJ$3,12,31),"m")*$Y9,AND(DJ$3&gt;YEAR($X9),DJ$3-YEAR($X9)&lt;20),$Y9*12,DJ$3-YEAR($X9)=20,DATEDIF(DATE(YEAR($X9),1,1),$X9,"m")*$Y9,DJ$3-YEAR($X9)&gt;20,0)</f>
        <v>0</v>
      </c>
      <c r="DK9" s="202" cm="1">
        <f t="array" ref="DK9">_xlfn.IFS(DK$3&lt;=YEAR($B$2),SUMPRODUCT(($E$4:$E$79=$E9)*($Z$2:$CG$2=DK$3)*($Z$2:$CG$2&lt;DL$3)*$Z$4:$CG$79),DK$3&lt;YEAR($X9),0,DK$3=YEAR($X9),DATEDIF($X9,DATE(DK$3,12,31),"m")*$Y9,AND(DK$3&gt;YEAR($X9),DK$3-YEAR($X9)&lt;20),$Y9*12,DK$3-YEAR($X9)=20,DATEDIF(DATE(YEAR($X9),1,1),$X9,"m")*$Y9,DK$3-YEAR($X9)&gt;20,0)</f>
        <v>0</v>
      </c>
      <c r="DL9" s="202" cm="1">
        <f t="array" ref="DL9">_xlfn.IFS(DL$3&lt;=YEAR($B$2),SUMPRODUCT(($E$4:$E$79=$E9)*($Z$2:$CG$2=DL$3)*($Z$2:$CG$2&lt;DM$3)*$Z$4:$CG$79),DL$3&lt;YEAR($X9),0,DL$3=YEAR($X9),DATEDIF($X9,DATE(DL$3,12,31),"m")*$Y9,AND(DL$3&gt;YEAR($X9),DL$3-YEAR($X9)&lt;20),$Y9*12,DL$3-YEAR($X9)=20,DATEDIF(DATE(YEAR($X9),1,1),$X9,"m")*$Y9,DL$3-YEAR($X9)&gt;20,0)</f>
        <v>0</v>
      </c>
      <c r="DO9" s="380" t="s">
        <v>719</v>
      </c>
      <c r="DP9" s="380"/>
      <c r="DQ9" s="380"/>
      <c r="DR9" s="380"/>
      <c r="DS9" s="380"/>
    </row>
    <row r="10" spans="1:150">
      <c r="A10" s="155" t="str" cm="1">
        <f t="array" ref="A10">INDEX('Monthly Report July 2025'!C:C,MATCH(E10,'Monthly Report July 2025'!E:E,0),0)</f>
        <v>CSQ0002</v>
      </c>
      <c r="B10" s="155" t="str" cm="1">
        <f t="array" ref="B10">_xlfn.IFS(LEFT(E10,3)="PGE","PGE",LEFT(E10,2)="PP","PAC",TRUE,"IP")</f>
        <v>PGE</v>
      </c>
      <c r="C10" s="155" t="str">
        <f>IF(ISNA(MATCH(E10,'Monthly Report July 2025'!E:E,0)),"Missing","Present")</f>
        <v>Present</v>
      </c>
      <c r="D10" s="155" t="str">
        <f>IF(ISNA(MATCH(E10,'Project Operational Timelines'!C:C,0))=TRUE,"Missing","Present")</f>
        <v>Present</v>
      </c>
      <c r="E10" s="155" t="s">
        <v>115</v>
      </c>
      <c r="F10" s="155" t="str" cm="1">
        <f t="array" ref="F10">INDEX('Monthly Report July 2025'!F:F,MATCH(E10,'Monthly Report July 2025'!E:E,),0)</f>
        <v>Jim and Salle's Place Apartments</v>
      </c>
      <c r="G10" s="155" t="str" cm="1">
        <f t="array" ref="G10">_xlfn.IFS(INDEX('Monthly Report July 2025'!O:O,MATCH(E10,'Monthly Report July 2025'!E:E,0),0)="Operational","Operational",INDEX('Monthly Report July 2025'!O:O,MATCH(E10,'Monthly Report July 2025'!E:E,0),0)="Certified","Certified",TRUE,"Pre-Certified")</f>
        <v>Operational</v>
      </c>
      <c r="H10" s="155" t="str" cm="1">
        <f t="array" ref="H10">INDEX('Monthly Report July 2025'!H:H,MATCH($E10,'Monthly Report July 2025'!$E:$E,0),0)</f>
        <v>Rose CDC</v>
      </c>
      <c r="I10" s="155" t="str" cm="1">
        <f t="array" ref="I10">INDEX('Monthly Report July 2025'!I:I,MATCH($E10,'Monthly Report July 2025'!$E:$E,0),0)</f>
        <v>Rose CDC</v>
      </c>
      <c r="J10" s="174" cm="1">
        <f t="array" ref="J10">INDEX('Monthly Report July 2025'!J:J,MATCH($E10,'Monthly Report July 2025'!$E:$E,0),0)</f>
        <v>1</v>
      </c>
      <c r="K10" s="174" t="str" cm="1">
        <f t="array" ref="K10">INDEX('Monthly Report July 2025'!K:K,MATCH($E10,'Monthly Report July 2025'!$E:$E,0),0)</f>
        <v>Yes</v>
      </c>
      <c r="L10" s="174" t="b" cm="1">
        <f t="array" ref="L10">INDEX('Monthly Report July 2025'!L:L,MATCH(E10,'Monthly Report July 2025'!E:E,0),0)=M10</f>
        <v>1</v>
      </c>
      <c r="M10" s="273" cm="1">
        <f t="array" ref="M10">INDEX('Monthly Report July 2025'!L:L,MATCH($E10,'Monthly Report July 2025'!$E:$E,0),0)</f>
        <v>40</v>
      </c>
      <c r="N10" s="175" cm="1">
        <f t="array" ref="N10">INDEX('Monthly Report July 2025'!M:M,MATCH($E10,'Monthly Report July 2025'!$E:$E,0),0)</f>
        <v>43948</v>
      </c>
      <c r="O10" s="175" t="str" cm="1">
        <f t="array" ref="O10">_xlfn.IFS(G10="Operational","Operational",G10="Certified","Certified",TRUE,INDEX('Monthly Report July 2025'!O:O,MATCH(E10,'Monthly Report July 2025'!E:E,0),0))</f>
        <v>Operational</v>
      </c>
      <c r="P10" s="175" t="b" cm="1">
        <f t="array" ref="P10">_xlfn.IFS(G10="Operational",O10="Operational",G10="Certified",O10="Certified",TRUE,G10="Pre-Certified")</f>
        <v>1</v>
      </c>
      <c r="Q10" s="175" cm="1">
        <f t="array" ref="Q10">IF(O10="Operational",INDEX('Monthly Report July 2025'!R:R,MATCH(E10,'Monthly Report July 2025'!E:E,0),0),"")</f>
        <v>44715</v>
      </c>
      <c r="R10" s="175" cm="1">
        <f t="array" ref="R10">INDEX('Monthly Report July 2025'!P:P,MATCH(E10,'Monthly Report July 2025'!E:E,0),0)</f>
        <v>44699</v>
      </c>
      <c r="S10" s="175" t="b">
        <f t="shared" si="5"/>
        <v>1</v>
      </c>
      <c r="T10" s="175" cm="1">
        <f t="array" ref="T10">INDEX('Monthly Report July 2025'!U:U,MATCH(E10,'Monthly Report July 2025'!E:E,0),0)</f>
        <v>44788</v>
      </c>
      <c r="U10" s="175" t="str">
        <f t="shared" si="6"/>
        <v>IGNORE</v>
      </c>
      <c r="V10" s="156">
        <f t="shared" si="7"/>
        <v>44699</v>
      </c>
      <c r="W10" s="156" cm="1">
        <f t="array" ref="W10">_xlfn.IFS(U10=TRUE,EDATE(O10,6),U10=FALSE,T10,O10="Operational",Q10,AND(O10="Certified",EDATE(R10,6)&gt;T10),EDATE(R10,6),TRUE,T10)</f>
        <v>44715</v>
      </c>
      <c r="X10" s="156">
        <f t="shared" si="8"/>
        <v>44776</v>
      </c>
      <c r="Y10" s="157">
        <f t="shared" si="9"/>
        <v>15.3</v>
      </c>
      <c r="Z10" s="202" cm="1">
        <f t="array" ref="Z10">_xlfn.IFS(Z$3&lt;$B$2,SUMPRODUCT(('PA Fees Actual'!$B$5:$B$882=$E10)*('PA Fees Actual'!$A$5:$A$882&gt;=Z$3)*('PA Fees Actual'!$A$5:$A$882&lt;=EOMONTH(Z$3,0))*'PA Fees Actual'!$D$5:$D$882),Z$3&gt;=EOMONTH($X10,-1)+1,$Y10,TRUE,0)</f>
        <v>0</v>
      </c>
      <c r="AA10" s="202" cm="1">
        <f t="array" ref="AA10">_xlfn.IFS(AA$3&lt;$B$2,SUMPRODUCT(('PA Fees Actual'!$B$5:$B$882=$E10)*('PA Fees Actual'!$A$5:$A$882&gt;=AA$3)*('PA Fees Actual'!$A$5:$A$882&lt;=EOMONTH(AA$3,0))*'PA Fees Actual'!$D$5:$D$882),AA$3&gt;=EOMONTH($X10,-1)+1,$Y10,TRUE,0)</f>
        <v>0</v>
      </c>
      <c r="AB10" s="202" cm="1">
        <f t="array" ref="AB10">_xlfn.IFS(AB$3&lt;$B$2,SUMPRODUCT(('PA Fees Actual'!$B$5:$B$882=$E10)*('PA Fees Actual'!$A$5:$A$882&gt;=AB$3)*('PA Fees Actual'!$A$5:$A$882&lt;=EOMONTH(AB$3,0))*'PA Fees Actual'!$D$5:$D$882),AB$3&gt;=EOMONTH($X10,-1)+1,$Y10,TRUE,0)</f>
        <v>0</v>
      </c>
      <c r="AC10" s="202" cm="1">
        <f t="array" ref="AC10">_xlfn.IFS(AC$3&lt;$B$2,SUMPRODUCT(('PA Fees Actual'!$B$5:$B$882=$E10)*('PA Fees Actual'!$A$5:$A$882&gt;=AC$3)*('PA Fees Actual'!$A$5:$A$882&lt;=EOMONTH(AC$3,0))*'PA Fees Actual'!$D$5:$D$882),AC$3&gt;=EOMONTH($X10,-1)+1,$Y10,TRUE,0)</f>
        <v>0</v>
      </c>
      <c r="AD10" s="202" cm="1">
        <f t="array" ref="AD10">_xlfn.IFS(AD$3&lt;$B$2,SUMPRODUCT(('PA Fees Actual'!$B$5:$B$882=$E10)*('PA Fees Actual'!$A$5:$A$882&gt;=AD$3)*('PA Fees Actual'!$A$5:$A$882&lt;=EOMONTH(AD$3,0))*'PA Fees Actual'!$D$5:$D$882),AD$3&gt;=EOMONTH($X10,-1)+1,$Y10,TRUE,0)</f>
        <v>0</v>
      </c>
      <c r="AE10" s="202" cm="1">
        <f t="array" ref="AE10">_xlfn.IFS(AE$3&lt;$B$2,SUMPRODUCT(('PA Fees Actual'!$B$5:$B$882=$E10)*('PA Fees Actual'!$A$5:$A$882&gt;=AE$3)*('PA Fees Actual'!$A$5:$A$882&lt;=EOMONTH(AE$3,0))*'PA Fees Actual'!$D$5:$D$882),AE$3&gt;=EOMONTH($X10,-1)+1,$Y10,TRUE,0)</f>
        <v>0</v>
      </c>
      <c r="AF10" s="202" cm="1">
        <f t="array" ref="AF10">_xlfn.IFS(AF$3&lt;$B$2,SUMPRODUCT(('PA Fees Actual'!$B$5:$B$882=$E10)*('PA Fees Actual'!$A$5:$A$882&gt;=AF$3)*('PA Fees Actual'!$A$5:$A$882&lt;=EOMONTH(AF$3,0))*'PA Fees Actual'!$D$5:$D$882),AF$3&gt;=EOMONTH($X10,-1)+1,$Y10,TRUE,0)</f>
        <v>0</v>
      </c>
      <c r="AG10" s="202" cm="1">
        <f t="array" ref="AG10">_xlfn.IFS(AG$3&lt;$B$2,SUMPRODUCT(('PA Fees Actual'!$B$5:$B$882=$E10)*('PA Fees Actual'!$A$5:$A$882&gt;=AG$3)*('PA Fees Actual'!$A$5:$A$882&lt;=EOMONTH(AG$3,0))*'PA Fees Actual'!$D$5:$D$882),AG$3&gt;=EOMONTH($X10,-1)+1,$Y10,TRUE,0)</f>
        <v>0</v>
      </c>
      <c r="AH10" s="202" cm="1">
        <f t="array" ref="AH10">_xlfn.IFS(AH$3&lt;$B$2,SUMPRODUCT(('PA Fees Actual'!$B$5:$B$882=$E10)*('PA Fees Actual'!$A$5:$A$882&gt;=AH$3)*('PA Fees Actual'!$A$5:$A$882&lt;=EOMONTH(AH$3,0))*'PA Fees Actual'!$D$5:$D$882),AH$3&gt;=EOMONTH($X10,-1)+1,$Y10,TRUE,0)</f>
        <v>0</v>
      </c>
      <c r="AI10" s="202" cm="1">
        <f t="array" ref="AI10">_xlfn.IFS(AI$3&lt;$B$2,SUMPRODUCT(('PA Fees Actual'!$B$5:$B$882=$E10)*('PA Fees Actual'!$A$5:$A$882&gt;=AI$3)*('PA Fees Actual'!$A$5:$A$882&lt;=EOMONTH(AI$3,0))*'PA Fees Actual'!$D$5:$D$882),AI$3&gt;=EOMONTH($X10,-1)+1,$Y10,TRUE,0)</f>
        <v>0</v>
      </c>
      <c r="AJ10" s="202" cm="1">
        <f t="array" ref="AJ10">_xlfn.IFS(AJ$3&lt;$B$2,SUMPRODUCT(('PA Fees Actual'!$B$5:$B$882=$E10)*('PA Fees Actual'!$A$5:$A$882&gt;=AJ$3)*('PA Fees Actual'!$A$5:$A$882&lt;=EOMONTH(AJ$3,0))*'PA Fees Actual'!$D$5:$D$882),AJ$3&gt;=EOMONTH($X10,-1)+1,$Y10,TRUE,0)</f>
        <v>0</v>
      </c>
      <c r="AK10" s="202" cm="1">
        <f t="array" ref="AK10">_xlfn.IFS(AK$3&lt;$B$2,SUMPRODUCT(('PA Fees Actual'!$B$5:$B$882=$E10)*('PA Fees Actual'!$A$5:$A$882&gt;=AK$3)*('PA Fees Actual'!$A$5:$A$882&lt;=EOMONTH(AK$3,0))*'PA Fees Actual'!$D$5:$D$882),AK$3&gt;=EOMONTH($X10,-1)+1,$Y10,TRUE,0)</f>
        <v>0</v>
      </c>
      <c r="AL10" s="202" cm="1">
        <f t="array" ref="AL10">_xlfn.IFS(AL$3&lt;$B$2,SUMPRODUCT(('PA Fees Actual'!$B$5:$B$882=$E10)*('PA Fees Actual'!$A$5:$A$882&gt;=AL$3)*('PA Fees Actual'!$A$5:$A$882&lt;=EOMONTH(AL$3,0))*'PA Fees Actual'!$D$5:$D$882),AL$3&gt;=EOMONTH($X10,-1)+1,$Y10,TRUE,0)</f>
        <v>0</v>
      </c>
      <c r="AM10" s="202" cm="1">
        <f t="array" ref="AM10">_xlfn.IFS(AM$3&lt;$B$2,SUMPRODUCT(('PA Fees Actual'!$B$5:$B$882=$E10)*('PA Fees Actual'!$A$5:$A$882&gt;=AM$3)*('PA Fees Actual'!$A$5:$A$882&lt;=EOMONTH(AM$3,0))*'PA Fees Actual'!$D$5:$D$882),AM$3&gt;=EOMONTH($X10,-1)+1,$Y10,TRUE,0)</f>
        <v>0</v>
      </c>
      <c r="AN10" s="202" cm="1">
        <f t="array" ref="AN10">_xlfn.IFS(AN$3&lt;$B$2,SUMPRODUCT(('PA Fees Actual'!$B$5:$B$882=$E10)*('PA Fees Actual'!$A$5:$A$882&gt;=AN$3)*('PA Fees Actual'!$A$5:$A$882&lt;=EOMONTH(AN$3,0))*'PA Fees Actual'!$D$5:$D$882),AN$3&gt;=EOMONTH($X10,-1)+1,$Y10,TRUE,0)</f>
        <v>0</v>
      </c>
      <c r="AO10" s="202" cm="1">
        <f t="array" ref="AO10">_xlfn.IFS(AO$3&lt;$B$2,SUMPRODUCT(('PA Fees Actual'!$B$5:$B$882=$E10)*('PA Fees Actual'!$A$5:$A$882&gt;=AO$3)*('PA Fees Actual'!$A$5:$A$882&lt;=EOMONTH(AO$3,0))*'PA Fees Actual'!$D$5:$D$882),AO$3&gt;=EOMONTH($X10,-1)+1,$Y10,TRUE,0)</f>
        <v>0</v>
      </c>
      <c r="AP10" s="202" cm="1">
        <f t="array" ref="AP10">_xlfn.IFS(AP$3&lt;$B$2,SUMPRODUCT(('PA Fees Actual'!$B$5:$B$882=$E10)*('PA Fees Actual'!$A$5:$A$882&gt;=AP$3)*('PA Fees Actual'!$A$5:$A$882&lt;=EOMONTH(AP$3,0))*'PA Fees Actual'!$D$5:$D$882),AP$3&gt;=EOMONTH($X10,-1)+1,$Y10,TRUE,0)</f>
        <v>0</v>
      </c>
      <c r="AQ10" s="202" cm="1">
        <f t="array" ref="AQ10">_xlfn.IFS(AQ$3&lt;$B$2,SUMPRODUCT(('PA Fees Actual'!$B$5:$B$882=$E10)*('PA Fees Actual'!$A$5:$A$882&gt;=AQ$3)*('PA Fees Actual'!$A$5:$A$882&lt;=EOMONTH(AQ$3,0))*'PA Fees Actual'!$D$5:$D$882),AQ$3&gt;=EOMONTH($X10,-1)+1,$Y10,TRUE,0)</f>
        <v>0</v>
      </c>
      <c r="AR10" s="202" cm="1">
        <f t="array" ref="AR10">_xlfn.IFS(AR$3&lt;$B$2,SUMPRODUCT(('PA Fees Actual'!$B$5:$B$882=$E10)*('PA Fees Actual'!$A$5:$A$882&gt;=AR$3)*('PA Fees Actual'!$A$5:$A$882&lt;=EOMONTH(AR$3,0))*'PA Fees Actual'!$D$5:$D$882),AR$3&gt;=EOMONTH($X10,-1)+1,$Y10,TRUE,0)</f>
        <v>0</v>
      </c>
      <c r="AS10" s="202" cm="1">
        <f t="array" ref="AS10">_xlfn.IFS(AS$3&lt;$B$2,SUMPRODUCT(('PA Fees Actual'!$B$5:$B$882=$E10)*('PA Fees Actual'!$A$5:$A$882&gt;=AS$3)*('PA Fees Actual'!$A$5:$A$882&lt;=EOMONTH(AS$3,0))*'PA Fees Actual'!$D$5:$D$882),AS$3&gt;=EOMONTH($X10,-1)+1,$Y10,TRUE,0)</f>
        <v>0</v>
      </c>
      <c r="AT10" s="202" cm="1">
        <f t="array" ref="AT10">_xlfn.IFS(AT$3&lt;$B$2,SUMPRODUCT(('PA Fees Actual'!$B$5:$B$882=$E10)*('PA Fees Actual'!$A$5:$A$882&gt;=AT$3)*('PA Fees Actual'!$A$5:$A$882&lt;=EOMONTH(AT$3,0))*'PA Fees Actual'!$D$5:$D$882),AT$3&gt;=EOMONTH($X10,-1)+1,$Y10,TRUE,0)</f>
        <v>0</v>
      </c>
      <c r="AU10" s="202" cm="1">
        <f t="array" ref="AU10">_xlfn.IFS(AU$3&lt;$B$2,SUMPRODUCT(('PA Fees Actual'!$B$5:$B$882=$E10)*('PA Fees Actual'!$A$5:$A$882&gt;=AU$3)*('PA Fees Actual'!$A$5:$A$882&lt;=EOMONTH(AU$3,0))*'PA Fees Actual'!$D$5:$D$882),AU$3&gt;=EOMONTH($X10,-1)+1,$Y10,TRUE,0)</f>
        <v>4.83</v>
      </c>
      <c r="AV10" s="202" cm="1">
        <f t="array" ref="AV10">_xlfn.IFS(AV$3&lt;$B$2,SUMPRODUCT(('PA Fees Actual'!$B$5:$B$882=$E10)*('PA Fees Actual'!$A$5:$A$882&gt;=AV$3)*('PA Fees Actual'!$A$5:$A$882&lt;=EOMONTH(AV$3,0))*'PA Fees Actual'!$D$5:$D$882),AV$3&gt;=EOMONTH($X10,-1)+1,$Y10,TRUE,0)</f>
        <v>9.66</v>
      </c>
      <c r="AW10" s="202" cm="1">
        <f t="array" ref="AW10">_xlfn.IFS(AW$3&lt;$B$2,SUMPRODUCT(('PA Fees Actual'!$B$5:$B$882=$E10)*('PA Fees Actual'!$A$5:$A$882&gt;=AW$3)*('PA Fees Actual'!$A$5:$A$882&lt;=EOMONTH(AW$3,0))*'PA Fees Actual'!$D$5:$D$882),AW$3&gt;=EOMONTH($X10,-1)+1,$Y10,TRUE,0)</f>
        <v>4.83</v>
      </c>
      <c r="AX10" s="202" cm="1">
        <f t="array" ref="AX10">_xlfn.IFS(AX$3&lt;$B$2,SUMPRODUCT(('PA Fees Actual'!$B$5:$B$882=$E10)*('PA Fees Actual'!$A$5:$A$882&gt;=AX$3)*('PA Fees Actual'!$A$5:$A$882&lt;=EOMONTH(AX$3,0))*'PA Fees Actual'!$D$5:$D$882),AX$3&gt;=EOMONTH($X10,-1)+1,$Y10,TRUE,0)</f>
        <v>9.66</v>
      </c>
      <c r="AY10" s="202" cm="1">
        <f t="array" ref="AY10">_xlfn.IFS(AY$3&lt;$B$2,SUMPRODUCT(('PA Fees Actual'!$B$5:$B$882=$E10)*('PA Fees Actual'!$A$5:$A$882&gt;=AY$3)*('PA Fees Actual'!$A$5:$A$882&lt;=EOMONTH(AY$3,0))*'PA Fees Actual'!$D$5:$D$882),AY$3&gt;=EOMONTH($X10,-1)+1,$Y10,TRUE,0)</f>
        <v>0</v>
      </c>
      <c r="AZ10" s="202" cm="1">
        <f t="array" ref="AZ10">_xlfn.IFS(AZ$3&lt;$B$2,SUMPRODUCT(('PA Fees Actual'!$B$5:$B$882=$E10)*('PA Fees Actual'!$A$5:$A$882&gt;=AZ$3)*('PA Fees Actual'!$A$5:$A$882&lt;=EOMONTH(AZ$3,0))*'PA Fees Actual'!$D$5:$D$882),AZ$3&gt;=EOMONTH($X10,-1)+1,$Y10,TRUE,0)</f>
        <v>9.6599999999999984</v>
      </c>
      <c r="BA10" s="202" cm="1">
        <f t="array" ref="BA10">_xlfn.IFS(BA$3&lt;$B$2,SUMPRODUCT(('PA Fees Actual'!$B$5:$B$882=$E10)*('PA Fees Actual'!$A$5:$A$882&gt;=BA$3)*('PA Fees Actual'!$A$5:$A$882&lt;=EOMONTH(BA$3,0))*'PA Fees Actual'!$D$5:$D$882),BA$3&gt;=EOMONTH($X10,-1)+1,$Y10,TRUE,0)</f>
        <v>0</v>
      </c>
      <c r="BB10" s="202" cm="1">
        <f t="array" ref="BB10">_xlfn.IFS(BB$3&lt;$B$2,SUMPRODUCT(('PA Fees Actual'!$B$5:$B$882=$E10)*('PA Fees Actual'!$A$5:$A$882&gt;=BB$3)*('PA Fees Actual'!$A$5:$A$882&lt;=EOMONTH(BB$3,0))*'PA Fees Actual'!$D$5:$D$882),BB$3&gt;=EOMONTH($X10,-1)+1,$Y10,TRUE,0)</f>
        <v>4.83</v>
      </c>
      <c r="BC10" s="202" cm="1">
        <f t="array" ref="BC10">_xlfn.IFS(BC$3&lt;$B$2,SUMPRODUCT(('PA Fees Actual'!$B$5:$B$882=$E10)*('PA Fees Actual'!$A$5:$A$882&gt;=BC$3)*('PA Fees Actual'!$A$5:$A$882&lt;=EOMONTH(BC$3,0))*'PA Fees Actual'!$D$5:$D$882),BC$3&gt;=EOMONTH($X10,-1)+1,$Y10,TRUE,0)</f>
        <v>4.83</v>
      </c>
      <c r="BD10" s="202" cm="1">
        <f t="array" ref="BD10">_xlfn.IFS(BD$3&lt;$B$2,SUMPRODUCT(('PA Fees Actual'!$B$5:$B$882=$E10)*('PA Fees Actual'!$A$5:$A$882&gt;=BD$3)*('PA Fees Actual'!$A$5:$A$882&lt;=EOMONTH(BD$3,0))*'PA Fees Actual'!$D$5:$D$882),BD$3&gt;=EOMONTH($X10,-1)+1,$Y10,TRUE,0)</f>
        <v>4.83</v>
      </c>
      <c r="BE10" s="202" cm="1">
        <f t="array" ref="BE10">_xlfn.IFS(BE$3&lt;$B$2,SUMPRODUCT(('PA Fees Actual'!$B$5:$B$882=$E10)*('PA Fees Actual'!$A$5:$A$882&gt;=BE$3)*('PA Fees Actual'!$A$5:$A$882&lt;=EOMONTH(BE$3,0))*'PA Fees Actual'!$D$5:$D$882),BE$3&gt;=EOMONTH($X10,-1)+1,$Y10,TRUE,0)</f>
        <v>4.83</v>
      </c>
      <c r="BF10" s="202" cm="1">
        <f t="array" ref="BF10">_xlfn.IFS(BF$3&lt;$B$2,SUMPRODUCT(('PA Fees Actual'!$B$5:$B$882=$E10)*('PA Fees Actual'!$A$5:$A$882&gt;=BF$3)*('PA Fees Actual'!$A$5:$A$882&lt;=EOMONTH(BF$3,0))*'PA Fees Actual'!$D$5:$D$882),BF$3&gt;=EOMONTH($X10,-1)+1,$Y10,TRUE,0)</f>
        <v>9.66</v>
      </c>
      <c r="BG10" s="202" cm="1">
        <f t="array" ref="BG10">_xlfn.IFS(BG$3&lt;$B$2,SUMPRODUCT(('PA Fees Actual'!$B$5:$B$882=$E10)*('PA Fees Actual'!$A$5:$A$882&gt;=BG$3)*('PA Fees Actual'!$A$5:$A$882&lt;=EOMONTH(BG$3,0))*'PA Fees Actual'!$D$5:$D$882),BG$3&gt;=EOMONTH($X10,-1)+1,$Y10,TRUE,0)</f>
        <v>0</v>
      </c>
      <c r="BH10" s="202" cm="1">
        <f t="array" ref="BH10">_xlfn.IFS(BH$3&lt;$B$2,SUMPRODUCT(('PA Fees Actual'!$B$5:$B$882=$E10)*('PA Fees Actual'!$A$5:$A$882&gt;=BH$3)*('PA Fees Actual'!$A$5:$A$882&lt;=EOMONTH(BH$3,0))*'PA Fees Actual'!$D$5:$D$882),BH$3&gt;=EOMONTH($X10,-1)+1,$Y10,TRUE,0)</f>
        <v>0</v>
      </c>
      <c r="BI10" s="202" cm="1">
        <f t="array" ref="BI10">_xlfn.IFS(BI$3&lt;$B$2,SUMPRODUCT(('PA Fees Actual'!$B$5:$B$882=$E10)*('PA Fees Actual'!$A$5:$A$882&gt;=BI$3)*('PA Fees Actual'!$A$5:$A$882&lt;=EOMONTH(BI$3,0))*'PA Fees Actual'!$D$5:$D$882),BI$3&gt;=EOMONTH($X10,-1)+1,$Y10,TRUE,0)</f>
        <v>9.66</v>
      </c>
      <c r="BJ10" s="202" cm="1">
        <f t="array" ref="BJ10">_xlfn.IFS(BJ$3&lt;$B$2,SUMPRODUCT(('PA Fees Actual'!$B$5:$B$882=$E10)*('PA Fees Actual'!$A$5:$A$882&gt;=BJ$3)*('PA Fees Actual'!$A$5:$A$882&lt;=EOMONTH(BJ$3,0))*'PA Fees Actual'!$D$5:$D$882),BJ$3&gt;=EOMONTH($X10,-1)+1,$Y10,TRUE,0)</f>
        <v>4.83</v>
      </c>
      <c r="BK10" s="202" cm="1">
        <f t="array" ref="BK10">_xlfn.IFS(BK$3&lt;$B$2,SUMPRODUCT(('PA Fees Actual'!$B$5:$B$882=$E10)*('PA Fees Actual'!$A$5:$A$882&gt;=BK$3)*('PA Fees Actual'!$A$5:$A$882&lt;=EOMONTH(BK$3,0))*'PA Fees Actual'!$D$5:$D$882),BK$3&gt;=EOMONTH($X10,-1)+1,$Y10,TRUE,0)</f>
        <v>4.83</v>
      </c>
      <c r="BL10" s="202" cm="1">
        <f t="array" ref="BL10">_xlfn.IFS(BL$3&lt;$B$2,SUMPRODUCT(('PA Fees Actual'!$B$5:$B$882=$E10)*('PA Fees Actual'!$A$5:$A$882&gt;=BL$3)*('PA Fees Actual'!$A$5:$A$882&lt;=EOMONTH(BL$3,0))*'PA Fees Actual'!$D$5:$D$882),BL$3&gt;=EOMONTH($X10,-1)+1,$Y10,TRUE,0)</f>
        <v>4.83</v>
      </c>
      <c r="BM10" s="202" cm="1">
        <f t="array" ref="BM10">_xlfn.IFS(BM$3&lt;$B$2,SUMPRODUCT(('PA Fees Actual'!$B$5:$B$882=$E10)*('PA Fees Actual'!$A$5:$A$882&gt;=BM$3)*('PA Fees Actual'!$A$5:$A$882&lt;=EOMONTH(BM$3,0))*'PA Fees Actual'!$D$5:$D$882),BM$3&gt;=EOMONTH($X10,-1)+1,$Y10,TRUE,0)</f>
        <v>0</v>
      </c>
      <c r="BN10" s="202" cm="1">
        <f t="array" ref="BN10">_xlfn.IFS(BN$3&lt;$B$2,SUMPRODUCT(('PA Fees Actual'!$B$5:$B$882=$E10)*('PA Fees Actual'!$A$5:$A$882&gt;=BN$3)*('PA Fees Actual'!$A$5:$A$882&lt;=EOMONTH(BN$3,0))*'PA Fees Actual'!$D$5:$D$882),BN$3&gt;=EOMONTH($X10,-1)+1,$Y10,TRUE,0)</f>
        <v>9.66</v>
      </c>
      <c r="BO10" s="202" cm="1">
        <f t="array" ref="BO10">_xlfn.IFS(BO$3&lt;$B$2,SUMPRODUCT(('PA Fees Actual'!$B$5:$B$882=$E10)*('PA Fees Actual'!$A$5:$A$882&gt;=BO$3)*('PA Fees Actual'!$A$5:$A$882&lt;=EOMONTH(BO$3,0))*'PA Fees Actual'!$D$5:$D$882),BO$3&gt;=EOMONTH($X10,-1)+1,$Y10,TRUE,0)</f>
        <v>4.83</v>
      </c>
      <c r="BP10" s="202" cm="1">
        <f t="array" ref="BP10">_xlfn.IFS(BP$3&lt;$B$2,SUMPRODUCT(('PA Fees Actual'!$B$5:$B$882=$E10)*('PA Fees Actual'!$A$5:$A$882&gt;=BP$3)*('PA Fees Actual'!$A$5:$A$882&lt;=EOMONTH(BP$3,0))*'PA Fees Actual'!$D$5:$D$882),BP$3&gt;=EOMONTH($X10,-1)+1,$Y10,TRUE,0)</f>
        <v>4.83</v>
      </c>
      <c r="BQ10" s="202" cm="1">
        <f t="array" ref="BQ10">_xlfn.IFS(BQ$3&lt;$B$2,SUMPRODUCT(('PA Fees Actual'!$B$5:$B$882=$E10)*('PA Fees Actual'!$A$5:$A$882&gt;=BQ$3)*('PA Fees Actual'!$A$5:$A$882&lt;=EOMONTH(BQ$3,0))*'PA Fees Actual'!$D$5:$D$882),BQ$3&gt;=EOMONTH($X10,-1)+1,$Y10,TRUE,0)</f>
        <v>4.83</v>
      </c>
      <c r="BR10" s="202" cm="1">
        <f t="array" ref="BR10">_xlfn.IFS(BR$3&lt;$B$2,SUMPRODUCT(('PA Fees Actual'!$B$5:$B$882=$E10)*('PA Fees Actual'!$A$5:$A$882&gt;=BR$3)*('PA Fees Actual'!$A$5:$A$882&lt;=EOMONTH(BR$3,0))*'PA Fees Actual'!$D$5:$D$882),BR$3&gt;=EOMONTH($X10,-1)+1,$Y10,TRUE,0)</f>
        <v>9.66</v>
      </c>
      <c r="BS10" s="202" cm="1">
        <f t="array" ref="BS10">_xlfn.IFS(BS$3&lt;$B$2,SUMPRODUCT(('PA Fees Actual'!$B$5:$B$882=$E10)*('PA Fees Actual'!$A$5:$A$882&gt;=BS$3)*('PA Fees Actual'!$A$5:$A$882&lt;=EOMONTH(BS$3,0))*'PA Fees Actual'!$D$5:$D$882),BS$3&gt;=EOMONTH($X10,-1)+1,$Y10,TRUE,0)</f>
        <v>0</v>
      </c>
      <c r="BT10" s="202" cm="1">
        <f t="array" ref="BT10">_xlfn.IFS(BT$3&lt;$B$2,SUMPRODUCT(('PA Fees Actual'!$B$5:$B$882=$E10)*('PA Fees Actual'!$A$5:$A$882&gt;=BT$3)*('PA Fees Actual'!$A$5:$A$882&lt;=EOMONTH(BT$3,0))*'PA Fees Actual'!$D$5:$D$882),BT$3&gt;=EOMONTH($X10,-1)+1,$Y10,TRUE,0)</f>
        <v>4.83</v>
      </c>
      <c r="BU10" s="202" cm="1">
        <f t="array" ref="BU10">_xlfn.IFS(BU$3&lt;$B$2,SUMPRODUCT(('PA Fees Actual'!$B$5:$B$882=$E10)*('PA Fees Actual'!$A$5:$A$882&gt;=BU$3)*('PA Fees Actual'!$A$5:$A$882&lt;=EOMONTH(BU$3,0))*'PA Fees Actual'!$D$5:$D$882),BU$3&gt;=EOMONTH($X10,-1)+1,$Y10,TRUE,0)</f>
        <v>4.83</v>
      </c>
      <c r="BV10" s="202" cm="1">
        <f t="array" ref="BV10">_xlfn.IFS(BV$3&lt;$B$2,SUMPRODUCT(('PA Fees Actual'!$B$5:$B$882=$E10)*('PA Fees Actual'!$A$5:$A$882&gt;=BV$3)*('PA Fees Actual'!$A$5:$A$882&lt;=EOMONTH(BV$3,0))*'PA Fees Actual'!$D$5:$D$882),BV$3&gt;=EOMONTH($X10,-1)+1,$Y10,TRUE,0)</f>
        <v>9.66</v>
      </c>
      <c r="BW10" s="202" cm="1">
        <f t="array" ref="BW10">_xlfn.IFS(BW$3&lt;$B$2,SUMPRODUCT(('PA Fees Actual'!$B$5:$B$882=$E10)*('PA Fees Actual'!$A$5:$A$882&gt;=BW$3)*('PA Fees Actual'!$A$5:$A$882&lt;=EOMONTH(BW$3,0))*'PA Fees Actual'!$D$5:$D$882),BW$3&gt;=EOMONTH($X10,-1)+1,$Y10,TRUE,0)</f>
        <v>0</v>
      </c>
      <c r="BX10" s="202" cm="1">
        <f t="array" ref="BX10">_xlfn.IFS(BX$3&lt;$B$2,SUMPRODUCT(('PA Fees Actual'!$B$5:$B$882=$E10)*('PA Fees Actual'!$A$5:$A$882&gt;=BX$3)*('PA Fees Actual'!$A$5:$A$882&lt;=EOMONTH(BX$3,0))*'PA Fees Actual'!$D$5:$D$882),BX$3&gt;=EOMONTH($X10,-1)+1,$Y10,TRUE,0)</f>
        <v>4.83</v>
      </c>
      <c r="BY10" s="202" cm="1">
        <f t="array" ref="BY10">_xlfn.IFS(BY$3&lt;$B$2,SUMPRODUCT(('PA Fees Actual'!$B$5:$B$882=$E10)*('PA Fees Actual'!$A$5:$A$882&gt;=BY$3)*('PA Fees Actual'!$A$5:$A$882&lt;=EOMONTH(BY$3,0))*'PA Fees Actual'!$D$5:$D$882),BY$3&gt;=EOMONTH($X10,-1)+1,$Y10,TRUE,0)</f>
        <v>9.66</v>
      </c>
      <c r="BZ10" s="202" cm="1">
        <f t="array" ref="BZ10">_xlfn.IFS(BZ$3&lt;$B$2,SUMPRODUCT(('PA Fees Actual'!$B$5:$B$882=$E10)*('PA Fees Actual'!$A$5:$A$882&gt;=BZ$3)*('PA Fees Actual'!$A$5:$A$882&lt;=EOMONTH(BZ$3,0))*'PA Fees Actual'!$D$5:$D$882),BZ$3&gt;=EOMONTH($X10,-1)+1,$Y10,TRUE,0)</f>
        <v>0</v>
      </c>
      <c r="CA10" s="202" cm="1">
        <f t="array" ref="CA10">_xlfn.IFS(CA$3&lt;$B$2,SUMPRODUCT(('PA Fees Actual'!$B$5:$B$882=$E10)*('PA Fees Actual'!$A$5:$A$882&gt;=CA$3)*('PA Fees Actual'!$A$5:$A$882&lt;=EOMONTH(CA$3,0))*'PA Fees Actual'!$D$5:$D$882),CA$3&gt;=EOMONTH($X10,-1)+1,$Y10,TRUE,0)</f>
        <v>4.83</v>
      </c>
      <c r="CB10" s="202" cm="1">
        <f t="array" ref="CB10">_xlfn.IFS(CB$3&lt;$B$2,SUMPRODUCT(('PA Fees Actual'!$B$5:$B$882=$E10)*('PA Fees Actual'!$A$5:$A$882&gt;=CB$3)*('PA Fees Actual'!$A$5:$A$882&lt;=EOMONTH(CB$3,0))*'PA Fees Actual'!$D$5:$D$882),CB$3&gt;=EOMONTH($X10,-1)+1,$Y10,TRUE,0)</f>
        <v>15.3</v>
      </c>
      <c r="CC10" s="202" cm="1">
        <f t="array" ref="CC10">_xlfn.IFS(CC$3&lt;$B$2,SUMPRODUCT(('PA Fees Actual'!$B$5:$B$882=$E10)*('PA Fees Actual'!$A$5:$A$882&gt;=CC$3)*('PA Fees Actual'!$A$5:$A$882&lt;=EOMONTH(CC$3,0))*'PA Fees Actual'!$D$5:$D$882),CC$3&gt;=EOMONTH($X10,-1)+1,$Y10,TRUE,0)</f>
        <v>15.3</v>
      </c>
      <c r="CD10" s="202" cm="1">
        <f t="array" ref="CD10">_xlfn.IFS(CD$3&lt;$B$2,SUMPRODUCT(('PA Fees Actual'!$B$5:$B$882=$E10)*('PA Fees Actual'!$A$5:$A$882&gt;=CD$3)*('PA Fees Actual'!$A$5:$A$882&lt;=EOMONTH(CD$3,0))*'PA Fees Actual'!$D$5:$D$882),CD$3&gt;=EOMONTH($X10,-1)+1,$Y10,TRUE,0)</f>
        <v>15.3</v>
      </c>
      <c r="CE10" s="202" cm="1">
        <f t="array" ref="CE10">_xlfn.IFS(CE$3&lt;$B$2,SUMPRODUCT(('PA Fees Actual'!$B$5:$B$882=$E10)*('PA Fees Actual'!$A$5:$A$882&gt;=CE$3)*('PA Fees Actual'!$A$5:$A$882&lt;=EOMONTH(CE$3,0))*'PA Fees Actual'!$D$5:$D$882),CE$3&gt;=EOMONTH($X10,-1)+1,$Y10,TRUE,0)</f>
        <v>15.3</v>
      </c>
      <c r="CF10" s="202" cm="1">
        <f t="array" ref="CF10">_xlfn.IFS(CF$3&lt;$B$2,SUMPRODUCT(('PA Fees Actual'!$B$5:$B$882=$E10)*('PA Fees Actual'!$A$5:$A$882&gt;=CF$3)*('PA Fees Actual'!$A$5:$A$882&lt;=EOMONTH(CF$3,0))*'PA Fees Actual'!$D$5:$D$882),CF$3&gt;=EOMONTH($X10,-1)+1,$Y10,TRUE,0)</f>
        <v>15.3</v>
      </c>
      <c r="CG10" s="202" cm="1">
        <f t="array" ref="CG10">_xlfn.IFS(CG$3&lt;$B$2,SUMPRODUCT(('PA Fees Actual'!$B$5:$B$882=$E10)*('PA Fees Actual'!$A$5:$A$882&gt;=CG$3)*('PA Fees Actual'!$A$5:$A$882&lt;=EOMONTH(CG$3,0))*'PA Fees Actual'!$D$5:$D$882),CG$3&gt;=EOMONTH($X10,-1)+1,$Y10,TRUE,0)</f>
        <v>15.3</v>
      </c>
      <c r="CI10" s="202" cm="1">
        <f t="array" ref="CI10">_xlfn.IFS(CI$3&lt;=YEAR($B$2),SUMPRODUCT(($E$4:$E$79=$E10)*($Z$2:$CG$2=CI$3)*($Z$2:$CG$2&lt;CJ$3)*$Z$4:$CG$79),CI$3&lt;YEAR($X10),0,CI$3=YEAR($X10),DATEDIF($X10,DATE(CI$3,12,31),"m")*$Y10,AND(CI$3&gt;YEAR($X10),CI$3-YEAR($X10)&lt;20),$Y10*12,CI$3-YEAR($X10)=20,DATEDIF(DATE(YEAR($X10),1,1),$X10,"m")*$Y10,CI$3-YEAR($X10)&gt;20,0)</f>
        <v>0</v>
      </c>
      <c r="CJ10" s="202" cm="1">
        <f t="array" ref="CJ10">_xlfn.IFS(CJ$3&lt;=YEAR($B$2),SUMPRODUCT(($E$4:$E$79=$E10)*($Z$2:$CG$2=CJ$3)*($Z$2:$CG$2&lt;CK$3)*$Z$4:$CG$79),CJ$3&lt;YEAR($X10),0,CJ$3=YEAR($X10),DATEDIF($X10,DATE(CJ$3,12,31),"m")*$Y10,AND(CJ$3&gt;YEAR($X10),CJ$3-YEAR($X10)&lt;20),$Y10*12,CJ$3-YEAR($X10)=20,DATEDIF(DATE(YEAR($X10),1,1),$X10,"m")*$Y10,CJ$3-YEAR($X10)&gt;20,0)</f>
        <v>19.32</v>
      </c>
      <c r="CK10" s="202" cm="1">
        <f t="array" ref="CK10">_xlfn.IFS(CK$3&lt;=YEAR($B$2),SUMPRODUCT(($E$4:$E$79=$E10)*($Z$2:$CG$2=CK$3)*($Z$2:$CG$2&lt;CL$3)*$Z$4:$CG$79),CK$3&lt;YEAR($X10),0,CK$3=YEAR($X10),DATEDIF($X10,DATE(CK$3,12,31),"m")*$Y10,AND(CK$3&gt;YEAR($X10),CK$3-YEAR($X10)&lt;20),$Y10*12,CK$3-YEAR($X10)=20,DATEDIF(DATE(YEAR($X10),1,1),$X10,"m")*$Y10,CK$3-YEAR($X10)&gt;20,0)</f>
        <v>57.959999999999994</v>
      </c>
      <c r="CL10" s="202" cm="1">
        <f t="array" ref="CL10">_xlfn.IFS(CL$3&lt;=YEAR($B$2),SUMPRODUCT(($E$4:$E$79=$E10)*($Z$2:$CG$2=CL$3)*($Z$2:$CG$2&lt;CM$3)*$Z$4:$CG$79),CL$3&lt;YEAR($X10),0,CL$3=YEAR($X10),DATEDIF($X10,DATE(CL$3,12,31),"m")*$Y10,AND(CL$3&gt;YEAR($X10),CL$3-YEAR($X10)&lt;20),$Y10*12,CL$3-YEAR($X10)=20,DATEDIF(DATE(YEAR($X10),1,1),$X10,"m")*$Y10,CL$3-YEAR($X10)&gt;20,0)</f>
        <v>57.959999999999994</v>
      </c>
      <c r="CM10" s="202" cm="1">
        <f t="array" ref="CM10">_xlfn.IFS(CM$3&lt;=YEAR($B$2),SUMPRODUCT(($E$4:$E$79=$E10)*($Z$2:$CG$2=CM$3)*($Z$2:$CG$2&lt;CN$3)*$Z$4:$CG$79),CM$3&lt;YEAR($X10),0,CM$3=YEAR($X10),DATEDIF($X10,DATE(CM$3,12,31),"m")*$Y10,AND(CM$3&gt;YEAR($X10),CM$3-YEAR($X10)&lt;20),$Y10*12,CM$3-YEAR($X10)=20,DATEDIF(DATE(YEAR($X10),1,1),$X10,"m")*$Y10,CM$3-YEAR($X10)&gt;20,0)</f>
        <v>120.77999999999999</v>
      </c>
      <c r="CN10" s="202" cm="1">
        <f t="array" ref="CN10">_xlfn.IFS(CN$3&lt;=YEAR($B$2),SUMPRODUCT(($E$4:$E$79=$E10)*($Z$2:$CG$2=CN$3)*($Z$2:$CG$2&lt;CO$3)*$Z$4:$CG$79),CN$3&lt;YEAR($X10),0,CN$3=YEAR($X10),DATEDIF($X10,DATE(CN$3,12,31),"m")*$Y10,AND(CN$3&gt;YEAR($X10),CN$3-YEAR($X10)&lt;20),$Y10*12,CN$3-YEAR($X10)=20,DATEDIF(DATE(YEAR($X10),1,1),$X10,"m")*$Y10,CN$3-YEAR($X10)&gt;20,0)</f>
        <v>183.60000000000002</v>
      </c>
      <c r="CO10" s="202" cm="1">
        <f t="array" ref="CO10">_xlfn.IFS(CO$3&lt;=YEAR($B$2),SUMPRODUCT(($E$4:$E$79=$E10)*($Z$2:$CG$2=CO$3)*($Z$2:$CG$2&lt;CP$3)*$Z$4:$CG$79),CO$3&lt;YEAR($X10),0,CO$3=YEAR($X10),DATEDIF($X10,DATE(CO$3,12,31),"m")*$Y10,AND(CO$3&gt;YEAR($X10),CO$3-YEAR($X10)&lt;20),$Y10*12,CO$3-YEAR($X10)=20,DATEDIF(DATE(YEAR($X10),1,1),$X10,"m")*$Y10,CO$3-YEAR($X10)&gt;20,0)</f>
        <v>183.60000000000002</v>
      </c>
      <c r="CP10" s="202" cm="1">
        <f t="array" ref="CP10">_xlfn.IFS(CP$3&lt;=YEAR($B$2),SUMPRODUCT(($E$4:$E$79=$E10)*($Z$2:$CG$2=CP$3)*($Z$2:$CG$2&lt;CQ$3)*$Z$4:$CG$79),CP$3&lt;YEAR($X10),0,CP$3=YEAR($X10),DATEDIF($X10,DATE(CP$3,12,31),"m")*$Y10,AND(CP$3&gt;YEAR($X10),CP$3-YEAR($X10)&lt;20),$Y10*12,CP$3-YEAR($X10)=20,DATEDIF(DATE(YEAR($X10),1,1),$X10,"m")*$Y10,CP$3-YEAR($X10)&gt;20,0)</f>
        <v>183.60000000000002</v>
      </c>
      <c r="CQ10" s="202" cm="1">
        <f t="array" ref="CQ10">_xlfn.IFS(CQ$3&lt;=YEAR($B$2),SUMPRODUCT(($E$4:$E$79=$E10)*($Z$2:$CG$2=CQ$3)*($Z$2:$CG$2&lt;CR$3)*$Z$4:$CG$79),CQ$3&lt;YEAR($X10),0,CQ$3=YEAR($X10),DATEDIF($X10,DATE(CQ$3,12,31),"m")*$Y10,AND(CQ$3&gt;YEAR($X10),CQ$3-YEAR($X10)&lt;20),$Y10*12,CQ$3-YEAR($X10)=20,DATEDIF(DATE(YEAR($X10),1,1),$X10,"m")*$Y10,CQ$3-YEAR($X10)&gt;20,0)</f>
        <v>183.60000000000002</v>
      </c>
      <c r="CR10" s="202" cm="1">
        <f t="array" ref="CR10">_xlfn.IFS(CR$3&lt;=YEAR($B$2),SUMPRODUCT(($E$4:$E$79=$E10)*($Z$2:$CG$2=CR$3)*($Z$2:$CG$2&lt;CS$3)*$Z$4:$CG$79),CR$3&lt;YEAR($X10),0,CR$3=YEAR($X10),DATEDIF($X10,DATE(CR$3,12,31),"m")*$Y10,AND(CR$3&gt;YEAR($X10),CR$3-YEAR($X10)&lt;20),$Y10*12,CR$3-YEAR($X10)=20,DATEDIF(DATE(YEAR($X10),1,1),$X10,"m")*$Y10,CR$3-YEAR($X10)&gt;20,0)</f>
        <v>183.60000000000002</v>
      </c>
      <c r="CS10" s="202" cm="1">
        <f t="array" ref="CS10">_xlfn.IFS(CS$3&lt;=YEAR($B$2),SUMPRODUCT(($E$4:$E$79=$E10)*($Z$2:$CG$2=CS$3)*($Z$2:$CG$2&lt;CT$3)*$Z$4:$CG$79),CS$3&lt;YEAR($X10),0,CS$3=YEAR($X10),DATEDIF($X10,DATE(CS$3,12,31),"m")*$Y10,AND(CS$3&gt;YEAR($X10),CS$3-YEAR($X10)&lt;20),$Y10*12,CS$3-YEAR($X10)=20,DATEDIF(DATE(YEAR($X10),1,1),$X10,"m")*$Y10,CS$3-YEAR($X10)&gt;20,0)</f>
        <v>183.60000000000002</v>
      </c>
      <c r="CT10" s="202" cm="1">
        <f t="array" ref="CT10">_xlfn.IFS(CT$3&lt;=YEAR($B$2),SUMPRODUCT(($E$4:$E$79=$E10)*($Z$2:$CG$2=CT$3)*($Z$2:$CG$2&lt;CU$3)*$Z$4:$CG$79),CT$3&lt;YEAR($X10),0,CT$3=YEAR($X10),DATEDIF($X10,DATE(CT$3,12,31),"m")*$Y10,AND(CT$3&gt;YEAR($X10),CT$3-YEAR($X10)&lt;20),$Y10*12,CT$3-YEAR($X10)=20,DATEDIF(DATE(YEAR($X10),1,1),$X10,"m")*$Y10,CT$3-YEAR($X10)&gt;20,0)</f>
        <v>183.60000000000002</v>
      </c>
      <c r="CU10" s="202" cm="1">
        <f t="array" ref="CU10">_xlfn.IFS(CU$3&lt;=YEAR($B$2),SUMPRODUCT(($E$4:$E$79=$E10)*($Z$2:$CG$2=CU$3)*($Z$2:$CG$2&lt;CV$3)*$Z$4:$CG$79),CU$3&lt;YEAR($X10),0,CU$3=YEAR($X10),DATEDIF($X10,DATE(CU$3,12,31),"m")*$Y10,AND(CU$3&gt;YEAR($X10),CU$3-YEAR($X10)&lt;20),$Y10*12,CU$3-YEAR($X10)=20,DATEDIF(DATE(YEAR($X10),1,1),$X10,"m")*$Y10,CU$3-YEAR($X10)&gt;20,0)</f>
        <v>183.60000000000002</v>
      </c>
      <c r="CV10" s="202" cm="1">
        <f t="array" ref="CV10">_xlfn.IFS(CV$3&lt;=YEAR($B$2),SUMPRODUCT(($E$4:$E$79=$E10)*($Z$2:$CG$2=CV$3)*($Z$2:$CG$2&lt;CW$3)*$Z$4:$CG$79),CV$3&lt;YEAR($X10),0,CV$3=YEAR($X10),DATEDIF($X10,DATE(CV$3,12,31),"m")*$Y10,AND(CV$3&gt;YEAR($X10),CV$3-YEAR($X10)&lt;20),$Y10*12,CV$3-YEAR($X10)=20,DATEDIF(DATE(YEAR($X10),1,1),$X10,"m")*$Y10,CV$3-YEAR($X10)&gt;20,0)</f>
        <v>183.60000000000002</v>
      </c>
      <c r="CW10" s="202" cm="1">
        <f t="array" ref="CW10">_xlfn.IFS(CW$3&lt;=YEAR($B$2),SUMPRODUCT(($E$4:$E$79=$E10)*($Z$2:$CG$2=CW$3)*($Z$2:$CG$2&lt;CX$3)*$Z$4:$CG$79),CW$3&lt;YEAR($X10),0,CW$3=YEAR($X10),DATEDIF($X10,DATE(CW$3,12,31),"m")*$Y10,AND(CW$3&gt;YEAR($X10),CW$3-YEAR($X10)&lt;20),$Y10*12,CW$3-YEAR($X10)=20,DATEDIF(DATE(YEAR($X10),1,1),$X10,"m")*$Y10,CW$3-YEAR($X10)&gt;20,0)</f>
        <v>183.60000000000002</v>
      </c>
      <c r="CX10" s="202" cm="1">
        <f t="array" ref="CX10">_xlfn.IFS(CX$3&lt;=YEAR($B$2),SUMPRODUCT(($E$4:$E$79=$E10)*($Z$2:$CG$2=CX$3)*($Z$2:$CG$2&lt;CY$3)*$Z$4:$CG$79),CX$3&lt;YEAR($X10),0,CX$3=YEAR($X10),DATEDIF($X10,DATE(CX$3,12,31),"m")*$Y10,AND(CX$3&gt;YEAR($X10),CX$3-YEAR($X10)&lt;20),$Y10*12,CX$3-YEAR($X10)=20,DATEDIF(DATE(YEAR($X10),1,1),$X10,"m")*$Y10,CX$3-YEAR($X10)&gt;20,0)</f>
        <v>183.60000000000002</v>
      </c>
      <c r="CY10" s="202" cm="1">
        <f t="array" ref="CY10">_xlfn.IFS(CY$3&lt;=YEAR($B$2),SUMPRODUCT(($E$4:$E$79=$E10)*($Z$2:$CG$2=CY$3)*($Z$2:$CG$2&lt;CZ$3)*$Z$4:$CG$79),CY$3&lt;YEAR($X10),0,CY$3=YEAR($X10),DATEDIF($X10,DATE(CY$3,12,31),"m")*$Y10,AND(CY$3&gt;YEAR($X10),CY$3-YEAR($X10)&lt;20),$Y10*12,CY$3-YEAR($X10)=20,DATEDIF(DATE(YEAR($X10),1,1),$X10,"m")*$Y10,CY$3-YEAR($X10)&gt;20,0)</f>
        <v>183.60000000000002</v>
      </c>
      <c r="CZ10" s="202" cm="1">
        <f t="array" ref="CZ10">_xlfn.IFS(CZ$3&lt;=YEAR($B$2),SUMPRODUCT(($E$4:$E$79=$E10)*($Z$2:$CG$2=CZ$3)*($Z$2:$CG$2&lt;DA$3)*$Z$4:$CG$79),CZ$3&lt;YEAR($X10),0,CZ$3=YEAR($X10),DATEDIF($X10,DATE(CZ$3,12,31),"m")*$Y10,AND(CZ$3&gt;YEAR($X10),CZ$3-YEAR($X10)&lt;20),$Y10*12,CZ$3-YEAR($X10)=20,DATEDIF(DATE(YEAR($X10),1,1),$X10,"m")*$Y10,CZ$3-YEAR($X10)&gt;20,0)</f>
        <v>183.60000000000002</v>
      </c>
      <c r="DA10" s="202" cm="1">
        <f t="array" ref="DA10">_xlfn.IFS(DA$3&lt;=YEAR($B$2),SUMPRODUCT(($E$4:$E$79=$E10)*($Z$2:$CG$2=DA$3)*($Z$2:$CG$2&lt;DB$3)*$Z$4:$CG$79),DA$3&lt;YEAR($X10),0,DA$3=YEAR($X10),DATEDIF($X10,DATE(DA$3,12,31),"m")*$Y10,AND(DA$3&gt;YEAR($X10),DA$3-YEAR($X10)&lt;20),$Y10*12,DA$3-YEAR($X10)=20,DATEDIF(DATE(YEAR($X10),1,1),$X10,"m")*$Y10,DA$3-YEAR($X10)&gt;20,0)</f>
        <v>183.60000000000002</v>
      </c>
      <c r="DB10" s="202" cm="1">
        <f t="array" ref="DB10">_xlfn.IFS(DB$3&lt;=YEAR($B$2),SUMPRODUCT(($E$4:$E$79=$E10)*($Z$2:$CG$2=DB$3)*($Z$2:$CG$2&lt;DC$3)*$Z$4:$CG$79),DB$3&lt;YEAR($X10),0,DB$3=YEAR($X10),DATEDIF($X10,DATE(DB$3,12,31),"m")*$Y10,AND(DB$3&gt;YEAR($X10),DB$3-YEAR($X10)&lt;20),$Y10*12,DB$3-YEAR($X10)=20,DATEDIF(DATE(YEAR($X10),1,1),$X10,"m")*$Y10,DB$3-YEAR($X10)&gt;20,0)</f>
        <v>183.60000000000002</v>
      </c>
      <c r="DC10" s="202" cm="1">
        <f t="array" ref="DC10">_xlfn.IFS(DC$3&lt;=YEAR($B$2),SUMPRODUCT(($E$4:$E$79=$E10)*($Z$2:$CG$2=DC$3)*($Z$2:$CG$2&lt;DD$3)*$Z$4:$CG$79),DC$3&lt;YEAR($X10),0,DC$3=YEAR($X10),DATEDIF($X10,DATE(DC$3,12,31),"m")*$Y10,AND(DC$3&gt;YEAR($X10),DC$3-YEAR($X10)&lt;20),$Y10*12,DC$3-YEAR($X10)=20,DATEDIF(DATE(YEAR($X10),1,1),$X10,"m")*$Y10,DC$3-YEAR($X10)&gt;20,0)</f>
        <v>183.60000000000002</v>
      </c>
      <c r="DD10" s="202" cm="1">
        <f t="array" ref="DD10">_xlfn.IFS(DD$3&lt;=YEAR($B$2),SUMPRODUCT(($E$4:$E$79=$E10)*($Z$2:$CG$2=DD$3)*($Z$2:$CG$2&lt;DE$3)*$Z$4:$CG$79),DD$3&lt;YEAR($X10),0,DD$3=YEAR($X10),DATEDIF($X10,DATE(DD$3,12,31),"m")*$Y10,AND(DD$3&gt;YEAR($X10),DD$3-YEAR($X10)&lt;20),$Y10*12,DD$3-YEAR($X10)=20,DATEDIF(DATE(YEAR($X10),1,1),$X10,"m")*$Y10,DD$3-YEAR($X10)&gt;20,0)</f>
        <v>107.10000000000001</v>
      </c>
      <c r="DE10" s="202" cm="1">
        <f t="array" ref="DE10">_xlfn.IFS(DE$3&lt;=YEAR($B$2),SUMPRODUCT(($E$4:$E$79=$E10)*($Z$2:$CG$2=DE$3)*($Z$2:$CG$2&lt;DF$3)*$Z$4:$CG$79),DE$3&lt;YEAR($X10),0,DE$3=YEAR($X10),DATEDIF($X10,DATE(DE$3,12,31),"m")*$Y10,AND(DE$3&gt;YEAR($X10),DE$3-YEAR($X10)&lt;20),$Y10*12,DE$3-YEAR($X10)=20,DATEDIF(DATE(YEAR($X10),1,1),$X10,"m")*$Y10,DE$3-YEAR($X10)&gt;20,0)</f>
        <v>0</v>
      </c>
      <c r="DF10" s="202" cm="1">
        <f t="array" ref="DF10">_xlfn.IFS(DF$3&lt;=YEAR($B$2),SUMPRODUCT(($E$4:$E$79=$E10)*($Z$2:$CG$2=DF$3)*($Z$2:$CG$2&lt;DG$3)*$Z$4:$CG$79),DF$3&lt;YEAR($X10),0,DF$3=YEAR($X10),DATEDIF($X10,DATE(DF$3,12,31),"m")*$Y10,AND(DF$3&gt;YEAR($X10),DF$3-YEAR($X10)&lt;20),$Y10*12,DF$3-YEAR($X10)=20,DATEDIF(DATE(YEAR($X10),1,1),$X10,"m")*$Y10,DF$3-YEAR($X10)&gt;20,0)</f>
        <v>0</v>
      </c>
      <c r="DG10" s="202" cm="1">
        <f t="array" ref="DG10">_xlfn.IFS(DG$3&lt;=YEAR($B$2),SUMPRODUCT(($E$4:$E$79=$E10)*($Z$2:$CG$2=DG$3)*($Z$2:$CG$2&lt;DH$3)*$Z$4:$CG$79),DG$3&lt;YEAR($X10),0,DG$3=YEAR($X10),DATEDIF($X10,DATE(DG$3,12,31),"m")*$Y10,AND(DG$3&gt;YEAR($X10),DG$3-YEAR($X10)&lt;20),$Y10*12,DG$3-YEAR($X10)=20,DATEDIF(DATE(YEAR($X10),1,1),$X10,"m")*$Y10,DG$3-YEAR($X10)&gt;20,0)</f>
        <v>0</v>
      </c>
      <c r="DH10" s="202" cm="1">
        <f t="array" ref="DH10">_xlfn.IFS(DH$3&lt;=YEAR($B$2),SUMPRODUCT(($E$4:$E$79=$E10)*($Z$2:$CG$2=DH$3)*($Z$2:$CG$2&lt;DI$3)*$Z$4:$CG$79),DH$3&lt;YEAR($X10),0,DH$3=YEAR($X10),DATEDIF($X10,DATE(DH$3,12,31),"m")*$Y10,AND(DH$3&gt;YEAR($X10),DH$3-YEAR($X10)&lt;20),$Y10*12,DH$3-YEAR($X10)=20,DATEDIF(DATE(YEAR($X10),1,1),$X10,"m")*$Y10,DH$3-YEAR($X10)&gt;20,0)</f>
        <v>0</v>
      </c>
      <c r="DI10" s="202" cm="1">
        <f t="array" ref="DI10">_xlfn.IFS(DI$3&lt;=YEAR($B$2),SUMPRODUCT(($E$4:$E$79=$E10)*($Z$2:$CG$2=DI$3)*($Z$2:$CG$2&lt;DJ$3)*$Z$4:$CG$79),DI$3&lt;YEAR($X10),0,DI$3=YEAR($X10),DATEDIF($X10,DATE(DI$3,12,31),"m")*$Y10,AND(DI$3&gt;YEAR($X10),DI$3-YEAR($X10)&lt;20),$Y10*12,DI$3-YEAR($X10)=20,DATEDIF(DATE(YEAR($X10),1,1),$X10,"m")*$Y10,DI$3-YEAR($X10)&gt;20,0)</f>
        <v>0</v>
      </c>
      <c r="DJ10" s="202" cm="1">
        <f t="array" ref="DJ10">_xlfn.IFS(DJ$3&lt;=YEAR($B$2),SUMPRODUCT(($E$4:$E$79=$E10)*($Z$2:$CG$2=DJ$3)*($Z$2:$CG$2&lt;DK$3)*$Z$4:$CG$79),DJ$3&lt;YEAR($X10),0,DJ$3=YEAR($X10),DATEDIF($X10,DATE(DJ$3,12,31),"m")*$Y10,AND(DJ$3&gt;YEAR($X10),DJ$3-YEAR($X10)&lt;20),$Y10*12,DJ$3-YEAR($X10)=20,DATEDIF(DATE(YEAR($X10),1,1),$X10,"m")*$Y10,DJ$3-YEAR($X10)&gt;20,0)</f>
        <v>0</v>
      </c>
      <c r="DK10" s="202" cm="1">
        <f t="array" ref="DK10">_xlfn.IFS(DK$3&lt;=YEAR($B$2),SUMPRODUCT(($E$4:$E$79=$E10)*($Z$2:$CG$2=DK$3)*($Z$2:$CG$2&lt;DL$3)*$Z$4:$CG$79),DK$3&lt;YEAR($X10),0,DK$3=YEAR($X10),DATEDIF($X10,DATE(DK$3,12,31),"m")*$Y10,AND(DK$3&gt;YEAR($X10),DK$3-YEAR($X10)&lt;20),$Y10*12,DK$3-YEAR($X10)=20,DATEDIF(DATE(YEAR($X10),1,1),$X10,"m")*$Y10,DK$3-YEAR($X10)&gt;20,0)</f>
        <v>0</v>
      </c>
      <c r="DL10" s="202" cm="1">
        <f t="array" ref="DL10">_xlfn.IFS(DL$3&lt;=YEAR($B$2),SUMPRODUCT(($E$4:$E$79=$E10)*($Z$2:$CG$2=DL$3)*($Z$2:$CG$2&lt;DM$3)*$Z$4:$CG$79),DL$3&lt;YEAR($X10),0,DL$3=YEAR($X10),DATEDIF($X10,DATE(DL$3,12,31),"m")*$Y10,AND(DL$3&gt;YEAR($X10),DL$3-YEAR($X10)&lt;20),$Y10*12,DL$3-YEAR($X10)=20,DATEDIF(DATE(YEAR($X10),1,1),$X10,"m")*$Y10,DL$3-YEAR($X10)&gt;20,0)</f>
        <v>0</v>
      </c>
      <c r="DO10" s="165"/>
      <c r="DP10" s="166" t="s">
        <v>11</v>
      </c>
      <c r="DQ10" s="166" t="s">
        <v>12</v>
      </c>
      <c r="DR10" s="166" t="s">
        <v>13</v>
      </c>
      <c r="DS10" s="166" t="s">
        <v>102</v>
      </c>
      <c r="EL10" s="76"/>
    </row>
    <row r="11" spans="1:150">
      <c r="A11" s="155" t="str" cm="1">
        <f t="array" ref="A11">INDEX('Monthly Report July 2025'!C:C,MATCH(E11,'Monthly Report July 2025'!E:E,0),0)</f>
        <v>SPQ0094</v>
      </c>
      <c r="B11" s="155" t="str" cm="1">
        <f t="array" ref="B11">_xlfn.IFS(LEFT(E11,3)="PGE","PGE",LEFT(E11,2)="PP","PAC",TRUE,"IP")</f>
        <v>PGE</v>
      </c>
      <c r="C11" s="155" t="str">
        <f>IF(ISNA(MATCH(E11,'Monthly Report July 2025'!E:E,0)),"Missing","Present")</f>
        <v>Present</v>
      </c>
      <c r="D11" s="155" t="str">
        <f>IF(ISNA(MATCH(E11,'Project Operational Timelines'!C:C,0))=TRUE,"Missing","Present")</f>
        <v>Present</v>
      </c>
      <c r="E11" s="155" t="s">
        <v>116</v>
      </c>
      <c r="F11" s="155" t="str" cm="1">
        <f t="array" ref="F11">INDEX('Monthly Report July 2025'!F:F,MATCH(E11,'Monthly Report July 2025'!E:E,),0)</f>
        <v>Kaiser Creek Solar LLC</v>
      </c>
      <c r="G11" s="155" t="str" cm="1">
        <f t="array" ref="G11">_xlfn.IFS(INDEX('Monthly Report July 2025'!O:O,MATCH(E11,'Monthly Report July 2025'!E:E,0),0)="Operational","Operational",INDEX('Monthly Report July 2025'!O:O,MATCH(E11,'Monthly Report July 2025'!E:E,0),0)="Certified","Certified",TRUE,"Pre-Certified")</f>
        <v>Operational</v>
      </c>
      <c r="H11" s="155" t="str" cm="1">
        <f t="array" ref="H11">INDEX('Monthly Report July 2025'!H:H,MATCH($E11,'Monthly Report July 2025'!$E:$E,0),0)</f>
        <v>HEP</v>
      </c>
      <c r="I11" s="155" t="str" cm="1">
        <f t="array" ref="I11">INDEX('Monthly Report July 2025'!I:I,MATCH($E11,'Monthly Report July 2025'!$E:$E,0),0)</f>
        <v>HEP</v>
      </c>
      <c r="J11" s="174" cm="1">
        <f t="array" ref="J11">INDEX('Monthly Report July 2025'!J:J,MATCH($E11,'Monthly Report July 2025'!$E:$E,0),0)</f>
        <v>1</v>
      </c>
      <c r="K11" s="174" t="str" cm="1">
        <f t="array" ref="K11">INDEX('Monthly Report July 2025'!K:K,MATCH($E11,'Monthly Report July 2025'!$E:$E,0),0)</f>
        <v>No</v>
      </c>
      <c r="L11" s="174" t="b" cm="1">
        <f t="array" ref="L11">INDEX('Monthly Report July 2025'!L:L,MATCH(E11,'Monthly Report July 2025'!E:E,0),0)=M11</f>
        <v>1</v>
      </c>
      <c r="M11" s="273" cm="1">
        <f t="array" ref="M11">INDEX('Monthly Report July 2025'!L:L,MATCH($E11,'Monthly Report July 2025'!$E:$E,0),0)</f>
        <v>2000</v>
      </c>
      <c r="N11" s="175" cm="1">
        <f t="array" ref="N11">INDEX('Monthly Report July 2025'!M:M,MATCH($E11,'Monthly Report July 2025'!$E:$E,0),0)</f>
        <v>43948</v>
      </c>
      <c r="O11" s="175" t="str" cm="1">
        <f t="array" ref="O11">_xlfn.IFS(G11="Operational","Operational",G11="Certified","Certified",TRUE,INDEX('Monthly Report July 2025'!O:O,MATCH(E11,'Monthly Report July 2025'!E:E,0),0))</f>
        <v>Operational</v>
      </c>
      <c r="P11" s="175" t="b" cm="1">
        <f t="array" ref="P11">_xlfn.IFS(G11="Operational",O11="Operational",G11="Certified",O11="Certified",TRUE,G11="Pre-Certified")</f>
        <v>1</v>
      </c>
      <c r="Q11" s="175" cm="1">
        <f t="array" ref="Q11">IF(O11="Operational",INDEX('Monthly Report July 2025'!R:R,MATCH(E11,'Monthly Report July 2025'!E:E,0),0),"")</f>
        <v>44910</v>
      </c>
      <c r="R11" s="175" cm="1">
        <f t="array" ref="R11">INDEX('Monthly Report July 2025'!P:P,MATCH(E11,'Monthly Report July 2025'!E:E,0),0)</f>
        <v>44895</v>
      </c>
      <c r="S11" s="175" t="b">
        <f t="shared" si="5"/>
        <v>1</v>
      </c>
      <c r="T11" s="175" cm="1">
        <f t="array" ref="T11">INDEX('Monthly Report July 2025'!U:U,MATCH(E11,'Monthly Report July 2025'!E:E,0),0)</f>
        <v>44908</v>
      </c>
      <c r="U11" s="175" t="str">
        <f t="shared" si="6"/>
        <v>IGNORE</v>
      </c>
      <c r="V11" s="156">
        <f t="shared" si="7"/>
        <v>44895</v>
      </c>
      <c r="W11" s="156" cm="1">
        <f t="array" ref="W11">_xlfn.IFS(U11=TRUE,EDATE(O11,6),U11=FALSE,T11,O11="Operational",Q11,AND(O11="Certified",EDATE(R11,6)&gt;T11),EDATE(R11,6),TRUE,T11)</f>
        <v>44910</v>
      </c>
      <c r="X11" s="156">
        <f t="shared" si="8"/>
        <v>44972</v>
      </c>
      <c r="Y11" s="157">
        <f t="shared" si="9"/>
        <v>1445</v>
      </c>
      <c r="Z11" s="202" cm="1">
        <f t="array" ref="Z11">_xlfn.IFS(Z$3&lt;$B$2,SUMPRODUCT(('PA Fees Actual'!$B$5:$B$882=$E11)*('PA Fees Actual'!$A$5:$A$882&gt;=Z$3)*('PA Fees Actual'!$A$5:$A$882&lt;=EOMONTH(Z$3,0))*'PA Fees Actual'!$D$5:$D$882),Z$3&gt;=EOMONTH($X11,-1)+1,$Y11,TRUE,0)</f>
        <v>0</v>
      </c>
      <c r="AA11" s="202" cm="1">
        <f t="array" ref="AA11">_xlfn.IFS(AA$3&lt;$B$2,SUMPRODUCT(('PA Fees Actual'!$B$5:$B$882=$E11)*('PA Fees Actual'!$A$5:$A$882&gt;=AA$3)*('PA Fees Actual'!$A$5:$A$882&lt;=EOMONTH(AA$3,0))*'PA Fees Actual'!$D$5:$D$882),AA$3&gt;=EOMONTH($X11,-1)+1,$Y11,TRUE,0)</f>
        <v>0</v>
      </c>
      <c r="AB11" s="202" cm="1">
        <f t="array" ref="AB11">_xlfn.IFS(AB$3&lt;$B$2,SUMPRODUCT(('PA Fees Actual'!$B$5:$B$882=$E11)*('PA Fees Actual'!$A$5:$A$882&gt;=AB$3)*('PA Fees Actual'!$A$5:$A$882&lt;=EOMONTH(AB$3,0))*'PA Fees Actual'!$D$5:$D$882),AB$3&gt;=EOMONTH($X11,-1)+1,$Y11,TRUE,0)</f>
        <v>0</v>
      </c>
      <c r="AC11" s="202" cm="1">
        <f t="array" ref="AC11">_xlfn.IFS(AC$3&lt;$B$2,SUMPRODUCT(('PA Fees Actual'!$B$5:$B$882=$E11)*('PA Fees Actual'!$A$5:$A$882&gt;=AC$3)*('PA Fees Actual'!$A$5:$A$882&lt;=EOMONTH(AC$3,0))*'PA Fees Actual'!$D$5:$D$882),AC$3&gt;=EOMONTH($X11,-1)+1,$Y11,TRUE,0)</f>
        <v>0</v>
      </c>
      <c r="AD11" s="202" cm="1">
        <f t="array" ref="AD11">_xlfn.IFS(AD$3&lt;$B$2,SUMPRODUCT(('PA Fees Actual'!$B$5:$B$882=$E11)*('PA Fees Actual'!$A$5:$A$882&gt;=AD$3)*('PA Fees Actual'!$A$5:$A$882&lt;=EOMONTH(AD$3,0))*'PA Fees Actual'!$D$5:$D$882),AD$3&gt;=EOMONTH($X11,-1)+1,$Y11,TRUE,0)</f>
        <v>0</v>
      </c>
      <c r="AE11" s="202" cm="1">
        <f t="array" ref="AE11">_xlfn.IFS(AE$3&lt;$B$2,SUMPRODUCT(('PA Fees Actual'!$B$5:$B$882=$E11)*('PA Fees Actual'!$A$5:$A$882&gt;=AE$3)*('PA Fees Actual'!$A$5:$A$882&lt;=EOMONTH(AE$3,0))*'PA Fees Actual'!$D$5:$D$882),AE$3&gt;=EOMONTH($X11,-1)+1,$Y11,TRUE,0)</f>
        <v>0</v>
      </c>
      <c r="AF11" s="202" cm="1">
        <f t="array" ref="AF11">_xlfn.IFS(AF$3&lt;$B$2,SUMPRODUCT(('PA Fees Actual'!$B$5:$B$882=$E11)*('PA Fees Actual'!$A$5:$A$882&gt;=AF$3)*('PA Fees Actual'!$A$5:$A$882&lt;=EOMONTH(AF$3,0))*'PA Fees Actual'!$D$5:$D$882),AF$3&gt;=EOMONTH($X11,-1)+1,$Y11,TRUE,0)</f>
        <v>0</v>
      </c>
      <c r="AG11" s="202" cm="1">
        <f t="array" ref="AG11">_xlfn.IFS(AG$3&lt;$B$2,SUMPRODUCT(('PA Fees Actual'!$B$5:$B$882=$E11)*('PA Fees Actual'!$A$5:$A$882&gt;=AG$3)*('PA Fees Actual'!$A$5:$A$882&lt;=EOMONTH(AG$3,0))*'PA Fees Actual'!$D$5:$D$882),AG$3&gt;=EOMONTH($X11,-1)+1,$Y11,TRUE,0)</f>
        <v>0</v>
      </c>
      <c r="AH11" s="202" cm="1">
        <f t="array" ref="AH11">_xlfn.IFS(AH$3&lt;$B$2,SUMPRODUCT(('PA Fees Actual'!$B$5:$B$882=$E11)*('PA Fees Actual'!$A$5:$A$882&gt;=AH$3)*('PA Fees Actual'!$A$5:$A$882&lt;=EOMONTH(AH$3,0))*'PA Fees Actual'!$D$5:$D$882),AH$3&gt;=EOMONTH($X11,-1)+1,$Y11,TRUE,0)</f>
        <v>0</v>
      </c>
      <c r="AI11" s="202" cm="1">
        <f t="array" ref="AI11">_xlfn.IFS(AI$3&lt;$B$2,SUMPRODUCT(('PA Fees Actual'!$B$5:$B$882=$E11)*('PA Fees Actual'!$A$5:$A$882&gt;=AI$3)*('PA Fees Actual'!$A$5:$A$882&lt;=EOMONTH(AI$3,0))*'PA Fees Actual'!$D$5:$D$882),AI$3&gt;=EOMONTH($X11,-1)+1,$Y11,TRUE,0)</f>
        <v>0</v>
      </c>
      <c r="AJ11" s="202" cm="1">
        <f t="array" ref="AJ11">_xlfn.IFS(AJ$3&lt;$B$2,SUMPRODUCT(('PA Fees Actual'!$B$5:$B$882=$E11)*('PA Fees Actual'!$A$5:$A$882&gt;=AJ$3)*('PA Fees Actual'!$A$5:$A$882&lt;=EOMONTH(AJ$3,0))*'PA Fees Actual'!$D$5:$D$882),AJ$3&gt;=EOMONTH($X11,-1)+1,$Y11,TRUE,0)</f>
        <v>0</v>
      </c>
      <c r="AK11" s="202" cm="1">
        <f t="array" ref="AK11">_xlfn.IFS(AK$3&lt;$B$2,SUMPRODUCT(('PA Fees Actual'!$B$5:$B$882=$E11)*('PA Fees Actual'!$A$5:$A$882&gt;=AK$3)*('PA Fees Actual'!$A$5:$A$882&lt;=EOMONTH(AK$3,0))*'PA Fees Actual'!$D$5:$D$882),AK$3&gt;=EOMONTH($X11,-1)+1,$Y11,TRUE,0)</f>
        <v>0</v>
      </c>
      <c r="AL11" s="202" cm="1">
        <f t="array" ref="AL11">_xlfn.IFS(AL$3&lt;$B$2,SUMPRODUCT(('PA Fees Actual'!$B$5:$B$882=$E11)*('PA Fees Actual'!$A$5:$A$882&gt;=AL$3)*('PA Fees Actual'!$A$5:$A$882&lt;=EOMONTH(AL$3,0))*'PA Fees Actual'!$D$5:$D$882),AL$3&gt;=EOMONTH($X11,-1)+1,$Y11,TRUE,0)</f>
        <v>0</v>
      </c>
      <c r="AM11" s="202" cm="1">
        <f t="array" ref="AM11">_xlfn.IFS(AM$3&lt;$B$2,SUMPRODUCT(('PA Fees Actual'!$B$5:$B$882=$E11)*('PA Fees Actual'!$A$5:$A$882&gt;=AM$3)*('PA Fees Actual'!$A$5:$A$882&lt;=EOMONTH(AM$3,0))*'PA Fees Actual'!$D$5:$D$882),AM$3&gt;=EOMONTH($X11,-1)+1,$Y11,TRUE,0)</f>
        <v>0</v>
      </c>
      <c r="AN11" s="202" cm="1">
        <f t="array" ref="AN11">_xlfn.IFS(AN$3&lt;$B$2,SUMPRODUCT(('PA Fees Actual'!$B$5:$B$882=$E11)*('PA Fees Actual'!$A$5:$A$882&gt;=AN$3)*('PA Fees Actual'!$A$5:$A$882&lt;=EOMONTH(AN$3,0))*'PA Fees Actual'!$D$5:$D$882),AN$3&gt;=EOMONTH($X11,-1)+1,$Y11,TRUE,0)</f>
        <v>0</v>
      </c>
      <c r="AO11" s="202" cm="1">
        <f t="array" ref="AO11">_xlfn.IFS(AO$3&lt;$B$2,SUMPRODUCT(('PA Fees Actual'!$B$5:$B$882=$E11)*('PA Fees Actual'!$A$5:$A$882&gt;=AO$3)*('PA Fees Actual'!$A$5:$A$882&lt;=EOMONTH(AO$3,0))*'PA Fees Actual'!$D$5:$D$882),AO$3&gt;=EOMONTH($X11,-1)+1,$Y11,TRUE,0)</f>
        <v>0</v>
      </c>
      <c r="AP11" s="202" cm="1">
        <f t="array" ref="AP11">_xlfn.IFS(AP$3&lt;$B$2,SUMPRODUCT(('PA Fees Actual'!$B$5:$B$882=$E11)*('PA Fees Actual'!$A$5:$A$882&gt;=AP$3)*('PA Fees Actual'!$A$5:$A$882&lt;=EOMONTH(AP$3,0))*'PA Fees Actual'!$D$5:$D$882),AP$3&gt;=EOMONTH($X11,-1)+1,$Y11,TRUE,0)</f>
        <v>0</v>
      </c>
      <c r="AQ11" s="202" cm="1">
        <f t="array" ref="AQ11">_xlfn.IFS(AQ$3&lt;$B$2,SUMPRODUCT(('PA Fees Actual'!$B$5:$B$882=$E11)*('PA Fees Actual'!$A$5:$A$882&gt;=AQ$3)*('PA Fees Actual'!$A$5:$A$882&lt;=EOMONTH(AQ$3,0))*'PA Fees Actual'!$D$5:$D$882),AQ$3&gt;=EOMONTH($X11,-1)+1,$Y11,TRUE,0)</f>
        <v>0</v>
      </c>
      <c r="AR11" s="202" cm="1">
        <f t="array" ref="AR11">_xlfn.IFS(AR$3&lt;$B$2,SUMPRODUCT(('PA Fees Actual'!$B$5:$B$882=$E11)*('PA Fees Actual'!$A$5:$A$882&gt;=AR$3)*('PA Fees Actual'!$A$5:$A$882&lt;=EOMONTH(AR$3,0))*'PA Fees Actual'!$D$5:$D$882),AR$3&gt;=EOMONTH($X11,-1)+1,$Y11,TRUE,0)</f>
        <v>0</v>
      </c>
      <c r="AS11" s="202" cm="1">
        <f t="array" ref="AS11">_xlfn.IFS(AS$3&lt;$B$2,SUMPRODUCT(('PA Fees Actual'!$B$5:$B$882=$E11)*('PA Fees Actual'!$A$5:$A$882&gt;=AS$3)*('PA Fees Actual'!$A$5:$A$882&lt;=EOMONTH(AS$3,0))*'PA Fees Actual'!$D$5:$D$882),AS$3&gt;=EOMONTH($X11,-1)+1,$Y11,TRUE,0)</f>
        <v>0</v>
      </c>
      <c r="AT11" s="202" cm="1">
        <f t="array" ref="AT11">_xlfn.IFS(AT$3&lt;$B$2,SUMPRODUCT(('PA Fees Actual'!$B$5:$B$882=$E11)*('PA Fees Actual'!$A$5:$A$882&gt;=AT$3)*('PA Fees Actual'!$A$5:$A$882&lt;=EOMONTH(AT$3,0))*'PA Fees Actual'!$D$5:$D$882),AT$3&gt;=EOMONTH($X11,-1)+1,$Y11,TRUE,0)</f>
        <v>0</v>
      </c>
      <c r="AU11" s="202" cm="1">
        <f t="array" ref="AU11">_xlfn.IFS(AU$3&lt;$B$2,SUMPRODUCT(('PA Fees Actual'!$B$5:$B$882=$E11)*('PA Fees Actual'!$A$5:$A$882&gt;=AU$3)*('PA Fees Actual'!$A$5:$A$882&lt;=EOMONTH(AU$3,0))*'PA Fees Actual'!$D$5:$D$882),AU$3&gt;=EOMONTH($X11,-1)+1,$Y11,TRUE,0)</f>
        <v>0</v>
      </c>
      <c r="AV11" s="202" cm="1">
        <f t="array" ref="AV11">_xlfn.IFS(AV$3&lt;$B$2,SUMPRODUCT(('PA Fees Actual'!$B$5:$B$882=$E11)*('PA Fees Actual'!$A$5:$A$882&gt;=AV$3)*('PA Fees Actual'!$A$5:$A$882&lt;=EOMONTH(AV$3,0))*'PA Fees Actual'!$D$5:$D$882),AV$3&gt;=EOMONTH($X11,-1)+1,$Y11,TRUE,0)</f>
        <v>0</v>
      </c>
      <c r="AW11" s="202" cm="1">
        <f t="array" ref="AW11">_xlfn.IFS(AW$3&lt;$B$2,SUMPRODUCT(('PA Fees Actual'!$B$5:$B$882=$E11)*('PA Fees Actual'!$A$5:$A$882&gt;=AW$3)*('PA Fees Actual'!$A$5:$A$882&lt;=EOMONTH(AW$3,0))*'PA Fees Actual'!$D$5:$D$882),AW$3&gt;=EOMONTH($X11,-1)+1,$Y11,TRUE,0)</f>
        <v>0</v>
      </c>
      <c r="AX11" s="202" cm="1">
        <f t="array" ref="AX11">_xlfn.IFS(AX$3&lt;$B$2,SUMPRODUCT(('PA Fees Actual'!$B$5:$B$882=$E11)*('PA Fees Actual'!$A$5:$A$882&gt;=AX$3)*('PA Fees Actual'!$A$5:$A$882&lt;=EOMONTH(AX$3,0))*'PA Fees Actual'!$D$5:$D$882),AX$3&gt;=EOMONTH($X11,-1)+1,$Y11,TRUE,0)</f>
        <v>0</v>
      </c>
      <c r="AY11" s="202" cm="1">
        <f t="array" ref="AY11">_xlfn.IFS(AY$3&lt;$B$2,SUMPRODUCT(('PA Fees Actual'!$B$5:$B$882=$E11)*('PA Fees Actual'!$A$5:$A$882&gt;=AY$3)*('PA Fees Actual'!$A$5:$A$882&lt;=EOMONTH(AY$3,0))*'PA Fees Actual'!$D$5:$D$882),AY$3&gt;=EOMONTH($X11,-1)+1,$Y11,TRUE,0)</f>
        <v>0</v>
      </c>
      <c r="AZ11" s="202" cm="1">
        <f t="array" ref="AZ11">_xlfn.IFS(AZ$3&lt;$B$2,SUMPRODUCT(('PA Fees Actual'!$B$5:$B$882=$E11)*('PA Fees Actual'!$A$5:$A$882&gt;=AZ$3)*('PA Fees Actual'!$A$5:$A$882&lt;=EOMONTH(AZ$3,0))*'PA Fees Actual'!$D$5:$D$882),AZ$3&gt;=EOMONTH($X11,-1)+1,$Y11,TRUE,0)</f>
        <v>1136.18</v>
      </c>
      <c r="BA11" s="202" cm="1">
        <f t="array" ref="BA11">_xlfn.IFS(BA$3&lt;$B$2,SUMPRODUCT(('PA Fees Actual'!$B$5:$B$882=$E11)*('PA Fees Actual'!$A$5:$A$882&gt;=BA$3)*('PA Fees Actual'!$A$5:$A$882&lt;=EOMONTH(BA$3,0))*'PA Fees Actual'!$D$5:$D$882),BA$3&gt;=EOMONTH($X11,-1)+1,$Y11,TRUE,0)</f>
        <v>3435.93</v>
      </c>
      <c r="BB11" s="202" cm="1">
        <f t="array" ref="BB11">_xlfn.IFS(BB$3&lt;$B$2,SUMPRODUCT(('PA Fees Actual'!$B$5:$B$882=$E11)*('PA Fees Actual'!$A$5:$A$882&gt;=BB$3)*('PA Fees Actual'!$A$5:$A$882&lt;=EOMONTH(BB$3,0))*'PA Fees Actual'!$D$5:$D$882),BB$3&gt;=EOMONTH($X11,-1)+1,$Y11,TRUE,0)</f>
        <v>0</v>
      </c>
      <c r="BC11" s="202" cm="1">
        <f t="array" ref="BC11">_xlfn.IFS(BC$3&lt;$B$2,SUMPRODUCT(('PA Fees Actual'!$B$5:$B$882=$E11)*('PA Fees Actual'!$A$5:$A$882&gt;=BC$3)*('PA Fees Actual'!$A$5:$A$882&lt;=EOMONTH(BC$3,0))*'PA Fees Actual'!$D$5:$D$882),BC$3&gt;=EOMONTH($X11,-1)+1,$Y11,TRUE,0)</f>
        <v>1549.45</v>
      </c>
      <c r="BD11" s="202" cm="1">
        <f t="array" ref="BD11">_xlfn.IFS(BD$3&lt;$B$2,SUMPRODUCT(('PA Fees Actual'!$B$5:$B$882=$E11)*('PA Fees Actual'!$A$5:$A$882&gt;=BD$3)*('PA Fees Actual'!$A$5:$A$882&lt;=EOMONTH(BD$3,0))*'PA Fees Actual'!$D$5:$D$882),BD$3&gt;=EOMONTH($X11,-1)+1,$Y11,TRUE,0)</f>
        <v>0</v>
      </c>
      <c r="BE11" s="202" cm="1">
        <f t="array" ref="BE11">_xlfn.IFS(BE$3&lt;$B$2,SUMPRODUCT(('PA Fees Actual'!$B$5:$B$882=$E11)*('PA Fees Actual'!$A$5:$A$882&gt;=BE$3)*('PA Fees Actual'!$A$5:$A$882&lt;=EOMONTH(BE$3,0))*'PA Fees Actual'!$D$5:$D$882),BE$3&gt;=EOMONTH($X11,-1)+1,$Y11,TRUE,0)</f>
        <v>0</v>
      </c>
      <c r="BF11" s="202" cm="1">
        <f t="array" ref="BF11">_xlfn.IFS(BF$3&lt;$B$2,SUMPRODUCT(('PA Fees Actual'!$B$5:$B$882=$E11)*('PA Fees Actual'!$A$5:$A$882&gt;=BF$3)*('PA Fees Actual'!$A$5:$A$882&lt;=EOMONTH(BF$3,0))*'PA Fees Actual'!$D$5:$D$882),BF$3&gt;=EOMONTH($X11,-1)+1,$Y11,TRUE,0)</f>
        <v>4368.88</v>
      </c>
      <c r="BG11" s="202" cm="1">
        <f t="array" ref="BG11">_xlfn.IFS(BG$3&lt;$B$2,SUMPRODUCT(('PA Fees Actual'!$B$5:$B$882=$E11)*('PA Fees Actual'!$A$5:$A$882&gt;=BG$3)*('PA Fees Actual'!$A$5:$A$882&lt;=EOMONTH(BG$3,0))*'PA Fees Actual'!$D$5:$D$882),BG$3&gt;=EOMONTH($X11,-1)+1,$Y11,TRUE,0)</f>
        <v>0</v>
      </c>
      <c r="BH11" s="202" cm="1">
        <f t="array" ref="BH11">_xlfn.IFS(BH$3&lt;$B$2,SUMPRODUCT(('PA Fees Actual'!$B$5:$B$882=$E11)*('PA Fees Actual'!$A$5:$A$882&gt;=BH$3)*('PA Fees Actual'!$A$5:$A$882&lt;=EOMONTH(BH$3,0))*'PA Fees Actual'!$D$5:$D$882),BH$3&gt;=EOMONTH($X11,-1)+1,$Y11,TRUE,0)</f>
        <v>0</v>
      </c>
      <c r="BI11" s="202" cm="1">
        <f t="array" ref="BI11">_xlfn.IFS(BI$3&lt;$B$2,SUMPRODUCT(('PA Fees Actual'!$B$5:$B$882=$E11)*('PA Fees Actual'!$A$5:$A$882&gt;=BI$3)*('PA Fees Actual'!$A$5:$A$882&lt;=EOMONTH(BI$3,0))*'PA Fees Actual'!$D$5:$D$882),BI$3&gt;=EOMONTH($X11,-1)+1,$Y11,TRUE,0)</f>
        <v>3281.47</v>
      </c>
      <c r="BJ11" s="202" cm="1">
        <f t="array" ref="BJ11">_xlfn.IFS(BJ$3&lt;$B$2,SUMPRODUCT(('PA Fees Actual'!$B$5:$B$882=$E11)*('PA Fees Actual'!$A$5:$A$882&gt;=BJ$3)*('PA Fees Actual'!$A$5:$A$882&lt;=EOMONTH(BJ$3,0))*'PA Fees Actual'!$D$5:$D$882),BJ$3&gt;=EOMONTH($X11,-1)+1,$Y11,TRUE,0)</f>
        <v>1528.79</v>
      </c>
      <c r="BK11" s="202" cm="1">
        <f t="array" ref="BK11">_xlfn.IFS(BK$3&lt;$B$2,SUMPRODUCT(('PA Fees Actual'!$B$5:$B$882=$E11)*('PA Fees Actual'!$A$5:$A$882&gt;=BK$3)*('PA Fees Actual'!$A$5:$A$882&lt;=EOMONTH(BK$3,0))*'PA Fees Actual'!$D$5:$D$882),BK$3&gt;=EOMONTH($X11,-1)+1,$Y11,TRUE,0)</f>
        <v>3032.15</v>
      </c>
      <c r="BL11" s="202" cm="1">
        <f t="array" ref="BL11">_xlfn.IFS(BL$3&lt;$B$2,SUMPRODUCT(('PA Fees Actual'!$B$5:$B$882=$E11)*('PA Fees Actual'!$A$5:$A$882&gt;=BL$3)*('PA Fees Actual'!$A$5:$A$882&lt;=EOMONTH(BL$3,0))*'PA Fees Actual'!$D$5:$D$882),BL$3&gt;=EOMONTH($X11,-1)+1,$Y11,TRUE,0)</f>
        <v>1482.98</v>
      </c>
      <c r="BM11" s="202" cm="1">
        <f t="array" ref="BM11">_xlfn.IFS(BM$3&lt;$B$2,SUMPRODUCT(('PA Fees Actual'!$B$5:$B$882=$E11)*('PA Fees Actual'!$A$5:$A$882&gt;=BM$3)*('PA Fees Actual'!$A$5:$A$882&lt;=EOMONTH(BM$3,0))*'PA Fees Actual'!$D$5:$D$882),BM$3&gt;=EOMONTH($X11,-1)+1,$Y11,TRUE,0)</f>
        <v>0</v>
      </c>
      <c r="BN11" s="202" cm="1">
        <f t="array" ref="BN11">_xlfn.IFS(BN$3&lt;$B$2,SUMPRODUCT(('PA Fees Actual'!$B$5:$B$882=$E11)*('PA Fees Actual'!$A$5:$A$882&gt;=BN$3)*('PA Fees Actual'!$A$5:$A$882&lt;=EOMONTH(BN$3,0))*'PA Fees Actual'!$D$5:$D$882),BN$3&gt;=EOMONTH($X11,-1)+1,$Y11,TRUE,0)</f>
        <v>2964.2799999999997</v>
      </c>
      <c r="BO11" s="202" cm="1">
        <f t="array" ref="BO11">_xlfn.IFS(BO$3&lt;$B$2,SUMPRODUCT(('PA Fees Actual'!$B$5:$B$882=$E11)*('PA Fees Actual'!$A$5:$A$882&gt;=BO$3)*('PA Fees Actual'!$A$5:$A$882&lt;=EOMONTH(BO$3,0))*'PA Fees Actual'!$D$5:$D$882),BO$3&gt;=EOMONTH($X11,-1)+1,$Y11,TRUE,0)</f>
        <v>0</v>
      </c>
      <c r="BP11" s="202" cm="1">
        <f t="array" ref="BP11">_xlfn.IFS(BP$3&lt;$B$2,SUMPRODUCT(('PA Fees Actual'!$B$5:$B$882=$E11)*('PA Fees Actual'!$A$5:$A$882&gt;=BP$3)*('PA Fees Actual'!$A$5:$A$882&lt;=EOMONTH(BP$3,0))*'PA Fees Actual'!$D$5:$D$882),BP$3&gt;=EOMONTH($X11,-1)+1,$Y11,TRUE,0)</f>
        <v>2845.6400000000003</v>
      </c>
      <c r="BQ11" s="202" cm="1">
        <f t="array" ref="BQ11">_xlfn.IFS(BQ$3&lt;$B$2,SUMPRODUCT(('PA Fees Actual'!$B$5:$B$882=$E11)*('PA Fees Actual'!$A$5:$A$882&gt;=BQ$3)*('PA Fees Actual'!$A$5:$A$882&lt;=EOMONTH(BQ$3,0))*'PA Fees Actual'!$D$5:$D$882),BQ$3&gt;=EOMONTH($X11,-1)+1,$Y11,TRUE,0)</f>
        <v>0</v>
      </c>
      <c r="BR11" s="202" cm="1">
        <f t="array" ref="BR11">_xlfn.IFS(BR$3&lt;$B$2,SUMPRODUCT(('PA Fees Actual'!$B$5:$B$882=$E11)*('PA Fees Actual'!$A$5:$A$882&gt;=BR$3)*('PA Fees Actual'!$A$5:$A$882&lt;=EOMONTH(BR$3,0))*'PA Fees Actual'!$D$5:$D$882),BR$3&gt;=EOMONTH($X11,-1)+1,$Y11,TRUE,0)</f>
        <v>2883.46</v>
      </c>
      <c r="BS11" s="202" cm="1">
        <f t="array" ref="BS11">_xlfn.IFS(BS$3&lt;$B$2,SUMPRODUCT(('PA Fees Actual'!$B$5:$B$882=$E11)*('PA Fees Actual'!$A$5:$A$882&gt;=BS$3)*('PA Fees Actual'!$A$5:$A$882&lt;=EOMONTH(BS$3,0))*'PA Fees Actual'!$D$5:$D$882),BS$3&gt;=EOMONTH($X11,-1)+1,$Y11,TRUE,0)</f>
        <v>0</v>
      </c>
      <c r="BT11" s="202" cm="1">
        <f t="array" ref="BT11">_xlfn.IFS(BT$3&lt;$B$2,SUMPRODUCT(('PA Fees Actual'!$B$5:$B$882=$E11)*('PA Fees Actual'!$A$5:$A$882&gt;=BT$3)*('PA Fees Actual'!$A$5:$A$882&lt;=EOMONTH(BT$3,0))*'PA Fees Actual'!$D$5:$D$882),BT$3&gt;=EOMONTH($X11,-1)+1,$Y11,TRUE,0)</f>
        <v>2561.5100000000002</v>
      </c>
      <c r="BU11" s="202" cm="1">
        <f t="array" ref="BU11">_xlfn.IFS(BU$3&lt;$B$2,SUMPRODUCT(('PA Fees Actual'!$B$5:$B$882=$E11)*('PA Fees Actual'!$A$5:$A$882&gt;=BU$3)*('PA Fees Actual'!$A$5:$A$882&lt;=EOMONTH(BU$3,0))*'PA Fees Actual'!$D$5:$D$882),BU$3&gt;=EOMONTH($X11,-1)+1,$Y11,TRUE,0)</f>
        <v>1715.82</v>
      </c>
      <c r="BV11" s="202" cm="1">
        <f t="array" ref="BV11">_xlfn.IFS(BV$3&lt;$B$2,SUMPRODUCT(('PA Fees Actual'!$B$5:$B$882=$E11)*('PA Fees Actual'!$A$5:$A$882&gt;=BV$3)*('PA Fees Actual'!$A$5:$A$882&lt;=EOMONTH(BV$3,0))*'PA Fees Actual'!$D$5:$D$882),BV$3&gt;=EOMONTH($X11,-1)+1,$Y11,TRUE,0)</f>
        <v>1462.17</v>
      </c>
      <c r="BW11" s="202" cm="1">
        <f t="array" ref="BW11">_xlfn.IFS(BW$3&lt;$B$2,SUMPRODUCT(('PA Fees Actual'!$B$5:$B$882=$E11)*('PA Fees Actual'!$A$5:$A$882&gt;=BW$3)*('PA Fees Actual'!$A$5:$A$882&lt;=EOMONTH(BW$3,0))*'PA Fees Actual'!$D$5:$D$882),BW$3&gt;=EOMONTH($X11,-1)+1,$Y11,TRUE,0)</f>
        <v>1449.61</v>
      </c>
      <c r="BX11" s="202" cm="1">
        <f t="array" ref="BX11">_xlfn.IFS(BX$3&lt;$B$2,SUMPRODUCT(('PA Fees Actual'!$B$5:$B$882=$E11)*('PA Fees Actual'!$A$5:$A$882&gt;=BX$3)*('PA Fees Actual'!$A$5:$A$882&lt;=EOMONTH(BX$3,0))*'PA Fees Actual'!$D$5:$D$882),BX$3&gt;=EOMONTH($X11,-1)+1,$Y11,TRUE,0)</f>
        <v>0</v>
      </c>
      <c r="BY11" s="202" cm="1">
        <f t="array" ref="BY11">_xlfn.IFS(BY$3&lt;$B$2,SUMPRODUCT(('PA Fees Actual'!$B$5:$B$882=$E11)*('PA Fees Actual'!$A$5:$A$882&gt;=BY$3)*('PA Fees Actual'!$A$5:$A$882&lt;=EOMONTH(BY$3,0))*'PA Fees Actual'!$D$5:$D$882),BY$3&gt;=EOMONTH($X11,-1)+1,$Y11,TRUE,0)</f>
        <v>2942.1400000000003</v>
      </c>
      <c r="BZ11" s="202" cm="1">
        <f t="array" ref="BZ11">_xlfn.IFS(BZ$3&lt;$B$2,SUMPRODUCT(('PA Fees Actual'!$B$5:$B$882=$E11)*('PA Fees Actual'!$A$5:$A$882&gt;=BZ$3)*('PA Fees Actual'!$A$5:$A$882&lt;=EOMONTH(BZ$3,0))*'PA Fees Actual'!$D$5:$D$882),BZ$3&gt;=EOMONTH($X11,-1)+1,$Y11,TRUE,0)</f>
        <v>1462.47</v>
      </c>
      <c r="CA11" s="202" cm="1">
        <f t="array" ref="CA11">_xlfn.IFS(CA$3&lt;$B$2,SUMPRODUCT(('PA Fees Actual'!$B$5:$B$882=$E11)*('PA Fees Actual'!$A$5:$A$882&gt;=CA$3)*('PA Fees Actual'!$A$5:$A$882&lt;=EOMONTH(CA$3,0))*'PA Fees Actual'!$D$5:$D$882),CA$3&gt;=EOMONTH($X11,-1)+1,$Y11,TRUE,0)</f>
        <v>1498.99</v>
      </c>
      <c r="CB11" s="202" cm="1">
        <f t="array" ref="CB11">_xlfn.IFS(CB$3&lt;$B$2,SUMPRODUCT(('PA Fees Actual'!$B$5:$B$882=$E11)*('PA Fees Actual'!$A$5:$A$882&gt;=CB$3)*('PA Fees Actual'!$A$5:$A$882&lt;=EOMONTH(CB$3,0))*'PA Fees Actual'!$D$5:$D$882),CB$3&gt;=EOMONTH($X11,-1)+1,$Y11,TRUE,0)</f>
        <v>1445</v>
      </c>
      <c r="CC11" s="202" cm="1">
        <f t="array" ref="CC11">_xlfn.IFS(CC$3&lt;$B$2,SUMPRODUCT(('PA Fees Actual'!$B$5:$B$882=$E11)*('PA Fees Actual'!$A$5:$A$882&gt;=CC$3)*('PA Fees Actual'!$A$5:$A$882&lt;=EOMONTH(CC$3,0))*'PA Fees Actual'!$D$5:$D$882),CC$3&gt;=EOMONTH($X11,-1)+1,$Y11,TRUE,0)</f>
        <v>1445</v>
      </c>
      <c r="CD11" s="202" cm="1">
        <f t="array" ref="CD11">_xlfn.IFS(CD$3&lt;$B$2,SUMPRODUCT(('PA Fees Actual'!$B$5:$B$882=$E11)*('PA Fees Actual'!$A$5:$A$882&gt;=CD$3)*('PA Fees Actual'!$A$5:$A$882&lt;=EOMONTH(CD$3,0))*'PA Fees Actual'!$D$5:$D$882),CD$3&gt;=EOMONTH($X11,-1)+1,$Y11,TRUE,0)</f>
        <v>1445</v>
      </c>
      <c r="CE11" s="202" cm="1">
        <f t="array" ref="CE11">_xlfn.IFS(CE$3&lt;$B$2,SUMPRODUCT(('PA Fees Actual'!$B$5:$B$882=$E11)*('PA Fees Actual'!$A$5:$A$882&gt;=CE$3)*('PA Fees Actual'!$A$5:$A$882&lt;=EOMONTH(CE$3,0))*'PA Fees Actual'!$D$5:$D$882),CE$3&gt;=EOMONTH($X11,-1)+1,$Y11,TRUE,0)</f>
        <v>1445</v>
      </c>
      <c r="CF11" s="202" cm="1">
        <f t="array" ref="CF11">_xlfn.IFS(CF$3&lt;$B$2,SUMPRODUCT(('PA Fees Actual'!$B$5:$B$882=$E11)*('PA Fees Actual'!$A$5:$A$882&gt;=CF$3)*('PA Fees Actual'!$A$5:$A$882&lt;=EOMONTH(CF$3,0))*'PA Fees Actual'!$D$5:$D$882),CF$3&gt;=EOMONTH($X11,-1)+1,$Y11,TRUE,0)</f>
        <v>1445</v>
      </c>
      <c r="CG11" s="202" cm="1">
        <f t="array" ref="CG11">_xlfn.IFS(CG$3&lt;$B$2,SUMPRODUCT(('PA Fees Actual'!$B$5:$B$882=$E11)*('PA Fees Actual'!$A$5:$A$882&gt;=CG$3)*('PA Fees Actual'!$A$5:$A$882&lt;=EOMONTH(CG$3,0))*'PA Fees Actual'!$D$5:$D$882),CG$3&gt;=EOMONTH($X11,-1)+1,$Y11,TRUE,0)</f>
        <v>1445</v>
      </c>
      <c r="CI11" s="202" cm="1">
        <f t="array" ref="CI11">_xlfn.IFS(CI$3&lt;=YEAR($B$2),SUMPRODUCT(($E$4:$E$79=$E11)*($Z$2:$CG$2=CI$3)*($Z$2:$CG$2&lt;CJ$3)*$Z$4:$CG$79),CI$3&lt;YEAR($X11),0,CI$3=YEAR($X11),DATEDIF($X11,DATE(CI$3,12,31),"m")*$Y11,AND(CI$3&gt;YEAR($X11),CI$3-YEAR($X11)&lt;20),$Y11*12,CI$3-YEAR($X11)=20,DATEDIF(DATE(YEAR($X11),1,1),$X11,"m")*$Y11,CI$3-YEAR($X11)&gt;20,0)</f>
        <v>0</v>
      </c>
      <c r="CJ11" s="202" cm="1">
        <f t="array" ref="CJ11">_xlfn.IFS(CJ$3&lt;=YEAR($B$2),SUMPRODUCT(($E$4:$E$79=$E11)*($Z$2:$CG$2=CJ$3)*($Z$2:$CG$2&lt;CK$3)*$Z$4:$CG$79),CJ$3&lt;YEAR($X11),0,CJ$3=YEAR($X11),DATEDIF($X11,DATE(CJ$3,12,31),"m")*$Y11,AND(CJ$3&gt;YEAR($X11),CJ$3-YEAR($X11)&lt;20),$Y11*12,CJ$3-YEAR($X11)=20,DATEDIF(DATE(YEAR($X11),1,1),$X11,"m")*$Y11,CJ$3-YEAR($X11)&gt;20,0)</f>
        <v>0</v>
      </c>
      <c r="CK11" s="202" cm="1">
        <f t="array" ref="CK11">_xlfn.IFS(CK$3&lt;=YEAR($B$2),SUMPRODUCT(($E$4:$E$79=$E11)*($Z$2:$CG$2=CK$3)*($Z$2:$CG$2&lt;CL$3)*$Z$4:$CG$79),CK$3&lt;YEAR($X11),0,CK$3=YEAR($X11),DATEDIF($X11,DATE(CK$3,12,31),"m")*$Y11,AND(CK$3&gt;YEAR($X11),CK$3-YEAR($X11)&lt;20),$Y11*12,CK$3-YEAR($X11)=20,DATEDIF(DATE(YEAR($X11),1,1),$X11,"m")*$Y11,CK$3-YEAR($X11)&gt;20,0)</f>
        <v>13771.909999999998</v>
      </c>
      <c r="CL11" s="202" cm="1">
        <f t="array" ref="CL11">_xlfn.IFS(CL$3&lt;=YEAR($B$2),SUMPRODUCT(($E$4:$E$79=$E11)*($Z$2:$CG$2=CL$3)*($Z$2:$CG$2&lt;CM$3)*$Z$4:$CG$79),CL$3&lt;YEAR($X11),0,CL$3=YEAR($X11),DATEDIF($X11,DATE(CL$3,12,31),"m")*$Y11,AND(CL$3&gt;YEAR($X11),CL$3-YEAR($X11)&lt;20),$Y11*12,CL$3-YEAR($X11)=20,DATEDIF(DATE(YEAR($X11),1,1),$X11,"m")*$Y11,CL$3-YEAR($X11)&gt;20,0)</f>
        <v>19014.629999999997</v>
      </c>
      <c r="CM11" s="202" cm="1">
        <f t="array" ref="CM11">_xlfn.IFS(CM$3&lt;=YEAR($B$2),SUMPRODUCT(($E$4:$E$79=$E11)*($Z$2:$CG$2=CM$3)*($Z$2:$CG$2&lt;CN$3)*$Z$4:$CG$79),CM$3&lt;YEAR($X11),0,CM$3=YEAR($X11),DATEDIF($X11,DATE(CM$3,12,31),"m")*$Y11,AND(CM$3&gt;YEAR($X11),CM$3-YEAR($X11)&lt;20),$Y11*12,CM$3-YEAR($X11)=20,DATEDIF(DATE(YEAR($X11),1,1),$X11,"m")*$Y11,CM$3-YEAR($X11)&gt;20,0)</f>
        <v>17485.38</v>
      </c>
      <c r="CN11" s="202" cm="1">
        <f t="array" ref="CN11">_xlfn.IFS(CN$3&lt;=YEAR($B$2),SUMPRODUCT(($E$4:$E$79=$E11)*($Z$2:$CG$2=CN$3)*($Z$2:$CG$2&lt;CO$3)*$Z$4:$CG$79),CN$3&lt;YEAR($X11),0,CN$3=YEAR($X11),DATEDIF($X11,DATE(CN$3,12,31),"m")*$Y11,AND(CN$3&gt;YEAR($X11),CN$3-YEAR($X11)&lt;20),$Y11*12,CN$3-YEAR($X11)=20,DATEDIF(DATE(YEAR($X11),1,1),$X11,"m")*$Y11,CN$3-YEAR($X11)&gt;20,0)</f>
        <v>17340</v>
      </c>
      <c r="CO11" s="202" cm="1">
        <f t="array" ref="CO11">_xlfn.IFS(CO$3&lt;=YEAR($B$2),SUMPRODUCT(($E$4:$E$79=$E11)*($Z$2:$CG$2=CO$3)*($Z$2:$CG$2&lt;CP$3)*$Z$4:$CG$79),CO$3&lt;YEAR($X11),0,CO$3=YEAR($X11),DATEDIF($X11,DATE(CO$3,12,31),"m")*$Y11,AND(CO$3&gt;YEAR($X11),CO$3-YEAR($X11)&lt;20),$Y11*12,CO$3-YEAR($X11)=20,DATEDIF(DATE(YEAR($X11),1,1),$X11,"m")*$Y11,CO$3-YEAR($X11)&gt;20,0)</f>
        <v>17340</v>
      </c>
      <c r="CP11" s="202" cm="1">
        <f t="array" ref="CP11">_xlfn.IFS(CP$3&lt;=YEAR($B$2),SUMPRODUCT(($E$4:$E$79=$E11)*($Z$2:$CG$2=CP$3)*($Z$2:$CG$2&lt;CQ$3)*$Z$4:$CG$79),CP$3&lt;YEAR($X11),0,CP$3=YEAR($X11),DATEDIF($X11,DATE(CP$3,12,31),"m")*$Y11,AND(CP$3&gt;YEAR($X11),CP$3-YEAR($X11)&lt;20),$Y11*12,CP$3-YEAR($X11)=20,DATEDIF(DATE(YEAR($X11),1,1),$X11,"m")*$Y11,CP$3-YEAR($X11)&gt;20,0)</f>
        <v>17340</v>
      </c>
      <c r="CQ11" s="202" cm="1">
        <f t="array" ref="CQ11">_xlfn.IFS(CQ$3&lt;=YEAR($B$2),SUMPRODUCT(($E$4:$E$79=$E11)*($Z$2:$CG$2=CQ$3)*($Z$2:$CG$2&lt;CR$3)*$Z$4:$CG$79),CQ$3&lt;YEAR($X11),0,CQ$3=YEAR($X11),DATEDIF($X11,DATE(CQ$3,12,31),"m")*$Y11,AND(CQ$3&gt;YEAR($X11),CQ$3-YEAR($X11)&lt;20),$Y11*12,CQ$3-YEAR($X11)=20,DATEDIF(DATE(YEAR($X11),1,1),$X11,"m")*$Y11,CQ$3-YEAR($X11)&gt;20,0)</f>
        <v>17340</v>
      </c>
      <c r="CR11" s="202" cm="1">
        <f t="array" ref="CR11">_xlfn.IFS(CR$3&lt;=YEAR($B$2),SUMPRODUCT(($E$4:$E$79=$E11)*($Z$2:$CG$2=CR$3)*($Z$2:$CG$2&lt;CS$3)*$Z$4:$CG$79),CR$3&lt;YEAR($X11),0,CR$3=YEAR($X11),DATEDIF($X11,DATE(CR$3,12,31),"m")*$Y11,AND(CR$3&gt;YEAR($X11),CR$3-YEAR($X11)&lt;20),$Y11*12,CR$3-YEAR($X11)=20,DATEDIF(DATE(YEAR($X11),1,1),$X11,"m")*$Y11,CR$3-YEAR($X11)&gt;20,0)</f>
        <v>17340</v>
      </c>
      <c r="CS11" s="202" cm="1">
        <f t="array" ref="CS11">_xlfn.IFS(CS$3&lt;=YEAR($B$2),SUMPRODUCT(($E$4:$E$79=$E11)*($Z$2:$CG$2=CS$3)*($Z$2:$CG$2&lt;CT$3)*$Z$4:$CG$79),CS$3&lt;YEAR($X11),0,CS$3=YEAR($X11),DATEDIF($X11,DATE(CS$3,12,31),"m")*$Y11,AND(CS$3&gt;YEAR($X11),CS$3-YEAR($X11)&lt;20),$Y11*12,CS$3-YEAR($X11)=20,DATEDIF(DATE(YEAR($X11),1,1),$X11,"m")*$Y11,CS$3-YEAR($X11)&gt;20,0)</f>
        <v>17340</v>
      </c>
      <c r="CT11" s="202" cm="1">
        <f t="array" ref="CT11">_xlfn.IFS(CT$3&lt;=YEAR($B$2),SUMPRODUCT(($E$4:$E$79=$E11)*($Z$2:$CG$2=CT$3)*($Z$2:$CG$2&lt;CU$3)*$Z$4:$CG$79),CT$3&lt;YEAR($X11),0,CT$3=YEAR($X11),DATEDIF($X11,DATE(CT$3,12,31),"m")*$Y11,AND(CT$3&gt;YEAR($X11),CT$3-YEAR($X11)&lt;20),$Y11*12,CT$3-YEAR($X11)=20,DATEDIF(DATE(YEAR($X11),1,1),$X11,"m")*$Y11,CT$3-YEAR($X11)&gt;20,0)</f>
        <v>17340</v>
      </c>
      <c r="CU11" s="202" cm="1">
        <f t="array" ref="CU11">_xlfn.IFS(CU$3&lt;=YEAR($B$2),SUMPRODUCT(($E$4:$E$79=$E11)*($Z$2:$CG$2=CU$3)*($Z$2:$CG$2&lt;CV$3)*$Z$4:$CG$79),CU$3&lt;YEAR($X11),0,CU$3=YEAR($X11),DATEDIF($X11,DATE(CU$3,12,31),"m")*$Y11,AND(CU$3&gt;YEAR($X11),CU$3-YEAR($X11)&lt;20),$Y11*12,CU$3-YEAR($X11)=20,DATEDIF(DATE(YEAR($X11),1,1),$X11,"m")*$Y11,CU$3-YEAR($X11)&gt;20,0)</f>
        <v>17340</v>
      </c>
      <c r="CV11" s="202" cm="1">
        <f t="array" ref="CV11">_xlfn.IFS(CV$3&lt;=YEAR($B$2),SUMPRODUCT(($E$4:$E$79=$E11)*($Z$2:$CG$2=CV$3)*($Z$2:$CG$2&lt;CW$3)*$Z$4:$CG$79),CV$3&lt;YEAR($X11),0,CV$3=YEAR($X11),DATEDIF($X11,DATE(CV$3,12,31),"m")*$Y11,AND(CV$3&gt;YEAR($X11),CV$3-YEAR($X11)&lt;20),$Y11*12,CV$3-YEAR($X11)=20,DATEDIF(DATE(YEAR($X11),1,1),$X11,"m")*$Y11,CV$3-YEAR($X11)&gt;20,0)</f>
        <v>17340</v>
      </c>
      <c r="CW11" s="202" cm="1">
        <f t="array" ref="CW11">_xlfn.IFS(CW$3&lt;=YEAR($B$2),SUMPRODUCT(($E$4:$E$79=$E11)*($Z$2:$CG$2=CW$3)*($Z$2:$CG$2&lt;CX$3)*$Z$4:$CG$79),CW$3&lt;YEAR($X11),0,CW$3=YEAR($X11),DATEDIF($X11,DATE(CW$3,12,31),"m")*$Y11,AND(CW$3&gt;YEAR($X11),CW$3-YEAR($X11)&lt;20),$Y11*12,CW$3-YEAR($X11)=20,DATEDIF(DATE(YEAR($X11),1,1),$X11,"m")*$Y11,CW$3-YEAR($X11)&gt;20,0)</f>
        <v>17340</v>
      </c>
      <c r="CX11" s="202" cm="1">
        <f t="array" ref="CX11">_xlfn.IFS(CX$3&lt;=YEAR($B$2),SUMPRODUCT(($E$4:$E$79=$E11)*($Z$2:$CG$2=CX$3)*($Z$2:$CG$2&lt;CY$3)*$Z$4:$CG$79),CX$3&lt;YEAR($X11),0,CX$3=YEAR($X11),DATEDIF($X11,DATE(CX$3,12,31),"m")*$Y11,AND(CX$3&gt;YEAR($X11),CX$3-YEAR($X11)&lt;20),$Y11*12,CX$3-YEAR($X11)=20,DATEDIF(DATE(YEAR($X11),1,1),$X11,"m")*$Y11,CX$3-YEAR($X11)&gt;20,0)</f>
        <v>17340</v>
      </c>
      <c r="CY11" s="202" cm="1">
        <f t="array" ref="CY11">_xlfn.IFS(CY$3&lt;=YEAR($B$2),SUMPRODUCT(($E$4:$E$79=$E11)*($Z$2:$CG$2=CY$3)*($Z$2:$CG$2&lt;CZ$3)*$Z$4:$CG$79),CY$3&lt;YEAR($X11),0,CY$3=YEAR($X11),DATEDIF($X11,DATE(CY$3,12,31),"m")*$Y11,AND(CY$3&gt;YEAR($X11),CY$3-YEAR($X11)&lt;20),$Y11*12,CY$3-YEAR($X11)=20,DATEDIF(DATE(YEAR($X11),1,1),$X11,"m")*$Y11,CY$3-YEAR($X11)&gt;20,0)</f>
        <v>17340</v>
      </c>
      <c r="CZ11" s="202" cm="1">
        <f t="array" ref="CZ11">_xlfn.IFS(CZ$3&lt;=YEAR($B$2),SUMPRODUCT(($E$4:$E$79=$E11)*($Z$2:$CG$2=CZ$3)*($Z$2:$CG$2&lt;DA$3)*$Z$4:$CG$79),CZ$3&lt;YEAR($X11),0,CZ$3=YEAR($X11),DATEDIF($X11,DATE(CZ$3,12,31),"m")*$Y11,AND(CZ$3&gt;YEAR($X11),CZ$3-YEAR($X11)&lt;20),$Y11*12,CZ$3-YEAR($X11)=20,DATEDIF(DATE(YEAR($X11),1,1),$X11,"m")*$Y11,CZ$3-YEAR($X11)&gt;20,0)</f>
        <v>17340</v>
      </c>
      <c r="DA11" s="202" cm="1">
        <f t="array" ref="DA11">_xlfn.IFS(DA$3&lt;=YEAR($B$2),SUMPRODUCT(($E$4:$E$79=$E11)*($Z$2:$CG$2=DA$3)*($Z$2:$CG$2&lt;DB$3)*$Z$4:$CG$79),DA$3&lt;YEAR($X11),0,DA$3=YEAR($X11),DATEDIF($X11,DATE(DA$3,12,31),"m")*$Y11,AND(DA$3&gt;YEAR($X11),DA$3-YEAR($X11)&lt;20),$Y11*12,DA$3-YEAR($X11)=20,DATEDIF(DATE(YEAR($X11),1,1),$X11,"m")*$Y11,DA$3-YEAR($X11)&gt;20,0)</f>
        <v>17340</v>
      </c>
      <c r="DB11" s="202" cm="1">
        <f t="array" ref="DB11">_xlfn.IFS(DB$3&lt;=YEAR($B$2),SUMPRODUCT(($E$4:$E$79=$E11)*($Z$2:$CG$2=DB$3)*($Z$2:$CG$2&lt;DC$3)*$Z$4:$CG$79),DB$3&lt;YEAR($X11),0,DB$3=YEAR($X11),DATEDIF($X11,DATE(DB$3,12,31),"m")*$Y11,AND(DB$3&gt;YEAR($X11),DB$3-YEAR($X11)&lt;20),$Y11*12,DB$3-YEAR($X11)=20,DATEDIF(DATE(YEAR($X11),1,1),$X11,"m")*$Y11,DB$3-YEAR($X11)&gt;20,0)</f>
        <v>17340</v>
      </c>
      <c r="DC11" s="202" cm="1">
        <f t="array" ref="DC11">_xlfn.IFS(DC$3&lt;=YEAR($B$2),SUMPRODUCT(($E$4:$E$79=$E11)*($Z$2:$CG$2=DC$3)*($Z$2:$CG$2&lt;DD$3)*$Z$4:$CG$79),DC$3&lt;YEAR($X11),0,DC$3=YEAR($X11),DATEDIF($X11,DATE(DC$3,12,31),"m")*$Y11,AND(DC$3&gt;YEAR($X11),DC$3-YEAR($X11)&lt;20),$Y11*12,DC$3-YEAR($X11)=20,DATEDIF(DATE(YEAR($X11),1,1),$X11,"m")*$Y11,DC$3-YEAR($X11)&gt;20,0)</f>
        <v>17340</v>
      </c>
      <c r="DD11" s="202" cm="1">
        <f t="array" ref="DD11">_xlfn.IFS(DD$3&lt;=YEAR($B$2),SUMPRODUCT(($E$4:$E$79=$E11)*($Z$2:$CG$2=DD$3)*($Z$2:$CG$2&lt;DE$3)*$Z$4:$CG$79),DD$3&lt;YEAR($X11),0,DD$3=YEAR($X11),DATEDIF($X11,DATE(DD$3,12,31),"m")*$Y11,AND(DD$3&gt;YEAR($X11),DD$3-YEAR($X11)&lt;20),$Y11*12,DD$3-YEAR($X11)=20,DATEDIF(DATE(YEAR($X11),1,1),$X11,"m")*$Y11,DD$3-YEAR($X11)&gt;20,0)</f>
        <v>17340</v>
      </c>
      <c r="DE11" s="202" cm="1">
        <f t="array" ref="DE11">_xlfn.IFS(DE$3&lt;=YEAR($B$2),SUMPRODUCT(($E$4:$E$79=$E11)*($Z$2:$CG$2=DE$3)*($Z$2:$CG$2&lt;DF$3)*$Z$4:$CG$79),DE$3&lt;YEAR($X11),0,DE$3=YEAR($X11),DATEDIF($X11,DATE(DE$3,12,31),"m")*$Y11,AND(DE$3&gt;YEAR($X11),DE$3-YEAR($X11)&lt;20),$Y11*12,DE$3-YEAR($X11)=20,DATEDIF(DATE(YEAR($X11),1,1),$X11,"m")*$Y11,DE$3-YEAR($X11)&gt;20,0)</f>
        <v>1445</v>
      </c>
      <c r="DF11" s="202" cm="1">
        <f t="array" ref="DF11">_xlfn.IFS(DF$3&lt;=YEAR($B$2),SUMPRODUCT(($E$4:$E$79=$E11)*($Z$2:$CG$2=DF$3)*($Z$2:$CG$2&lt;DG$3)*$Z$4:$CG$79),DF$3&lt;YEAR($X11),0,DF$3=YEAR($X11),DATEDIF($X11,DATE(DF$3,12,31),"m")*$Y11,AND(DF$3&gt;YEAR($X11),DF$3-YEAR($X11)&lt;20),$Y11*12,DF$3-YEAR($X11)=20,DATEDIF(DATE(YEAR($X11),1,1),$X11,"m")*$Y11,DF$3-YEAR($X11)&gt;20,0)</f>
        <v>0</v>
      </c>
      <c r="DG11" s="202" cm="1">
        <f t="array" ref="DG11">_xlfn.IFS(DG$3&lt;=YEAR($B$2),SUMPRODUCT(($E$4:$E$79=$E11)*($Z$2:$CG$2=DG$3)*($Z$2:$CG$2&lt;DH$3)*$Z$4:$CG$79),DG$3&lt;YEAR($X11),0,DG$3=YEAR($X11),DATEDIF($X11,DATE(DG$3,12,31),"m")*$Y11,AND(DG$3&gt;YEAR($X11),DG$3-YEAR($X11)&lt;20),$Y11*12,DG$3-YEAR($X11)=20,DATEDIF(DATE(YEAR($X11),1,1),$X11,"m")*$Y11,DG$3-YEAR($X11)&gt;20,0)</f>
        <v>0</v>
      </c>
      <c r="DH11" s="202" cm="1">
        <f t="array" ref="DH11">_xlfn.IFS(DH$3&lt;=YEAR($B$2),SUMPRODUCT(($E$4:$E$79=$E11)*($Z$2:$CG$2=DH$3)*($Z$2:$CG$2&lt;DI$3)*$Z$4:$CG$79),DH$3&lt;YEAR($X11),0,DH$3=YEAR($X11),DATEDIF($X11,DATE(DH$3,12,31),"m")*$Y11,AND(DH$3&gt;YEAR($X11),DH$3-YEAR($X11)&lt;20),$Y11*12,DH$3-YEAR($X11)=20,DATEDIF(DATE(YEAR($X11),1,1),$X11,"m")*$Y11,DH$3-YEAR($X11)&gt;20,0)</f>
        <v>0</v>
      </c>
      <c r="DI11" s="202" cm="1">
        <f t="array" ref="DI11">_xlfn.IFS(DI$3&lt;=YEAR($B$2),SUMPRODUCT(($E$4:$E$79=$E11)*($Z$2:$CG$2=DI$3)*($Z$2:$CG$2&lt;DJ$3)*$Z$4:$CG$79),DI$3&lt;YEAR($X11),0,DI$3=YEAR($X11),DATEDIF($X11,DATE(DI$3,12,31),"m")*$Y11,AND(DI$3&gt;YEAR($X11),DI$3-YEAR($X11)&lt;20),$Y11*12,DI$3-YEAR($X11)=20,DATEDIF(DATE(YEAR($X11),1,1),$X11,"m")*$Y11,DI$3-YEAR($X11)&gt;20,0)</f>
        <v>0</v>
      </c>
      <c r="DJ11" s="202" cm="1">
        <f t="array" ref="DJ11">_xlfn.IFS(DJ$3&lt;=YEAR($B$2),SUMPRODUCT(($E$4:$E$79=$E11)*($Z$2:$CG$2=DJ$3)*($Z$2:$CG$2&lt;DK$3)*$Z$4:$CG$79),DJ$3&lt;YEAR($X11),0,DJ$3=YEAR($X11),DATEDIF($X11,DATE(DJ$3,12,31),"m")*$Y11,AND(DJ$3&gt;YEAR($X11),DJ$3-YEAR($X11)&lt;20),$Y11*12,DJ$3-YEAR($X11)=20,DATEDIF(DATE(YEAR($X11),1,1),$X11,"m")*$Y11,DJ$3-YEAR($X11)&gt;20,0)</f>
        <v>0</v>
      </c>
      <c r="DK11" s="202" cm="1">
        <f t="array" ref="DK11">_xlfn.IFS(DK$3&lt;=YEAR($B$2),SUMPRODUCT(($E$4:$E$79=$E11)*($Z$2:$CG$2=DK$3)*($Z$2:$CG$2&lt;DL$3)*$Z$4:$CG$79),DK$3&lt;YEAR($X11),0,DK$3=YEAR($X11),DATEDIF($X11,DATE(DK$3,12,31),"m")*$Y11,AND(DK$3&gt;YEAR($X11),DK$3-YEAR($X11)&lt;20),$Y11*12,DK$3-YEAR($X11)=20,DATEDIF(DATE(YEAR($X11),1,1),$X11,"m")*$Y11,DK$3-YEAR($X11)&gt;20,0)</f>
        <v>0</v>
      </c>
      <c r="DL11" s="202" cm="1">
        <f t="array" ref="DL11">_xlfn.IFS(DL$3&lt;=YEAR($B$2),SUMPRODUCT(($E$4:$E$79=$E11)*($Z$2:$CG$2=DL$3)*($Z$2:$CG$2&lt;DM$3)*$Z$4:$CG$79),DL$3&lt;YEAR($X11),0,DL$3=YEAR($X11),DATEDIF($X11,DATE(DL$3,12,31),"m")*$Y11,AND(DL$3&gt;YEAR($X11),DL$3-YEAR($X11)&lt;20),$Y11*12,DL$3-YEAR($X11)=20,DATEDIF(DATE(YEAR($X11),1,1),$X11,"m")*$Y11,DL$3-YEAR($X11)&gt;20,0)</f>
        <v>0</v>
      </c>
      <c r="DO11" s="166">
        <f>'Program Inputs'!$D$4</f>
        <v>2020</v>
      </c>
      <c r="DP11" s="158" cm="1">
        <f t="array" ref="DP11:DP41">TRANSPOSE(DP4:ET4)</f>
        <v>0</v>
      </c>
      <c r="DQ11" s="158" cm="1">
        <f t="array" ref="DQ11:DQ41">TRANSPOSE(DP5:ET5)</f>
        <v>0</v>
      </c>
      <c r="DR11" s="158" cm="1">
        <f t="array" ref="DR11:DR41">TRANSPOSE(DP6:ET6)</f>
        <v>0</v>
      </c>
      <c r="DS11" s="158">
        <f>SUM(DP11:DR11)</f>
        <v>0</v>
      </c>
      <c r="EL11" s="34"/>
    </row>
    <row r="12" spans="1:150">
      <c r="A12" s="155" t="str" cm="1">
        <f t="array" ref="A12">INDEX('Monthly Report July 2025'!C:C,MATCH(E12,'Monthly Report July 2025'!E:E,0),0)</f>
        <v>OCS025</v>
      </c>
      <c r="B12" s="155" t="str" cm="1">
        <f t="array" ref="B12">_xlfn.IFS(LEFT(E12,3)="PGE","PGE",LEFT(E12,2)="PP","PAC",TRUE,"IP")</f>
        <v>PAC</v>
      </c>
      <c r="C12" s="155" t="str">
        <f>IF(ISNA(MATCH(E12,'Monthly Report July 2025'!E:E,0)),"Missing","Present")</f>
        <v>Present</v>
      </c>
      <c r="D12" s="155" t="str">
        <f>IF(ISNA(MATCH(E12,'Project Operational Timelines'!C:C,0))=TRUE,"Missing","Present")</f>
        <v>Present</v>
      </c>
      <c r="E12" s="155" t="s">
        <v>117</v>
      </c>
      <c r="F12" s="155" t="str" cm="1">
        <f t="array" ref="F12">INDEX('Monthly Report July 2025'!F:F,MATCH(E12,'Monthly Report July 2025'!E:E,),0)</f>
        <v>Linkville Solar</v>
      </c>
      <c r="G12" s="155" t="str" cm="1">
        <f t="array" ref="G12">_xlfn.IFS(INDEX('Monthly Report July 2025'!O:O,MATCH(E12,'Monthly Report July 2025'!E:E,0),0)="Operational","Operational",INDEX('Monthly Report July 2025'!O:O,MATCH(E12,'Monthly Report July 2025'!E:E,0),0)="Certified","Certified",TRUE,"Pre-Certified")</f>
        <v>Operational</v>
      </c>
      <c r="H12" s="155" t="str" cm="1">
        <f t="array" ref="H12">INDEX('Monthly Report July 2025'!H:H,MATCH($E12,'Monthly Report July 2025'!$E:$E,0),0)</f>
        <v>TLS Capital</v>
      </c>
      <c r="I12" s="155" t="str" cm="1">
        <f t="array" ref="I12">INDEX('Monthly Report July 2025'!I:I,MATCH($E12,'Monthly Report July 2025'!$E:$E,0),0)</f>
        <v>Arcadia</v>
      </c>
      <c r="J12" s="174" cm="1">
        <f t="array" ref="J12">INDEX('Monthly Report July 2025'!J:J,MATCH($E12,'Monthly Report July 2025'!$E:$E,0),0)</f>
        <v>1</v>
      </c>
      <c r="K12" s="174" t="str" cm="1">
        <f t="array" ref="K12">INDEX('Monthly Report July 2025'!K:K,MATCH($E12,'Monthly Report July 2025'!$E:$E,0),0)</f>
        <v>No</v>
      </c>
      <c r="L12" s="174" t="b" cm="1">
        <f t="array" ref="L12">INDEX('Monthly Report July 2025'!L:L,MATCH(E12,'Monthly Report July 2025'!E:E,0),0)=M12</f>
        <v>1</v>
      </c>
      <c r="M12" s="273" cm="1">
        <f t="array" ref="M12">INDEX('Monthly Report July 2025'!L:L,MATCH($E12,'Monthly Report July 2025'!$E:$E,0),0)</f>
        <v>2800</v>
      </c>
      <c r="N12" s="175" cm="1">
        <f t="array" ref="N12">INDEX('Monthly Report July 2025'!M:M,MATCH($E12,'Monthly Report July 2025'!$E:$E,0),0)</f>
        <v>44152</v>
      </c>
      <c r="O12" s="175" t="str" cm="1">
        <f t="array" ref="O12">_xlfn.IFS(G12="Operational","Operational",G12="Certified","Certified",TRUE,INDEX('Monthly Report July 2025'!O:O,MATCH(E12,'Monthly Report July 2025'!E:E,0),0))</f>
        <v>Operational</v>
      </c>
      <c r="P12" s="175" t="b" cm="1">
        <f t="array" ref="P12">_xlfn.IFS(G12="Operational",O12="Operational",G12="Certified",O12="Certified",TRUE,G12="Pre-Certified")</f>
        <v>1</v>
      </c>
      <c r="Q12" s="175" cm="1">
        <f t="array" ref="Q12">IF(O12="Operational",INDEX('Monthly Report July 2025'!R:R,MATCH(E12,'Monthly Report July 2025'!E:E,0),0),"")</f>
        <v>45415</v>
      </c>
      <c r="R12" s="175" cm="1">
        <f t="array" ref="R12">INDEX('Monthly Report July 2025'!P:P,MATCH(E12,'Monthly Report July 2025'!E:E,0),0)</f>
        <v>45289</v>
      </c>
      <c r="S12" s="175" t="b">
        <f t="shared" si="5"/>
        <v>1</v>
      </c>
      <c r="T12" s="175" cm="1">
        <f t="array" ref="T12">INDEX('Monthly Report July 2025'!U:U,MATCH(E12,'Monthly Report July 2025'!E:E,0),0)</f>
        <v>45169</v>
      </c>
      <c r="U12" s="175" t="str">
        <f t="shared" si="6"/>
        <v>IGNORE</v>
      </c>
      <c r="V12" s="156">
        <f t="shared" si="7"/>
        <v>45289</v>
      </c>
      <c r="W12" s="156" cm="1">
        <f t="array" ref="W12">_xlfn.IFS(U12=TRUE,EDATE(O12,6),U12=FALSE,T12,O12="Operational",Q12,AND(O12="Certified",EDATE(R12,6)&gt;T12),EDATE(R12,6),TRUE,T12)</f>
        <v>45415</v>
      </c>
      <c r="X12" s="156">
        <f t="shared" si="8"/>
        <v>45476</v>
      </c>
      <c r="Y12" s="157">
        <f t="shared" si="9"/>
        <v>2023</v>
      </c>
      <c r="Z12" s="202" cm="1">
        <f t="array" ref="Z12">_xlfn.IFS(Z$3&lt;$B$2,SUMPRODUCT(('PA Fees Actual'!$B$5:$B$882=$E12)*('PA Fees Actual'!$A$5:$A$882&gt;=Z$3)*('PA Fees Actual'!$A$5:$A$882&lt;=EOMONTH(Z$3,0))*'PA Fees Actual'!$D$5:$D$882),Z$3&gt;=EOMONTH($X12,-1)+1,$Y12,TRUE,0)</f>
        <v>0</v>
      </c>
      <c r="AA12" s="202" cm="1">
        <f t="array" ref="AA12">_xlfn.IFS(AA$3&lt;$B$2,SUMPRODUCT(('PA Fees Actual'!$B$5:$B$882=$E12)*('PA Fees Actual'!$A$5:$A$882&gt;=AA$3)*('PA Fees Actual'!$A$5:$A$882&lt;=EOMONTH(AA$3,0))*'PA Fees Actual'!$D$5:$D$882),AA$3&gt;=EOMONTH($X12,-1)+1,$Y12,TRUE,0)</f>
        <v>0</v>
      </c>
      <c r="AB12" s="202" cm="1">
        <f t="array" ref="AB12">_xlfn.IFS(AB$3&lt;$B$2,SUMPRODUCT(('PA Fees Actual'!$B$5:$B$882=$E12)*('PA Fees Actual'!$A$5:$A$882&gt;=AB$3)*('PA Fees Actual'!$A$5:$A$882&lt;=EOMONTH(AB$3,0))*'PA Fees Actual'!$D$5:$D$882),AB$3&gt;=EOMONTH($X12,-1)+1,$Y12,TRUE,0)</f>
        <v>0</v>
      </c>
      <c r="AC12" s="202" cm="1">
        <f t="array" ref="AC12">_xlfn.IFS(AC$3&lt;$B$2,SUMPRODUCT(('PA Fees Actual'!$B$5:$B$882=$E12)*('PA Fees Actual'!$A$5:$A$882&gt;=AC$3)*('PA Fees Actual'!$A$5:$A$882&lt;=EOMONTH(AC$3,0))*'PA Fees Actual'!$D$5:$D$882),AC$3&gt;=EOMONTH($X12,-1)+1,$Y12,TRUE,0)</f>
        <v>0</v>
      </c>
      <c r="AD12" s="202" cm="1">
        <f t="array" ref="AD12">_xlfn.IFS(AD$3&lt;$B$2,SUMPRODUCT(('PA Fees Actual'!$B$5:$B$882=$E12)*('PA Fees Actual'!$A$5:$A$882&gt;=AD$3)*('PA Fees Actual'!$A$5:$A$882&lt;=EOMONTH(AD$3,0))*'PA Fees Actual'!$D$5:$D$882),AD$3&gt;=EOMONTH($X12,-1)+1,$Y12,TRUE,0)</f>
        <v>0</v>
      </c>
      <c r="AE12" s="202" cm="1">
        <f t="array" ref="AE12">_xlfn.IFS(AE$3&lt;$B$2,SUMPRODUCT(('PA Fees Actual'!$B$5:$B$882=$E12)*('PA Fees Actual'!$A$5:$A$882&gt;=AE$3)*('PA Fees Actual'!$A$5:$A$882&lt;=EOMONTH(AE$3,0))*'PA Fees Actual'!$D$5:$D$882),AE$3&gt;=EOMONTH($X12,-1)+1,$Y12,TRUE,0)</f>
        <v>0</v>
      </c>
      <c r="AF12" s="202" cm="1">
        <f t="array" ref="AF12">_xlfn.IFS(AF$3&lt;$B$2,SUMPRODUCT(('PA Fees Actual'!$B$5:$B$882=$E12)*('PA Fees Actual'!$A$5:$A$882&gt;=AF$3)*('PA Fees Actual'!$A$5:$A$882&lt;=EOMONTH(AF$3,0))*'PA Fees Actual'!$D$5:$D$882),AF$3&gt;=EOMONTH($X12,-1)+1,$Y12,TRUE,0)</f>
        <v>0</v>
      </c>
      <c r="AG12" s="202" cm="1">
        <f t="array" ref="AG12">_xlfn.IFS(AG$3&lt;$B$2,SUMPRODUCT(('PA Fees Actual'!$B$5:$B$882=$E12)*('PA Fees Actual'!$A$5:$A$882&gt;=AG$3)*('PA Fees Actual'!$A$5:$A$882&lt;=EOMONTH(AG$3,0))*'PA Fees Actual'!$D$5:$D$882),AG$3&gt;=EOMONTH($X12,-1)+1,$Y12,TRUE,0)</f>
        <v>0</v>
      </c>
      <c r="AH12" s="202" cm="1">
        <f t="array" ref="AH12">_xlfn.IFS(AH$3&lt;$B$2,SUMPRODUCT(('PA Fees Actual'!$B$5:$B$882=$E12)*('PA Fees Actual'!$A$5:$A$882&gt;=AH$3)*('PA Fees Actual'!$A$5:$A$882&lt;=EOMONTH(AH$3,0))*'PA Fees Actual'!$D$5:$D$882),AH$3&gt;=EOMONTH($X12,-1)+1,$Y12,TRUE,0)</f>
        <v>0</v>
      </c>
      <c r="AI12" s="202" cm="1">
        <f t="array" ref="AI12">_xlfn.IFS(AI$3&lt;$B$2,SUMPRODUCT(('PA Fees Actual'!$B$5:$B$882=$E12)*('PA Fees Actual'!$A$5:$A$882&gt;=AI$3)*('PA Fees Actual'!$A$5:$A$882&lt;=EOMONTH(AI$3,0))*'PA Fees Actual'!$D$5:$D$882),AI$3&gt;=EOMONTH($X12,-1)+1,$Y12,TRUE,0)</f>
        <v>0</v>
      </c>
      <c r="AJ12" s="202" cm="1">
        <f t="array" ref="AJ12">_xlfn.IFS(AJ$3&lt;$B$2,SUMPRODUCT(('PA Fees Actual'!$B$5:$B$882=$E12)*('PA Fees Actual'!$A$5:$A$882&gt;=AJ$3)*('PA Fees Actual'!$A$5:$A$882&lt;=EOMONTH(AJ$3,0))*'PA Fees Actual'!$D$5:$D$882),AJ$3&gt;=EOMONTH($X12,-1)+1,$Y12,TRUE,0)</f>
        <v>0</v>
      </c>
      <c r="AK12" s="202" cm="1">
        <f t="array" ref="AK12">_xlfn.IFS(AK$3&lt;$B$2,SUMPRODUCT(('PA Fees Actual'!$B$5:$B$882=$E12)*('PA Fees Actual'!$A$5:$A$882&gt;=AK$3)*('PA Fees Actual'!$A$5:$A$882&lt;=EOMONTH(AK$3,0))*'PA Fees Actual'!$D$5:$D$882),AK$3&gt;=EOMONTH($X12,-1)+1,$Y12,TRUE,0)</f>
        <v>0</v>
      </c>
      <c r="AL12" s="202" cm="1">
        <f t="array" ref="AL12">_xlfn.IFS(AL$3&lt;$B$2,SUMPRODUCT(('PA Fees Actual'!$B$5:$B$882=$E12)*('PA Fees Actual'!$A$5:$A$882&gt;=AL$3)*('PA Fees Actual'!$A$5:$A$882&lt;=EOMONTH(AL$3,0))*'PA Fees Actual'!$D$5:$D$882),AL$3&gt;=EOMONTH($X12,-1)+1,$Y12,TRUE,0)</f>
        <v>0</v>
      </c>
      <c r="AM12" s="202" cm="1">
        <f t="array" ref="AM12">_xlfn.IFS(AM$3&lt;$B$2,SUMPRODUCT(('PA Fees Actual'!$B$5:$B$882=$E12)*('PA Fees Actual'!$A$5:$A$882&gt;=AM$3)*('PA Fees Actual'!$A$5:$A$882&lt;=EOMONTH(AM$3,0))*'PA Fees Actual'!$D$5:$D$882),AM$3&gt;=EOMONTH($X12,-1)+1,$Y12,TRUE,0)</f>
        <v>0</v>
      </c>
      <c r="AN12" s="202" cm="1">
        <f t="array" ref="AN12">_xlfn.IFS(AN$3&lt;$B$2,SUMPRODUCT(('PA Fees Actual'!$B$5:$B$882=$E12)*('PA Fees Actual'!$A$5:$A$882&gt;=AN$3)*('PA Fees Actual'!$A$5:$A$882&lt;=EOMONTH(AN$3,0))*'PA Fees Actual'!$D$5:$D$882),AN$3&gt;=EOMONTH($X12,-1)+1,$Y12,TRUE,0)</f>
        <v>0</v>
      </c>
      <c r="AO12" s="202" cm="1">
        <f t="array" ref="AO12">_xlfn.IFS(AO$3&lt;$B$2,SUMPRODUCT(('PA Fees Actual'!$B$5:$B$882=$E12)*('PA Fees Actual'!$A$5:$A$882&gt;=AO$3)*('PA Fees Actual'!$A$5:$A$882&lt;=EOMONTH(AO$3,0))*'PA Fees Actual'!$D$5:$D$882),AO$3&gt;=EOMONTH($X12,-1)+1,$Y12,TRUE,0)</f>
        <v>0</v>
      </c>
      <c r="AP12" s="202" cm="1">
        <f t="array" ref="AP12">_xlfn.IFS(AP$3&lt;$B$2,SUMPRODUCT(('PA Fees Actual'!$B$5:$B$882=$E12)*('PA Fees Actual'!$A$5:$A$882&gt;=AP$3)*('PA Fees Actual'!$A$5:$A$882&lt;=EOMONTH(AP$3,0))*'PA Fees Actual'!$D$5:$D$882),AP$3&gt;=EOMONTH($X12,-1)+1,$Y12,TRUE,0)</f>
        <v>0</v>
      </c>
      <c r="AQ12" s="202" cm="1">
        <f t="array" ref="AQ12">_xlfn.IFS(AQ$3&lt;$B$2,SUMPRODUCT(('PA Fees Actual'!$B$5:$B$882=$E12)*('PA Fees Actual'!$A$5:$A$882&gt;=AQ$3)*('PA Fees Actual'!$A$5:$A$882&lt;=EOMONTH(AQ$3,0))*'PA Fees Actual'!$D$5:$D$882),AQ$3&gt;=EOMONTH($X12,-1)+1,$Y12,TRUE,0)</f>
        <v>0</v>
      </c>
      <c r="AR12" s="202" cm="1">
        <f t="array" ref="AR12">_xlfn.IFS(AR$3&lt;$B$2,SUMPRODUCT(('PA Fees Actual'!$B$5:$B$882=$E12)*('PA Fees Actual'!$A$5:$A$882&gt;=AR$3)*('PA Fees Actual'!$A$5:$A$882&lt;=EOMONTH(AR$3,0))*'PA Fees Actual'!$D$5:$D$882),AR$3&gt;=EOMONTH($X12,-1)+1,$Y12,TRUE,0)</f>
        <v>0</v>
      </c>
      <c r="AS12" s="202" cm="1">
        <f t="array" ref="AS12">_xlfn.IFS(AS$3&lt;$B$2,SUMPRODUCT(('PA Fees Actual'!$B$5:$B$882=$E12)*('PA Fees Actual'!$A$5:$A$882&gt;=AS$3)*('PA Fees Actual'!$A$5:$A$882&lt;=EOMONTH(AS$3,0))*'PA Fees Actual'!$D$5:$D$882),AS$3&gt;=EOMONTH($X12,-1)+1,$Y12,TRUE,0)</f>
        <v>0</v>
      </c>
      <c r="AT12" s="202" cm="1">
        <f t="array" ref="AT12">_xlfn.IFS(AT$3&lt;$B$2,SUMPRODUCT(('PA Fees Actual'!$B$5:$B$882=$E12)*('PA Fees Actual'!$A$5:$A$882&gt;=AT$3)*('PA Fees Actual'!$A$5:$A$882&lt;=EOMONTH(AT$3,0))*'PA Fees Actual'!$D$5:$D$882),AT$3&gt;=EOMONTH($X12,-1)+1,$Y12,TRUE,0)</f>
        <v>0</v>
      </c>
      <c r="AU12" s="202" cm="1">
        <f t="array" ref="AU12">_xlfn.IFS(AU$3&lt;$B$2,SUMPRODUCT(('PA Fees Actual'!$B$5:$B$882=$E12)*('PA Fees Actual'!$A$5:$A$882&gt;=AU$3)*('PA Fees Actual'!$A$5:$A$882&lt;=EOMONTH(AU$3,0))*'PA Fees Actual'!$D$5:$D$882),AU$3&gt;=EOMONTH($X12,-1)+1,$Y12,TRUE,0)</f>
        <v>0</v>
      </c>
      <c r="AV12" s="202" cm="1">
        <f t="array" ref="AV12">_xlfn.IFS(AV$3&lt;$B$2,SUMPRODUCT(('PA Fees Actual'!$B$5:$B$882=$E12)*('PA Fees Actual'!$A$5:$A$882&gt;=AV$3)*('PA Fees Actual'!$A$5:$A$882&lt;=EOMONTH(AV$3,0))*'PA Fees Actual'!$D$5:$D$882),AV$3&gt;=EOMONTH($X12,-1)+1,$Y12,TRUE,0)</f>
        <v>0</v>
      </c>
      <c r="AW12" s="202" cm="1">
        <f t="array" ref="AW12">_xlfn.IFS(AW$3&lt;$B$2,SUMPRODUCT(('PA Fees Actual'!$B$5:$B$882=$E12)*('PA Fees Actual'!$A$5:$A$882&gt;=AW$3)*('PA Fees Actual'!$A$5:$A$882&lt;=EOMONTH(AW$3,0))*'PA Fees Actual'!$D$5:$D$882),AW$3&gt;=EOMONTH($X12,-1)+1,$Y12,TRUE,0)</f>
        <v>0</v>
      </c>
      <c r="AX12" s="202" cm="1">
        <f t="array" ref="AX12">_xlfn.IFS(AX$3&lt;$B$2,SUMPRODUCT(('PA Fees Actual'!$B$5:$B$882=$E12)*('PA Fees Actual'!$A$5:$A$882&gt;=AX$3)*('PA Fees Actual'!$A$5:$A$882&lt;=EOMONTH(AX$3,0))*'PA Fees Actual'!$D$5:$D$882),AX$3&gt;=EOMONTH($X12,-1)+1,$Y12,TRUE,0)</f>
        <v>0</v>
      </c>
      <c r="AY12" s="202" cm="1">
        <f t="array" ref="AY12">_xlfn.IFS(AY$3&lt;$B$2,SUMPRODUCT(('PA Fees Actual'!$B$5:$B$882=$E12)*('PA Fees Actual'!$A$5:$A$882&gt;=AY$3)*('PA Fees Actual'!$A$5:$A$882&lt;=EOMONTH(AY$3,0))*'PA Fees Actual'!$D$5:$D$882),AY$3&gt;=EOMONTH($X12,-1)+1,$Y12,TRUE,0)</f>
        <v>0</v>
      </c>
      <c r="AZ12" s="202" cm="1">
        <f t="array" ref="AZ12">_xlfn.IFS(AZ$3&lt;$B$2,SUMPRODUCT(('PA Fees Actual'!$B$5:$B$882=$E12)*('PA Fees Actual'!$A$5:$A$882&gt;=AZ$3)*('PA Fees Actual'!$A$5:$A$882&lt;=EOMONTH(AZ$3,0))*'PA Fees Actual'!$D$5:$D$882),AZ$3&gt;=EOMONTH($X12,-1)+1,$Y12,TRUE,0)</f>
        <v>0</v>
      </c>
      <c r="BA12" s="202" cm="1">
        <f t="array" ref="BA12">_xlfn.IFS(BA$3&lt;$B$2,SUMPRODUCT(('PA Fees Actual'!$B$5:$B$882=$E12)*('PA Fees Actual'!$A$5:$A$882&gt;=BA$3)*('PA Fees Actual'!$A$5:$A$882&lt;=EOMONTH(BA$3,0))*'PA Fees Actual'!$D$5:$D$882),BA$3&gt;=EOMONTH($X12,-1)+1,$Y12,TRUE,0)</f>
        <v>0</v>
      </c>
      <c r="BB12" s="202" cm="1">
        <f t="array" ref="BB12">_xlfn.IFS(BB$3&lt;$B$2,SUMPRODUCT(('PA Fees Actual'!$B$5:$B$882=$E12)*('PA Fees Actual'!$A$5:$A$882&gt;=BB$3)*('PA Fees Actual'!$A$5:$A$882&lt;=EOMONTH(BB$3,0))*'PA Fees Actual'!$D$5:$D$882),BB$3&gt;=EOMONTH($X12,-1)+1,$Y12,TRUE,0)</f>
        <v>0</v>
      </c>
      <c r="BC12" s="202" cm="1">
        <f t="array" ref="BC12">_xlfn.IFS(BC$3&lt;$B$2,SUMPRODUCT(('PA Fees Actual'!$B$5:$B$882=$E12)*('PA Fees Actual'!$A$5:$A$882&gt;=BC$3)*('PA Fees Actual'!$A$5:$A$882&lt;=EOMONTH(BC$3,0))*'PA Fees Actual'!$D$5:$D$882),BC$3&gt;=EOMONTH($X12,-1)+1,$Y12,TRUE,0)</f>
        <v>0</v>
      </c>
      <c r="BD12" s="202" cm="1">
        <f t="array" ref="BD12">_xlfn.IFS(BD$3&lt;$B$2,SUMPRODUCT(('PA Fees Actual'!$B$5:$B$882=$E12)*('PA Fees Actual'!$A$5:$A$882&gt;=BD$3)*('PA Fees Actual'!$A$5:$A$882&lt;=EOMONTH(BD$3,0))*'PA Fees Actual'!$D$5:$D$882),BD$3&gt;=EOMONTH($X12,-1)+1,$Y12,TRUE,0)</f>
        <v>0</v>
      </c>
      <c r="BE12" s="202" cm="1">
        <f t="array" ref="BE12">_xlfn.IFS(BE$3&lt;$B$2,SUMPRODUCT(('PA Fees Actual'!$B$5:$B$882=$E12)*('PA Fees Actual'!$A$5:$A$882&gt;=BE$3)*('PA Fees Actual'!$A$5:$A$882&lt;=EOMONTH(BE$3,0))*'PA Fees Actual'!$D$5:$D$882),BE$3&gt;=EOMONTH($X12,-1)+1,$Y12,TRUE,0)</f>
        <v>0</v>
      </c>
      <c r="BF12" s="202" cm="1">
        <f t="array" ref="BF12">_xlfn.IFS(BF$3&lt;$B$2,SUMPRODUCT(('PA Fees Actual'!$B$5:$B$882=$E12)*('PA Fees Actual'!$A$5:$A$882&gt;=BF$3)*('PA Fees Actual'!$A$5:$A$882&lt;=EOMONTH(BF$3,0))*'PA Fees Actual'!$D$5:$D$882),BF$3&gt;=EOMONTH($X12,-1)+1,$Y12,TRUE,0)</f>
        <v>0</v>
      </c>
      <c r="BG12" s="202" cm="1">
        <f t="array" ref="BG12">_xlfn.IFS(BG$3&lt;$B$2,SUMPRODUCT(('PA Fees Actual'!$B$5:$B$882=$E12)*('PA Fees Actual'!$A$5:$A$882&gt;=BG$3)*('PA Fees Actual'!$A$5:$A$882&lt;=EOMONTH(BG$3,0))*'PA Fees Actual'!$D$5:$D$882),BG$3&gt;=EOMONTH($X12,-1)+1,$Y12,TRUE,0)</f>
        <v>0</v>
      </c>
      <c r="BH12" s="202" cm="1">
        <f t="array" ref="BH12">_xlfn.IFS(BH$3&lt;$B$2,SUMPRODUCT(('PA Fees Actual'!$B$5:$B$882=$E12)*('PA Fees Actual'!$A$5:$A$882&gt;=BH$3)*('PA Fees Actual'!$A$5:$A$882&lt;=EOMONTH(BH$3,0))*'PA Fees Actual'!$D$5:$D$882),BH$3&gt;=EOMONTH($X12,-1)+1,$Y12,TRUE,0)</f>
        <v>0</v>
      </c>
      <c r="BI12" s="202" cm="1">
        <f t="array" ref="BI12">_xlfn.IFS(BI$3&lt;$B$2,SUMPRODUCT(('PA Fees Actual'!$B$5:$B$882=$E12)*('PA Fees Actual'!$A$5:$A$882&gt;=BI$3)*('PA Fees Actual'!$A$5:$A$882&lt;=EOMONTH(BI$3,0))*'PA Fees Actual'!$D$5:$D$882),BI$3&gt;=EOMONTH($X12,-1)+1,$Y12,TRUE,0)</f>
        <v>0</v>
      </c>
      <c r="BJ12" s="202" cm="1">
        <f t="array" ref="BJ12">_xlfn.IFS(BJ$3&lt;$B$2,SUMPRODUCT(('PA Fees Actual'!$B$5:$B$882=$E12)*('PA Fees Actual'!$A$5:$A$882&gt;=BJ$3)*('PA Fees Actual'!$A$5:$A$882&lt;=EOMONTH(BJ$3,0))*'PA Fees Actual'!$D$5:$D$882),BJ$3&gt;=EOMONTH($X12,-1)+1,$Y12,TRUE,0)</f>
        <v>0</v>
      </c>
      <c r="BK12" s="202" cm="1">
        <f t="array" ref="BK12">_xlfn.IFS(BK$3&lt;$B$2,SUMPRODUCT(('PA Fees Actual'!$B$5:$B$882=$E12)*('PA Fees Actual'!$A$5:$A$882&gt;=BK$3)*('PA Fees Actual'!$A$5:$A$882&lt;=EOMONTH(BK$3,0))*'PA Fees Actual'!$D$5:$D$882),BK$3&gt;=EOMONTH($X12,-1)+1,$Y12,TRUE,0)</f>
        <v>0</v>
      </c>
      <c r="BL12" s="202" cm="1">
        <f t="array" ref="BL12">_xlfn.IFS(BL$3&lt;$B$2,SUMPRODUCT(('PA Fees Actual'!$B$5:$B$882=$E12)*('PA Fees Actual'!$A$5:$A$882&gt;=BL$3)*('PA Fees Actual'!$A$5:$A$882&lt;=EOMONTH(BL$3,0))*'PA Fees Actual'!$D$5:$D$882),BL$3&gt;=EOMONTH($X12,-1)+1,$Y12,TRUE,0)</f>
        <v>0</v>
      </c>
      <c r="BM12" s="202" cm="1">
        <f t="array" ref="BM12">_xlfn.IFS(BM$3&lt;$B$2,SUMPRODUCT(('PA Fees Actual'!$B$5:$B$882=$E12)*('PA Fees Actual'!$A$5:$A$882&gt;=BM$3)*('PA Fees Actual'!$A$5:$A$882&lt;=EOMONTH(BM$3,0))*'PA Fees Actual'!$D$5:$D$882),BM$3&gt;=EOMONTH($X12,-1)+1,$Y12,TRUE,0)</f>
        <v>0</v>
      </c>
      <c r="BN12" s="202" cm="1">
        <f t="array" ref="BN12">_xlfn.IFS(BN$3&lt;$B$2,SUMPRODUCT(('PA Fees Actual'!$B$5:$B$882=$E12)*('PA Fees Actual'!$A$5:$A$882&gt;=BN$3)*('PA Fees Actual'!$A$5:$A$882&lt;=EOMONTH(BN$3,0))*'PA Fees Actual'!$D$5:$D$882),BN$3&gt;=EOMONTH($X12,-1)+1,$Y12,TRUE,0)</f>
        <v>0</v>
      </c>
      <c r="BO12" s="202" cm="1">
        <f t="array" ref="BO12">_xlfn.IFS(BO$3&lt;$B$2,SUMPRODUCT(('PA Fees Actual'!$B$5:$B$882=$E12)*('PA Fees Actual'!$A$5:$A$882&gt;=BO$3)*('PA Fees Actual'!$A$5:$A$882&lt;=EOMONTH(BO$3,0))*'PA Fees Actual'!$D$5:$D$882),BO$3&gt;=EOMONTH($X12,-1)+1,$Y12,TRUE,0)</f>
        <v>0</v>
      </c>
      <c r="BP12" s="202" cm="1">
        <f t="array" ref="BP12">_xlfn.IFS(BP$3&lt;$B$2,SUMPRODUCT(('PA Fees Actual'!$B$5:$B$882=$E12)*('PA Fees Actual'!$A$5:$A$882&gt;=BP$3)*('PA Fees Actual'!$A$5:$A$882&lt;=EOMONTH(BP$3,0))*'PA Fees Actual'!$D$5:$D$882),BP$3&gt;=EOMONTH($X12,-1)+1,$Y12,TRUE,0)</f>
        <v>0</v>
      </c>
      <c r="BQ12" s="202" cm="1">
        <f t="array" ref="BQ12">_xlfn.IFS(BQ$3&lt;$B$2,SUMPRODUCT(('PA Fees Actual'!$B$5:$B$882=$E12)*('PA Fees Actual'!$A$5:$A$882&gt;=BQ$3)*('PA Fees Actual'!$A$5:$A$882&lt;=EOMONTH(BQ$3,0))*'PA Fees Actual'!$D$5:$D$882),BQ$3&gt;=EOMONTH($X12,-1)+1,$Y12,TRUE,0)</f>
        <v>0</v>
      </c>
      <c r="BR12" s="202" cm="1">
        <f t="array" ref="BR12">_xlfn.IFS(BR$3&lt;$B$2,SUMPRODUCT(('PA Fees Actual'!$B$5:$B$882=$E12)*('PA Fees Actual'!$A$5:$A$882&gt;=BR$3)*('PA Fees Actual'!$A$5:$A$882&lt;=EOMONTH(BR$3,0))*'PA Fees Actual'!$D$5:$D$882),BR$3&gt;=EOMONTH($X12,-1)+1,$Y12,TRUE,0)</f>
        <v>2140.96</v>
      </c>
      <c r="BS12" s="202" cm="1">
        <f t="array" ref="BS12">_xlfn.IFS(BS$3&lt;$B$2,SUMPRODUCT(('PA Fees Actual'!$B$5:$B$882=$E12)*('PA Fees Actual'!$A$5:$A$882&gt;=BS$3)*('PA Fees Actual'!$A$5:$A$882&lt;=EOMONTH(BS$3,0))*'PA Fees Actual'!$D$5:$D$882),BS$3&gt;=EOMONTH($X12,-1)+1,$Y12,TRUE,0)</f>
        <v>2142.2399999999998</v>
      </c>
      <c r="BT12" s="202" cm="1">
        <f t="array" ref="BT12">_xlfn.IFS(BT$3&lt;$B$2,SUMPRODUCT(('PA Fees Actual'!$B$5:$B$882=$E12)*('PA Fees Actual'!$A$5:$A$882&gt;=BT$3)*('PA Fees Actual'!$A$5:$A$882&lt;=EOMONTH(BT$3,0))*'PA Fees Actual'!$D$5:$D$882),BT$3&gt;=EOMONTH($X12,-1)+1,$Y12,TRUE,0)</f>
        <v>6378.15</v>
      </c>
      <c r="BU12" s="202" cm="1">
        <f t="array" ref="BU12">_xlfn.IFS(BU$3&lt;$B$2,SUMPRODUCT(('PA Fees Actual'!$B$5:$B$882=$E12)*('PA Fees Actual'!$A$5:$A$882&gt;=BU$3)*('PA Fees Actual'!$A$5:$A$882&lt;=EOMONTH(BU$3,0))*'PA Fees Actual'!$D$5:$D$882),BU$3&gt;=EOMONTH($X12,-1)+1,$Y12,TRUE,0)</f>
        <v>0</v>
      </c>
      <c r="BV12" s="202" cm="1">
        <f t="array" ref="BV12">_xlfn.IFS(BV$3&lt;$B$2,SUMPRODUCT(('PA Fees Actual'!$B$5:$B$882=$E12)*('PA Fees Actual'!$A$5:$A$882&gt;=BV$3)*('PA Fees Actual'!$A$5:$A$882&lt;=EOMONTH(BV$3,0))*'PA Fees Actual'!$D$5:$D$882),BV$3&gt;=EOMONTH($X12,-1)+1,$Y12,TRUE,0)</f>
        <v>2065.7399999999998</v>
      </c>
      <c r="BW12" s="202" cm="1">
        <f t="array" ref="BW12">_xlfn.IFS(BW$3&lt;$B$2,SUMPRODUCT(('PA Fees Actual'!$B$5:$B$882=$E12)*('PA Fees Actual'!$A$5:$A$882&gt;=BW$3)*('PA Fees Actual'!$A$5:$A$882&lt;=EOMONTH(BW$3,0))*'PA Fees Actual'!$D$5:$D$882),BW$3&gt;=EOMONTH($X12,-1)+1,$Y12,TRUE,0)</f>
        <v>0</v>
      </c>
      <c r="BX12" s="202" cm="1">
        <f t="array" ref="BX12">_xlfn.IFS(BX$3&lt;$B$2,SUMPRODUCT(('PA Fees Actual'!$B$5:$B$882=$E12)*('PA Fees Actual'!$A$5:$A$882&gt;=BX$3)*('PA Fees Actual'!$A$5:$A$882&lt;=EOMONTH(BX$3,0))*'PA Fees Actual'!$D$5:$D$882),BX$3&gt;=EOMONTH($X12,-1)+1,$Y12,TRUE,0)</f>
        <v>4129.03</v>
      </c>
      <c r="BY12" s="202" cm="1">
        <f t="array" ref="BY12">_xlfn.IFS(BY$3&lt;$B$2,SUMPRODUCT(('PA Fees Actual'!$B$5:$B$882=$E12)*('PA Fees Actual'!$A$5:$A$882&gt;=BY$3)*('PA Fees Actual'!$A$5:$A$882&lt;=EOMONTH(BY$3,0))*'PA Fees Actual'!$D$5:$D$882),BY$3&gt;=EOMONTH($X12,-1)+1,$Y12,TRUE,0)</f>
        <v>4002.77</v>
      </c>
      <c r="BZ12" s="202" cm="1">
        <f t="array" ref="BZ12">_xlfn.IFS(BZ$3&lt;$B$2,SUMPRODUCT(('PA Fees Actual'!$B$5:$B$882=$E12)*('PA Fees Actual'!$A$5:$A$882&gt;=BZ$3)*('PA Fees Actual'!$A$5:$A$882&lt;=EOMONTH(BZ$3,0))*'PA Fees Actual'!$D$5:$D$882),BZ$3&gt;=EOMONTH($X12,-1)+1,$Y12,TRUE,0)</f>
        <v>0</v>
      </c>
      <c r="CA12" s="202" cm="1">
        <f t="array" ref="CA12">_xlfn.IFS(CA$3&lt;$B$2,SUMPRODUCT(('PA Fees Actual'!$B$5:$B$882=$E12)*('PA Fees Actual'!$A$5:$A$882&gt;=CA$3)*('PA Fees Actual'!$A$5:$A$882&lt;=EOMONTH(CA$3,0))*'PA Fees Actual'!$D$5:$D$882),CA$3&gt;=EOMONTH($X12,-1)+1,$Y12,TRUE,0)</f>
        <v>5942.25</v>
      </c>
      <c r="CB12" s="202" cm="1">
        <f t="array" ref="CB12">_xlfn.IFS(CB$3&lt;$B$2,SUMPRODUCT(('PA Fees Actual'!$B$5:$B$882=$E12)*('PA Fees Actual'!$A$5:$A$882&gt;=CB$3)*('PA Fees Actual'!$A$5:$A$882&lt;=EOMONTH(CB$3,0))*'PA Fees Actual'!$D$5:$D$882),CB$3&gt;=EOMONTH($X12,-1)+1,$Y12,TRUE,0)</f>
        <v>2023</v>
      </c>
      <c r="CC12" s="202" cm="1">
        <f t="array" ref="CC12">_xlfn.IFS(CC$3&lt;$B$2,SUMPRODUCT(('PA Fees Actual'!$B$5:$B$882=$E12)*('PA Fees Actual'!$A$5:$A$882&gt;=CC$3)*('PA Fees Actual'!$A$5:$A$882&lt;=EOMONTH(CC$3,0))*'PA Fees Actual'!$D$5:$D$882),CC$3&gt;=EOMONTH($X12,-1)+1,$Y12,TRUE,0)</f>
        <v>2023</v>
      </c>
      <c r="CD12" s="202" cm="1">
        <f t="array" ref="CD12">_xlfn.IFS(CD$3&lt;$B$2,SUMPRODUCT(('PA Fees Actual'!$B$5:$B$882=$E12)*('PA Fees Actual'!$A$5:$A$882&gt;=CD$3)*('PA Fees Actual'!$A$5:$A$882&lt;=EOMONTH(CD$3,0))*'PA Fees Actual'!$D$5:$D$882),CD$3&gt;=EOMONTH($X12,-1)+1,$Y12,TRUE,0)</f>
        <v>2023</v>
      </c>
      <c r="CE12" s="202" cm="1">
        <f t="array" ref="CE12">_xlfn.IFS(CE$3&lt;$B$2,SUMPRODUCT(('PA Fees Actual'!$B$5:$B$882=$E12)*('PA Fees Actual'!$A$5:$A$882&gt;=CE$3)*('PA Fees Actual'!$A$5:$A$882&lt;=EOMONTH(CE$3,0))*'PA Fees Actual'!$D$5:$D$882),CE$3&gt;=EOMONTH($X12,-1)+1,$Y12,TRUE,0)</f>
        <v>2023</v>
      </c>
      <c r="CF12" s="202" cm="1">
        <f t="array" ref="CF12">_xlfn.IFS(CF$3&lt;$B$2,SUMPRODUCT(('PA Fees Actual'!$B$5:$B$882=$E12)*('PA Fees Actual'!$A$5:$A$882&gt;=CF$3)*('PA Fees Actual'!$A$5:$A$882&lt;=EOMONTH(CF$3,0))*'PA Fees Actual'!$D$5:$D$882),CF$3&gt;=EOMONTH($X12,-1)+1,$Y12,TRUE,0)</f>
        <v>2023</v>
      </c>
      <c r="CG12" s="202" cm="1">
        <f t="array" ref="CG12">_xlfn.IFS(CG$3&lt;$B$2,SUMPRODUCT(('PA Fees Actual'!$B$5:$B$882=$E12)*('PA Fees Actual'!$A$5:$A$882&gt;=CG$3)*('PA Fees Actual'!$A$5:$A$882&lt;=EOMONTH(CG$3,0))*'PA Fees Actual'!$D$5:$D$882),CG$3&gt;=EOMONTH($X12,-1)+1,$Y12,TRUE,0)</f>
        <v>2023</v>
      </c>
      <c r="CI12" s="202" cm="1">
        <f t="array" ref="CI12">_xlfn.IFS(CI$3&lt;=YEAR($B$2),SUMPRODUCT(($E$4:$E$79=$E12)*($Z$2:$CG$2=CI$3)*($Z$2:$CG$2&lt;CJ$3)*$Z$4:$CG$79),CI$3&lt;YEAR($X12),0,CI$3=YEAR($X12),DATEDIF($X12,DATE(CI$3,12,31),"m")*$Y12,AND(CI$3&gt;YEAR($X12),CI$3-YEAR($X12)&lt;20),$Y12*12,CI$3-YEAR($X12)=20,DATEDIF(DATE(YEAR($X12),1,1),$X12,"m")*$Y12,CI$3-YEAR($X12)&gt;20,0)</f>
        <v>0</v>
      </c>
      <c r="CJ12" s="202" cm="1">
        <f t="array" ref="CJ12">_xlfn.IFS(CJ$3&lt;=YEAR($B$2),SUMPRODUCT(($E$4:$E$79=$E12)*($Z$2:$CG$2=CJ$3)*($Z$2:$CG$2&lt;CK$3)*$Z$4:$CG$79),CJ$3&lt;YEAR($X12),0,CJ$3=YEAR($X12),DATEDIF($X12,DATE(CJ$3,12,31),"m")*$Y12,AND(CJ$3&gt;YEAR($X12),CJ$3-YEAR($X12)&lt;20),$Y12*12,CJ$3-YEAR($X12)=20,DATEDIF(DATE(YEAR($X12),1,1),$X12,"m")*$Y12,CJ$3-YEAR($X12)&gt;20,0)</f>
        <v>0</v>
      </c>
      <c r="CK12" s="202" cm="1">
        <f t="array" ref="CK12">_xlfn.IFS(CK$3&lt;=YEAR($B$2),SUMPRODUCT(($E$4:$E$79=$E12)*($Z$2:$CG$2=CK$3)*($Z$2:$CG$2&lt;CL$3)*$Z$4:$CG$79),CK$3&lt;YEAR($X12),0,CK$3=YEAR($X12),DATEDIF($X12,DATE(CK$3,12,31),"m")*$Y12,AND(CK$3&gt;YEAR($X12),CK$3-YEAR($X12)&lt;20),$Y12*12,CK$3-YEAR($X12)=20,DATEDIF(DATE(YEAR($X12),1,1),$X12,"m")*$Y12,CK$3-YEAR($X12)&gt;20,0)</f>
        <v>0</v>
      </c>
      <c r="CL12" s="202" cm="1">
        <f t="array" ref="CL12">_xlfn.IFS(CL$3&lt;=YEAR($B$2),SUMPRODUCT(($E$4:$E$79=$E12)*($Z$2:$CG$2=CL$3)*($Z$2:$CG$2&lt;CM$3)*$Z$4:$CG$79),CL$3&lt;YEAR($X12),0,CL$3=YEAR($X12),DATEDIF($X12,DATE(CL$3,12,31),"m")*$Y12,AND(CL$3&gt;YEAR($X12),CL$3-YEAR($X12)&lt;20),$Y12*12,CL$3-YEAR($X12)=20,DATEDIF(DATE(YEAR($X12),1,1),$X12,"m")*$Y12,CL$3-YEAR($X12)&gt;20,0)</f>
        <v>10661.349999999999</v>
      </c>
      <c r="CM12" s="202" cm="1">
        <f t="array" ref="CM12">_xlfn.IFS(CM$3&lt;=YEAR($B$2),SUMPRODUCT(($E$4:$E$79=$E12)*($Z$2:$CG$2=CM$3)*($Z$2:$CG$2&lt;CN$3)*$Z$4:$CG$79),CM$3&lt;YEAR($X12),0,CM$3=YEAR($X12),DATEDIF($X12,DATE(CM$3,12,31),"m")*$Y12,AND(CM$3&gt;YEAR($X12),CM$3-YEAR($X12)&lt;20),$Y12*12,CM$3-YEAR($X12)=20,DATEDIF(DATE(YEAR($X12),1,1),$X12,"m")*$Y12,CM$3-YEAR($X12)&gt;20,0)</f>
        <v>28277.79</v>
      </c>
      <c r="CN12" s="202" cm="1">
        <f t="array" ref="CN12">_xlfn.IFS(CN$3&lt;=YEAR($B$2),SUMPRODUCT(($E$4:$E$79=$E12)*($Z$2:$CG$2=CN$3)*($Z$2:$CG$2&lt;CO$3)*$Z$4:$CG$79),CN$3&lt;YEAR($X12),0,CN$3=YEAR($X12),DATEDIF($X12,DATE(CN$3,12,31),"m")*$Y12,AND(CN$3&gt;YEAR($X12),CN$3-YEAR($X12)&lt;20),$Y12*12,CN$3-YEAR($X12)=20,DATEDIF(DATE(YEAR($X12),1,1),$X12,"m")*$Y12,CN$3-YEAR($X12)&gt;20,0)</f>
        <v>24276</v>
      </c>
      <c r="CO12" s="202" cm="1">
        <f t="array" ref="CO12">_xlfn.IFS(CO$3&lt;=YEAR($B$2),SUMPRODUCT(($E$4:$E$79=$E12)*($Z$2:$CG$2=CO$3)*($Z$2:$CG$2&lt;CP$3)*$Z$4:$CG$79),CO$3&lt;YEAR($X12),0,CO$3=YEAR($X12),DATEDIF($X12,DATE(CO$3,12,31),"m")*$Y12,AND(CO$3&gt;YEAR($X12),CO$3-YEAR($X12)&lt;20),$Y12*12,CO$3-YEAR($X12)=20,DATEDIF(DATE(YEAR($X12),1,1),$X12,"m")*$Y12,CO$3-YEAR($X12)&gt;20,0)</f>
        <v>24276</v>
      </c>
      <c r="CP12" s="202" cm="1">
        <f t="array" ref="CP12">_xlfn.IFS(CP$3&lt;=YEAR($B$2),SUMPRODUCT(($E$4:$E$79=$E12)*($Z$2:$CG$2=CP$3)*($Z$2:$CG$2&lt;CQ$3)*$Z$4:$CG$79),CP$3&lt;YEAR($X12),0,CP$3=YEAR($X12),DATEDIF($X12,DATE(CP$3,12,31),"m")*$Y12,AND(CP$3&gt;YEAR($X12),CP$3-YEAR($X12)&lt;20),$Y12*12,CP$3-YEAR($X12)=20,DATEDIF(DATE(YEAR($X12),1,1),$X12,"m")*$Y12,CP$3-YEAR($X12)&gt;20,0)</f>
        <v>24276</v>
      </c>
      <c r="CQ12" s="202" cm="1">
        <f t="array" ref="CQ12">_xlfn.IFS(CQ$3&lt;=YEAR($B$2),SUMPRODUCT(($E$4:$E$79=$E12)*($Z$2:$CG$2=CQ$3)*($Z$2:$CG$2&lt;CR$3)*$Z$4:$CG$79),CQ$3&lt;YEAR($X12),0,CQ$3=YEAR($X12),DATEDIF($X12,DATE(CQ$3,12,31),"m")*$Y12,AND(CQ$3&gt;YEAR($X12),CQ$3-YEAR($X12)&lt;20),$Y12*12,CQ$3-YEAR($X12)=20,DATEDIF(DATE(YEAR($X12),1,1),$X12,"m")*$Y12,CQ$3-YEAR($X12)&gt;20,0)</f>
        <v>24276</v>
      </c>
      <c r="CR12" s="202" cm="1">
        <f t="array" ref="CR12">_xlfn.IFS(CR$3&lt;=YEAR($B$2),SUMPRODUCT(($E$4:$E$79=$E12)*($Z$2:$CG$2=CR$3)*($Z$2:$CG$2&lt;CS$3)*$Z$4:$CG$79),CR$3&lt;YEAR($X12),0,CR$3=YEAR($X12),DATEDIF($X12,DATE(CR$3,12,31),"m")*$Y12,AND(CR$3&gt;YEAR($X12),CR$3-YEAR($X12)&lt;20),$Y12*12,CR$3-YEAR($X12)=20,DATEDIF(DATE(YEAR($X12),1,1),$X12,"m")*$Y12,CR$3-YEAR($X12)&gt;20,0)</f>
        <v>24276</v>
      </c>
      <c r="CS12" s="202" cm="1">
        <f t="array" ref="CS12">_xlfn.IFS(CS$3&lt;=YEAR($B$2),SUMPRODUCT(($E$4:$E$79=$E12)*($Z$2:$CG$2=CS$3)*($Z$2:$CG$2&lt;CT$3)*$Z$4:$CG$79),CS$3&lt;YEAR($X12),0,CS$3=YEAR($X12),DATEDIF($X12,DATE(CS$3,12,31),"m")*$Y12,AND(CS$3&gt;YEAR($X12),CS$3-YEAR($X12)&lt;20),$Y12*12,CS$3-YEAR($X12)=20,DATEDIF(DATE(YEAR($X12),1,1),$X12,"m")*$Y12,CS$3-YEAR($X12)&gt;20,0)</f>
        <v>24276</v>
      </c>
      <c r="CT12" s="202" cm="1">
        <f t="array" ref="CT12">_xlfn.IFS(CT$3&lt;=YEAR($B$2),SUMPRODUCT(($E$4:$E$79=$E12)*($Z$2:$CG$2=CT$3)*($Z$2:$CG$2&lt;CU$3)*$Z$4:$CG$79),CT$3&lt;YEAR($X12),0,CT$3=YEAR($X12),DATEDIF($X12,DATE(CT$3,12,31),"m")*$Y12,AND(CT$3&gt;YEAR($X12),CT$3-YEAR($X12)&lt;20),$Y12*12,CT$3-YEAR($X12)=20,DATEDIF(DATE(YEAR($X12),1,1),$X12,"m")*$Y12,CT$3-YEAR($X12)&gt;20,0)</f>
        <v>24276</v>
      </c>
      <c r="CU12" s="202" cm="1">
        <f t="array" ref="CU12">_xlfn.IFS(CU$3&lt;=YEAR($B$2),SUMPRODUCT(($E$4:$E$79=$E12)*($Z$2:$CG$2=CU$3)*($Z$2:$CG$2&lt;CV$3)*$Z$4:$CG$79),CU$3&lt;YEAR($X12),0,CU$3=YEAR($X12),DATEDIF($X12,DATE(CU$3,12,31),"m")*$Y12,AND(CU$3&gt;YEAR($X12),CU$3-YEAR($X12)&lt;20),$Y12*12,CU$3-YEAR($X12)=20,DATEDIF(DATE(YEAR($X12),1,1),$X12,"m")*$Y12,CU$3-YEAR($X12)&gt;20,0)</f>
        <v>24276</v>
      </c>
      <c r="CV12" s="202" cm="1">
        <f t="array" ref="CV12">_xlfn.IFS(CV$3&lt;=YEAR($B$2),SUMPRODUCT(($E$4:$E$79=$E12)*($Z$2:$CG$2=CV$3)*($Z$2:$CG$2&lt;CW$3)*$Z$4:$CG$79),CV$3&lt;YEAR($X12),0,CV$3=YEAR($X12),DATEDIF($X12,DATE(CV$3,12,31),"m")*$Y12,AND(CV$3&gt;YEAR($X12),CV$3-YEAR($X12)&lt;20),$Y12*12,CV$3-YEAR($X12)=20,DATEDIF(DATE(YEAR($X12),1,1),$X12,"m")*$Y12,CV$3-YEAR($X12)&gt;20,0)</f>
        <v>24276</v>
      </c>
      <c r="CW12" s="202" cm="1">
        <f t="array" ref="CW12">_xlfn.IFS(CW$3&lt;=YEAR($B$2),SUMPRODUCT(($E$4:$E$79=$E12)*($Z$2:$CG$2=CW$3)*($Z$2:$CG$2&lt;CX$3)*$Z$4:$CG$79),CW$3&lt;YEAR($X12),0,CW$3=YEAR($X12),DATEDIF($X12,DATE(CW$3,12,31),"m")*$Y12,AND(CW$3&gt;YEAR($X12),CW$3-YEAR($X12)&lt;20),$Y12*12,CW$3-YEAR($X12)=20,DATEDIF(DATE(YEAR($X12),1,1),$X12,"m")*$Y12,CW$3-YEAR($X12)&gt;20,0)</f>
        <v>24276</v>
      </c>
      <c r="CX12" s="202" cm="1">
        <f t="array" ref="CX12">_xlfn.IFS(CX$3&lt;=YEAR($B$2),SUMPRODUCT(($E$4:$E$79=$E12)*($Z$2:$CG$2=CX$3)*($Z$2:$CG$2&lt;CY$3)*$Z$4:$CG$79),CX$3&lt;YEAR($X12),0,CX$3=YEAR($X12),DATEDIF($X12,DATE(CX$3,12,31),"m")*$Y12,AND(CX$3&gt;YEAR($X12),CX$3-YEAR($X12)&lt;20),$Y12*12,CX$3-YEAR($X12)=20,DATEDIF(DATE(YEAR($X12),1,1),$X12,"m")*$Y12,CX$3-YEAR($X12)&gt;20,0)</f>
        <v>24276</v>
      </c>
      <c r="CY12" s="202" cm="1">
        <f t="array" ref="CY12">_xlfn.IFS(CY$3&lt;=YEAR($B$2),SUMPRODUCT(($E$4:$E$79=$E12)*($Z$2:$CG$2=CY$3)*($Z$2:$CG$2&lt;CZ$3)*$Z$4:$CG$79),CY$3&lt;YEAR($X12),0,CY$3=YEAR($X12),DATEDIF($X12,DATE(CY$3,12,31),"m")*$Y12,AND(CY$3&gt;YEAR($X12),CY$3-YEAR($X12)&lt;20),$Y12*12,CY$3-YEAR($X12)=20,DATEDIF(DATE(YEAR($X12),1,1),$X12,"m")*$Y12,CY$3-YEAR($X12)&gt;20,0)</f>
        <v>24276</v>
      </c>
      <c r="CZ12" s="202" cm="1">
        <f t="array" ref="CZ12">_xlfn.IFS(CZ$3&lt;=YEAR($B$2),SUMPRODUCT(($E$4:$E$79=$E12)*($Z$2:$CG$2=CZ$3)*($Z$2:$CG$2&lt;DA$3)*$Z$4:$CG$79),CZ$3&lt;YEAR($X12),0,CZ$3=YEAR($X12),DATEDIF($X12,DATE(CZ$3,12,31),"m")*$Y12,AND(CZ$3&gt;YEAR($X12),CZ$3-YEAR($X12)&lt;20),$Y12*12,CZ$3-YEAR($X12)=20,DATEDIF(DATE(YEAR($X12),1,1),$X12,"m")*$Y12,CZ$3-YEAR($X12)&gt;20,0)</f>
        <v>24276</v>
      </c>
      <c r="DA12" s="202" cm="1">
        <f t="array" ref="DA12">_xlfn.IFS(DA$3&lt;=YEAR($B$2),SUMPRODUCT(($E$4:$E$79=$E12)*($Z$2:$CG$2=DA$3)*($Z$2:$CG$2&lt;DB$3)*$Z$4:$CG$79),DA$3&lt;YEAR($X12),0,DA$3=YEAR($X12),DATEDIF($X12,DATE(DA$3,12,31),"m")*$Y12,AND(DA$3&gt;YEAR($X12),DA$3-YEAR($X12)&lt;20),$Y12*12,DA$3-YEAR($X12)=20,DATEDIF(DATE(YEAR($X12),1,1),$X12,"m")*$Y12,DA$3-YEAR($X12)&gt;20,0)</f>
        <v>24276</v>
      </c>
      <c r="DB12" s="202" cm="1">
        <f t="array" ref="DB12">_xlfn.IFS(DB$3&lt;=YEAR($B$2),SUMPRODUCT(($E$4:$E$79=$E12)*($Z$2:$CG$2=DB$3)*($Z$2:$CG$2&lt;DC$3)*$Z$4:$CG$79),DB$3&lt;YEAR($X12),0,DB$3=YEAR($X12),DATEDIF($X12,DATE(DB$3,12,31),"m")*$Y12,AND(DB$3&gt;YEAR($X12),DB$3-YEAR($X12)&lt;20),$Y12*12,DB$3-YEAR($X12)=20,DATEDIF(DATE(YEAR($X12),1,1),$X12,"m")*$Y12,DB$3-YEAR($X12)&gt;20,0)</f>
        <v>24276</v>
      </c>
      <c r="DC12" s="202" cm="1">
        <f t="array" ref="DC12">_xlfn.IFS(DC$3&lt;=YEAR($B$2),SUMPRODUCT(($E$4:$E$79=$E12)*($Z$2:$CG$2=DC$3)*($Z$2:$CG$2&lt;DD$3)*$Z$4:$CG$79),DC$3&lt;YEAR($X12),0,DC$3=YEAR($X12),DATEDIF($X12,DATE(DC$3,12,31),"m")*$Y12,AND(DC$3&gt;YEAR($X12),DC$3-YEAR($X12)&lt;20),$Y12*12,DC$3-YEAR($X12)=20,DATEDIF(DATE(YEAR($X12),1,1),$X12,"m")*$Y12,DC$3-YEAR($X12)&gt;20,0)</f>
        <v>24276</v>
      </c>
      <c r="DD12" s="202" cm="1">
        <f t="array" ref="DD12">_xlfn.IFS(DD$3&lt;=YEAR($B$2),SUMPRODUCT(($E$4:$E$79=$E12)*($Z$2:$CG$2=DD$3)*($Z$2:$CG$2&lt;DE$3)*$Z$4:$CG$79),DD$3&lt;YEAR($X12),0,DD$3=YEAR($X12),DATEDIF($X12,DATE(DD$3,12,31),"m")*$Y12,AND(DD$3&gt;YEAR($X12),DD$3-YEAR($X12)&lt;20),$Y12*12,DD$3-YEAR($X12)=20,DATEDIF(DATE(YEAR($X12),1,1),$X12,"m")*$Y12,DD$3-YEAR($X12)&gt;20,0)</f>
        <v>24276</v>
      </c>
      <c r="DE12" s="202" cm="1">
        <f t="array" ref="DE12">_xlfn.IFS(DE$3&lt;=YEAR($B$2),SUMPRODUCT(($E$4:$E$79=$E12)*($Z$2:$CG$2=DE$3)*($Z$2:$CG$2&lt;DF$3)*$Z$4:$CG$79),DE$3&lt;YEAR($X12),0,DE$3=YEAR($X12),DATEDIF($X12,DATE(DE$3,12,31),"m")*$Y12,AND(DE$3&gt;YEAR($X12),DE$3-YEAR($X12)&lt;20),$Y12*12,DE$3-YEAR($X12)=20,DATEDIF(DATE(YEAR($X12),1,1),$X12,"m")*$Y12,DE$3-YEAR($X12)&gt;20,0)</f>
        <v>24276</v>
      </c>
      <c r="DF12" s="202" cm="1">
        <f t="array" ref="DF12">_xlfn.IFS(DF$3&lt;=YEAR($B$2),SUMPRODUCT(($E$4:$E$79=$E12)*($Z$2:$CG$2=DF$3)*($Z$2:$CG$2&lt;DG$3)*$Z$4:$CG$79),DF$3&lt;YEAR($X12),0,DF$3=YEAR($X12),DATEDIF($X12,DATE(DF$3,12,31),"m")*$Y12,AND(DF$3&gt;YEAR($X12),DF$3-YEAR($X12)&lt;20),$Y12*12,DF$3-YEAR($X12)=20,DATEDIF(DATE(YEAR($X12),1,1),$X12,"m")*$Y12,DF$3-YEAR($X12)&gt;20,0)</f>
        <v>12138</v>
      </c>
      <c r="DG12" s="202" cm="1">
        <f t="array" ref="DG12">_xlfn.IFS(DG$3&lt;=YEAR($B$2),SUMPRODUCT(($E$4:$E$79=$E12)*($Z$2:$CG$2=DG$3)*($Z$2:$CG$2&lt;DH$3)*$Z$4:$CG$79),DG$3&lt;YEAR($X12),0,DG$3=YEAR($X12),DATEDIF($X12,DATE(DG$3,12,31),"m")*$Y12,AND(DG$3&gt;YEAR($X12),DG$3-YEAR($X12)&lt;20),$Y12*12,DG$3-YEAR($X12)=20,DATEDIF(DATE(YEAR($X12),1,1),$X12,"m")*$Y12,DG$3-YEAR($X12)&gt;20,0)</f>
        <v>0</v>
      </c>
      <c r="DH12" s="202" cm="1">
        <f t="array" ref="DH12">_xlfn.IFS(DH$3&lt;=YEAR($B$2),SUMPRODUCT(($E$4:$E$79=$E12)*($Z$2:$CG$2=DH$3)*($Z$2:$CG$2&lt;DI$3)*$Z$4:$CG$79),DH$3&lt;YEAR($X12),0,DH$3=YEAR($X12),DATEDIF($X12,DATE(DH$3,12,31),"m")*$Y12,AND(DH$3&gt;YEAR($X12),DH$3-YEAR($X12)&lt;20),$Y12*12,DH$3-YEAR($X12)=20,DATEDIF(DATE(YEAR($X12),1,1),$X12,"m")*$Y12,DH$3-YEAR($X12)&gt;20,0)</f>
        <v>0</v>
      </c>
      <c r="DI12" s="202" cm="1">
        <f t="array" ref="DI12">_xlfn.IFS(DI$3&lt;=YEAR($B$2),SUMPRODUCT(($E$4:$E$79=$E12)*($Z$2:$CG$2=DI$3)*($Z$2:$CG$2&lt;DJ$3)*$Z$4:$CG$79),DI$3&lt;YEAR($X12),0,DI$3=YEAR($X12),DATEDIF($X12,DATE(DI$3,12,31),"m")*$Y12,AND(DI$3&gt;YEAR($X12),DI$3-YEAR($X12)&lt;20),$Y12*12,DI$3-YEAR($X12)=20,DATEDIF(DATE(YEAR($X12),1,1),$X12,"m")*$Y12,DI$3-YEAR($X12)&gt;20,0)</f>
        <v>0</v>
      </c>
      <c r="DJ12" s="202" cm="1">
        <f t="array" ref="DJ12">_xlfn.IFS(DJ$3&lt;=YEAR($B$2),SUMPRODUCT(($E$4:$E$79=$E12)*($Z$2:$CG$2=DJ$3)*($Z$2:$CG$2&lt;DK$3)*$Z$4:$CG$79),DJ$3&lt;YEAR($X12),0,DJ$3=YEAR($X12),DATEDIF($X12,DATE(DJ$3,12,31),"m")*$Y12,AND(DJ$3&gt;YEAR($X12),DJ$3-YEAR($X12)&lt;20),$Y12*12,DJ$3-YEAR($X12)=20,DATEDIF(DATE(YEAR($X12),1,1),$X12,"m")*$Y12,DJ$3-YEAR($X12)&gt;20,0)</f>
        <v>0</v>
      </c>
      <c r="DK12" s="202" cm="1">
        <f t="array" ref="DK12">_xlfn.IFS(DK$3&lt;=YEAR($B$2),SUMPRODUCT(($E$4:$E$79=$E12)*($Z$2:$CG$2=DK$3)*($Z$2:$CG$2&lt;DL$3)*$Z$4:$CG$79),DK$3&lt;YEAR($X12),0,DK$3=YEAR($X12),DATEDIF($X12,DATE(DK$3,12,31),"m")*$Y12,AND(DK$3&gt;YEAR($X12),DK$3-YEAR($X12)&lt;20),$Y12*12,DK$3-YEAR($X12)=20,DATEDIF(DATE(YEAR($X12),1,1),$X12,"m")*$Y12,DK$3-YEAR($X12)&gt;20,0)</f>
        <v>0</v>
      </c>
      <c r="DL12" s="202" cm="1">
        <f t="array" ref="DL12">_xlfn.IFS(DL$3&lt;=YEAR($B$2),SUMPRODUCT(($E$4:$E$79=$E12)*($Z$2:$CG$2=DL$3)*($Z$2:$CG$2&lt;DM$3)*$Z$4:$CG$79),DL$3&lt;YEAR($X12),0,DL$3=YEAR($X12),DATEDIF($X12,DATE(DL$3,12,31),"m")*$Y12,AND(DL$3&gt;YEAR($X12),DL$3-YEAR($X12)&lt;20),$Y12*12,DL$3-YEAR($X12)=20,DATEDIF(DATE(YEAR($X12),1,1),$X12,"m")*$Y12,DL$3-YEAR($X12)&gt;20,0)</f>
        <v>0</v>
      </c>
      <c r="DO12" s="166">
        <f t="shared" ref="DO12:DO41" si="26">DO11+1</f>
        <v>2021</v>
      </c>
      <c r="DP12" s="158">
        <v>32902.559999999998</v>
      </c>
      <c r="DQ12" s="158">
        <v>0</v>
      </c>
      <c r="DR12" s="158">
        <v>0</v>
      </c>
      <c r="DS12" s="158">
        <f t="shared" ref="DS12:DS39" si="27">SUM(DP12:DR12)</f>
        <v>32902.559999999998</v>
      </c>
    </row>
    <row r="13" spans="1:150">
      <c r="A13" s="155" t="str" cm="1">
        <f t="array" ref="A13">INDEX('Monthly Report July 2025'!C:C,MATCH(E13,'Monthly Report July 2025'!E:E,0),0)</f>
        <v>SPQ0124</v>
      </c>
      <c r="B13" s="155" t="str" cm="1">
        <f t="array" ref="B13">_xlfn.IFS(LEFT(E13,3)="PGE","PGE",LEFT(E13,2)="PP","PAC",TRUE,"IP")</f>
        <v>PGE</v>
      </c>
      <c r="C13" s="155" t="str">
        <f>IF(ISNA(MATCH(E13,'Monthly Report July 2025'!E:E,0)),"Missing","Present")</f>
        <v>Present</v>
      </c>
      <c r="D13" s="155" t="str">
        <f>IF(ISNA(MATCH(E13,'Project Operational Timelines'!C:C,0))=TRUE,"Missing","Present")</f>
        <v>Present</v>
      </c>
      <c r="E13" s="155" t="s">
        <v>118</v>
      </c>
      <c r="F13" s="155" t="str" cm="1">
        <f t="array" ref="F13">INDEX('Monthly Report July 2025'!F:F,MATCH(E13,'Monthly Report July 2025'!E:E,),0)</f>
        <v>Mt Hope Solar</v>
      </c>
      <c r="G13" s="155" t="str" cm="1">
        <f t="array" ref="G13">_xlfn.IFS(INDEX('Monthly Report July 2025'!O:O,MATCH(E13,'Monthly Report July 2025'!E:E,0),0)="Operational","Operational",INDEX('Monthly Report July 2025'!O:O,MATCH(E13,'Monthly Report July 2025'!E:E,0),0)="Certified","Certified",TRUE,"Pre-Certified")</f>
        <v>Operational</v>
      </c>
      <c r="H13" s="155" t="str" cm="1">
        <f t="array" ref="H13">INDEX('Monthly Report July 2025'!H:H,MATCH($E13,'Monthly Report July 2025'!$E:$E,0),0)</f>
        <v>Neighborhood Power</v>
      </c>
      <c r="I13" s="155" t="str" cm="1">
        <f t="array" ref="I13">INDEX('Monthly Report July 2025'!I:I,MATCH($E13,'Monthly Report July 2025'!$E:$E,0),0)</f>
        <v>Neighborhood Power</v>
      </c>
      <c r="J13" s="174" cm="1">
        <f t="array" ref="J13">INDEX('Monthly Report July 2025'!J:J,MATCH($E13,'Monthly Report July 2025'!$E:$E,0),0)</f>
        <v>1</v>
      </c>
      <c r="K13" s="174" t="str" cm="1">
        <f t="array" ref="K13">INDEX('Monthly Report July 2025'!K:K,MATCH($E13,'Monthly Report July 2025'!$E:$E,0),0)</f>
        <v>No</v>
      </c>
      <c r="L13" s="174" t="b" cm="1">
        <f t="array" ref="L13">INDEX('Monthly Report July 2025'!L:L,MATCH(E13,'Monthly Report July 2025'!E:E,0),0)=M13</f>
        <v>1</v>
      </c>
      <c r="M13" s="273" cm="1">
        <f t="array" ref="M13">INDEX('Monthly Report July 2025'!L:L,MATCH($E13,'Monthly Report July 2025'!$E:$E,0),0)</f>
        <v>2502</v>
      </c>
      <c r="N13" s="175" cm="1">
        <f t="array" ref="N13">INDEX('Monthly Report July 2025'!M:M,MATCH($E13,'Monthly Report July 2025'!$E:$E,0),0)</f>
        <v>43958</v>
      </c>
      <c r="O13" s="175" t="str" cm="1">
        <f t="array" ref="O13">_xlfn.IFS(G13="Operational","Operational",G13="Certified","Certified",TRUE,INDEX('Monthly Report July 2025'!O:O,MATCH(E13,'Monthly Report July 2025'!E:E,0),0))</f>
        <v>Operational</v>
      </c>
      <c r="P13" s="175" t="b" cm="1">
        <f t="array" ref="P13">_xlfn.IFS(G13="Operational",O13="Operational",G13="Certified",O13="Certified",TRUE,G13="Pre-Certified")</f>
        <v>1</v>
      </c>
      <c r="Q13" s="175" cm="1">
        <f t="array" ref="Q13">IF(O13="Operational",INDEX('Monthly Report July 2025'!R:R,MATCH(E13,'Monthly Report July 2025'!E:E,0),0),"")</f>
        <v>44256</v>
      </c>
      <c r="R13" s="175" cm="1">
        <f t="array" ref="R13">INDEX('Monthly Report July 2025'!P:P,MATCH(E13,'Monthly Report July 2025'!E:E,0),0)</f>
        <v>44238</v>
      </c>
      <c r="S13" s="175" t="b">
        <f t="shared" si="5"/>
        <v>1</v>
      </c>
      <c r="T13" s="175" cm="1">
        <f t="array" ref="T13">INDEX('Monthly Report July 2025'!U:U,MATCH(E13,'Monthly Report July 2025'!E:E,0),0)</f>
        <v>44908</v>
      </c>
      <c r="U13" s="175" t="str">
        <f t="shared" si="6"/>
        <v>IGNORE</v>
      </c>
      <c r="V13" s="156">
        <f t="shared" si="7"/>
        <v>44238</v>
      </c>
      <c r="W13" s="156" cm="1">
        <f t="array" ref="W13">_xlfn.IFS(U13=TRUE,EDATE(O13,6),U13=FALSE,T13,O13="Operational",Q13,AND(O13="Certified",EDATE(R13,6)&gt;T13),EDATE(R13,6),TRUE,T13)</f>
        <v>44256</v>
      </c>
      <c r="X13" s="156">
        <f t="shared" si="8"/>
        <v>44317</v>
      </c>
      <c r="Y13" s="157">
        <f t="shared" si="9"/>
        <v>1807.6949999999997</v>
      </c>
      <c r="Z13" s="202" cm="1">
        <f t="array" ref="Z13">_xlfn.IFS(Z$3&lt;$B$2,SUMPRODUCT(('PA Fees Actual'!$B$5:$B$882=$E13)*('PA Fees Actual'!$A$5:$A$882&gt;=Z$3)*('PA Fees Actual'!$A$5:$A$882&lt;=EOMONTH(Z$3,0))*'PA Fees Actual'!$D$5:$D$882),Z$3&gt;=EOMONTH($X13,-1)+1,$Y13,TRUE,0)</f>
        <v>0</v>
      </c>
      <c r="AA13" s="202" cm="1">
        <f t="array" ref="AA13">_xlfn.IFS(AA$3&lt;$B$2,SUMPRODUCT(('PA Fees Actual'!$B$5:$B$882=$E13)*('PA Fees Actual'!$A$5:$A$882&gt;=AA$3)*('PA Fees Actual'!$A$5:$A$882&lt;=EOMONTH(AA$3,0))*'PA Fees Actual'!$D$5:$D$882),AA$3&gt;=EOMONTH($X13,-1)+1,$Y13,TRUE,0)</f>
        <v>0</v>
      </c>
      <c r="AB13" s="202" cm="1">
        <f t="array" ref="AB13">_xlfn.IFS(AB$3&lt;$B$2,SUMPRODUCT(('PA Fees Actual'!$B$5:$B$882=$E13)*('PA Fees Actual'!$A$5:$A$882&gt;=AB$3)*('PA Fees Actual'!$A$5:$A$882&lt;=EOMONTH(AB$3,0))*'PA Fees Actual'!$D$5:$D$882),AB$3&gt;=EOMONTH($X13,-1)+1,$Y13,TRUE,0)</f>
        <v>0</v>
      </c>
      <c r="AC13" s="202" cm="1">
        <f t="array" ref="AC13">_xlfn.IFS(AC$3&lt;$B$2,SUMPRODUCT(('PA Fees Actual'!$B$5:$B$882=$E13)*('PA Fees Actual'!$A$5:$A$882&gt;=AC$3)*('PA Fees Actual'!$A$5:$A$882&lt;=EOMONTH(AC$3,0))*'PA Fees Actual'!$D$5:$D$882),AC$3&gt;=EOMONTH($X13,-1)+1,$Y13,TRUE,0)</f>
        <v>0</v>
      </c>
      <c r="AD13" s="202" cm="1">
        <f t="array" ref="AD13">_xlfn.IFS(AD$3&lt;$B$2,SUMPRODUCT(('PA Fees Actual'!$B$5:$B$882=$E13)*('PA Fees Actual'!$A$5:$A$882&gt;=AD$3)*('PA Fees Actual'!$A$5:$A$882&lt;=EOMONTH(AD$3,0))*'PA Fees Actual'!$D$5:$D$882),AD$3&gt;=EOMONTH($X13,-1)+1,$Y13,TRUE,0)</f>
        <v>0</v>
      </c>
      <c r="AE13" s="202" cm="1">
        <f t="array" ref="AE13">_xlfn.IFS(AE$3&lt;$B$2,SUMPRODUCT(('PA Fees Actual'!$B$5:$B$882=$E13)*('PA Fees Actual'!$A$5:$A$882&gt;=AE$3)*('PA Fees Actual'!$A$5:$A$882&lt;=EOMONTH(AE$3,0))*'PA Fees Actual'!$D$5:$D$882),AE$3&gt;=EOMONTH($X13,-1)+1,$Y13,TRUE,0)</f>
        <v>0</v>
      </c>
      <c r="AF13" s="202" cm="1">
        <f t="array" ref="AF13">_xlfn.IFS(AF$3&lt;$B$2,SUMPRODUCT(('PA Fees Actual'!$B$5:$B$882=$E13)*('PA Fees Actual'!$A$5:$A$882&gt;=AF$3)*('PA Fees Actual'!$A$5:$A$882&lt;=EOMONTH(AF$3,0))*'PA Fees Actual'!$D$5:$D$882),AF$3&gt;=EOMONTH($X13,-1)+1,$Y13,TRUE,0)</f>
        <v>2093.44</v>
      </c>
      <c r="AG13" s="202" cm="1">
        <f t="array" ref="AG13">_xlfn.IFS(AG$3&lt;$B$2,SUMPRODUCT(('PA Fees Actual'!$B$5:$B$882=$E13)*('PA Fees Actual'!$A$5:$A$882&gt;=AG$3)*('PA Fees Actual'!$A$5:$A$882&lt;=EOMONTH(AG$3,0))*'PA Fees Actual'!$D$5:$D$882),AG$3&gt;=EOMONTH($X13,-1)+1,$Y13,TRUE,0)</f>
        <v>2202.5500000000002</v>
      </c>
      <c r="AH13" s="202" cm="1">
        <f t="array" ref="AH13">_xlfn.IFS(AH$3&lt;$B$2,SUMPRODUCT(('PA Fees Actual'!$B$5:$B$882=$E13)*('PA Fees Actual'!$A$5:$A$882&gt;=AH$3)*('PA Fees Actual'!$A$5:$A$882&lt;=EOMONTH(AH$3,0))*'PA Fees Actual'!$D$5:$D$882),AH$3&gt;=EOMONTH($X13,-1)+1,$Y13,TRUE,0)</f>
        <v>0</v>
      </c>
      <c r="AI13" s="202" cm="1">
        <f t="array" ref="AI13">_xlfn.IFS(AI$3&lt;$B$2,SUMPRODUCT(('PA Fees Actual'!$B$5:$B$882=$E13)*('PA Fees Actual'!$A$5:$A$882&gt;=AI$3)*('PA Fees Actual'!$A$5:$A$882&lt;=EOMONTH(AI$3,0))*'PA Fees Actual'!$D$5:$D$882),AI$3&gt;=EOMONTH($X13,-1)+1,$Y13,TRUE,0)</f>
        <v>2047.22</v>
      </c>
      <c r="AJ13" s="202" cm="1">
        <f t="array" ref="AJ13">_xlfn.IFS(AJ$3&lt;$B$2,SUMPRODUCT(('PA Fees Actual'!$B$5:$B$882=$E13)*('PA Fees Actual'!$A$5:$A$882&gt;=AJ$3)*('PA Fees Actual'!$A$5:$A$882&lt;=EOMONTH(AJ$3,0))*'PA Fees Actual'!$D$5:$D$882),AJ$3&gt;=EOMONTH($X13,-1)+1,$Y13,TRUE,0)</f>
        <v>3648.99</v>
      </c>
      <c r="AK13" s="202" cm="1">
        <f t="array" ref="AK13">_xlfn.IFS(AK$3&lt;$B$2,SUMPRODUCT(('PA Fees Actual'!$B$5:$B$882=$E13)*('PA Fees Actual'!$A$5:$A$882&gt;=AK$3)*('PA Fees Actual'!$A$5:$A$882&lt;=EOMONTH(AK$3,0))*'PA Fees Actual'!$D$5:$D$882),AK$3&gt;=EOMONTH($X13,-1)+1,$Y13,TRUE,0)</f>
        <v>1307.8800000000001</v>
      </c>
      <c r="AL13" s="202" cm="1">
        <f t="array" ref="AL13">_xlfn.IFS(AL$3&lt;$B$2,SUMPRODUCT(('PA Fees Actual'!$B$5:$B$882=$E13)*('PA Fees Actual'!$A$5:$A$882&gt;=AL$3)*('PA Fees Actual'!$A$5:$A$882&lt;=EOMONTH(AL$3,0))*'PA Fees Actual'!$D$5:$D$882),AL$3&gt;=EOMONTH($X13,-1)+1,$Y13,TRUE,0)</f>
        <v>2930.1999999999994</v>
      </c>
      <c r="AM13" s="202" cm="1">
        <f t="array" ref="AM13">_xlfn.IFS(AM$3&lt;$B$2,SUMPRODUCT(('PA Fees Actual'!$B$5:$B$882=$E13)*('PA Fees Actual'!$A$5:$A$882&gt;=AM$3)*('PA Fees Actual'!$A$5:$A$882&lt;=EOMONTH(AM$3,0))*'PA Fees Actual'!$D$5:$D$882),AM$3&gt;=EOMONTH($X13,-1)+1,$Y13,TRUE,0)</f>
        <v>1447.9800000000002</v>
      </c>
      <c r="AN13" s="202" cm="1">
        <f t="array" ref="AN13">_xlfn.IFS(AN$3&lt;$B$2,SUMPRODUCT(('PA Fees Actual'!$B$5:$B$882=$E13)*('PA Fees Actual'!$A$5:$A$882&gt;=AN$3)*('PA Fees Actual'!$A$5:$A$882&lt;=EOMONTH(AN$3,0))*'PA Fees Actual'!$D$5:$D$882),AN$3&gt;=EOMONTH($X13,-1)+1,$Y13,TRUE,0)</f>
        <v>2126.7299999999987</v>
      </c>
      <c r="AO13" s="202" cm="1">
        <f t="array" ref="AO13">_xlfn.IFS(AO$3&lt;$B$2,SUMPRODUCT(('PA Fees Actual'!$B$5:$B$882=$E13)*('PA Fees Actual'!$A$5:$A$882&gt;=AO$3)*('PA Fees Actual'!$A$5:$A$882&lt;=EOMONTH(AO$3,0))*'PA Fees Actual'!$D$5:$D$882),AO$3&gt;=EOMONTH($X13,-1)+1,$Y13,TRUE,0)</f>
        <v>2200.1799999999998</v>
      </c>
      <c r="AP13" s="202" cm="1">
        <f t="array" ref="AP13">_xlfn.IFS(AP$3&lt;$B$2,SUMPRODUCT(('PA Fees Actual'!$B$5:$B$882=$E13)*('PA Fees Actual'!$A$5:$A$882&gt;=AP$3)*('PA Fees Actual'!$A$5:$A$882&lt;=EOMONTH(AP$3,0))*'PA Fees Actual'!$D$5:$D$882),AP$3&gt;=EOMONTH($X13,-1)+1,$Y13,TRUE,0)</f>
        <v>1283.1500000000001</v>
      </c>
      <c r="AQ13" s="202" cm="1">
        <f t="array" ref="AQ13">_xlfn.IFS(AQ$3&lt;$B$2,SUMPRODUCT(('PA Fees Actual'!$B$5:$B$882=$E13)*('PA Fees Actual'!$A$5:$A$882&gt;=AQ$3)*('PA Fees Actual'!$A$5:$A$882&lt;=EOMONTH(AQ$3,0))*'PA Fees Actual'!$D$5:$D$882),AQ$3&gt;=EOMONTH($X13,-1)+1,$Y13,TRUE,0)</f>
        <v>-726.3900000000001</v>
      </c>
      <c r="AR13" s="202" cm="1">
        <f t="array" ref="AR13">_xlfn.IFS(AR$3&lt;$B$2,SUMPRODUCT(('PA Fees Actual'!$B$5:$B$882=$E13)*('PA Fees Actual'!$A$5:$A$882&gt;=AR$3)*('PA Fees Actual'!$A$5:$A$882&lt;=EOMONTH(AR$3,0))*'PA Fees Actual'!$D$5:$D$882),AR$3&gt;=EOMONTH($X13,-1)+1,$Y13,TRUE,0)</f>
        <v>1616.1599999999999</v>
      </c>
      <c r="AS13" s="202" cm="1">
        <f t="array" ref="AS13">_xlfn.IFS(AS$3&lt;$B$2,SUMPRODUCT(('PA Fees Actual'!$B$5:$B$882=$E13)*('PA Fees Actual'!$A$5:$A$882&gt;=AS$3)*('PA Fees Actual'!$A$5:$A$882&lt;=EOMONTH(AS$3,0))*'PA Fees Actual'!$D$5:$D$882),AS$3&gt;=EOMONTH($X13,-1)+1,$Y13,TRUE,0)</f>
        <v>2296.7300000000005</v>
      </c>
      <c r="AT13" s="202" cm="1">
        <f t="array" ref="AT13">_xlfn.IFS(AT$3&lt;$B$2,SUMPRODUCT(('PA Fees Actual'!$B$5:$B$882=$E13)*('PA Fees Actual'!$A$5:$A$882&gt;=AT$3)*('PA Fees Actual'!$A$5:$A$882&lt;=EOMONTH(AT$3,0))*'PA Fees Actual'!$D$5:$D$882),AT$3&gt;=EOMONTH($X13,-1)+1,$Y13,TRUE,0)</f>
        <v>801.0099999999984</v>
      </c>
      <c r="AU13" s="202" cm="1">
        <f t="array" ref="AU13">_xlfn.IFS(AU$3&lt;$B$2,SUMPRODUCT(('PA Fees Actual'!$B$5:$B$882=$E13)*('PA Fees Actual'!$A$5:$A$882&gt;=AU$3)*('PA Fees Actual'!$A$5:$A$882&lt;=EOMONTH(AU$3,0))*'PA Fees Actual'!$D$5:$D$882),AU$3&gt;=EOMONTH($X13,-1)+1,$Y13,TRUE,0)</f>
        <v>3764.12</v>
      </c>
      <c r="AV13" s="202" cm="1">
        <f t="array" ref="AV13">_xlfn.IFS(AV$3&lt;$B$2,SUMPRODUCT(('PA Fees Actual'!$B$5:$B$882=$E13)*('PA Fees Actual'!$A$5:$A$882&gt;=AV$3)*('PA Fees Actual'!$A$5:$A$882&lt;=EOMONTH(AV$3,0))*'PA Fees Actual'!$D$5:$D$882),AV$3&gt;=EOMONTH($X13,-1)+1,$Y13,TRUE,0)</f>
        <v>3596.23</v>
      </c>
      <c r="AW13" s="202" cm="1">
        <f t="array" ref="AW13">_xlfn.IFS(AW$3&lt;$B$2,SUMPRODUCT(('PA Fees Actual'!$B$5:$B$882=$E13)*('PA Fees Actual'!$A$5:$A$882&gt;=AW$3)*('PA Fees Actual'!$A$5:$A$882&lt;=EOMONTH(AW$3,0))*'PA Fees Actual'!$D$5:$D$882),AW$3&gt;=EOMONTH($X13,-1)+1,$Y13,TRUE,0)</f>
        <v>400.25</v>
      </c>
      <c r="AX13" s="202" cm="1">
        <f t="array" ref="AX13">_xlfn.IFS(AX$3&lt;$B$2,SUMPRODUCT(('PA Fees Actual'!$B$5:$B$882=$E13)*('PA Fees Actual'!$A$5:$A$882&gt;=AX$3)*('PA Fees Actual'!$A$5:$A$882&lt;=EOMONTH(AX$3,0))*'PA Fees Actual'!$D$5:$D$882),AX$3&gt;=EOMONTH($X13,-1)+1,$Y13,TRUE,0)</f>
        <v>3662.64</v>
      </c>
      <c r="AY13" s="202" cm="1">
        <f t="array" ref="AY13">_xlfn.IFS(AY$3&lt;$B$2,SUMPRODUCT(('PA Fees Actual'!$B$5:$B$882=$E13)*('PA Fees Actual'!$A$5:$A$882&gt;=AY$3)*('PA Fees Actual'!$A$5:$A$882&lt;=EOMONTH(AY$3,0))*'PA Fees Actual'!$D$5:$D$882),AY$3&gt;=EOMONTH($X13,-1)+1,$Y13,TRUE,0)</f>
        <v>1026.5699999999997</v>
      </c>
      <c r="AZ13" s="202" cm="1">
        <f t="array" ref="AZ13">_xlfn.IFS(AZ$3&lt;$B$2,SUMPRODUCT(('PA Fees Actual'!$B$5:$B$882=$E13)*('PA Fees Actual'!$A$5:$A$882&gt;=AZ$3)*('PA Fees Actual'!$A$5:$A$882&lt;=EOMONTH(AZ$3,0))*'PA Fees Actual'!$D$5:$D$882),AZ$3&gt;=EOMONTH($X13,-1)+1,$Y13,TRUE,0)</f>
        <v>2924.6699999999996</v>
      </c>
      <c r="BA13" s="202" cm="1">
        <f t="array" ref="BA13">_xlfn.IFS(BA$3&lt;$B$2,SUMPRODUCT(('PA Fees Actual'!$B$5:$B$882=$E13)*('PA Fees Actual'!$A$5:$A$882&gt;=BA$3)*('PA Fees Actual'!$A$5:$A$882&lt;=EOMONTH(BA$3,0))*'PA Fees Actual'!$D$5:$D$882),BA$3&gt;=EOMONTH($X13,-1)+1,$Y13,TRUE,0)</f>
        <v>981.05000000000052</v>
      </c>
      <c r="BB13" s="202" cm="1">
        <f t="array" ref="BB13">_xlfn.IFS(BB$3&lt;$B$2,SUMPRODUCT(('PA Fees Actual'!$B$5:$B$882=$E13)*('PA Fees Actual'!$A$5:$A$882&gt;=BB$3)*('PA Fees Actual'!$A$5:$A$882&lt;=EOMONTH(BB$3,0))*'PA Fees Actual'!$D$5:$D$882),BB$3&gt;=EOMONTH($X13,-1)+1,$Y13,TRUE,0)</f>
        <v>831.74</v>
      </c>
      <c r="BC13" s="202" cm="1">
        <f t="array" ref="BC13">_xlfn.IFS(BC$3&lt;$B$2,SUMPRODUCT(('PA Fees Actual'!$B$5:$B$882=$E13)*('PA Fees Actual'!$A$5:$A$882&gt;=BC$3)*('PA Fees Actual'!$A$5:$A$882&lt;=EOMONTH(BC$3,0))*'PA Fees Actual'!$D$5:$D$882),BC$3&gt;=EOMONTH($X13,-1)+1,$Y13,TRUE,0)</f>
        <v>2144.0600000000009</v>
      </c>
      <c r="BD13" s="202" cm="1">
        <f t="array" ref="BD13">_xlfn.IFS(BD$3&lt;$B$2,SUMPRODUCT(('PA Fees Actual'!$B$5:$B$882=$E13)*('PA Fees Actual'!$A$5:$A$882&gt;=BD$3)*('PA Fees Actual'!$A$5:$A$882&lt;=EOMONTH(BD$3,0))*'PA Fees Actual'!$D$5:$D$882),BD$3&gt;=EOMONTH($X13,-1)+1,$Y13,TRUE,0)</f>
        <v>2787.63</v>
      </c>
      <c r="BE13" s="202" cm="1">
        <f t="array" ref="BE13">_xlfn.IFS(BE$3&lt;$B$2,SUMPRODUCT(('PA Fees Actual'!$B$5:$B$882=$E13)*('PA Fees Actual'!$A$5:$A$882&gt;=BE$3)*('PA Fees Actual'!$A$5:$A$882&lt;=EOMONTH(BE$3,0))*'PA Fees Actual'!$D$5:$D$882),BE$3&gt;=EOMONTH($X13,-1)+1,$Y13,TRUE,0)</f>
        <v>2411.4899999999998</v>
      </c>
      <c r="BF13" s="202" cm="1">
        <f t="array" ref="BF13">_xlfn.IFS(BF$3&lt;$B$2,SUMPRODUCT(('PA Fees Actual'!$B$5:$B$882=$E13)*('PA Fees Actual'!$A$5:$A$882&gt;=BF$3)*('PA Fees Actual'!$A$5:$A$882&lt;=EOMONTH(BF$3,0))*'PA Fees Actual'!$D$5:$D$882),BF$3&gt;=EOMONTH($X13,-1)+1,$Y13,TRUE,0)</f>
        <v>1896.1400000000003</v>
      </c>
      <c r="BG13" s="202" cm="1">
        <f t="array" ref="BG13">_xlfn.IFS(BG$3&lt;$B$2,SUMPRODUCT(('PA Fees Actual'!$B$5:$B$882=$E13)*('PA Fees Actual'!$A$5:$A$882&gt;=BG$3)*('PA Fees Actual'!$A$5:$A$882&lt;=EOMONTH(BG$3,0))*'PA Fees Actual'!$D$5:$D$882),BG$3&gt;=EOMONTH($X13,-1)+1,$Y13,TRUE,0)</f>
        <v>0</v>
      </c>
      <c r="BH13" s="202" cm="1">
        <f t="array" ref="BH13">_xlfn.IFS(BH$3&lt;$B$2,SUMPRODUCT(('PA Fees Actual'!$B$5:$B$882=$E13)*('PA Fees Actual'!$A$5:$A$882&gt;=BH$3)*('PA Fees Actual'!$A$5:$A$882&lt;=EOMONTH(BH$3,0))*'PA Fees Actual'!$D$5:$D$882),BH$3&gt;=EOMONTH($X13,-1)+1,$Y13,TRUE,0)</f>
        <v>1606.89</v>
      </c>
      <c r="BI13" s="202" cm="1">
        <f t="array" ref="BI13">_xlfn.IFS(BI$3&lt;$B$2,SUMPRODUCT(('PA Fees Actual'!$B$5:$B$882=$E13)*('PA Fees Actual'!$A$5:$A$882&gt;=BI$3)*('PA Fees Actual'!$A$5:$A$882&lt;=EOMONTH(BI$3,0))*'PA Fees Actual'!$D$5:$D$882),BI$3&gt;=EOMONTH($X13,-1)+1,$Y13,TRUE,0)</f>
        <v>2076.6399999999994</v>
      </c>
      <c r="BJ13" s="202" cm="1">
        <f t="array" ref="BJ13">_xlfn.IFS(BJ$3&lt;$B$2,SUMPRODUCT(('PA Fees Actual'!$B$5:$B$882=$E13)*('PA Fees Actual'!$A$5:$A$882&gt;=BJ$3)*('PA Fees Actual'!$A$5:$A$882&lt;=EOMONTH(BJ$3,0))*'PA Fees Actual'!$D$5:$D$882),BJ$3&gt;=EOMONTH($X13,-1)+1,$Y13,TRUE,0)</f>
        <v>3086.0000000000018</v>
      </c>
      <c r="BK13" s="202" cm="1">
        <f t="array" ref="BK13">_xlfn.IFS(BK$3&lt;$B$2,SUMPRODUCT(('PA Fees Actual'!$B$5:$B$882=$E13)*('PA Fees Actual'!$A$5:$A$882&gt;=BK$3)*('PA Fees Actual'!$A$5:$A$882&lt;=EOMONTH(BK$3,0))*'PA Fees Actual'!$D$5:$D$882),BK$3&gt;=EOMONTH($X13,-1)+1,$Y13,TRUE,0)</f>
        <v>625.89</v>
      </c>
      <c r="BL13" s="202" cm="1">
        <f t="array" ref="BL13">_xlfn.IFS(BL$3&lt;$B$2,SUMPRODUCT(('PA Fees Actual'!$B$5:$B$882=$E13)*('PA Fees Actual'!$A$5:$A$882&gt;=BL$3)*('PA Fees Actual'!$A$5:$A$882&lt;=EOMONTH(BL$3,0))*'PA Fees Actual'!$D$5:$D$882),BL$3&gt;=EOMONTH($X13,-1)+1,$Y13,TRUE,0)</f>
        <v>1661.5899999999997</v>
      </c>
      <c r="BM13" s="202" cm="1">
        <f t="array" ref="BM13">_xlfn.IFS(BM$3&lt;$B$2,SUMPRODUCT(('PA Fees Actual'!$B$5:$B$882=$E13)*('PA Fees Actual'!$A$5:$A$882&gt;=BM$3)*('PA Fees Actual'!$A$5:$A$882&lt;=EOMONTH(BM$3,0))*'PA Fees Actual'!$D$5:$D$882),BM$3&gt;=EOMONTH($X13,-1)+1,$Y13,TRUE,0)</f>
        <v>842.98999999999978</v>
      </c>
      <c r="BN13" s="202" cm="1">
        <f t="array" ref="BN13">_xlfn.IFS(BN$3&lt;$B$2,SUMPRODUCT(('PA Fees Actual'!$B$5:$B$882=$E13)*('PA Fees Actual'!$A$5:$A$882&gt;=BN$3)*('PA Fees Actual'!$A$5:$A$882&lt;=EOMONTH(BN$3,0))*'PA Fees Actual'!$D$5:$D$882),BN$3&gt;=EOMONTH($X13,-1)+1,$Y13,TRUE,0)</f>
        <v>4699.2800000000016</v>
      </c>
      <c r="BO13" s="202" cm="1">
        <f t="array" ref="BO13">_xlfn.IFS(BO$3&lt;$B$2,SUMPRODUCT(('PA Fees Actual'!$B$5:$B$882=$E13)*('PA Fees Actual'!$A$5:$A$882&gt;=BO$3)*('PA Fees Actual'!$A$5:$A$882&lt;=EOMONTH(BO$3,0))*'PA Fees Actual'!$D$5:$D$882),BO$3&gt;=EOMONTH($X13,-1)+1,$Y13,TRUE,0)</f>
        <v>480.04</v>
      </c>
      <c r="BP13" s="202" cm="1">
        <f t="array" ref="BP13">_xlfn.IFS(BP$3&lt;$B$2,SUMPRODUCT(('PA Fees Actual'!$B$5:$B$882=$E13)*('PA Fees Actual'!$A$5:$A$882&gt;=BP$3)*('PA Fees Actual'!$A$5:$A$882&lt;=EOMONTH(BP$3,0))*'PA Fees Actual'!$D$5:$D$882),BP$3&gt;=EOMONTH($X13,-1)+1,$Y13,TRUE,0)</f>
        <v>2662.83</v>
      </c>
      <c r="BQ13" s="202" cm="1">
        <f t="array" ref="BQ13">_xlfn.IFS(BQ$3&lt;$B$2,SUMPRODUCT(('PA Fees Actual'!$B$5:$B$882=$E13)*('PA Fees Actual'!$A$5:$A$882&gt;=BQ$3)*('PA Fees Actual'!$A$5:$A$882&lt;=EOMONTH(BQ$3,0))*'PA Fees Actual'!$D$5:$D$882),BQ$3&gt;=EOMONTH($X13,-1)+1,$Y13,TRUE,0)</f>
        <v>1198.5999999999999</v>
      </c>
      <c r="BR13" s="202" cm="1">
        <f t="array" ref="BR13">_xlfn.IFS(BR$3&lt;$B$2,SUMPRODUCT(('PA Fees Actual'!$B$5:$B$882=$E13)*('PA Fees Actual'!$A$5:$A$882&gt;=BR$3)*('PA Fees Actual'!$A$5:$A$882&lt;=EOMONTH(BR$3,0))*'PA Fees Actual'!$D$5:$D$882),BR$3&gt;=EOMONTH($X13,-1)+1,$Y13,TRUE,0)</f>
        <v>2863.16</v>
      </c>
      <c r="BS13" s="202" cm="1">
        <f t="array" ref="BS13">_xlfn.IFS(BS$3&lt;$B$2,SUMPRODUCT(('PA Fees Actual'!$B$5:$B$882=$E13)*('PA Fees Actual'!$A$5:$A$882&gt;=BS$3)*('PA Fees Actual'!$A$5:$A$882&lt;=EOMONTH(BS$3,0))*'PA Fees Actual'!$D$5:$D$882),BS$3&gt;=EOMONTH($X13,-1)+1,$Y13,TRUE,0)</f>
        <v>2225.06</v>
      </c>
      <c r="BT13" s="202" cm="1">
        <f t="array" ref="BT13">_xlfn.IFS(BT$3&lt;$B$2,SUMPRODUCT(('PA Fees Actual'!$B$5:$B$882=$E13)*('PA Fees Actual'!$A$5:$A$882&gt;=BT$3)*('PA Fees Actual'!$A$5:$A$882&lt;=EOMONTH(BT$3,0))*'PA Fees Actual'!$D$5:$D$882),BT$3&gt;=EOMONTH($X13,-1)+1,$Y13,TRUE,0)</f>
        <v>1999.4700000000003</v>
      </c>
      <c r="BU13" s="202" cm="1">
        <f t="array" ref="BU13">_xlfn.IFS(BU$3&lt;$B$2,SUMPRODUCT(('PA Fees Actual'!$B$5:$B$882=$E13)*('PA Fees Actual'!$A$5:$A$882&gt;=BU$3)*('PA Fees Actual'!$A$5:$A$882&lt;=EOMONTH(BU$3,0))*'PA Fees Actual'!$D$5:$D$882),BU$3&gt;=EOMONTH($X13,-1)+1,$Y13,TRUE,0)</f>
        <v>1405.46</v>
      </c>
      <c r="BV13" s="202" cm="1">
        <f t="array" ref="BV13">_xlfn.IFS(BV$3&lt;$B$2,SUMPRODUCT(('PA Fees Actual'!$B$5:$B$882=$E13)*('PA Fees Actual'!$A$5:$A$882&gt;=BV$3)*('PA Fees Actual'!$A$5:$A$882&lt;=EOMONTH(BV$3,0))*'PA Fees Actual'!$D$5:$D$882),BV$3&gt;=EOMONTH($X13,-1)+1,$Y13,TRUE,0)</f>
        <v>1993.43</v>
      </c>
      <c r="BW13" s="202" cm="1">
        <f t="array" ref="BW13">_xlfn.IFS(BW$3&lt;$B$2,SUMPRODUCT(('PA Fees Actual'!$B$5:$B$882=$E13)*('PA Fees Actual'!$A$5:$A$882&gt;=BW$3)*('PA Fees Actual'!$A$5:$A$882&lt;=EOMONTH(BW$3,0))*'PA Fees Actual'!$D$5:$D$882),BW$3&gt;=EOMONTH($X13,-1)+1,$Y13,TRUE,0)</f>
        <v>990.73</v>
      </c>
      <c r="BX13" s="202" cm="1">
        <f t="array" ref="BX13">_xlfn.IFS(BX$3&lt;$B$2,SUMPRODUCT(('PA Fees Actual'!$B$5:$B$882=$E13)*('PA Fees Actual'!$A$5:$A$882&gt;=BX$3)*('PA Fees Actual'!$A$5:$A$882&lt;=EOMONTH(BX$3,0))*'PA Fees Actual'!$D$5:$D$882),BX$3&gt;=EOMONTH($X13,-1)+1,$Y13,TRUE,0)</f>
        <v>2877.0200000000004</v>
      </c>
      <c r="BY13" s="202" cm="1">
        <f t="array" ref="BY13">_xlfn.IFS(BY$3&lt;$B$2,SUMPRODUCT(('PA Fees Actual'!$B$5:$B$882=$E13)*('PA Fees Actual'!$A$5:$A$882&gt;=BY$3)*('PA Fees Actual'!$A$5:$A$882&lt;=EOMONTH(BY$3,0))*'PA Fees Actual'!$D$5:$D$882),BY$3&gt;=EOMONTH($X13,-1)+1,$Y13,TRUE,0)</f>
        <v>2814.94</v>
      </c>
      <c r="BZ13" s="202" cm="1">
        <f t="array" ref="BZ13">_xlfn.IFS(BZ$3&lt;$B$2,SUMPRODUCT(('PA Fees Actual'!$B$5:$B$882=$E13)*('PA Fees Actual'!$A$5:$A$882&gt;=BZ$3)*('PA Fees Actual'!$A$5:$A$882&lt;=EOMONTH(BZ$3,0))*'PA Fees Actual'!$D$5:$D$882),BZ$3&gt;=EOMONTH($X13,-1)+1,$Y13,TRUE,0)</f>
        <v>1143.28</v>
      </c>
      <c r="CA13" s="202" cm="1">
        <f t="array" ref="CA13">_xlfn.IFS(CA$3&lt;$B$2,SUMPRODUCT(('PA Fees Actual'!$B$5:$B$882=$E13)*('PA Fees Actual'!$A$5:$A$882&gt;=CA$3)*('PA Fees Actual'!$A$5:$A$882&lt;=EOMONTH(CA$3,0))*'PA Fees Actual'!$D$5:$D$882),CA$3&gt;=EOMONTH($X13,-1)+1,$Y13,TRUE,0)</f>
        <v>1508.1</v>
      </c>
      <c r="CB13" s="202" cm="1">
        <f t="array" ref="CB13">_xlfn.IFS(CB$3&lt;$B$2,SUMPRODUCT(('PA Fees Actual'!$B$5:$B$882=$E13)*('PA Fees Actual'!$A$5:$A$882&gt;=CB$3)*('PA Fees Actual'!$A$5:$A$882&lt;=EOMONTH(CB$3,0))*'PA Fees Actual'!$D$5:$D$882),CB$3&gt;=EOMONTH($X13,-1)+1,$Y13,TRUE,0)</f>
        <v>1807.6949999999997</v>
      </c>
      <c r="CC13" s="202" cm="1">
        <f t="array" ref="CC13">_xlfn.IFS(CC$3&lt;$B$2,SUMPRODUCT(('PA Fees Actual'!$B$5:$B$882=$E13)*('PA Fees Actual'!$A$5:$A$882&gt;=CC$3)*('PA Fees Actual'!$A$5:$A$882&lt;=EOMONTH(CC$3,0))*'PA Fees Actual'!$D$5:$D$882),CC$3&gt;=EOMONTH($X13,-1)+1,$Y13,TRUE,0)</f>
        <v>1807.6949999999997</v>
      </c>
      <c r="CD13" s="202" cm="1">
        <f t="array" ref="CD13">_xlfn.IFS(CD$3&lt;$B$2,SUMPRODUCT(('PA Fees Actual'!$B$5:$B$882=$E13)*('PA Fees Actual'!$A$5:$A$882&gt;=CD$3)*('PA Fees Actual'!$A$5:$A$882&lt;=EOMONTH(CD$3,0))*'PA Fees Actual'!$D$5:$D$882),CD$3&gt;=EOMONTH($X13,-1)+1,$Y13,TRUE,0)</f>
        <v>1807.6949999999997</v>
      </c>
      <c r="CE13" s="202" cm="1">
        <f t="array" ref="CE13">_xlfn.IFS(CE$3&lt;$B$2,SUMPRODUCT(('PA Fees Actual'!$B$5:$B$882=$E13)*('PA Fees Actual'!$A$5:$A$882&gt;=CE$3)*('PA Fees Actual'!$A$5:$A$882&lt;=EOMONTH(CE$3,0))*'PA Fees Actual'!$D$5:$D$882),CE$3&gt;=EOMONTH($X13,-1)+1,$Y13,TRUE,0)</f>
        <v>1807.6949999999997</v>
      </c>
      <c r="CF13" s="202" cm="1">
        <f t="array" ref="CF13">_xlfn.IFS(CF$3&lt;$B$2,SUMPRODUCT(('PA Fees Actual'!$B$5:$B$882=$E13)*('PA Fees Actual'!$A$5:$A$882&gt;=CF$3)*('PA Fees Actual'!$A$5:$A$882&lt;=EOMONTH(CF$3,0))*'PA Fees Actual'!$D$5:$D$882),CF$3&gt;=EOMONTH($X13,-1)+1,$Y13,TRUE,0)</f>
        <v>1807.6949999999997</v>
      </c>
      <c r="CG13" s="202" cm="1">
        <f t="array" ref="CG13">_xlfn.IFS(CG$3&lt;$B$2,SUMPRODUCT(('PA Fees Actual'!$B$5:$B$882=$E13)*('PA Fees Actual'!$A$5:$A$882&gt;=CG$3)*('PA Fees Actual'!$A$5:$A$882&lt;=EOMONTH(CG$3,0))*'PA Fees Actual'!$D$5:$D$882),CG$3&gt;=EOMONTH($X13,-1)+1,$Y13,TRUE,0)</f>
        <v>1807.6949999999997</v>
      </c>
      <c r="CI13" s="202" cm="1">
        <f t="array" ref="CI13">_xlfn.IFS(CI$3&lt;=YEAR($B$2),SUMPRODUCT(($E$4:$E$79=$E13)*($Z$2:$CG$2=CI$3)*($Z$2:$CG$2&lt;CJ$3)*$Z$4:$CG$79),CI$3&lt;YEAR($X13),0,CI$3=YEAR($X13),DATEDIF($X13,DATE(CI$3,12,31),"m")*$Y13,AND(CI$3&gt;YEAR($X13),CI$3-YEAR($X13)&lt;20),$Y13*12,CI$3-YEAR($X13)=20,DATEDIF(DATE(YEAR($X13),1,1),$X13,"m")*$Y13,CI$3-YEAR($X13)&gt;20,0)</f>
        <v>11300.080000000002</v>
      </c>
      <c r="CJ13" s="202" cm="1">
        <f t="array" ref="CJ13">_xlfn.IFS(CJ$3&lt;=YEAR($B$2),SUMPRODUCT(($E$4:$E$79=$E13)*($Z$2:$CG$2=CJ$3)*($Z$2:$CG$2&lt;CK$3)*$Z$4:$CG$79),CJ$3&lt;YEAR($X13),0,CJ$3=YEAR($X13),DATEDIF($X13,DATE(CJ$3,12,31),"m")*$Y13,AND(CJ$3&gt;YEAR($X13),CJ$3-YEAR($X13)&lt;20),$Y13*12,CJ$3-YEAR($X13)=20,DATEDIF(DATE(YEAR($X13),1,1),$X13,"m")*$Y13,CJ$3-YEAR($X13)&gt;20,0)</f>
        <v>21736.349999999995</v>
      </c>
      <c r="CK13" s="202" cm="1">
        <f t="array" ref="CK13">_xlfn.IFS(CK$3&lt;=YEAR($B$2),SUMPRODUCT(($E$4:$E$79=$E13)*($Z$2:$CG$2=CK$3)*($Z$2:$CG$2&lt;CL$3)*$Z$4:$CG$79),CK$3&lt;YEAR($X13),0,CK$3=YEAR($X13),DATEDIF($X13,DATE(CK$3,12,31),"m")*$Y13,AND(CK$3&gt;YEAR($X13),CK$3-YEAR($X13)&lt;20),$Y13*12,CK$3-YEAR($X13)=20,DATEDIF(DATE(YEAR($X13),1,1),$X13,"m")*$Y13,CK$3-YEAR($X13)&gt;20,0)</f>
        <v>22349.519999999997</v>
      </c>
      <c r="CL13" s="202" cm="1">
        <f t="array" ref="CL13">_xlfn.IFS(CL$3&lt;=YEAR($B$2),SUMPRODUCT(($E$4:$E$79=$E13)*($Z$2:$CG$2=CL$3)*($Z$2:$CG$2&lt;CM$3)*$Z$4:$CG$79),CL$3&lt;YEAR($X13),0,CL$3=YEAR($X13),DATEDIF($X13,DATE(CL$3,12,31),"m")*$Y13,AND(CL$3&gt;YEAR($X13),CL$3-YEAR($X13)&lt;20),$Y13*12,CL$3-YEAR($X13)=20,DATEDIF(DATE(YEAR($X13),1,1),$X13,"m")*$Y13,CL$3-YEAR($X13)&gt;20,0)</f>
        <v>23750.370000000006</v>
      </c>
      <c r="CM13" s="202" cm="1">
        <f t="array" ref="CM13">_xlfn.IFS(CM$3&lt;=YEAR($B$2),SUMPRODUCT(($E$4:$E$79=$E13)*($Z$2:$CG$2=CM$3)*($Z$2:$CG$2&lt;CN$3)*$Z$4:$CG$79),CM$3&lt;YEAR($X13),0,CM$3=YEAR($X13),DATEDIF($X13,DATE(CM$3,12,31),"m")*$Y13,AND(CM$3&gt;YEAR($X13),CM$3-YEAR($X13)&lt;20),$Y13*12,CM$3-YEAR($X13)=20,DATEDIF(DATE(YEAR($X13),1,1),$X13,"m")*$Y13,CM$3-YEAR($X13)&gt;20,0)</f>
        <v>22173.67</v>
      </c>
      <c r="CN13" s="202" cm="1">
        <f t="array" ref="CN13">_xlfn.IFS(CN$3&lt;=YEAR($B$2),SUMPRODUCT(($E$4:$E$79=$E13)*($Z$2:$CG$2=CN$3)*($Z$2:$CG$2&lt;CO$3)*$Z$4:$CG$79),CN$3&lt;YEAR($X13),0,CN$3=YEAR($X13),DATEDIF($X13,DATE(CN$3,12,31),"m")*$Y13,AND(CN$3&gt;YEAR($X13),CN$3-YEAR($X13)&lt;20),$Y13*12,CN$3-YEAR($X13)=20,DATEDIF(DATE(YEAR($X13),1,1),$X13,"m")*$Y13,CN$3-YEAR($X13)&gt;20,0)</f>
        <v>21692.339999999997</v>
      </c>
      <c r="CO13" s="202" cm="1">
        <f t="array" ref="CO13">_xlfn.IFS(CO$3&lt;=YEAR($B$2),SUMPRODUCT(($E$4:$E$79=$E13)*($Z$2:$CG$2=CO$3)*($Z$2:$CG$2&lt;CP$3)*$Z$4:$CG$79),CO$3&lt;YEAR($X13),0,CO$3=YEAR($X13),DATEDIF($X13,DATE(CO$3,12,31),"m")*$Y13,AND(CO$3&gt;YEAR($X13),CO$3-YEAR($X13)&lt;20),$Y13*12,CO$3-YEAR($X13)=20,DATEDIF(DATE(YEAR($X13),1,1),$X13,"m")*$Y13,CO$3-YEAR($X13)&gt;20,0)</f>
        <v>21692.339999999997</v>
      </c>
      <c r="CP13" s="202" cm="1">
        <f t="array" ref="CP13">_xlfn.IFS(CP$3&lt;=YEAR($B$2),SUMPRODUCT(($E$4:$E$79=$E13)*($Z$2:$CG$2=CP$3)*($Z$2:$CG$2&lt;CQ$3)*$Z$4:$CG$79),CP$3&lt;YEAR($X13),0,CP$3=YEAR($X13),DATEDIF($X13,DATE(CP$3,12,31),"m")*$Y13,AND(CP$3&gt;YEAR($X13),CP$3-YEAR($X13)&lt;20),$Y13*12,CP$3-YEAR($X13)=20,DATEDIF(DATE(YEAR($X13),1,1),$X13,"m")*$Y13,CP$3-YEAR($X13)&gt;20,0)</f>
        <v>21692.339999999997</v>
      </c>
      <c r="CQ13" s="202" cm="1">
        <f t="array" ref="CQ13">_xlfn.IFS(CQ$3&lt;=YEAR($B$2),SUMPRODUCT(($E$4:$E$79=$E13)*($Z$2:$CG$2=CQ$3)*($Z$2:$CG$2&lt;CR$3)*$Z$4:$CG$79),CQ$3&lt;YEAR($X13),0,CQ$3=YEAR($X13),DATEDIF($X13,DATE(CQ$3,12,31),"m")*$Y13,AND(CQ$3&gt;YEAR($X13),CQ$3-YEAR($X13)&lt;20),$Y13*12,CQ$3-YEAR($X13)=20,DATEDIF(DATE(YEAR($X13),1,1),$X13,"m")*$Y13,CQ$3-YEAR($X13)&gt;20,0)</f>
        <v>21692.339999999997</v>
      </c>
      <c r="CR13" s="202" cm="1">
        <f t="array" ref="CR13">_xlfn.IFS(CR$3&lt;=YEAR($B$2),SUMPRODUCT(($E$4:$E$79=$E13)*($Z$2:$CG$2=CR$3)*($Z$2:$CG$2&lt;CS$3)*$Z$4:$CG$79),CR$3&lt;YEAR($X13),0,CR$3=YEAR($X13),DATEDIF($X13,DATE(CR$3,12,31),"m")*$Y13,AND(CR$3&gt;YEAR($X13),CR$3-YEAR($X13)&lt;20),$Y13*12,CR$3-YEAR($X13)=20,DATEDIF(DATE(YEAR($X13),1,1),$X13,"m")*$Y13,CR$3-YEAR($X13)&gt;20,0)</f>
        <v>21692.339999999997</v>
      </c>
      <c r="CS13" s="202" cm="1">
        <f t="array" ref="CS13">_xlfn.IFS(CS$3&lt;=YEAR($B$2),SUMPRODUCT(($E$4:$E$79=$E13)*($Z$2:$CG$2=CS$3)*($Z$2:$CG$2&lt;CT$3)*$Z$4:$CG$79),CS$3&lt;YEAR($X13),0,CS$3=YEAR($X13),DATEDIF($X13,DATE(CS$3,12,31),"m")*$Y13,AND(CS$3&gt;YEAR($X13),CS$3-YEAR($X13)&lt;20),$Y13*12,CS$3-YEAR($X13)=20,DATEDIF(DATE(YEAR($X13),1,1),$X13,"m")*$Y13,CS$3-YEAR($X13)&gt;20,0)</f>
        <v>21692.339999999997</v>
      </c>
      <c r="CT13" s="202" cm="1">
        <f t="array" ref="CT13">_xlfn.IFS(CT$3&lt;=YEAR($B$2),SUMPRODUCT(($E$4:$E$79=$E13)*($Z$2:$CG$2=CT$3)*($Z$2:$CG$2&lt;CU$3)*$Z$4:$CG$79),CT$3&lt;YEAR($X13),0,CT$3=YEAR($X13),DATEDIF($X13,DATE(CT$3,12,31),"m")*$Y13,AND(CT$3&gt;YEAR($X13),CT$3-YEAR($X13)&lt;20),$Y13*12,CT$3-YEAR($X13)=20,DATEDIF(DATE(YEAR($X13),1,1),$X13,"m")*$Y13,CT$3-YEAR($X13)&gt;20,0)</f>
        <v>21692.339999999997</v>
      </c>
      <c r="CU13" s="202" cm="1">
        <f t="array" ref="CU13">_xlfn.IFS(CU$3&lt;=YEAR($B$2),SUMPRODUCT(($E$4:$E$79=$E13)*($Z$2:$CG$2=CU$3)*($Z$2:$CG$2&lt;CV$3)*$Z$4:$CG$79),CU$3&lt;YEAR($X13),0,CU$3=YEAR($X13),DATEDIF($X13,DATE(CU$3,12,31),"m")*$Y13,AND(CU$3&gt;YEAR($X13),CU$3-YEAR($X13)&lt;20),$Y13*12,CU$3-YEAR($X13)=20,DATEDIF(DATE(YEAR($X13),1,1),$X13,"m")*$Y13,CU$3-YEAR($X13)&gt;20,0)</f>
        <v>21692.339999999997</v>
      </c>
      <c r="CV13" s="202" cm="1">
        <f t="array" ref="CV13">_xlfn.IFS(CV$3&lt;=YEAR($B$2),SUMPRODUCT(($E$4:$E$79=$E13)*($Z$2:$CG$2=CV$3)*($Z$2:$CG$2&lt;CW$3)*$Z$4:$CG$79),CV$3&lt;YEAR($X13),0,CV$3=YEAR($X13),DATEDIF($X13,DATE(CV$3,12,31),"m")*$Y13,AND(CV$3&gt;YEAR($X13),CV$3-YEAR($X13)&lt;20),$Y13*12,CV$3-YEAR($X13)=20,DATEDIF(DATE(YEAR($X13),1,1),$X13,"m")*$Y13,CV$3-YEAR($X13)&gt;20,0)</f>
        <v>21692.339999999997</v>
      </c>
      <c r="CW13" s="202" cm="1">
        <f t="array" ref="CW13">_xlfn.IFS(CW$3&lt;=YEAR($B$2),SUMPRODUCT(($E$4:$E$79=$E13)*($Z$2:$CG$2=CW$3)*($Z$2:$CG$2&lt;CX$3)*$Z$4:$CG$79),CW$3&lt;YEAR($X13),0,CW$3=YEAR($X13),DATEDIF($X13,DATE(CW$3,12,31),"m")*$Y13,AND(CW$3&gt;YEAR($X13),CW$3-YEAR($X13)&lt;20),$Y13*12,CW$3-YEAR($X13)=20,DATEDIF(DATE(YEAR($X13),1,1),$X13,"m")*$Y13,CW$3-YEAR($X13)&gt;20,0)</f>
        <v>21692.339999999997</v>
      </c>
      <c r="CX13" s="202" cm="1">
        <f t="array" ref="CX13">_xlfn.IFS(CX$3&lt;=YEAR($B$2),SUMPRODUCT(($E$4:$E$79=$E13)*($Z$2:$CG$2=CX$3)*($Z$2:$CG$2&lt;CY$3)*$Z$4:$CG$79),CX$3&lt;YEAR($X13),0,CX$3=YEAR($X13),DATEDIF($X13,DATE(CX$3,12,31),"m")*$Y13,AND(CX$3&gt;YEAR($X13),CX$3-YEAR($X13)&lt;20),$Y13*12,CX$3-YEAR($X13)=20,DATEDIF(DATE(YEAR($X13),1,1),$X13,"m")*$Y13,CX$3-YEAR($X13)&gt;20,0)</f>
        <v>21692.339999999997</v>
      </c>
      <c r="CY13" s="202" cm="1">
        <f t="array" ref="CY13">_xlfn.IFS(CY$3&lt;=YEAR($B$2),SUMPRODUCT(($E$4:$E$79=$E13)*($Z$2:$CG$2=CY$3)*($Z$2:$CG$2&lt;CZ$3)*$Z$4:$CG$79),CY$3&lt;YEAR($X13),0,CY$3=YEAR($X13),DATEDIF($X13,DATE(CY$3,12,31),"m")*$Y13,AND(CY$3&gt;YEAR($X13),CY$3-YEAR($X13)&lt;20),$Y13*12,CY$3-YEAR($X13)=20,DATEDIF(DATE(YEAR($X13),1,1),$X13,"m")*$Y13,CY$3-YEAR($X13)&gt;20,0)</f>
        <v>21692.339999999997</v>
      </c>
      <c r="CZ13" s="202" cm="1">
        <f t="array" ref="CZ13">_xlfn.IFS(CZ$3&lt;=YEAR($B$2),SUMPRODUCT(($E$4:$E$79=$E13)*($Z$2:$CG$2=CZ$3)*($Z$2:$CG$2&lt;DA$3)*$Z$4:$CG$79),CZ$3&lt;YEAR($X13),0,CZ$3=YEAR($X13),DATEDIF($X13,DATE(CZ$3,12,31),"m")*$Y13,AND(CZ$3&gt;YEAR($X13),CZ$3-YEAR($X13)&lt;20),$Y13*12,CZ$3-YEAR($X13)=20,DATEDIF(DATE(YEAR($X13),1,1),$X13,"m")*$Y13,CZ$3-YEAR($X13)&gt;20,0)</f>
        <v>21692.339999999997</v>
      </c>
      <c r="DA13" s="202" cm="1">
        <f t="array" ref="DA13">_xlfn.IFS(DA$3&lt;=YEAR($B$2),SUMPRODUCT(($E$4:$E$79=$E13)*($Z$2:$CG$2=DA$3)*($Z$2:$CG$2&lt;DB$3)*$Z$4:$CG$79),DA$3&lt;YEAR($X13),0,DA$3=YEAR($X13),DATEDIF($X13,DATE(DA$3,12,31),"m")*$Y13,AND(DA$3&gt;YEAR($X13),DA$3-YEAR($X13)&lt;20),$Y13*12,DA$3-YEAR($X13)=20,DATEDIF(DATE(YEAR($X13),1,1),$X13,"m")*$Y13,DA$3-YEAR($X13)&gt;20,0)</f>
        <v>21692.339999999997</v>
      </c>
      <c r="DB13" s="202" cm="1">
        <f t="array" ref="DB13">_xlfn.IFS(DB$3&lt;=YEAR($B$2),SUMPRODUCT(($E$4:$E$79=$E13)*($Z$2:$CG$2=DB$3)*($Z$2:$CG$2&lt;DC$3)*$Z$4:$CG$79),DB$3&lt;YEAR($X13),0,DB$3=YEAR($X13),DATEDIF($X13,DATE(DB$3,12,31),"m")*$Y13,AND(DB$3&gt;YEAR($X13),DB$3-YEAR($X13)&lt;20),$Y13*12,DB$3-YEAR($X13)=20,DATEDIF(DATE(YEAR($X13),1,1),$X13,"m")*$Y13,DB$3-YEAR($X13)&gt;20,0)</f>
        <v>21692.339999999997</v>
      </c>
      <c r="DC13" s="202" cm="1">
        <f t="array" ref="DC13">_xlfn.IFS(DC$3&lt;=YEAR($B$2),SUMPRODUCT(($E$4:$E$79=$E13)*($Z$2:$CG$2=DC$3)*($Z$2:$CG$2&lt;DD$3)*$Z$4:$CG$79),DC$3&lt;YEAR($X13),0,DC$3=YEAR($X13),DATEDIF($X13,DATE(DC$3,12,31),"m")*$Y13,AND(DC$3&gt;YEAR($X13),DC$3-YEAR($X13)&lt;20),$Y13*12,DC$3-YEAR($X13)=20,DATEDIF(DATE(YEAR($X13),1,1),$X13,"m")*$Y13,DC$3-YEAR($X13)&gt;20,0)</f>
        <v>7230.7799999999988</v>
      </c>
      <c r="DD13" s="202" cm="1">
        <f t="array" ref="DD13">_xlfn.IFS(DD$3&lt;=YEAR($B$2),SUMPRODUCT(($E$4:$E$79=$E13)*($Z$2:$CG$2=DD$3)*($Z$2:$CG$2&lt;DE$3)*$Z$4:$CG$79),DD$3&lt;YEAR($X13),0,DD$3=YEAR($X13),DATEDIF($X13,DATE(DD$3,12,31),"m")*$Y13,AND(DD$3&gt;YEAR($X13),DD$3-YEAR($X13)&lt;20),$Y13*12,DD$3-YEAR($X13)=20,DATEDIF(DATE(YEAR($X13),1,1),$X13,"m")*$Y13,DD$3-YEAR($X13)&gt;20,0)</f>
        <v>0</v>
      </c>
      <c r="DE13" s="202" cm="1">
        <f t="array" ref="DE13">_xlfn.IFS(DE$3&lt;=YEAR($B$2),SUMPRODUCT(($E$4:$E$79=$E13)*($Z$2:$CG$2=DE$3)*($Z$2:$CG$2&lt;DF$3)*$Z$4:$CG$79),DE$3&lt;YEAR($X13),0,DE$3=YEAR($X13),DATEDIF($X13,DATE(DE$3,12,31),"m")*$Y13,AND(DE$3&gt;YEAR($X13),DE$3-YEAR($X13)&lt;20),$Y13*12,DE$3-YEAR($X13)=20,DATEDIF(DATE(YEAR($X13),1,1),$X13,"m")*$Y13,DE$3-YEAR($X13)&gt;20,0)</f>
        <v>0</v>
      </c>
      <c r="DF13" s="202" cm="1">
        <f t="array" ref="DF13">_xlfn.IFS(DF$3&lt;=YEAR($B$2),SUMPRODUCT(($E$4:$E$79=$E13)*($Z$2:$CG$2=DF$3)*($Z$2:$CG$2&lt;DG$3)*$Z$4:$CG$79),DF$3&lt;YEAR($X13),0,DF$3=YEAR($X13),DATEDIF($X13,DATE(DF$3,12,31),"m")*$Y13,AND(DF$3&gt;YEAR($X13),DF$3-YEAR($X13)&lt;20),$Y13*12,DF$3-YEAR($X13)=20,DATEDIF(DATE(YEAR($X13),1,1),$X13,"m")*$Y13,DF$3-YEAR($X13)&gt;20,0)</f>
        <v>0</v>
      </c>
      <c r="DG13" s="202" cm="1">
        <f t="array" ref="DG13">_xlfn.IFS(DG$3&lt;=YEAR($B$2),SUMPRODUCT(($E$4:$E$79=$E13)*($Z$2:$CG$2=DG$3)*($Z$2:$CG$2&lt;DH$3)*$Z$4:$CG$79),DG$3&lt;YEAR($X13),0,DG$3=YEAR($X13),DATEDIF($X13,DATE(DG$3,12,31),"m")*$Y13,AND(DG$3&gt;YEAR($X13),DG$3-YEAR($X13)&lt;20),$Y13*12,DG$3-YEAR($X13)=20,DATEDIF(DATE(YEAR($X13),1,1),$X13,"m")*$Y13,DG$3-YEAR($X13)&gt;20,0)</f>
        <v>0</v>
      </c>
      <c r="DH13" s="202" cm="1">
        <f t="array" ref="DH13">_xlfn.IFS(DH$3&lt;=YEAR($B$2),SUMPRODUCT(($E$4:$E$79=$E13)*($Z$2:$CG$2=DH$3)*($Z$2:$CG$2&lt;DI$3)*$Z$4:$CG$79),DH$3&lt;YEAR($X13),0,DH$3=YEAR($X13),DATEDIF($X13,DATE(DH$3,12,31),"m")*$Y13,AND(DH$3&gt;YEAR($X13),DH$3-YEAR($X13)&lt;20),$Y13*12,DH$3-YEAR($X13)=20,DATEDIF(DATE(YEAR($X13),1,1),$X13,"m")*$Y13,DH$3-YEAR($X13)&gt;20,0)</f>
        <v>0</v>
      </c>
      <c r="DI13" s="202" cm="1">
        <f t="array" ref="DI13">_xlfn.IFS(DI$3&lt;=YEAR($B$2),SUMPRODUCT(($E$4:$E$79=$E13)*($Z$2:$CG$2=DI$3)*($Z$2:$CG$2&lt;DJ$3)*$Z$4:$CG$79),DI$3&lt;YEAR($X13),0,DI$3=YEAR($X13),DATEDIF($X13,DATE(DI$3,12,31),"m")*$Y13,AND(DI$3&gt;YEAR($X13),DI$3-YEAR($X13)&lt;20),$Y13*12,DI$3-YEAR($X13)=20,DATEDIF(DATE(YEAR($X13),1,1),$X13,"m")*$Y13,DI$3-YEAR($X13)&gt;20,0)</f>
        <v>0</v>
      </c>
      <c r="DJ13" s="202" cm="1">
        <f t="array" ref="DJ13">_xlfn.IFS(DJ$3&lt;=YEAR($B$2),SUMPRODUCT(($E$4:$E$79=$E13)*($Z$2:$CG$2=DJ$3)*($Z$2:$CG$2&lt;DK$3)*$Z$4:$CG$79),DJ$3&lt;YEAR($X13),0,DJ$3=YEAR($X13),DATEDIF($X13,DATE(DJ$3,12,31),"m")*$Y13,AND(DJ$3&gt;YEAR($X13),DJ$3-YEAR($X13)&lt;20),$Y13*12,DJ$3-YEAR($X13)=20,DATEDIF(DATE(YEAR($X13),1,1),$X13,"m")*$Y13,DJ$3-YEAR($X13)&gt;20,0)</f>
        <v>0</v>
      </c>
      <c r="DK13" s="202" cm="1">
        <f t="array" ref="DK13">_xlfn.IFS(DK$3&lt;=YEAR($B$2),SUMPRODUCT(($E$4:$E$79=$E13)*($Z$2:$CG$2=DK$3)*($Z$2:$CG$2&lt;DL$3)*$Z$4:$CG$79),DK$3&lt;YEAR($X13),0,DK$3=YEAR($X13),DATEDIF($X13,DATE(DK$3,12,31),"m")*$Y13,AND(DK$3&gt;YEAR($X13),DK$3-YEAR($X13)&lt;20),$Y13*12,DK$3-YEAR($X13)=20,DATEDIF(DATE(YEAR($X13),1,1),$X13,"m")*$Y13,DK$3-YEAR($X13)&gt;20,0)</f>
        <v>0</v>
      </c>
      <c r="DL13" s="202" cm="1">
        <f t="array" ref="DL13">_xlfn.IFS(DL$3&lt;=YEAR($B$2),SUMPRODUCT(($E$4:$E$79=$E13)*($Z$2:$CG$2=DL$3)*($Z$2:$CG$2&lt;DM$3)*$Z$4:$CG$79),DL$3&lt;YEAR($X13),0,DL$3=YEAR($X13),DATEDIF($X13,DATE(DL$3,12,31),"m")*$Y13,AND(DL$3&gt;YEAR($X13),DL$3-YEAR($X13)&lt;20),$Y13*12,DL$3-YEAR($X13)=20,DATEDIF(DATE(YEAR($X13),1,1),$X13,"m")*$Y13,DL$3-YEAR($X13)&gt;20,0)</f>
        <v>0</v>
      </c>
      <c r="DO13" s="166">
        <f t="shared" si="26"/>
        <v>2022</v>
      </c>
      <c r="DP13" s="158">
        <v>78256.299999999988</v>
      </c>
      <c r="DQ13" s="158">
        <v>1311.5500000000002</v>
      </c>
      <c r="DR13" s="158">
        <v>0</v>
      </c>
      <c r="DS13" s="158">
        <f t="shared" si="27"/>
        <v>79567.849999999991</v>
      </c>
    </row>
    <row r="14" spans="1:150">
      <c r="A14" s="155" t="str" cm="1">
        <f t="array" ref="A14">INDEX('Monthly Report July 2025'!C:C,MATCH(E14,'Monthly Report July 2025'!E:E,0),0)</f>
        <v>OCS042</v>
      </c>
      <c r="B14" s="155" t="str" cm="1">
        <f t="array" ref="B14">_xlfn.IFS(LEFT(E14,3)="PGE","PGE",LEFT(E14,2)="PP","PAC",TRUE,"IP")</f>
        <v>PAC</v>
      </c>
      <c r="C14" s="155" t="str">
        <f>IF(ISNA(MATCH(E14,'Monthly Report July 2025'!E:E,0)),"Missing","Present")</f>
        <v>Present</v>
      </c>
      <c r="D14" s="155" t="str">
        <f>IF(ISNA(MATCH(E14,'Project Operational Timelines'!C:C,0))=TRUE,"Missing","Present")</f>
        <v>Present</v>
      </c>
      <c r="E14" s="155" t="s">
        <v>119</v>
      </c>
      <c r="F14" s="155" t="str" cm="1">
        <f t="array" ref="F14">INDEX('Monthly Report July 2025'!F:F,MATCH(E14,'Monthly Report July 2025'!E:E,),0)</f>
        <v>Oregon Shakespeare Festival Community Solar Project</v>
      </c>
      <c r="G14" s="155" t="str" cm="1">
        <f t="array" ref="G14">_xlfn.IFS(INDEX('Monthly Report July 2025'!O:O,MATCH(E14,'Monthly Report July 2025'!E:E,0),0)="Operational","Operational",INDEX('Monthly Report July 2025'!O:O,MATCH(E14,'Monthly Report July 2025'!E:E,0),0)="Certified","Certified",TRUE,"Pre-Certified")</f>
        <v>Operational</v>
      </c>
      <c r="H14" s="155" t="str" cm="1">
        <f t="array" ref="H14">INDEX('Monthly Report July 2025'!H:H,MATCH($E14,'Monthly Report July 2025'!$E:$E,0),0)</f>
        <v xml:space="preserve">Oregon Clean Power Cooperative </v>
      </c>
      <c r="I14" s="155" t="str" cm="1">
        <f t="array" ref="I14">INDEX('Monthly Report July 2025'!I:I,MATCH($E14,'Monthly Report July 2025'!$E:$E,0),0)</f>
        <v>Oregon Clean Power Cooperative</v>
      </c>
      <c r="J14" s="174" cm="1">
        <f t="array" ref="J14">INDEX('Monthly Report July 2025'!J:J,MATCH($E14,'Monthly Report July 2025'!$E:$E,0),0)</f>
        <v>1</v>
      </c>
      <c r="K14" s="174" t="str" cm="1">
        <f t="array" ref="K14">INDEX('Monthly Report July 2025'!K:K,MATCH($E14,'Monthly Report July 2025'!$E:$E,0),0)</f>
        <v>Yes</v>
      </c>
      <c r="L14" s="174" t="b" cm="1">
        <f t="array" ref="L14">INDEX('Monthly Report July 2025'!L:L,MATCH(E14,'Monthly Report July 2025'!E:E,0),0)=M14</f>
        <v>1</v>
      </c>
      <c r="M14" s="273" cm="1">
        <f t="array" ref="M14">INDEX('Monthly Report July 2025'!L:L,MATCH($E14,'Monthly Report July 2025'!$E:$E,0),0)</f>
        <v>129.6</v>
      </c>
      <c r="N14" s="175" cm="1">
        <f t="array" ref="N14">INDEX('Monthly Report July 2025'!M:M,MATCH($E14,'Monthly Report July 2025'!$E:$E,0),0)</f>
        <v>44140</v>
      </c>
      <c r="O14" s="175" t="str" cm="1">
        <f t="array" ref="O14">_xlfn.IFS(G14="Operational","Operational",G14="Certified","Certified",TRUE,INDEX('Monthly Report July 2025'!O:O,MATCH(E14,'Monthly Report July 2025'!E:E,0),0))</f>
        <v>Operational</v>
      </c>
      <c r="P14" s="175" t="b" cm="1">
        <f t="array" ref="P14">_xlfn.IFS(G14="Operational",O14="Operational",G14="Certified",O14="Certified",TRUE,G14="Pre-Certified")</f>
        <v>1</v>
      </c>
      <c r="Q14" s="175" cm="1">
        <f t="array" ref="Q14">IF(O14="Operational",INDEX('Monthly Report July 2025'!R:R,MATCH(E14,'Monthly Report July 2025'!E:E,0),0),"")</f>
        <v>44634</v>
      </c>
      <c r="R14" s="175" cm="1">
        <f t="array" ref="R14">INDEX('Monthly Report July 2025'!P:P,MATCH(E14,'Monthly Report July 2025'!E:E,0),0)</f>
        <v>44461</v>
      </c>
      <c r="S14" s="175" t="b">
        <f t="shared" si="5"/>
        <v>1</v>
      </c>
      <c r="T14" s="175" cm="1">
        <f t="array" ref="T14">INDEX('Monthly Report July 2025'!U:U,MATCH(E14,'Monthly Report July 2025'!E:E,0),0)</f>
        <v>44407</v>
      </c>
      <c r="U14" s="175" t="str">
        <f t="shared" si="6"/>
        <v>IGNORE</v>
      </c>
      <c r="V14" s="156">
        <f t="shared" si="7"/>
        <v>44461</v>
      </c>
      <c r="W14" s="156" cm="1">
        <f t="array" ref="W14">_xlfn.IFS(U14=TRUE,EDATE(O14,6),U14=FALSE,T14,O14="Operational",Q14,AND(O14="Certified",EDATE(R14,6)&gt;T14),EDATE(R14,6),TRUE,T14)</f>
        <v>44634</v>
      </c>
      <c r="X14" s="156">
        <f t="shared" si="8"/>
        <v>44695</v>
      </c>
      <c r="Y14" s="157">
        <f t="shared" si="9"/>
        <v>49.572000000000003</v>
      </c>
      <c r="Z14" s="202" cm="1">
        <f t="array" ref="Z14">_xlfn.IFS(Z$3&lt;$B$2,SUMPRODUCT(('PA Fees Actual'!$B$5:$B$882=$E14)*('PA Fees Actual'!$A$5:$A$882&gt;=Z$3)*('PA Fees Actual'!$A$5:$A$882&lt;=EOMONTH(Z$3,0))*'PA Fees Actual'!$D$5:$D$882),Z$3&gt;=EOMONTH($X14,-1)+1,$Y14,TRUE,0)</f>
        <v>0</v>
      </c>
      <c r="AA14" s="202" cm="1">
        <f t="array" ref="AA14">_xlfn.IFS(AA$3&lt;$B$2,SUMPRODUCT(('PA Fees Actual'!$B$5:$B$882=$E14)*('PA Fees Actual'!$A$5:$A$882&gt;=AA$3)*('PA Fees Actual'!$A$5:$A$882&lt;=EOMONTH(AA$3,0))*'PA Fees Actual'!$D$5:$D$882),AA$3&gt;=EOMONTH($X14,-1)+1,$Y14,TRUE,0)</f>
        <v>0</v>
      </c>
      <c r="AB14" s="202" cm="1">
        <f t="array" ref="AB14">_xlfn.IFS(AB$3&lt;$B$2,SUMPRODUCT(('PA Fees Actual'!$B$5:$B$882=$E14)*('PA Fees Actual'!$A$5:$A$882&gt;=AB$3)*('PA Fees Actual'!$A$5:$A$882&lt;=EOMONTH(AB$3,0))*'PA Fees Actual'!$D$5:$D$882),AB$3&gt;=EOMONTH($X14,-1)+1,$Y14,TRUE,0)</f>
        <v>0</v>
      </c>
      <c r="AC14" s="202" cm="1">
        <f t="array" ref="AC14">_xlfn.IFS(AC$3&lt;$B$2,SUMPRODUCT(('PA Fees Actual'!$B$5:$B$882=$E14)*('PA Fees Actual'!$A$5:$A$882&gt;=AC$3)*('PA Fees Actual'!$A$5:$A$882&lt;=EOMONTH(AC$3,0))*'PA Fees Actual'!$D$5:$D$882),AC$3&gt;=EOMONTH($X14,-1)+1,$Y14,TRUE,0)</f>
        <v>0</v>
      </c>
      <c r="AD14" s="202" cm="1">
        <f t="array" ref="AD14">_xlfn.IFS(AD$3&lt;$B$2,SUMPRODUCT(('PA Fees Actual'!$B$5:$B$882=$E14)*('PA Fees Actual'!$A$5:$A$882&gt;=AD$3)*('PA Fees Actual'!$A$5:$A$882&lt;=EOMONTH(AD$3,0))*'PA Fees Actual'!$D$5:$D$882),AD$3&gt;=EOMONTH($X14,-1)+1,$Y14,TRUE,0)</f>
        <v>0</v>
      </c>
      <c r="AE14" s="202" cm="1">
        <f t="array" ref="AE14">_xlfn.IFS(AE$3&lt;$B$2,SUMPRODUCT(('PA Fees Actual'!$B$5:$B$882=$E14)*('PA Fees Actual'!$A$5:$A$882&gt;=AE$3)*('PA Fees Actual'!$A$5:$A$882&lt;=EOMONTH(AE$3,0))*'PA Fees Actual'!$D$5:$D$882),AE$3&gt;=EOMONTH($X14,-1)+1,$Y14,TRUE,0)</f>
        <v>0</v>
      </c>
      <c r="AF14" s="202" cm="1">
        <f t="array" ref="AF14">_xlfn.IFS(AF$3&lt;$B$2,SUMPRODUCT(('PA Fees Actual'!$B$5:$B$882=$E14)*('PA Fees Actual'!$A$5:$A$882&gt;=AF$3)*('PA Fees Actual'!$A$5:$A$882&lt;=EOMONTH(AF$3,0))*'PA Fees Actual'!$D$5:$D$882),AF$3&gt;=EOMONTH($X14,-1)+1,$Y14,TRUE,0)</f>
        <v>0</v>
      </c>
      <c r="AG14" s="202" cm="1">
        <f t="array" ref="AG14">_xlfn.IFS(AG$3&lt;$B$2,SUMPRODUCT(('PA Fees Actual'!$B$5:$B$882=$E14)*('PA Fees Actual'!$A$5:$A$882&gt;=AG$3)*('PA Fees Actual'!$A$5:$A$882&lt;=EOMONTH(AG$3,0))*'PA Fees Actual'!$D$5:$D$882),AG$3&gt;=EOMONTH($X14,-1)+1,$Y14,TRUE,0)</f>
        <v>0</v>
      </c>
      <c r="AH14" s="202" cm="1">
        <f t="array" ref="AH14">_xlfn.IFS(AH$3&lt;$B$2,SUMPRODUCT(('PA Fees Actual'!$B$5:$B$882=$E14)*('PA Fees Actual'!$A$5:$A$882&gt;=AH$3)*('PA Fees Actual'!$A$5:$A$882&lt;=EOMONTH(AH$3,0))*'PA Fees Actual'!$D$5:$D$882),AH$3&gt;=EOMONTH($X14,-1)+1,$Y14,TRUE,0)</f>
        <v>0</v>
      </c>
      <c r="AI14" s="202" cm="1">
        <f t="array" ref="AI14">_xlfn.IFS(AI$3&lt;$B$2,SUMPRODUCT(('PA Fees Actual'!$B$5:$B$882=$E14)*('PA Fees Actual'!$A$5:$A$882&gt;=AI$3)*('PA Fees Actual'!$A$5:$A$882&lt;=EOMONTH(AI$3,0))*'PA Fees Actual'!$D$5:$D$882),AI$3&gt;=EOMONTH($X14,-1)+1,$Y14,TRUE,0)</f>
        <v>0</v>
      </c>
      <c r="AJ14" s="202" cm="1">
        <f t="array" ref="AJ14">_xlfn.IFS(AJ$3&lt;$B$2,SUMPRODUCT(('PA Fees Actual'!$B$5:$B$882=$E14)*('PA Fees Actual'!$A$5:$A$882&gt;=AJ$3)*('PA Fees Actual'!$A$5:$A$882&lt;=EOMONTH(AJ$3,0))*'PA Fees Actual'!$D$5:$D$882),AJ$3&gt;=EOMONTH($X14,-1)+1,$Y14,TRUE,0)</f>
        <v>0</v>
      </c>
      <c r="AK14" s="202" cm="1">
        <f t="array" ref="AK14">_xlfn.IFS(AK$3&lt;$B$2,SUMPRODUCT(('PA Fees Actual'!$B$5:$B$882=$E14)*('PA Fees Actual'!$A$5:$A$882&gt;=AK$3)*('PA Fees Actual'!$A$5:$A$882&lt;=EOMONTH(AK$3,0))*'PA Fees Actual'!$D$5:$D$882),AK$3&gt;=EOMONTH($X14,-1)+1,$Y14,TRUE,0)</f>
        <v>0</v>
      </c>
      <c r="AL14" s="202" cm="1">
        <f t="array" ref="AL14">_xlfn.IFS(AL$3&lt;$B$2,SUMPRODUCT(('PA Fees Actual'!$B$5:$B$882=$E14)*('PA Fees Actual'!$A$5:$A$882&gt;=AL$3)*('PA Fees Actual'!$A$5:$A$882&lt;=EOMONTH(AL$3,0))*'PA Fees Actual'!$D$5:$D$882),AL$3&gt;=EOMONTH($X14,-1)+1,$Y14,TRUE,0)</f>
        <v>0</v>
      </c>
      <c r="AM14" s="202" cm="1">
        <f t="array" ref="AM14">_xlfn.IFS(AM$3&lt;$B$2,SUMPRODUCT(('PA Fees Actual'!$B$5:$B$882=$E14)*('PA Fees Actual'!$A$5:$A$882&gt;=AM$3)*('PA Fees Actual'!$A$5:$A$882&lt;=EOMONTH(AM$3,0))*'PA Fees Actual'!$D$5:$D$882),AM$3&gt;=EOMONTH($X14,-1)+1,$Y14,TRUE,0)</f>
        <v>0</v>
      </c>
      <c r="AN14" s="202" cm="1">
        <f t="array" ref="AN14">_xlfn.IFS(AN$3&lt;$B$2,SUMPRODUCT(('PA Fees Actual'!$B$5:$B$882=$E14)*('PA Fees Actual'!$A$5:$A$882&gt;=AN$3)*('PA Fees Actual'!$A$5:$A$882&lt;=EOMONTH(AN$3,0))*'PA Fees Actual'!$D$5:$D$882),AN$3&gt;=EOMONTH($X14,-1)+1,$Y14,TRUE,0)</f>
        <v>0</v>
      </c>
      <c r="AO14" s="202" cm="1">
        <f t="array" ref="AO14">_xlfn.IFS(AO$3&lt;$B$2,SUMPRODUCT(('PA Fees Actual'!$B$5:$B$882=$E14)*('PA Fees Actual'!$A$5:$A$882&gt;=AO$3)*('PA Fees Actual'!$A$5:$A$882&lt;=EOMONTH(AO$3,0))*'PA Fees Actual'!$D$5:$D$882),AO$3&gt;=EOMONTH($X14,-1)+1,$Y14,TRUE,0)</f>
        <v>0</v>
      </c>
      <c r="AP14" s="202" cm="1">
        <f t="array" ref="AP14">_xlfn.IFS(AP$3&lt;$B$2,SUMPRODUCT(('PA Fees Actual'!$B$5:$B$882=$E14)*('PA Fees Actual'!$A$5:$A$882&gt;=AP$3)*('PA Fees Actual'!$A$5:$A$882&lt;=EOMONTH(AP$3,0))*'PA Fees Actual'!$D$5:$D$882),AP$3&gt;=EOMONTH($X14,-1)+1,$Y14,TRUE,0)</f>
        <v>0</v>
      </c>
      <c r="AQ14" s="202" cm="1">
        <f t="array" ref="AQ14">_xlfn.IFS(AQ$3&lt;$B$2,SUMPRODUCT(('PA Fees Actual'!$B$5:$B$882=$E14)*('PA Fees Actual'!$A$5:$A$882&gt;=AQ$3)*('PA Fees Actual'!$A$5:$A$882&lt;=EOMONTH(AQ$3,0))*'PA Fees Actual'!$D$5:$D$882),AQ$3&gt;=EOMONTH($X14,-1)+1,$Y14,TRUE,0)</f>
        <v>8.76</v>
      </c>
      <c r="AR14" s="202" cm="1">
        <f t="array" ref="AR14">_xlfn.IFS(AR$3&lt;$B$2,SUMPRODUCT(('PA Fees Actual'!$B$5:$B$882=$E14)*('PA Fees Actual'!$A$5:$A$882&gt;=AR$3)*('PA Fees Actual'!$A$5:$A$882&lt;=EOMONTH(AR$3,0))*'PA Fees Actual'!$D$5:$D$882),AR$3&gt;=EOMONTH($X14,-1)+1,$Y14,TRUE,0)</f>
        <v>234.18</v>
      </c>
      <c r="AS14" s="202" cm="1">
        <f t="array" ref="AS14">_xlfn.IFS(AS$3&lt;$B$2,SUMPRODUCT(('PA Fees Actual'!$B$5:$B$882=$E14)*('PA Fees Actual'!$A$5:$A$882&gt;=AS$3)*('PA Fees Actual'!$A$5:$A$882&lt;=EOMONTH(AS$3,0))*'PA Fees Actual'!$D$5:$D$882),AS$3&gt;=EOMONTH($X14,-1)+1,$Y14,TRUE,0)</f>
        <v>96.06</v>
      </c>
      <c r="AT14" s="202" cm="1">
        <f t="array" ref="AT14">_xlfn.IFS(AT$3&lt;$B$2,SUMPRODUCT(('PA Fees Actual'!$B$5:$B$882=$E14)*('PA Fees Actual'!$A$5:$A$882&gt;=AT$3)*('PA Fees Actual'!$A$5:$A$882&lt;=EOMONTH(AT$3,0))*'PA Fees Actual'!$D$5:$D$882),AT$3&gt;=EOMONTH($X14,-1)+1,$Y14,TRUE,0)</f>
        <v>14.79</v>
      </c>
      <c r="AU14" s="202" cm="1">
        <f t="array" ref="AU14">_xlfn.IFS(AU$3&lt;$B$2,SUMPRODUCT(('PA Fees Actual'!$B$5:$B$882=$E14)*('PA Fees Actual'!$A$5:$A$882&gt;=AU$3)*('PA Fees Actual'!$A$5:$A$882&lt;=EOMONTH(AU$3,0))*'PA Fees Actual'!$D$5:$D$882),AU$3&gt;=EOMONTH($X14,-1)+1,$Y14,TRUE,0)</f>
        <v>158.69000000000028</v>
      </c>
      <c r="AV14" s="202" cm="1">
        <f t="array" ref="AV14">_xlfn.IFS(AV$3&lt;$B$2,SUMPRODUCT(('PA Fees Actual'!$B$5:$B$882=$E14)*('PA Fees Actual'!$A$5:$A$882&gt;=AV$3)*('PA Fees Actual'!$A$5:$A$882&lt;=EOMONTH(AV$3,0))*'PA Fees Actual'!$D$5:$D$882),AV$3&gt;=EOMONTH($X14,-1)+1,$Y14,TRUE,0)</f>
        <v>55.000000000000007</v>
      </c>
      <c r="AW14" s="202" cm="1">
        <f t="array" ref="AW14">_xlfn.IFS(AW$3&lt;$B$2,SUMPRODUCT(('PA Fees Actual'!$B$5:$B$882=$E14)*('PA Fees Actual'!$A$5:$A$882&gt;=AW$3)*('PA Fees Actual'!$A$5:$A$882&lt;=EOMONTH(AW$3,0))*'PA Fees Actual'!$D$5:$D$882),AW$3&gt;=EOMONTH($X14,-1)+1,$Y14,TRUE,0)</f>
        <v>79.77</v>
      </c>
      <c r="AX14" s="202" cm="1">
        <f t="array" ref="AX14">_xlfn.IFS(AX$3&lt;$B$2,SUMPRODUCT(('PA Fees Actual'!$B$5:$B$882=$E14)*('PA Fees Actual'!$A$5:$A$882&gt;=AX$3)*('PA Fees Actual'!$A$5:$A$882&lt;=EOMONTH(AX$3,0))*'PA Fees Actual'!$D$5:$D$882),AX$3&gt;=EOMONTH($X14,-1)+1,$Y14,TRUE,0)</f>
        <v>84.94</v>
      </c>
      <c r="AY14" s="202" cm="1">
        <f t="array" ref="AY14">_xlfn.IFS(AY$3&lt;$B$2,SUMPRODUCT(('PA Fees Actual'!$B$5:$B$882=$E14)*('PA Fees Actual'!$A$5:$A$882&gt;=AY$3)*('PA Fees Actual'!$A$5:$A$882&lt;=EOMONTH(AY$3,0))*'PA Fees Actual'!$D$5:$D$882),AY$3&gt;=EOMONTH($X14,-1)+1,$Y14,TRUE,0)</f>
        <v>0</v>
      </c>
      <c r="AZ14" s="202" cm="1">
        <f t="array" ref="AZ14">_xlfn.IFS(AZ$3&lt;$B$2,SUMPRODUCT(('PA Fees Actual'!$B$5:$B$882=$E14)*('PA Fees Actual'!$A$5:$A$882&gt;=AZ$3)*('PA Fees Actual'!$A$5:$A$882&lt;=EOMONTH(AZ$3,0))*'PA Fees Actual'!$D$5:$D$882),AZ$3&gt;=EOMONTH($X14,-1)+1,$Y14,TRUE,0)</f>
        <v>186.32999999999998</v>
      </c>
      <c r="BA14" s="202" cm="1">
        <f t="array" ref="BA14">_xlfn.IFS(BA$3&lt;$B$2,SUMPRODUCT(('PA Fees Actual'!$B$5:$B$882=$E14)*('PA Fees Actual'!$A$5:$A$882&gt;=BA$3)*('PA Fees Actual'!$A$5:$A$882&lt;=EOMONTH(BA$3,0))*'PA Fees Actual'!$D$5:$D$882),BA$3&gt;=EOMONTH($X14,-1)+1,$Y14,TRUE,0)</f>
        <v>93.11999999999999</v>
      </c>
      <c r="BB14" s="202" cm="1">
        <f t="array" ref="BB14">_xlfn.IFS(BB$3&lt;$B$2,SUMPRODUCT(('PA Fees Actual'!$B$5:$B$882=$E14)*('PA Fees Actual'!$A$5:$A$882&gt;=BB$3)*('PA Fees Actual'!$A$5:$A$882&lt;=EOMONTH(BB$3,0))*'PA Fees Actual'!$D$5:$D$882),BB$3&gt;=EOMONTH($X14,-1)+1,$Y14,TRUE,0)</f>
        <v>105.18</v>
      </c>
      <c r="BC14" s="202" cm="1">
        <f t="array" ref="BC14">_xlfn.IFS(BC$3&lt;$B$2,SUMPRODUCT(('PA Fees Actual'!$B$5:$B$882=$E14)*('PA Fees Actual'!$A$5:$A$882&gt;=BC$3)*('PA Fees Actual'!$A$5:$A$882&lt;=EOMONTH(BC$3,0))*'PA Fees Actual'!$D$5:$D$882),BC$3&gt;=EOMONTH($X14,-1)+1,$Y14,TRUE,0)</f>
        <v>119.95</v>
      </c>
      <c r="BD14" s="202" cm="1">
        <f t="array" ref="BD14">_xlfn.IFS(BD$3&lt;$B$2,SUMPRODUCT(('PA Fees Actual'!$B$5:$B$882=$E14)*('PA Fees Actual'!$A$5:$A$882&gt;=BD$3)*('PA Fees Actual'!$A$5:$A$882&lt;=EOMONTH(BD$3,0))*'PA Fees Actual'!$D$5:$D$882),BD$3&gt;=EOMONTH($X14,-1)+1,$Y14,TRUE,0)</f>
        <v>147.45000000000002</v>
      </c>
      <c r="BE14" s="202" cm="1">
        <f t="array" ref="BE14">_xlfn.IFS(BE$3&lt;$B$2,SUMPRODUCT(('PA Fees Actual'!$B$5:$B$882=$E14)*('PA Fees Actual'!$A$5:$A$882&gt;=BE$3)*('PA Fees Actual'!$A$5:$A$882&lt;=EOMONTH(BE$3,0))*'PA Fees Actual'!$D$5:$D$882),BE$3&gt;=EOMONTH($X14,-1)+1,$Y14,TRUE,0)</f>
        <v>89.72</v>
      </c>
      <c r="BF14" s="202" cm="1">
        <f t="array" ref="BF14">_xlfn.IFS(BF$3&lt;$B$2,SUMPRODUCT(('PA Fees Actual'!$B$5:$B$882=$E14)*('PA Fees Actual'!$A$5:$A$882&gt;=BF$3)*('PA Fees Actual'!$A$5:$A$882&lt;=EOMONTH(BF$3,0))*'PA Fees Actual'!$D$5:$D$882),BF$3&gt;=EOMONTH($X14,-1)+1,$Y14,TRUE,0)</f>
        <v>82.45</v>
      </c>
      <c r="BG14" s="202" cm="1">
        <f t="array" ref="BG14">_xlfn.IFS(BG$3&lt;$B$2,SUMPRODUCT(('PA Fees Actual'!$B$5:$B$882=$E14)*('PA Fees Actual'!$A$5:$A$882&gt;=BG$3)*('PA Fees Actual'!$A$5:$A$882&lt;=EOMONTH(BG$3,0))*'PA Fees Actual'!$D$5:$D$882),BG$3&gt;=EOMONTH($X14,-1)+1,$Y14,TRUE,0)</f>
        <v>75.86</v>
      </c>
      <c r="BH14" s="202" cm="1">
        <f t="array" ref="BH14">_xlfn.IFS(BH$3&lt;$B$2,SUMPRODUCT(('PA Fees Actual'!$B$5:$B$882=$E14)*('PA Fees Actual'!$A$5:$A$882&gt;=BH$3)*('PA Fees Actual'!$A$5:$A$882&lt;=EOMONTH(BH$3,0))*'PA Fees Actual'!$D$5:$D$882),BH$3&gt;=EOMONTH($X14,-1)+1,$Y14,TRUE,0)</f>
        <v>120.21</v>
      </c>
      <c r="BI14" s="202" cm="1">
        <f t="array" ref="BI14">_xlfn.IFS(BI$3&lt;$B$2,SUMPRODUCT(('PA Fees Actual'!$B$5:$B$882=$E14)*('PA Fees Actual'!$A$5:$A$882&gt;=BI$3)*('PA Fees Actual'!$A$5:$A$882&lt;=EOMONTH(BI$3,0))*'PA Fees Actual'!$D$5:$D$882),BI$3&gt;=EOMONTH($X14,-1)+1,$Y14,TRUE,0)</f>
        <v>70.69</v>
      </c>
      <c r="BJ14" s="202" cm="1">
        <f t="array" ref="BJ14">_xlfn.IFS(BJ$3&lt;$B$2,SUMPRODUCT(('PA Fees Actual'!$B$5:$B$882=$E14)*('PA Fees Actual'!$A$5:$A$882&gt;=BJ$3)*('PA Fees Actual'!$A$5:$A$882&lt;=EOMONTH(BJ$3,0))*'PA Fees Actual'!$D$5:$D$882),BJ$3&gt;=EOMONTH($X14,-1)+1,$Y14,TRUE,0)</f>
        <v>92.889999999999986</v>
      </c>
      <c r="BK14" s="202" cm="1">
        <f t="array" ref="BK14">_xlfn.IFS(BK$3&lt;$B$2,SUMPRODUCT(('PA Fees Actual'!$B$5:$B$882=$E14)*('PA Fees Actual'!$A$5:$A$882&gt;=BK$3)*('PA Fees Actual'!$A$5:$A$882&lt;=EOMONTH(BK$3,0))*'PA Fees Actual'!$D$5:$D$882),BK$3&gt;=EOMONTH($X14,-1)+1,$Y14,TRUE,0)</f>
        <v>0</v>
      </c>
      <c r="BL14" s="202" cm="1">
        <f t="array" ref="BL14">_xlfn.IFS(BL$3&lt;$B$2,SUMPRODUCT(('PA Fees Actual'!$B$5:$B$882=$E14)*('PA Fees Actual'!$A$5:$A$882&gt;=BL$3)*('PA Fees Actual'!$A$5:$A$882&lt;=EOMONTH(BL$3,0))*'PA Fees Actual'!$D$5:$D$882),BL$3&gt;=EOMONTH($X14,-1)+1,$Y14,TRUE,0)</f>
        <v>192.28</v>
      </c>
      <c r="BM14" s="202" cm="1">
        <f t="array" ref="BM14">_xlfn.IFS(BM$3&lt;$B$2,SUMPRODUCT(('PA Fees Actual'!$B$5:$B$882=$E14)*('PA Fees Actual'!$A$5:$A$882&gt;=BM$3)*('PA Fees Actual'!$A$5:$A$882&lt;=EOMONTH(BM$3,0))*'PA Fees Actual'!$D$5:$D$882),BM$3&gt;=EOMONTH($X14,-1)+1,$Y14,TRUE,0)</f>
        <v>120.19</v>
      </c>
      <c r="BN14" s="202" cm="1">
        <f t="array" ref="BN14">_xlfn.IFS(BN$3&lt;$B$2,SUMPRODUCT(('PA Fees Actual'!$B$5:$B$882=$E14)*('PA Fees Actual'!$A$5:$A$882&gt;=BN$3)*('PA Fees Actual'!$A$5:$A$882&lt;=EOMONTH(BN$3,0))*'PA Fees Actual'!$D$5:$D$882),BN$3&gt;=EOMONTH($X14,-1)+1,$Y14,TRUE,0)</f>
        <v>180</v>
      </c>
      <c r="BO14" s="202" cm="1">
        <f t="array" ref="BO14">_xlfn.IFS(BO$3&lt;$B$2,SUMPRODUCT(('PA Fees Actual'!$B$5:$B$882=$E14)*('PA Fees Actual'!$A$5:$A$882&gt;=BO$3)*('PA Fees Actual'!$A$5:$A$882&lt;=EOMONTH(BO$3,0))*'PA Fees Actual'!$D$5:$D$882),BO$3&gt;=EOMONTH($X14,-1)+1,$Y14,TRUE,0)</f>
        <v>15.02</v>
      </c>
      <c r="BP14" s="202" cm="1">
        <f t="array" ref="BP14">_xlfn.IFS(BP$3&lt;$B$2,SUMPRODUCT(('PA Fees Actual'!$B$5:$B$882=$E14)*('PA Fees Actual'!$A$5:$A$882&gt;=BP$3)*('PA Fees Actual'!$A$5:$A$882&lt;=EOMONTH(BP$3,0))*'PA Fees Actual'!$D$5:$D$882),BP$3&gt;=EOMONTH($X14,-1)+1,$Y14,TRUE,0)</f>
        <v>150.29</v>
      </c>
      <c r="BQ14" s="202" cm="1">
        <f t="array" ref="BQ14">_xlfn.IFS(BQ$3&lt;$B$2,SUMPRODUCT(('PA Fees Actual'!$B$5:$B$882=$E14)*('PA Fees Actual'!$A$5:$A$882&gt;=BQ$3)*('PA Fees Actual'!$A$5:$A$882&lt;=EOMONTH(BQ$3,0))*'PA Fees Actual'!$D$5:$D$882),BQ$3&gt;=EOMONTH($X14,-1)+1,$Y14,TRUE,0)</f>
        <v>91.84</v>
      </c>
      <c r="BR14" s="202" cm="1">
        <f t="array" ref="BR14">_xlfn.IFS(BR$3&lt;$B$2,SUMPRODUCT(('PA Fees Actual'!$B$5:$B$882=$E14)*('PA Fees Actual'!$A$5:$A$882&gt;=BR$3)*('PA Fees Actual'!$A$5:$A$882&lt;=EOMONTH(BR$3,0))*'PA Fees Actual'!$D$5:$D$882),BR$3&gt;=EOMONTH($X14,-1)+1,$Y14,TRUE,0)</f>
        <v>96.52000000000001</v>
      </c>
      <c r="BS14" s="202" cm="1">
        <f t="array" ref="BS14">_xlfn.IFS(BS$3&lt;$B$2,SUMPRODUCT(('PA Fees Actual'!$B$5:$B$882=$E14)*('PA Fees Actual'!$A$5:$A$882&gt;=BS$3)*('PA Fees Actual'!$A$5:$A$882&lt;=EOMONTH(BS$3,0))*'PA Fees Actual'!$D$5:$D$882),BS$3&gt;=EOMONTH($X14,-1)+1,$Y14,TRUE,0)</f>
        <v>195.73000000000002</v>
      </c>
      <c r="BT14" s="202" cm="1">
        <f t="array" ref="BT14">_xlfn.IFS(BT$3&lt;$B$2,SUMPRODUCT(('PA Fees Actual'!$B$5:$B$882=$E14)*('PA Fees Actual'!$A$5:$A$882&gt;=BT$3)*('PA Fees Actual'!$A$5:$A$882&lt;=EOMONTH(BT$3,0))*'PA Fees Actual'!$D$5:$D$882),BT$3&gt;=EOMONTH($X14,-1)+1,$Y14,TRUE,0)</f>
        <v>47.22</v>
      </c>
      <c r="BU14" s="202" cm="1">
        <f t="array" ref="BU14">_xlfn.IFS(BU$3&lt;$B$2,SUMPRODUCT(('PA Fees Actual'!$B$5:$B$882=$E14)*('PA Fees Actual'!$A$5:$A$882&gt;=BU$3)*('PA Fees Actual'!$A$5:$A$882&lt;=EOMONTH(BU$3,0))*'PA Fees Actual'!$D$5:$D$882),BU$3&gt;=EOMONTH($X14,-1)+1,$Y14,TRUE,0)</f>
        <v>16.71</v>
      </c>
      <c r="BV14" s="202" cm="1">
        <f t="array" ref="BV14">_xlfn.IFS(BV$3&lt;$B$2,SUMPRODUCT(('PA Fees Actual'!$B$5:$B$882=$E14)*('PA Fees Actual'!$A$5:$A$882&gt;=BV$3)*('PA Fees Actual'!$A$5:$A$882&lt;=EOMONTH(BV$3,0))*'PA Fees Actual'!$D$5:$D$882),BV$3&gt;=EOMONTH($X14,-1)+1,$Y14,TRUE,0)</f>
        <v>170.95</v>
      </c>
      <c r="BW14" s="202" cm="1">
        <f t="array" ref="BW14">_xlfn.IFS(BW$3&lt;$B$2,SUMPRODUCT(('PA Fees Actual'!$B$5:$B$882=$E14)*('PA Fees Actual'!$A$5:$A$882&gt;=BW$3)*('PA Fees Actual'!$A$5:$A$882&lt;=EOMONTH(BW$3,0))*'PA Fees Actual'!$D$5:$D$882),BW$3&gt;=EOMONTH($X14,-1)+1,$Y14,TRUE,0)</f>
        <v>22.97</v>
      </c>
      <c r="BX14" s="202" cm="1">
        <f t="array" ref="BX14">_xlfn.IFS(BX$3&lt;$B$2,SUMPRODUCT(('PA Fees Actual'!$B$5:$B$882=$E14)*('PA Fees Actual'!$A$5:$A$882&gt;=BX$3)*('PA Fees Actual'!$A$5:$A$882&lt;=EOMONTH(BX$3,0))*'PA Fees Actual'!$D$5:$D$882),BX$3&gt;=EOMONTH($X14,-1)+1,$Y14,TRUE,0)</f>
        <v>101.92999999999999</v>
      </c>
      <c r="BY14" s="202" cm="1">
        <f t="array" ref="BY14">_xlfn.IFS(BY$3&lt;$B$2,SUMPRODUCT(('PA Fees Actual'!$B$5:$B$882=$E14)*('PA Fees Actual'!$A$5:$A$882&gt;=BY$3)*('PA Fees Actual'!$A$5:$A$882&lt;=EOMONTH(BY$3,0))*'PA Fees Actual'!$D$5:$D$882),BY$3&gt;=EOMONTH($X14,-1)+1,$Y14,TRUE,0)</f>
        <v>199.66</v>
      </c>
      <c r="BZ14" s="202" cm="1">
        <f t="array" ref="BZ14">_xlfn.IFS(BZ$3&lt;$B$2,SUMPRODUCT(('PA Fees Actual'!$B$5:$B$882=$E14)*('PA Fees Actual'!$A$5:$A$882&gt;=BZ$3)*('PA Fees Actual'!$A$5:$A$882&lt;=EOMONTH(BZ$3,0))*'PA Fees Actual'!$D$5:$D$882),BZ$3&gt;=EOMONTH($X14,-1)+1,$Y14,TRUE,0)</f>
        <v>13.66</v>
      </c>
      <c r="CA14" s="202" cm="1">
        <f t="array" ref="CA14">_xlfn.IFS(CA$3&lt;$B$2,SUMPRODUCT(('PA Fees Actual'!$B$5:$B$882=$E14)*('PA Fees Actual'!$A$5:$A$882&gt;=CA$3)*('PA Fees Actual'!$A$5:$A$882&lt;=EOMONTH(CA$3,0))*'PA Fees Actual'!$D$5:$D$882),CA$3&gt;=EOMONTH($X14,-1)+1,$Y14,TRUE,0)</f>
        <v>90.39</v>
      </c>
      <c r="CB14" s="202" cm="1">
        <f t="array" ref="CB14">_xlfn.IFS(CB$3&lt;$B$2,SUMPRODUCT(('PA Fees Actual'!$B$5:$B$882=$E14)*('PA Fees Actual'!$A$5:$A$882&gt;=CB$3)*('PA Fees Actual'!$A$5:$A$882&lt;=EOMONTH(CB$3,0))*'PA Fees Actual'!$D$5:$D$882),CB$3&gt;=EOMONTH($X14,-1)+1,$Y14,TRUE,0)</f>
        <v>49.572000000000003</v>
      </c>
      <c r="CC14" s="202" cm="1">
        <f t="array" ref="CC14">_xlfn.IFS(CC$3&lt;$B$2,SUMPRODUCT(('PA Fees Actual'!$B$5:$B$882=$E14)*('PA Fees Actual'!$A$5:$A$882&gt;=CC$3)*('PA Fees Actual'!$A$5:$A$882&lt;=EOMONTH(CC$3,0))*'PA Fees Actual'!$D$5:$D$882),CC$3&gt;=EOMONTH($X14,-1)+1,$Y14,TRUE,0)</f>
        <v>49.572000000000003</v>
      </c>
      <c r="CD14" s="202" cm="1">
        <f t="array" ref="CD14">_xlfn.IFS(CD$3&lt;$B$2,SUMPRODUCT(('PA Fees Actual'!$B$5:$B$882=$E14)*('PA Fees Actual'!$A$5:$A$882&gt;=CD$3)*('PA Fees Actual'!$A$5:$A$882&lt;=EOMONTH(CD$3,0))*'PA Fees Actual'!$D$5:$D$882),CD$3&gt;=EOMONTH($X14,-1)+1,$Y14,TRUE,0)</f>
        <v>49.572000000000003</v>
      </c>
      <c r="CE14" s="202" cm="1">
        <f t="array" ref="CE14">_xlfn.IFS(CE$3&lt;$B$2,SUMPRODUCT(('PA Fees Actual'!$B$5:$B$882=$E14)*('PA Fees Actual'!$A$5:$A$882&gt;=CE$3)*('PA Fees Actual'!$A$5:$A$882&lt;=EOMONTH(CE$3,0))*'PA Fees Actual'!$D$5:$D$882),CE$3&gt;=EOMONTH($X14,-1)+1,$Y14,TRUE,0)</f>
        <v>49.572000000000003</v>
      </c>
      <c r="CF14" s="202" cm="1">
        <f t="array" ref="CF14">_xlfn.IFS(CF$3&lt;$B$2,SUMPRODUCT(('PA Fees Actual'!$B$5:$B$882=$E14)*('PA Fees Actual'!$A$5:$A$882&gt;=CF$3)*('PA Fees Actual'!$A$5:$A$882&lt;=EOMONTH(CF$3,0))*'PA Fees Actual'!$D$5:$D$882),CF$3&gt;=EOMONTH($X14,-1)+1,$Y14,TRUE,0)</f>
        <v>49.572000000000003</v>
      </c>
      <c r="CG14" s="202" cm="1">
        <f t="array" ref="CG14">_xlfn.IFS(CG$3&lt;$B$2,SUMPRODUCT(('PA Fees Actual'!$B$5:$B$882=$E14)*('PA Fees Actual'!$A$5:$A$882&gt;=CG$3)*('PA Fees Actual'!$A$5:$A$882&lt;=EOMONTH(CG$3,0))*'PA Fees Actual'!$D$5:$D$882),CG$3&gt;=EOMONTH($X14,-1)+1,$Y14,TRUE,0)</f>
        <v>49.572000000000003</v>
      </c>
      <c r="CI14" s="202" cm="1">
        <f t="array" ref="CI14">_xlfn.IFS(CI$3&lt;=YEAR($B$2),SUMPRODUCT(($E$4:$E$79=$E14)*($Z$2:$CG$2=CI$3)*($Z$2:$CG$2&lt;CJ$3)*$Z$4:$CG$79),CI$3&lt;YEAR($X14),0,CI$3=YEAR($X14),DATEDIF($X14,DATE(CI$3,12,31),"m")*$Y14,AND(CI$3&gt;YEAR($X14),CI$3-YEAR($X14)&lt;20),$Y14*12,CI$3-YEAR($X14)=20,DATEDIF(DATE(YEAR($X14),1,1),$X14,"m")*$Y14,CI$3-YEAR($X14)&gt;20,0)</f>
        <v>0</v>
      </c>
      <c r="CJ14" s="202" cm="1">
        <f t="array" ref="CJ14">_xlfn.IFS(CJ$3&lt;=YEAR($B$2),SUMPRODUCT(($E$4:$E$79=$E14)*($Z$2:$CG$2=CJ$3)*($Z$2:$CG$2&lt;CK$3)*$Z$4:$CG$79),CJ$3&lt;YEAR($X14),0,CJ$3=YEAR($X14),DATEDIF($X14,DATE(CJ$3,12,31),"m")*$Y14,AND(CJ$3&gt;YEAR($X14),CJ$3-YEAR($X14)&lt;20),$Y14*12,CJ$3-YEAR($X14)=20,DATEDIF(DATE(YEAR($X14),1,1),$X14,"m")*$Y14,CJ$3-YEAR($X14)&gt;20,0)</f>
        <v>647.25000000000023</v>
      </c>
      <c r="CK14" s="202" cm="1">
        <f t="array" ref="CK14">_xlfn.IFS(CK$3&lt;=YEAR($B$2),SUMPRODUCT(($E$4:$E$79=$E14)*($Z$2:$CG$2=CK$3)*($Z$2:$CG$2&lt;CL$3)*$Z$4:$CG$79),CK$3&lt;YEAR($X14),0,CK$3=YEAR($X14),DATEDIF($X14,DATE(CK$3,12,31),"m")*$Y14,AND(CK$3&gt;YEAR($X14),CK$3-YEAR($X14)&lt;20),$Y14*12,CK$3-YEAR($X14)=20,DATEDIF(DATE(YEAR($X14),1,1),$X14,"m")*$Y14,CK$3-YEAR($X14)&gt;20,0)</f>
        <v>1175.9000000000001</v>
      </c>
      <c r="CL14" s="202" cm="1">
        <f t="array" ref="CL14">_xlfn.IFS(CL$3&lt;=YEAR($B$2),SUMPRODUCT(($E$4:$E$79=$E14)*($Z$2:$CG$2=CL$3)*($Z$2:$CG$2&lt;CM$3)*$Z$4:$CG$79),CL$3&lt;YEAR($X14),0,CL$3=YEAR($X14),DATEDIF($X14,DATE(CL$3,12,31),"m")*$Y14,AND(CL$3&gt;YEAR($X14),CL$3-YEAR($X14)&lt;20),$Y14*12,CL$3-YEAR($X14)=20,DATEDIF(DATE(YEAR($X14),1,1),$X14,"m")*$Y14,CL$3-YEAR($X14)&gt;20,0)</f>
        <v>1198.6899999999998</v>
      </c>
      <c r="CM14" s="202" cm="1">
        <f t="array" ref="CM14">_xlfn.IFS(CM$3&lt;=YEAR($B$2),SUMPRODUCT(($E$4:$E$79=$E14)*($Z$2:$CG$2=CM$3)*($Z$2:$CG$2&lt;CN$3)*$Z$4:$CG$79),CM$3&lt;YEAR($X14),0,CM$3=YEAR($X14),DATEDIF($X14,DATE(CM$3,12,31),"m")*$Y14,AND(CM$3&gt;YEAR($X14),CM$3-YEAR($X14)&lt;20),$Y14*12,CM$3-YEAR($X14)=20,DATEDIF(DATE(YEAR($X14),1,1),$X14,"m")*$Y14,CM$3-YEAR($X14)&gt;20,0)</f>
        <v>896.99200000000008</v>
      </c>
      <c r="CN14" s="202" cm="1">
        <f t="array" ref="CN14">_xlfn.IFS(CN$3&lt;=YEAR($B$2),SUMPRODUCT(($E$4:$E$79=$E14)*($Z$2:$CG$2=CN$3)*($Z$2:$CG$2&lt;CO$3)*$Z$4:$CG$79),CN$3&lt;YEAR($X14),0,CN$3=YEAR($X14),DATEDIF($X14,DATE(CN$3,12,31),"m")*$Y14,AND(CN$3&gt;YEAR($X14),CN$3-YEAR($X14)&lt;20),$Y14*12,CN$3-YEAR($X14)=20,DATEDIF(DATE(YEAR($X14),1,1),$X14,"m")*$Y14,CN$3-YEAR($X14)&gt;20,0)</f>
        <v>594.86400000000003</v>
      </c>
      <c r="CO14" s="202" cm="1">
        <f t="array" ref="CO14">_xlfn.IFS(CO$3&lt;=YEAR($B$2),SUMPRODUCT(($E$4:$E$79=$E14)*($Z$2:$CG$2=CO$3)*($Z$2:$CG$2&lt;CP$3)*$Z$4:$CG$79),CO$3&lt;YEAR($X14),0,CO$3=YEAR($X14),DATEDIF($X14,DATE(CO$3,12,31),"m")*$Y14,AND(CO$3&gt;YEAR($X14),CO$3-YEAR($X14)&lt;20),$Y14*12,CO$3-YEAR($X14)=20,DATEDIF(DATE(YEAR($X14),1,1),$X14,"m")*$Y14,CO$3-YEAR($X14)&gt;20,0)</f>
        <v>594.86400000000003</v>
      </c>
      <c r="CP14" s="202" cm="1">
        <f t="array" ref="CP14">_xlfn.IFS(CP$3&lt;=YEAR($B$2),SUMPRODUCT(($E$4:$E$79=$E14)*($Z$2:$CG$2=CP$3)*($Z$2:$CG$2&lt;CQ$3)*$Z$4:$CG$79),CP$3&lt;YEAR($X14),0,CP$3=YEAR($X14),DATEDIF($X14,DATE(CP$3,12,31),"m")*$Y14,AND(CP$3&gt;YEAR($X14),CP$3-YEAR($X14)&lt;20),$Y14*12,CP$3-YEAR($X14)=20,DATEDIF(DATE(YEAR($X14),1,1),$X14,"m")*$Y14,CP$3-YEAR($X14)&gt;20,0)</f>
        <v>594.86400000000003</v>
      </c>
      <c r="CQ14" s="202" cm="1">
        <f t="array" ref="CQ14">_xlfn.IFS(CQ$3&lt;=YEAR($B$2),SUMPRODUCT(($E$4:$E$79=$E14)*($Z$2:$CG$2=CQ$3)*($Z$2:$CG$2&lt;CR$3)*$Z$4:$CG$79),CQ$3&lt;YEAR($X14),0,CQ$3=YEAR($X14),DATEDIF($X14,DATE(CQ$3,12,31),"m")*$Y14,AND(CQ$3&gt;YEAR($X14),CQ$3-YEAR($X14)&lt;20),$Y14*12,CQ$3-YEAR($X14)=20,DATEDIF(DATE(YEAR($X14),1,1),$X14,"m")*$Y14,CQ$3-YEAR($X14)&gt;20,0)</f>
        <v>594.86400000000003</v>
      </c>
      <c r="CR14" s="202" cm="1">
        <f t="array" ref="CR14">_xlfn.IFS(CR$3&lt;=YEAR($B$2),SUMPRODUCT(($E$4:$E$79=$E14)*($Z$2:$CG$2=CR$3)*($Z$2:$CG$2&lt;CS$3)*$Z$4:$CG$79),CR$3&lt;YEAR($X14),0,CR$3=YEAR($X14),DATEDIF($X14,DATE(CR$3,12,31),"m")*$Y14,AND(CR$3&gt;YEAR($X14),CR$3-YEAR($X14)&lt;20),$Y14*12,CR$3-YEAR($X14)=20,DATEDIF(DATE(YEAR($X14),1,1),$X14,"m")*$Y14,CR$3-YEAR($X14)&gt;20,0)</f>
        <v>594.86400000000003</v>
      </c>
      <c r="CS14" s="202" cm="1">
        <f t="array" ref="CS14">_xlfn.IFS(CS$3&lt;=YEAR($B$2),SUMPRODUCT(($E$4:$E$79=$E14)*($Z$2:$CG$2=CS$3)*($Z$2:$CG$2&lt;CT$3)*$Z$4:$CG$79),CS$3&lt;YEAR($X14),0,CS$3=YEAR($X14),DATEDIF($X14,DATE(CS$3,12,31),"m")*$Y14,AND(CS$3&gt;YEAR($X14),CS$3-YEAR($X14)&lt;20),$Y14*12,CS$3-YEAR($X14)=20,DATEDIF(DATE(YEAR($X14),1,1),$X14,"m")*$Y14,CS$3-YEAR($X14)&gt;20,0)</f>
        <v>594.86400000000003</v>
      </c>
      <c r="CT14" s="202" cm="1">
        <f t="array" ref="CT14">_xlfn.IFS(CT$3&lt;=YEAR($B$2),SUMPRODUCT(($E$4:$E$79=$E14)*($Z$2:$CG$2=CT$3)*($Z$2:$CG$2&lt;CU$3)*$Z$4:$CG$79),CT$3&lt;YEAR($X14),0,CT$3=YEAR($X14),DATEDIF($X14,DATE(CT$3,12,31),"m")*$Y14,AND(CT$3&gt;YEAR($X14),CT$3-YEAR($X14)&lt;20),$Y14*12,CT$3-YEAR($X14)=20,DATEDIF(DATE(YEAR($X14),1,1),$X14,"m")*$Y14,CT$3-YEAR($X14)&gt;20,0)</f>
        <v>594.86400000000003</v>
      </c>
      <c r="CU14" s="202" cm="1">
        <f t="array" ref="CU14">_xlfn.IFS(CU$3&lt;=YEAR($B$2),SUMPRODUCT(($E$4:$E$79=$E14)*($Z$2:$CG$2=CU$3)*($Z$2:$CG$2&lt;CV$3)*$Z$4:$CG$79),CU$3&lt;YEAR($X14),0,CU$3=YEAR($X14),DATEDIF($X14,DATE(CU$3,12,31),"m")*$Y14,AND(CU$3&gt;YEAR($X14),CU$3-YEAR($X14)&lt;20),$Y14*12,CU$3-YEAR($X14)=20,DATEDIF(DATE(YEAR($X14),1,1),$X14,"m")*$Y14,CU$3-YEAR($X14)&gt;20,0)</f>
        <v>594.86400000000003</v>
      </c>
      <c r="CV14" s="202" cm="1">
        <f t="array" ref="CV14">_xlfn.IFS(CV$3&lt;=YEAR($B$2),SUMPRODUCT(($E$4:$E$79=$E14)*($Z$2:$CG$2=CV$3)*($Z$2:$CG$2&lt;CW$3)*$Z$4:$CG$79),CV$3&lt;YEAR($X14),0,CV$3=YEAR($X14),DATEDIF($X14,DATE(CV$3,12,31),"m")*$Y14,AND(CV$3&gt;YEAR($X14),CV$3-YEAR($X14)&lt;20),$Y14*12,CV$3-YEAR($X14)=20,DATEDIF(DATE(YEAR($X14),1,1),$X14,"m")*$Y14,CV$3-YEAR($X14)&gt;20,0)</f>
        <v>594.86400000000003</v>
      </c>
      <c r="CW14" s="202" cm="1">
        <f t="array" ref="CW14">_xlfn.IFS(CW$3&lt;=YEAR($B$2),SUMPRODUCT(($E$4:$E$79=$E14)*($Z$2:$CG$2=CW$3)*($Z$2:$CG$2&lt;CX$3)*$Z$4:$CG$79),CW$3&lt;YEAR($X14),0,CW$3=YEAR($X14),DATEDIF($X14,DATE(CW$3,12,31),"m")*$Y14,AND(CW$3&gt;YEAR($X14),CW$3-YEAR($X14)&lt;20),$Y14*12,CW$3-YEAR($X14)=20,DATEDIF(DATE(YEAR($X14),1,1),$X14,"m")*$Y14,CW$3-YEAR($X14)&gt;20,0)</f>
        <v>594.86400000000003</v>
      </c>
      <c r="CX14" s="202" cm="1">
        <f t="array" ref="CX14">_xlfn.IFS(CX$3&lt;=YEAR($B$2),SUMPRODUCT(($E$4:$E$79=$E14)*($Z$2:$CG$2=CX$3)*($Z$2:$CG$2&lt;CY$3)*$Z$4:$CG$79),CX$3&lt;YEAR($X14),0,CX$3=YEAR($X14),DATEDIF($X14,DATE(CX$3,12,31),"m")*$Y14,AND(CX$3&gt;YEAR($X14),CX$3-YEAR($X14)&lt;20),$Y14*12,CX$3-YEAR($X14)=20,DATEDIF(DATE(YEAR($X14),1,1),$X14,"m")*$Y14,CX$3-YEAR($X14)&gt;20,0)</f>
        <v>594.86400000000003</v>
      </c>
      <c r="CY14" s="202" cm="1">
        <f t="array" ref="CY14">_xlfn.IFS(CY$3&lt;=YEAR($B$2),SUMPRODUCT(($E$4:$E$79=$E14)*($Z$2:$CG$2=CY$3)*($Z$2:$CG$2&lt;CZ$3)*$Z$4:$CG$79),CY$3&lt;YEAR($X14),0,CY$3=YEAR($X14),DATEDIF($X14,DATE(CY$3,12,31),"m")*$Y14,AND(CY$3&gt;YEAR($X14),CY$3-YEAR($X14)&lt;20),$Y14*12,CY$3-YEAR($X14)=20,DATEDIF(DATE(YEAR($X14),1,1),$X14,"m")*$Y14,CY$3-YEAR($X14)&gt;20,0)</f>
        <v>594.86400000000003</v>
      </c>
      <c r="CZ14" s="202" cm="1">
        <f t="array" ref="CZ14">_xlfn.IFS(CZ$3&lt;=YEAR($B$2),SUMPRODUCT(($E$4:$E$79=$E14)*($Z$2:$CG$2=CZ$3)*($Z$2:$CG$2&lt;DA$3)*$Z$4:$CG$79),CZ$3&lt;YEAR($X14),0,CZ$3=YEAR($X14),DATEDIF($X14,DATE(CZ$3,12,31),"m")*$Y14,AND(CZ$3&gt;YEAR($X14),CZ$3-YEAR($X14)&lt;20),$Y14*12,CZ$3-YEAR($X14)=20,DATEDIF(DATE(YEAR($X14),1,1),$X14,"m")*$Y14,CZ$3-YEAR($X14)&gt;20,0)</f>
        <v>594.86400000000003</v>
      </c>
      <c r="DA14" s="202" cm="1">
        <f t="array" ref="DA14">_xlfn.IFS(DA$3&lt;=YEAR($B$2),SUMPRODUCT(($E$4:$E$79=$E14)*($Z$2:$CG$2=DA$3)*($Z$2:$CG$2&lt;DB$3)*$Z$4:$CG$79),DA$3&lt;YEAR($X14),0,DA$3=YEAR($X14),DATEDIF($X14,DATE(DA$3,12,31),"m")*$Y14,AND(DA$3&gt;YEAR($X14),DA$3-YEAR($X14)&lt;20),$Y14*12,DA$3-YEAR($X14)=20,DATEDIF(DATE(YEAR($X14),1,1),$X14,"m")*$Y14,DA$3-YEAR($X14)&gt;20,0)</f>
        <v>594.86400000000003</v>
      </c>
      <c r="DB14" s="202" cm="1">
        <f t="array" ref="DB14">_xlfn.IFS(DB$3&lt;=YEAR($B$2),SUMPRODUCT(($E$4:$E$79=$E14)*($Z$2:$CG$2=DB$3)*($Z$2:$CG$2&lt;DC$3)*$Z$4:$CG$79),DB$3&lt;YEAR($X14),0,DB$3=YEAR($X14),DATEDIF($X14,DATE(DB$3,12,31),"m")*$Y14,AND(DB$3&gt;YEAR($X14),DB$3-YEAR($X14)&lt;20),$Y14*12,DB$3-YEAR($X14)=20,DATEDIF(DATE(YEAR($X14),1,1),$X14,"m")*$Y14,DB$3-YEAR($X14)&gt;20,0)</f>
        <v>594.86400000000003</v>
      </c>
      <c r="DC14" s="202" cm="1">
        <f t="array" ref="DC14">_xlfn.IFS(DC$3&lt;=YEAR($B$2),SUMPRODUCT(($E$4:$E$79=$E14)*($Z$2:$CG$2=DC$3)*($Z$2:$CG$2&lt;DD$3)*$Z$4:$CG$79),DC$3&lt;YEAR($X14),0,DC$3=YEAR($X14),DATEDIF($X14,DATE(DC$3,12,31),"m")*$Y14,AND(DC$3&gt;YEAR($X14),DC$3-YEAR($X14)&lt;20),$Y14*12,DC$3-YEAR($X14)=20,DATEDIF(DATE(YEAR($X14),1,1),$X14,"m")*$Y14,DC$3-YEAR($X14)&gt;20,0)</f>
        <v>594.86400000000003</v>
      </c>
      <c r="DD14" s="202" cm="1">
        <f t="array" ref="DD14">_xlfn.IFS(DD$3&lt;=YEAR($B$2),SUMPRODUCT(($E$4:$E$79=$E14)*($Z$2:$CG$2=DD$3)*($Z$2:$CG$2&lt;DE$3)*$Z$4:$CG$79),DD$3&lt;YEAR($X14),0,DD$3=YEAR($X14),DATEDIF($X14,DATE(DD$3,12,31),"m")*$Y14,AND(DD$3&gt;YEAR($X14),DD$3-YEAR($X14)&lt;20),$Y14*12,DD$3-YEAR($X14)=20,DATEDIF(DATE(YEAR($X14),1,1),$X14,"m")*$Y14,DD$3-YEAR($X14)&gt;20,0)</f>
        <v>198.28800000000001</v>
      </c>
      <c r="DE14" s="202" cm="1">
        <f t="array" ref="DE14">_xlfn.IFS(DE$3&lt;=YEAR($B$2),SUMPRODUCT(($E$4:$E$79=$E14)*($Z$2:$CG$2=DE$3)*($Z$2:$CG$2&lt;DF$3)*$Z$4:$CG$79),DE$3&lt;YEAR($X14),0,DE$3=YEAR($X14),DATEDIF($X14,DATE(DE$3,12,31),"m")*$Y14,AND(DE$3&gt;YEAR($X14),DE$3-YEAR($X14)&lt;20),$Y14*12,DE$3-YEAR($X14)=20,DATEDIF(DATE(YEAR($X14),1,1),$X14,"m")*$Y14,DE$3-YEAR($X14)&gt;20,0)</f>
        <v>0</v>
      </c>
      <c r="DF14" s="202" cm="1">
        <f t="array" ref="DF14">_xlfn.IFS(DF$3&lt;=YEAR($B$2),SUMPRODUCT(($E$4:$E$79=$E14)*($Z$2:$CG$2=DF$3)*($Z$2:$CG$2&lt;DG$3)*$Z$4:$CG$79),DF$3&lt;YEAR($X14),0,DF$3=YEAR($X14),DATEDIF($X14,DATE(DF$3,12,31),"m")*$Y14,AND(DF$3&gt;YEAR($X14),DF$3-YEAR($X14)&lt;20),$Y14*12,DF$3-YEAR($X14)=20,DATEDIF(DATE(YEAR($X14),1,1),$X14,"m")*$Y14,DF$3-YEAR($X14)&gt;20,0)</f>
        <v>0</v>
      </c>
      <c r="DG14" s="202" cm="1">
        <f t="array" ref="DG14">_xlfn.IFS(DG$3&lt;=YEAR($B$2),SUMPRODUCT(($E$4:$E$79=$E14)*($Z$2:$CG$2=DG$3)*($Z$2:$CG$2&lt;DH$3)*$Z$4:$CG$79),DG$3&lt;YEAR($X14),0,DG$3=YEAR($X14),DATEDIF($X14,DATE(DG$3,12,31),"m")*$Y14,AND(DG$3&gt;YEAR($X14),DG$3-YEAR($X14)&lt;20),$Y14*12,DG$3-YEAR($X14)=20,DATEDIF(DATE(YEAR($X14),1,1),$X14,"m")*$Y14,DG$3-YEAR($X14)&gt;20,0)</f>
        <v>0</v>
      </c>
      <c r="DH14" s="202" cm="1">
        <f t="array" ref="DH14">_xlfn.IFS(DH$3&lt;=YEAR($B$2),SUMPRODUCT(($E$4:$E$79=$E14)*($Z$2:$CG$2=DH$3)*($Z$2:$CG$2&lt;DI$3)*$Z$4:$CG$79),DH$3&lt;YEAR($X14),0,DH$3=YEAR($X14),DATEDIF($X14,DATE(DH$3,12,31),"m")*$Y14,AND(DH$3&gt;YEAR($X14),DH$3-YEAR($X14)&lt;20),$Y14*12,DH$3-YEAR($X14)=20,DATEDIF(DATE(YEAR($X14),1,1),$X14,"m")*$Y14,DH$3-YEAR($X14)&gt;20,0)</f>
        <v>0</v>
      </c>
      <c r="DI14" s="202" cm="1">
        <f t="array" ref="DI14">_xlfn.IFS(DI$3&lt;=YEAR($B$2),SUMPRODUCT(($E$4:$E$79=$E14)*($Z$2:$CG$2=DI$3)*($Z$2:$CG$2&lt;DJ$3)*$Z$4:$CG$79),DI$3&lt;YEAR($X14),0,DI$3=YEAR($X14),DATEDIF($X14,DATE(DI$3,12,31),"m")*$Y14,AND(DI$3&gt;YEAR($X14),DI$3-YEAR($X14)&lt;20),$Y14*12,DI$3-YEAR($X14)=20,DATEDIF(DATE(YEAR($X14),1,1),$X14,"m")*$Y14,DI$3-YEAR($X14)&gt;20,0)</f>
        <v>0</v>
      </c>
      <c r="DJ14" s="202" cm="1">
        <f t="array" ref="DJ14">_xlfn.IFS(DJ$3&lt;=YEAR($B$2),SUMPRODUCT(($E$4:$E$79=$E14)*($Z$2:$CG$2=DJ$3)*($Z$2:$CG$2&lt;DK$3)*$Z$4:$CG$79),DJ$3&lt;YEAR($X14),0,DJ$3=YEAR($X14),DATEDIF($X14,DATE(DJ$3,12,31),"m")*$Y14,AND(DJ$3&gt;YEAR($X14),DJ$3-YEAR($X14)&lt;20),$Y14*12,DJ$3-YEAR($X14)=20,DATEDIF(DATE(YEAR($X14),1,1),$X14,"m")*$Y14,DJ$3-YEAR($X14)&gt;20,0)</f>
        <v>0</v>
      </c>
      <c r="DK14" s="202" cm="1">
        <f t="array" ref="DK14">_xlfn.IFS(DK$3&lt;=YEAR($B$2),SUMPRODUCT(($E$4:$E$79=$E14)*($Z$2:$CG$2=DK$3)*($Z$2:$CG$2&lt;DL$3)*$Z$4:$CG$79),DK$3&lt;YEAR($X14),0,DK$3=YEAR($X14),DATEDIF($X14,DATE(DK$3,12,31),"m")*$Y14,AND(DK$3&gt;YEAR($X14),DK$3-YEAR($X14)&lt;20),$Y14*12,DK$3-YEAR($X14)=20,DATEDIF(DATE(YEAR($X14),1,1),$X14,"m")*$Y14,DK$3-YEAR($X14)&gt;20,0)</f>
        <v>0</v>
      </c>
      <c r="DL14" s="202" cm="1">
        <f t="array" ref="DL14">_xlfn.IFS(DL$3&lt;=YEAR($B$2),SUMPRODUCT(($E$4:$E$79=$E14)*($Z$2:$CG$2=DL$3)*($Z$2:$CG$2&lt;DM$3)*$Z$4:$CG$79),DL$3&lt;YEAR($X14),0,DL$3=YEAR($X14),DATEDIF($X14,DATE(DL$3,12,31),"m")*$Y14,AND(DL$3&gt;YEAR($X14),DL$3-YEAR($X14)&lt;20),$Y14*12,DL$3-YEAR($X14)=20,DATEDIF(DATE(YEAR($X14),1,1),$X14,"m")*$Y14,DL$3-YEAR($X14)&gt;20,0)</f>
        <v>0</v>
      </c>
      <c r="DO14" s="166">
        <f t="shared" si="26"/>
        <v>2023</v>
      </c>
      <c r="DP14" s="158">
        <v>206295.81</v>
      </c>
      <c r="DQ14" s="158">
        <v>7704.77</v>
      </c>
      <c r="DR14" s="158">
        <v>0</v>
      </c>
      <c r="DS14" s="158">
        <f t="shared" si="27"/>
        <v>214000.58</v>
      </c>
    </row>
    <row r="15" spans="1:150">
      <c r="A15" s="155" t="str" cm="1">
        <f t="array" ref="A15">INDEX('Monthly Report July 2025'!C:C,MATCH(E15,'Monthly Report July 2025'!E:E,0),0)</f>
        <v>SPQ0058</v>
      </c>
      <c r="B15" s="155" t="str" cm="1">
        <f t="array" ref="B15">_xlfn.IFS(LEFT(E15,3)="PGE","PGE",LEFT(E15,2)="PP","PAC",TRUE,"IP")</f>
        <v>PGE</v>
      </c>
      <c r="C15" s="155" t="str">
        <f>IF(ISNA(MATCH(E15,'Monthly Report July 2025'!E:E,0)),"Missing","Present")</f>
        <v>Present</v>
      </c>
      <c r="D15" s="155" t="str">
        <f>IF(ISNA(MATCH(E15,'Project Operational Timelines'!C:C,0))=TRUE,"Missing","Present")</f>
        <v>Present</v>
      </c>
      <c r="E15" s="155" t="s">
        <v>120</v>
      </c>
      <c r="F15" s="155" t="str" cm="1">
        <f t="array" ref="F15">INDEX('Monthly Report July 2025'!F:F,MATCH(E15,'Monthly Report July 2025'!E:E,),0)</f>
        <v>Red Prairie Solar</v>
      </c>
      <c r="G15" s="155" t="str" cm="1">
        <f t="array" ref="G15">_xlfn.IFS(INDEX('Monthly Report July 2025'!O:O,MATCH(E15,'Monthly Report July 2025'!E:E,0),0)="Operational","Operational",INDEX('Monthly Report July 2025'!O:O,MATCH(E15,'Monthly Report July 2025'!E:E,0),0)="Certified","Certified",TRUE,"Pre-Certified")</f>
        <v>Operational</v>
      </c>
      <c r="H15" s="155" t="str" cm="1">
        <f t="array" ref="H15">INDEX('Monthly Report July 2025'!H:H,MATCH($E15,'Monthly Report July 2025'!$E:$E,0),0)</f>
        <v>TLS Capital</v>
      </c>
      <c r="I15" s="155" t="str" cm="1">
        <f t="array" ref="I15">INDEX('Monthly Report July 2025'!I:I,MATCH($E15,'Monthly Report July 2025'!$E:$E,0),0)</f>
        <v>TLS Capital</v>
      </c>
      <c r="J15" s="174" cm="1">
        <f t="array" ref="J15">INDEX('Monthly Report July 2025'!J:J,MATCH($E15,'Monthly Report July 2025'!$E:$E,0),0)</f>
        <v>1</v>
      </c>
      <c r="K15" s="174" t="str" cm="1">
        <f t="array" ref="K15">INDEX('Monthly Report July 2025'!K:K,MATCH($E15,'Monthly Report July 2025'!$E:$E,0),0)</f>
        <v>No</v>
      </c>
      <c r="L15" s="174" t="b" cm="1">
        <f t="array" ref="L15">INDEX('Monthly Report July 2025'!L:L,MATCH(E15,'Monthly Report July 2025'!E:E,0),0)=M15</f>
        <v>1</v>
      </c>
      <c r="M15" s="273" cm="1">
        <f t="array" ref="M15">INDEX('Monthly Report July 2025'!L:L,MATCH($E15,'Monthly Report July 2025'!$E:$E,0),0)</f>
        <v>2200</v>
      </c>
      <c r="N15" s="175" cm="1">
        <f t="array" ref="N15">INDEX('Monthly Report July 2025'!M:M,MATCH($E15,'Monthly Report July 2025'!$E:$E,0),0)</f>
        <v>43903</v>
      </c>
      <c r="O15" s="175" t="str" cm="1">
        <f t="array" ref="O15">_xlfn.IFS(G15="Operational","Operational",G15="Certified","Certified",TRUE,INDEX('Monthly Report July 2025'!O:O,MATCH(E15,'Monthly Report July 2025'!E:E,0),0))</f>
        <v>Operational</v>
      </c>
      <c r="P15" s="175" t="b" cm="1">
        <f t="array" ref="P15">_xlfn.IFS(G15="Operational",O15="Operational",G15="Certified",O15="Certified",TRUE,G15="Pre-Certified")</f>
        <v>1</v>
      </c>
      <c r="Q15" s="175" cm="1">
        <f t="array" ref="Q15">IF(O15="Operational",INDEX('Monthly Report July 2025'!R:R,MATCH(E15,'Monthly Report July 2025'!E:E,0),0),"")</f>
        <v>44488</v>
      </c>
      <c r="R15" s="175" cm="1">
        <f t="array" ref="R15">INDEX('Monthly Report July 2025'!P:P,MATCH(E15,'Monthly Report July 2025'!E:E,0),0)</f>
        <v>44475</v>
      </c>
      <c r="S15" s="175" t="b">
        <f t="shared" si="5"/>
        <v>1</v>
      </c>
      <c r="T15" s="175" cm="1">
        <f t="array" ref="T15">INDEX('Monthly Report July 2025'!U:U,MATCH(E15,'Monthly Report July 2025'!E:E,0),0)</f>
        <v>44908</v>
      </c>
      <c r="U15" s="175" t="str">
        <f t="shared" si="6"/>
        <v>IGNORE</v>
      </c>
      <c r="V15" s="156">
        <f t="shared" si="7"/>
        <v>44475</v>
      </c>
      <c r="W15" s="156" cm="1">
        <f t="array" ref="W15">_xlfn.IFS(U15=TRUE,EDATE(O15,6),U15=FALSE,T15,O15="Operational",Q15,AND(O15="Certified",EDATE(R15,6)&gt;T15),EDATE(R15,6),TRUE,T15)</f>
        <v>44488</v>
      </c>
      <c r="X15" s="156">
        <f t="shared" si="8"/>
        <v>44549</v>
      </c>
      <c r="Y15" s="157">
        <f t="shared" si="9"/>
        <v>1589.5</v>
      </c>
      <c r="Z15" s="202" cm="1">
        <f t="array" ref="Z15">_xlfn.IFS(Z$3&lt;$B$2,SUMPRODUCT(('PA Fees Actual'!$B$5:$B$882=$E15)*('PA Fees Actual'!$A$5:$A$882&gt;=Z$3)*('PA Fees Actual'!$A$5:$A$882&lt;=EOMONTH(Z$3,0))*'PA Fees Actual'!$D$5:$D$882),Z$3&gt;=EOMONTH($X15,-1)+1,$Y15,TRUE,0)</f>
        <v>0</v>
      </c>
      <c r="AA15" s="202" cm="1">
        <f t="array" ref="AA15">_xlfn.IFS(AA$3&lt;$B$2,SUMPRODUCT(('PA Fees Actual'!$B$5:$B$882=$E15)*('PA Fees Actual'!$A$5:$A$882&gt;=AA$3)*('PA Fees Actual'!$A$5:$A$882&lt;=EOMONTH(AA$3,0))*'PA Fees Actual'!$D$5:$D$882),AA$3&gt;=EOMONTH($X15,-1)+1,$Y15,TRUE,0)</f>
        <v>0</v>
      </c>
      <c r="AB15" s="202" cm="1">
        <f t="array" ref="AB15">_xlfn.IFS(AB$3&lt;$B$2,SUMPRODUCT(('PA Fees Actual'!$B$5:$B$882=$E15)*('PA Fees Actual'!$A$5:$A$882&gt;=AB$3)*('PA Fees Actual'!$A$5:$A$882&lt;=EOMONTH(AB$3,0))*'PA Fees Actual'!$D$5:$D$882),AB$3&gt;=EOMONTH($X15,-1)+1,$Y15,TRUE,0)</f>
        <v>0</v>
      </c>
      <c r="AC15" s="202" cm="1">
        <f t="array" ref="AC15">_xlfn.IFS(AC$3&lt;$B$2,SUMPRODUCT(('PA Fees Actual'!$B$5:$B$882=$E15)*('PA Fees Actual'!$A$5:$A$882&gt;=AC$3)*('PA Fees Actual'!$A$5:$A$882&lt;=EOMONTH(AC$3,0))*'PA Fees Actual'!$D$5:$D$882),AC$3&gt;=EOMONTH($X15,-1)+1,$Y15,TRUE,0)</f>
        <v>0</v>
      </c>
      <c r="AD15" s="202" cm="1">
        <f t="array" ref="AD15">_xlfn.IFS(AD$3&lt;$B$2,SUMPRODUCT(('PA Fees Actual'!$B$5:$B$882=$E15)*('PA Fees Actual'!$A$5:$A$882&gt;=AD$3)*('PA Fees Actual'!$A$5:$A$882&lt;=EOMONTH(AD$3,0))*'PA Fees Actual'!$D$5:$D$882),AD$3&gt;=EOMONTH($X15,-1)+1,$Y15,TRUE,0)</f>
        <v>0</v>
      </c>
      <c r="AE15" s="202" cm="1">
        <f t="array" ref="AE15">_xlfn.IFS(AE$3&lt;$B$2,SUMPRODUCT(('PA Fees Actual'!$B$5:$B$882=$E15)*('PA Fees Actual'!$A$5:$A$882&gt;=AE$3)*('PA Fees Actual'!$A$5:$A$882&lt;=EOMONTH(AE$3,0))*'PA Fees Actual'!$D$5:$D$882),AE$3&gt;=EOMONTH($X15,-1)+1,$Y15,TRUE,0)</f>
        <v>0</v>
      </c>
      <c r="AF15" s="202" cm="1">
        <f t="array" ref="AF15">_xlfn.IFS(AF$3&lt;$B$2,SUMPRODUCT(('PA Fees Actual'!$B$5:$B$882=$E15)*('PA Fees Actual'!$A$5:$A$882&gt;=AF$3)*('PA Fees Actual'!$A$5:$A$882&lt;=EOMONTH(AF$3,0))*'PA Fees Actual'!$D$5:$D$882),AF$3&gt;=EOMONTH($X15,-1)+1,$Y15,TRUE,0)</f>
        <v>0</v>
      </c>
      <c r="AG15" s="202" cm="1">
        <f t="array" ref="AG15">_xlfn.IFS(AG$3&lt;$B$2,SUMPRODUCT(('PA Fees Actual'!$B$5:$B$882=$E15)*('PA Fees Actual'!$A$5:$A$882&gt;=AG$3)*('PA Fees Actual'!$A$5:$A$882&lt;=EOMONTH(AG$3,0))*'PA Fees Actual'!$D$5:$D$882),AG$3&gt;=EOMONTH($X15,-1)+1,$Y15,TRUE,0)</f>
        <v>0</v>
      </c>
      <c r="AH15" s="202" cm="1">
        <f t="array" ref="AH15">_xlfn.IFS(AH$3&lt;$B$2,SUMPRODUCT(('PA Fees Actual'!$B$5:$B$882=$E15)*('PA Fees Actual'!$A$5:$A$882&gt;=AH$3)*('PA Fees Actual'!$A$5:$A$882&lt;=EOMONTH(AH$3,0))*'PA Fees Actual'!$D$5:$D$882),AH$3&gt;=EOMONTH($X15,-1)+1,$Y15,TRUE,0)</f>
        <v>0</v>
      </c>
      <c r="AI15" s="202" cm="1">
        <f t="array" ref="AI15">_xlfn.IFS(AI$3&lt;$B$2,SUMPRODUCT(('PA Fees Actual'!$B$5:$B$882=$E15)*('PA Fees Actual'!$A$5:$A$882&gt;=AI$3)*('PA Fees Actual'!$A$5:$A$882&lt;=EOMONTH(AI$3,0))*'PA Fees Actual'!$D$5:$D$882),AI$3&gt;=EOMONTH($X15,-1)+1,$Y15,TRUE,0)</f>
        <v>0</v>
      </c>
      <c r="AJ15" s="202" cm="1">
        <f t="array" ref="AJ15">_xlfn.IFS(AJ$3&lt;$B$2,SUMPRODUCT(('PA Fees Actual'!$B$5:$B$882=$E15)*('PA Fees Actual'!$A$5:$A$882&gt;=AJ$3)*('PA Fees Actual'!$A$5:$A$882&lt;=EOMONTH(AJ$3,0))*'PA Fees Actual'!$D$5:$D$882),AJ$3&gt;=EOMONTH($X15,-1)+1,$Y15,TRUE,0)</f>
        <v>0</v>
      </c>
      <c r="AK15" s="202" cm="1">
        <f t="array" ref="AK15">_xlfn.IFS(AK$3&lt;$B$2,SUMPRODUCT(('PA Fees Actual'!$B$5:$B$882=$E15)*('PA Fees Actual'!$A$5:$A$882&gt;=AK$3)*('PA Fees Actual'!$A$5:$A$882&lt;=EOMONTH(AK$3,0))*'PA Fees Actual'!$D$5:$D$882),AK$3&gt;=EOMONTH($X15,-1)+1,$Y15,TRUE,0)</f>
        <v>0</v>
      </c>
      <c r="AL15" s="202" cm="1">
        <f t="array" ref="AL15">_xlfn.IFS(AL$3&lt;$B$2,SUMPRODUCT(('PA Fees Actual'!$B$5:$B$882=$E15)*('PA Fees Actual'!$A$5:$A$882&gt;=AL$3)*('PA Fees Actual'!$A$5:$A$882&lt;=EOMONTH(AL$3,0))*'PA Fees Actual'!$D$5:$D$882),AL$3&gt;=EOMONTH($X15,-1)+1,$Y15,TRUE,0)</f>
        <v>0</v>
      </c>
      <c r="AM15" s="202" cm="1">
        <f t="array" ref="AM15">_xlfn.IFS(AM$3&lt;$B$2,SUMPRODUCT(('PA Fees Actual'!$B$5:$B$882=$E15)*('PA Fees Actual'!$A$5:$A$882&gt;=AM$3)*('PA Fees Actual'!$A$5:$A$882&lt;=EOMONTH(AM$3,0))*'PA Fees Actual'!$D$5:$D$882),AM$3&gt;=EOMONTH($X15,-1)+1,$Y15,TRUE,0)</f>
        <v>0</v>
      </c>
      <c r="AN15" s="202" cm="1">
        <f t="array" ref="AN15">_xlfn.IFS(AN$3&lt;$B$2,SUMPRODUCT(('PA Fees Actual'!$B$5:$B$882=$E15)*('PA Fees Actual'!$A$5:$A$882&gt;=AN$3)*('PA Fees Actual'!$A$5:$A$882&lt;=EOMONTH(AN$3,0))*'PA Fees Actual'!$D$5:$D$882),AN$3&gt;=EOMONTH($X15,-1)+1,$Y15,TRUE,0)</f>
        <v>4525.6099999999997</v>
      </c>
      <c r="AO15" s="202" cm="1">
        <f t="array" ref="AO15">_xlfn.IFS(AO$3&lt;$B$2,SUMPRODUCT(('PA Fees Actual'!$B$5:$B$882=$E15)*('PA Fees Actual'!$A$5:$A$882&gt;=AO$3)*('PA Fees Actual'!$A$5:$A$882&lt;=EOMONTH(AO$3,0))*'PA Fees Actual'!$D$5:$D$882),AO$3&gt;=EOMONTH($X15,-1)+1,$Y15,TRUE,0)</f>
        <v>1654.07</v>
      </c>
      <c r="AP15" s="202" cm="1">
        <f t="array" ref="AP15">_xlfn.IFS(AP$3&lt;$B$2,SUMPRODUCT(('PA Fees Actual'!$B$5:$B$882=$E15)*('PA Fees Actual'!$A$5:$A$882&gt;=AP$3)*('PA Fees Actual'!$A$5:$A$882&lt;=EOMONTH(AP$3,0))*'PA Fees Actual'!$D$5:$D$882),AP$3&gt;=EOMONTH($X15,-1)+1,$Y15,TRUE,0)</f>
        <v>1654.07</v>
      </c>
      <c r="AQ15" s="202" cm="1">
        <f t="array" ref="AQ15">_xlfn.IFS(AQ$3&lt;$B$2,SUMPRODUCT(('PA Fees Actual'!$B$5:$B$882=$E15)*('PA Fees Actual'!$A$5:$A$882&gt;=AQ$3)*('PA Fees Actual'!$A$5:$A$882&lt;=EOMONTH(AQ$3,0))*'PA Fees Actual'!$D$5:$D$882),AQ$3&gt;=EOMONTH($X15,-1)+1,$Y15,TRUE,0)</f>
        <v>1683.7699999999986</v>
      </c>
      <c r="AR15" s="202" cm="1">
        <f t="array" ref="AR15">_xlfn.IFS(AR$3&lt;$B$2,SUMPRODUCT(('PA Fees Actual'!$B$5:$B$882=$E15)*('PA Fees Actual'!$A$5:$A$882&gt;=AR$3)*('PA Fees Actual'!$A$5:$A$882&lt;=EOMONTH(AR$3,0))*'PA Fees Actual'!$D$5:$D$882),AR$3&gt;=EOMONTH($X15,-1)+1,$Y15,TRUE,0)</f>
        <v>1683.77</v>
      </c>
      <c r="AS15" s="202" cm="1">
        <f t="array" ref="AS15">_xlfn.IFS(AS$3&lt;$B$2,SUMPRODUCT(('PA Fees Actual'!$B$5:$B$882=$E15)*('PA Fees Actual'!$A$5:$A$882&gt;=AS$3)*('PA Fees Actual'!$A$5:$A$882&lt;=EOMONTH(AS$3,0))*'PA Fees Actual'!$D$5:$D$882),AS$3&gt;=EOMONTH($X15,-1)+1,$Y15,TRUE,0)</f>
        <v>1683.78</v>
      </c>
      <c r="AT15" s="202" cm="1">
        <f t="array" ref="AT15">_xlfn.IFS(AT$3&lt;$B$2,SUMPRODUCT(('PA Fees Actual'!$B$5:$B$882=$E15)*('PA Fees Actual'!$A$5:$A$882&gt;=AT$3)*('PA Fees Actual'!$A$5:$A$882&lt;=EOMONTH(AT$3,0))*'PA Fees Actual'!$D$5:$D$882),AT$3&gt;=EOMONTH($X15,-1)+1,$Y15,TRUE,0)</f>
        <v>0</v>
      </c>
      <c r="AU15" s="202" cm="1">
        <f t="array" ref="AU15">_xlfn.IFS(AU$3&lt;$B$2,SUMPRODUCT(('PA Fees Actual'!$B$5:$B$882=$E15)*('PA Fees Actual'!$A$5:$A$882&gt;=AU$3)*('PA Fees Actual'!$A$5:$A$882&lt;=EOMONTH(AU$3,0))*'PA Fees Actual'!$D$5:$D$882),AU$3&gt;=EOMONTH($X15,-1)+1,$Y15,TRUE,0)</f>
        <v>1683.78</v>
      </c>
      <c r="AV15" s="202" cm="1">
        <f t="array" ref="AV15">_xlfn.IFS(AV$3&lt;$B$2,SUMPRODUCT(('PA Fees Actual'!$B$5:$B$882=$E15)*('PA Fees Actual'!$A$5:$A$882&gt;=AV$3)*('PA Fees Actual'!$A$5:$A$882&lt;=EOMONTH(AV$3,0))*'PA Fees Actual'!$D$5:$D$882),AV$3&gt;=EOMONTH($X15,-1)+1,$Y15,TRUE,0)</f>
        <v>3367.51</v>
      </c>
      <c r="AW15" s="202" cm="1">
        <f t="array" ref="AW15">_xlfn.IFS(AW$3&lt;$B$2,SUMPRODUCT(('PA Fees Actual'!$B$5:$B$882=$E15)*('PA Fees Actual'!$A$5:$A$882&gt;=AW$3)*('PA Fees Actual'!$A$5:$A$882&lt;=EOMONTH(AW$3,0))*'PA Fees Actual'!$D$5:$D$882),AW$3&gt;=EOMONTH($X15,-1)+1,$Y15,TRUE,0)</f>
        <v>1683.73</v>
      </c>
      <c r="AX15" s="202" cm="1">
        <f t="array" ref="AX15">_xlfn.IFS(AX$3&lt;$B$2,SUMPRODUCT(('PA Fees Actual'!$B$5:$B$882=$E15)*('PA Fees Actual'!$A$5:$A$882&gt;=AX$3)*('PA Fees Actual'!$A$5:$A$882&lt;=EOMONTH(AX$3,0))*'PA Fees Actual'!$D$5:$D$882),AX$3&gt;=EOMONTH($X15,-1)+1,$Y15,TRUE,0)</f>
        <v>3367.4300000000003</v>
      </c>
      <c r="AY15" s="202" cm="1">
        <f t="array" ref="AY15">_xlfn.IFS(AY$3&lt;$B$2,SUMPRODUCT(('PA Fees Actual'!$B$5:$B$882=$E15)*('PA Fees Actual'!$A$5:$A$882&gt;=AY$3)*('PA Fees Actual'!$A$5:$A$882&lt;=EOMONTH(AY$3,0))*'PA Fees Actual'!$D$5:$D$882),AY$3&gt;=EOMONTH($X15,-1)+1,$Y15,TRUE,0)</f>
        <v>0</v>
      </c>
      <c r="AZ15" s="202" cm="1">
        <f t="array" ref="AZ15">_xlfn.IFS(AZ$3&lt;$B$2,SUMPRODUCT(('PA Fees Actual'!$B$5:$B$882=$E15)*('PA Fees Actual'!$A$5:$A$882&gt;=AZ$3)*('PA Fees Actual'!$A$5:$A$882&lt;=EOMONTH(AZ$3,0))*'PA Fees Actual'!$D$5:$D$882),AZ$3&gt;=EOMONTH($X15,-1)+1,$Y15,TRUE,0)</f>
        <v>3367.52</v>
      </c>
      <c r="BA15" s="202" cm="1">
        <f t="array" ref="BA15">_xlfn.IFS(BA$3&lt;$B$2,SUMPRODUCT(('PA Fees Actual'!$B$5:$B$882=$E15)*('PA Fees Actual'!$A$5:$A$882&gt;=BA$3)*('PA Fees Actual'!$A$5:$A$882&lt;=EOMONTH(BA$3,0))*'PA Fees Actual'!$D$5:$D$882),BA$3&gt;=EOMONTH($X15,-1)+1,$Y15,TRUE,0)</f>
        <v>0</v>
      </c>
      <c r="BB15" s="202" cm="1">
        <f t="array" ref="BB15">_xlfn.IFS(BB$3&lt;$B$2,SUMPRODUCT(('PA Fees Actual'!$B$5:$B$882=$E15)*('PA Fees Actual'!$A$5:$A$882&gt;=BB$3)*('PA Fees Actual'!$A$5:$A$882&lt;=EOMONTH(BB$3,0))*'PA Fees Actual'!$D$5:$D$882),BB$3&gt;=EOMONTH($X15,-1)+1,$Y15,TRUE,0)</f>
        <v>1683.76</v>
      </c>
      <c r="BC15" s="202" cm="1">
        <f t="array" ref="BC15">_xlfn.IFS(BC$3&lt;$B$2,SUMPRODUCT(('PA Fees Actual'!$B$5:$B$882=$E15)*('PA Fees Actual'!$A$5:$A$882&gt;=BC$3)*('PA Fees Actual'!$A$5:$A$882&lt;=EOMONTH(BC$3,0))*'PA Fees Actual'!$D$5:$D$882),BC$3&gt;=EOMONTH($X15,-1)+1,$Y15,TRUE,0)</f>
        <v>1683.57</v>
      </c>
      <c r="BD15" s="202" cm="1">
        <f t="array" ref="BD15">_xlfn.IFS(BD$3&lt;$B$2,SUMPRODUCT(('PA Fees Actual'!$B$5:$B$882=$E15)*('PA Fees Actual'!$A$5:$A$882&gt;=BD$3)*('PA Fees Actual'!$A$5:$A$882&lt;=EOMONTH(BD$3,0))*'PA Fees Actual'!$D$5:$D$882),BD$3&gt;=EOMONTH($X15,-1)+1,$Y15,TRUE,0)</f>
        <v>1683.74</v>
      </c>
      <c r="BE15" s="202" cm="1">
        <f t="array" ref="BE15">_xlfn.IFS(BE$3&lt;$B$2,SUMPRODUCT(('PA Fees Actual'!$B$5:$B$882=$E15)*('PA Fees Actual'!$A$5:$A$882&gt;=BE$3)*('PA Fees Actual'!$A$5:$A$882&lt;=EOMONTH(BE$3,0))*'PA Fees Actual'!$D$5:$D$882),BE$3&gt;=EOMONTH($X15,-1)+1,$Y15,TRUE,0)</f>
        <v>1683.37</v>
      </c>
      <c r="BF15" s="202" cm="1">
        <f t="array" ref="BF15">_xlfn.IFS(BF$3&lt;$B$2,SUMPRODUCT(('PA Fees Actual'!$B$5:$B$882=$E15)*('PA Fees Actual'!$A$5:$A$882&gt;=BF$3)*('PA Fees Actual'!$A$5:$A$882&lt;=EOMONTH(BF$3,0))*'PA Fees Actual'!$D$5:$D$882),BF$3&gt;=EOMONTH($X15,-1)+1,$Y15,TRUE,0)</f>
        <v>1683.73</v>
      </c>
      <c r="BG15" s="202" cm="1">
        <f t="array" ref="BG15">_xlfn.IFS(BG$3&lt;$B$2,SUMPRODUCT(('PA Fees Actual'!$B$5:$B$882=$E15)*('PA Fees Actual'!$A$5:$A$882&gt;=BG$3)*('PA Fees Actual'!$A$5:$A$882&lt;=EOMONTH(BG$3,0))*'PA Fees Actual'!$D$5:$D$882),BG$3&gt;=EOMONTH($X15,-1)+1,$Y15,TRUE,0)</f>
        <v>0</v>
      </c>
      <c r="BH15" s="202" cm="1">
        <f t="array" ref="BH15">_xlfn.IFS(BH$3&lt;$B$2,SUMPRODUCT(('PA Fees Actual'!$B$5:$B$882=$E15)*('PA Fees Actual'!$A$5:$A$882&gt;=BH$3)*('PA Fees Actual'!$A$5:$A$882&lt;=EOMONTH(BH$3,0))*'PA Fees Actual'!$D$5:$D$882),BH$3&gt;=EOMONTH($X15,-1)+1,$Y15,TRUE,0)</f>
        <v>1683.37</v>
      </c>
      <c r="BI15" s="202" cm="1">
        <f t="array" ref="BI15">_xlfn.IFS(BI$3&lt;$B$2,SUMPRODUCT(('PA Fees Actual'!$B$5:$B$882=$E15)*('PA Fees Actual'!$A$5:$A$882&gt;=BI$3)*('PA Fees Actual'!$A$5:$A$882&lt;=EOMONTH(BI$3,0))*'PA Fees Actual'!$D$5:$D$882),BI$3&gt;=EOMONTH($X15,-1)+1,$Y15,TRUE,0)</f>
        <v>3362.74</v>
      </c>
      <c r="BJ15" s="202" cm="1">
        <f t="array" ref="BJ15">_xlfn.IFS(BJ$3&lt;$B$2,SUMPRODUCT(('PA Fees Actual'!$B$5:$B$882=$E15)*('PA Fees Actual'!$A$5:$A$882&gt;=BJ$3)*('PA Fees Actual'!$A$5:$A$882&lt;=EOMONTH(BJ$3,0))*'PA Fees Actual'!$D$5:$D$882),BJ$3&gt;=EOMONTH($X15,-1)+1,$Y15,TRUE,0)</f>
        <v>1678.42</v>
      </c>
      <c r="BK15" s="202" cm="1">
        <f t="array" ref="BK15">_xlfn.IFS(BK$3&lt;$B$2,SUMPRODUCT(('PA Fees Actual'!$B$5:$B$882=$E15)*('PA Fees Actual'!$A$5:$A$882&gt;=BK$3)*('PA Fees Actual'!$A$5:$A$882&lt;=EOMONTH(BK$3,0))*'PA Fees Actual'!$D$5:$D$882),BK$3&gt;=EOMONTH($X15,-1)+1,$Y15,TRUE,0)</f>
        <v>1678.42</v>
      </c>
      <c r="BL15" s="202" cm="1">
        <f t="array" ref="BL15">_xlfn.IFS(BL$3&lt;$B$2,SUMPRODUCT(('PA Fees Actual'!$B$5:$B$882=$E15)*('PA Fees Actual'!$A$5:$A$882&gt;=BL$3)*('PA Fees Actual'!$A$5:$A$882&lt;=EOMONTH(BL$3,0))*'PA Fees Actual'!$D$5:$D$882),BL$3&gt;=EOMONTH($X15,-1)+1,$Y15,TRUE,0)</f>
        <v>1630.77</v>
      </c>
      <c r="BM15" s="202" cm="1">
        <f t="array" ref="BM15">_xlfn.IFS(BM$3&lt;$B$2,SUMPRODUCT(('PA Fees Actual'!$B$5:$B$882=$E15)*('PA Fees Actual'!$A$5:$A$882&gt;=BM$3)*('PA Fees Actual'!$A$5:$A$882&lt;=EOMONTH(BM$3,0))*'PA Fees Actual'!$D$5:$D$882),BM$3&gt;=EOMONTH($X15,-1)+1,$Y15,TRUE,0)</f>
        <v>0</v>
      </c>
      <c r="BN15" s="202" cm="1">
        <f t="array" ref="BN15">_xlfn.IFS(BN$3&lt;$B$2,SUMPRODUCT(('PA Fees Actual'!$B$5:$B$882=$E15)*('PA Fees Actual'!$A$5:$A$882&gt;=BN$3)*('PA Fees Actual'!$A$5:$A$882&lt;=EOMONTH(BN$3,0))*'PA Fees Actual'!$D$5:$D$882),BN$3&gt;=EOMONTH($X15,-1)+1,$Y15,TRUE,0)</f>
        <v>3316.06</v>
      </c>
      <c r="BO15" s="202" cm="1">
        <f t="array" ref="BO15">_xlfn.IFS(BO$3&lt;$B$2,SUMPRODUCT(('PA Fees Actual'!$B$5:$B$882=$E15)*('PA Fees Actual'!$A$5:$A$882&gt;=BO$3)*('PA Fees Actual'!$A$5:$A$882&lt;=EOMONTH(BO$3,0))*'PA Fees Actual'!$D$5:$D$882),BO$3&gt;=EOMONTH($X15,-1)+1,$Y15,TRUE,0)</f>
        <v>1568.79</v>
      </c>
      <c r="BP15" s="202" cm="1">
        <f t="array" ref="BP15">_xlfn.IFS(BP$3&lt;$B$2,SUMPRODUCT(('PA Fees Actual'!$B$5:$B$882=$E15)*('PA Fees Actual'!$A$5:$A$882&gt;=BP$3)*('PA Fees Actual'!$A$5:$A$882&lt;=EOMONTH(BP$3,0))*'PA Fees Actual'!$D$5:$D$882),BP$3&gt;=EOMONTH($X15,-1)+1,$Y15,TRUE,0)</f>
        <v>1593.06</v>
      </c>
      <c r="BQ15" s="202" cm="1">
        <f t="array" ref="BQ15">_xlfn.IFS(BQ$3&lt;$B$2,SUMPRODUCT(('PA Fees Actual'!$B$5:$B$882=$E15)*('PA Fees Actual'!$A$5:$A$882&gt;=BQ$3)*('PA Fees Actual'!$A$5:$A$882&lt;=EOMONTH(BQ$3,0))*'PA Fees Actual'!$D$5:$D$882),BQ$3&gt;=EOMONTH($X15,-1)+1,$Y15,TRUE,0)</f>
        <v>1593.06</v>
      </c>
      <c r="BR15" s="202" cm="1">
        <f t="array" ref="BR15">_xlfn.IFS(BR$3&lt;$B$2,SUMPRODUCT(('PA Fees Actual'!$B$5:$B$882=$E15)*('PA Fees Actual'!$A$5:$A$882&gt;=BR$3)*('PA Fees Actual'!$A$5:$A$882&lt;=EOMONTH(BR$3,0))*'PA Fees Actual'!$D$5:$D$882),BR$3&gt;=EOMONTH($X15,-1)+1,$Y15,TRUE,0)</f>
        <v>1629.1</v>
      </c>
      <c r="BS15" s="202" cm="1">
        <f t="array" ref="BS15">_xlfn.IFS(BS$3&lt;$B$2,SUMPRODUCT(('PA Fees Actual'!$B$5:$B$882=$E15)*('PA Fees Actual'!$A$5:$A$882&gt;=BS$3)*('PA Fees Actual'!$A$5:$A$882&lt;=EOMONTH(BS$3,0))*'PA Fees Actual'!$D$5:$D$882),BS$3&gt;=EOMONTH($X15,-1)+1,$Y15,TRUE,0)</f>
        <v>1683.67</v>
      </c>
      <c r="BT15" s="202" cm="1">
        <f t="array" ref="BT15">_xlfn.IFS(BT$3&lt;$B$2,SUMPRODUCT(('PA Fees Actual'!$B$5:$B$882=$E15)*('PA Fees Actual'!$A$5:$A$882&gt;=BT$3)*('PA Fees Actual'!$A$5:$A$882&lt;=EOMONTH(BT$3,0))*'PA Fees Actual'!$D$5:$D$882),BT$3&gt;=EOMONTH($X15,-1)+1,$Y15,TRUE,0)</f>
        <v>1683.67</v>
      </c>
      <c r="BU15" s="202" cm="1">
        <f t="array" ref="BU15">_xlfn.IFS(BU$3&lt;$B$2,SUMPRODUCT(('PA Fees Actual'!$B$5:$B$882=$E15)*('PA Fees Actual'!$A$5:$A$882&gt;=BU$3)*('PA Fees Actual'!$A$5:$A$882&lt;=EOMONTH(BU$3,0))*'PA Fees Actual'!$D$5:$D$882),BU$3&gt;=EOMONTH($X15,-1)+1,$Y15,TRUE,0)</f>
        <v>1653.22</v>
      </c>
      <c r="BV15" s="202" cm="1">
        <f t="array" ref="BV15">_xlfn.IFS(BV$3&lt;$B$2,SUMPRODUCT(('PA Fees Actual'!$B$5:$B$882=$E15)*('PA Fees Actual'!$A$5:$A$882&gt;=BV$3)*('PA Fees Actual'!$A$5:$A$882&lt;=EOMONTH(BV$3,0))*'PA Fees Actual'!$D$5:$D$882),BV$3&gt;=EOMONTH($X15,-1)+1,$Y15,TRUE,0)</f>
        <v>0</v>
      </c>
      <c r="BW15" s="202" cm="1">
        <f t="array" ref="BW15">_xlfn.IFS(BW$3&lt;$B$2,SUMPRODUCT(('PA Fees Actual'!$B$5:$B$882=$E15)*('PA Fees Actual'!$A$5:$A$882&gt;=BW$3)*('PA Fees Actual'!$A$5:$A$882&lt;=EOMONTH(BW$3,0))*'PA Fees Actual'!$D$5:$D$882),BW$3&gt;=EOMONTH($X15,-1)+1,$Y15,TRUE,0)</f>
        <v>0</v>
      </c>
      <c r="BX15" s="202" cm="1">
        <f t="array" ref="BX15">_xlfn.IFS(BX$3&lt;$B$2,SUMPRODUCT(('PA Fees Actual'!$B$5:$B$882=$E15)*('PA Fees Actual'!$A$5:$A$882&gt;=BX$3)*('PA Fees Actual'!$A$5:$A$882&lt;=EOMONTH(BX$3,0))*'PA Fees Actual'!$D$5:$D$882),BX$3&gt;=EOMONTH($X15,-1)+1,$Y15,TRUE,0)</f>
        <v>5017.7299999999996</v>
      </c>
      <c r="BY15" s="202" cm="1">
        <f t="array" ref="BY15">_xlfn.IFS(BY$3&lt;$B$2,SUMPRODUCT(('PA Fees Actual'!$B$5:$B$882=$E15)*('PA Fees Actual'!$A$5:$A$882&gt;=BY$3)*('PA Fees Actual'!$A$5:$A$882&lt;=EOMONTH(BY$3,0))*'PA Fees Actual'!$D$5:$D$882),BY$3&gt;=EOMONTH($X15,-1)+1,$Y15,TRUE,0)</f>
        <v>3362.87</v>
      </c>
      <c r="BZ15" s="202" cm="1">
        <f t="array" ref="BZ15">_xlfn.IFS(BZ$3&lt;$B$2,SUMPRODUCT(('PA Fees Actual'!$B$5:$B$882=$E15)*('PA Fees Actual'!$A$5:$A$882&gt;=BZ$3)*('PA Fees Actual'!$A$5:$A$882&lt;=EOMONTH(BZ$3,0))*'PA Fees Actual'!$D$5:$D$882),BZ$3&gt;=EOMONTH($X15,-1)+1,$Y15,TRUE,0)</f>
        <v>0</v>
      </c>
      <c r="CA15" s="202" cm="1">
        <f t="array" ref="CA15">_xlfn.IFS(CA$3&lt;$B$2,SUMPRODUCT(('PA Fees Actual'!$B$5:$B$882=$E15)*('PA Fees Actual'!$A$5:$A$882&gt;=CA$3)*('PA Fees Actual'!$A$5:$A$882&lt;=EOMONTH(CA$3,0))*'PA Fees Actual'!$D$5:$D$882),CA$3&gt;=EOMONTH($X15,-1)+1,$Y15,TRUE,0)</f>
        <v>1564.38</v>
      </c>
      <c r="CB15" s="202" cm="1">
        <f t="array" ref="CB15">_xlfn.IFS(CB$3&lt;$B$2,SUMPRODUCT(('PA Fees Actual'!$B$5:$B$882=$E15)*('PA Fees Actual'!$A$5:$A$882&gt;=CB$3)*('PA Fees Actual'!$A$5:$A$882&lt;=EOMONTH(CB$3,0))*'PA Fees Actual'!$D$5:$D$882),CB$3&gt;=EOMONTH($X15,-1)+1,$Y15,TRUE,0)</f>
        <v>1589.5</v>
      </c>
      <c r="CC15" s="202" cm="1">
        <f t="array" ref="CC15">_xlfn.IFS(CC$3&lt;$B$2,SUMPRODUCT(('PA Fees Actual'!$B$5:$B$882=$E15)*('PA Fees Actual'!$A$5:$A$882&gt;=CC$3)*('PA Fees Actual'!$A$5:$A$882&lt;=EOMONTH(CC$3,0))*'PA Fees Actual'!$D$5:$D$882),CC$3&gt;=EOMONTH($X15,-1)+1,$Y15,TRUE,0)</f>
        <v>1589.5</v>
      </c>
      <c r="CD15" s="202" cm="1">
        <f t="array" ref="CD15">_xlfn.IFS(CD$3&lt;$B$2,SUMPRODUCT(('PA Fees Actual'!$B$5:$B$882=$E15)*('PA Fees Actual'!$A$5:$A$882&gt;=CD$3)*('PA Fees Actual'!$A$5:$A$882&lt;=EOMONTH(CD$3,0))*'PA Fees Actual'!$D$5:$D$882),CD$3&gt;=EOMONTH($X15,-1)+1,$Y15,TRUE,0)</f>
        <v>1589.5</v>
      </c>
      <c r="CE15" s="202" cm="1">
        <f t="array" ref="CE15">_xlfn.IFS(CE$3&lt;$B$2,SUMPRODUCT(('PA Fees Actual'!$B$5:$B$882=$E15)*('PA Fees Actual'!$A$5:$A$882&gt;=CE$3)*('PA Fees Actual'!$A$5:$A$882&lt;=EOMONTH(CE$3,0))*'PA Fees Actual'!$D$5:$D$882),CE$3&gt;=EOMONTH($X15,-1)+1,$Y15,TRUE,0)</f>
        <v>1589.5</v>
      </c>
      <c r="CF15" s="202" cm="1">
        <f t="array" ref="CF15">_xlfn.IFS(CF$3&lt;$B$2,SUMPRODUCT(('PA Fees Actual'!$B$5:$B$882=$E15)*('PA Fees Actual'!$A$5:$A$882&gt;=CF$3)*('PA Fees Actual'!$A$5:$A$882&lt;=EOMONTH(CF$3,0))*'PA Fees Actual'!$D$5:$D$882),CF$3&gt;=EOMONTH($X15,-1)+1,$Y15,TRUE,0)</f>
        <v>1589.5</v>
      </c>
      <c r="CG15" s="202" cm="1">
        <f t="array" ref="CG15">_xlfn.IFS(CG$3&lt;$B$2,SUMPRODUCT(('PA Fees Actual'!$B$5:$B$882=$E15)*('PA Fees Actual'!$A$5:$A$882&gt;=CG$3)*('PA Fees Actual'!$A$5:$A$882&lt;=EOMONTH(CG$3,0))*'PA Fees Actual'!$D$5:$D$882),CG$3&gt;=EOMONTH($X15,-1)+1,$Y15,TRUE,0)</f>
        <v>1589.5</v>
      </c>
      <c r="CI15" s="202" cm="1">
        <f t="array" ref="CI15">_xlfn.IFS(CI$3&lt;=YEAR($B$2),SUMPRODUCT(($E$4:$E$79=$E15)*($Z$2:$CG$2=CI$3)*($Z$2:$CG$2&lt;CJ$3)*$Z$4:$CG$79),CI$3&lt;YEAR($X15),0,CI$3=YEAR($X15),DATEDIF($X15,DATE(CI$3,12,31),"m")*$Y15,AND(CI$3&gt;YEAR($X15),CI$3-YEAR($X15)&lt;20),$Y15*12,CI$3-YEAR($X15)=20,DATEDIF(DATE(YEAR($X15),1,1),$X15,"m")*$Y15,CI$3-YEAR($X15)&gt;20,0)</f>
        <v>0</v>
      </c>
      <c r="CJ15" s="202" cm="1">
        <f t="array" ref="CJ15">_xlfn.IFS(CJ$3&lt;=YEAR($B$2),SUMPRODUCT(($E$4:$E$79=$E15)*($Z$2:$CG$2=CJ$3)*($Z$2:$CG$2&lt;CK$3)*$Z$4:$CG$79),CJ$3&lt;YEAR($X15),0,CJ$3=YEAR($X15),DATEDIF($X15,DATE(CJ$3,12,31),"m")*$Y15,AND(CJ$3&gt;YEAR($X15),CJ$3-YEAR($X15)&lt;20),$Y15*12,CJ$3-YEAR($X15)=20,DATEDIF(DATE(YEAR($X15),1,1),$X15,"m")*$Y15,CJ$3-YEAR($X15)&gt;20,0)</f>
        <v>19620.09</v>
      </c>
      <c r="CK15" s="202" cm="1">
        <f t="array" ref="CK15">_xlfn.IFS(CK$3&lt;=YEAR($B$2),SUMPRODUCT(($E$4:$E$79=$E15)*($Z$2:$CG$2=CK$3)*($Z$2:$CG$2&lt;CL$3)*$Z$4:$CG$79),CK$3&lt;YEAR($X15),0,CK$3=YEAR($X15),DATEDIF($X15,DATE(CK$3,12,31),"m")*$Y15,AND(CK$3&gt;YEAR($X15),CK$3-YEAR($X15)&lt;20),$Y15*12,CK$3-YEAR($X15)=20,DATEDIF(DATE(YEAR($X15),1,1),$X15,"m")*$Y15,CK$3-YEAR($X15)&gt;20,0)</f>
        <v>20199.229999999996</v>
      </c>
      <c r="CL15" s="202" cm="1">
        <f t="array" ref="CL15">_xlfn.IFS(CL$3&lt;=YEAR($B$2),SUMPRODUCT(($E$4:$E$79=$E15)*($Z$2:$CG$2=CL$3)*($Z$2:$CG$2&lt;CM$3)*$Z$4:$CG$79),CL$3&lt;YEAR($X15),0,CL$3=YEAR($X15),DATEDIF($X15,DATE(CL$3,12,31),"m")*$Y15,AND(CL$3&gt;YEAR($X15),CL$3-YEAR($X15)&lt;20),$Y15*12,CL$3-YEAR($X15)=20,DATEDIF(DATE(YEAR($X15),1,1),$X15,"m")*$Y15,CL$3-YEAR($X15)&gt;20,0)</f>
        <v>19708.239999999998</v>
      </c>
      <c r="CM15" s="202" cm="1">
        <f t="array" ref="CM15">_xlfn.IFS(CM$3&lt;=YEAR($B$2),SUMPRODUCT(($E$4:$E$79=$E15)*($Z$2:$CG$2=CM$3)*($Z$2:$CG$2&lt;CN$3)*$Z$4:$CG$79),CM$3&lt;YEAR($X15),0,CM$3=YEAR($X15),DATEDIF($X15,DATE(CM$3,12,31),"m")*$Y15,AND(CM$3&gt;YEAR($X15),CM$3-YEAR($X15)&lt;20),$Y15*12,CM$3-YEAR($X15)=20,DATEDIF(DATE(YEAR($X15),1,1),$X15,"m")*$Y15,CM$3-YEAR($X15)&gt;20,0)</f>
        <v>19481.98</v>
      </c>
      <c r="CN15" s="202" cm="1">
        <f t="array" ref="CN15">_xlfn.IFS(CN$3&lt;=YEAR($B$2),SUMPRODUCT(($E$4:$E$79=$E15)*($Z$2:$CG$2=CN$3)*($Z$2:$CG$2&lt;CO$3)*$Z$4:$CG$79),CN$3&lt;YEAR($X15),0,CN$3=YEAR($X15),DATEDIF($X15,DATE(CN$3,12,31),"m")*$Y15,AND(CN$3&gt;YEAR($X15),CN$3-YEAR($X15)&lt;20),$Y15*12,CN$3-YEAR($X15)=20,DATEDIF(DATE(YEAR($X15),1,1),$X15,"m")*$Y15,CN$3-YEAR($X15)&gt;20,0)</f>
        <v>19074</v>
      </c>
      <c r="CO15" s="202" cm="1">
        <f t="array" ref="CO15">_xlfn.IFS(CO$3&lt;=YEAR($B$2),SUMPRODUCT(($E$4:$E$79=$E15)*($Z$2:$CG$2=CO$3)*($Z$2:$CG$2&lt;CP$3)*$Z$4:$CG$79),CO$3&lt;YEAR($X15),0,CO$3=YEAR($X15),DATEDIF($X15,DATE(CO$3,12,31),"m")*$Y15,AND(CO$3&gt;YEAR($X15),CO$3-YEAR($X15)&lt;20),$Y15*12,CO$3-YEAR($X15)=20,DATEDIF(DATE(YEAR($X15),1,1),$X15,"m")*$Y15,CO$3-YEAR($X15)&gt;20,0)</f>
        <v>19074</v>
      </c>
      <c r="CP15" s="202" cm="1">
        <f t="array" ref="CP15">_xlfn.IFS(CP$3&lt;=YEAR($B$2),SUMPRODUCT(($E$4:$E$79=$E15)*($Z$2:$CG$2=CP$3)*($Z$2:$CG$2&lt;CQ$3)*$Z$4:$CG$79),CP$3&lt;YEAR($X15),0,CP$3=YEAR($X15),DATEDIF($X15,DATE(CP$3,12,31),"m")*$Y15,AND(CP$3&gt;YEAR($X15),CP$3-YEAR($X15)&lt;20),$Y15*12,CP$3-YEAR($X15)=20,DATEDIF(DATE(YEAR($X15),1,1),$X15,"m")*$Y15,CP$3-YEAR($X15)&gt;20,0)</f>
        <v>19074</v>
      </c>
      <c r="CQ15" s="202" cm="1">
        <f t="array" ref="CQ15">_xlfn.IFS(CQ$3&lt;=YEAR($B$2),SUMPRODUCT(($E$4:$E$79=$E15)*($Z$2:$CG$2=CQ$3)*($Z$2:$CG$2&lt;CR$3)*$Z$4:$CG$79),CQ$3&lt;YEAR($X15),0,CQ$3=YEAR($X15),DATEDIF($X15,DATE(CQ$3,12,31),"m")*$Y15,AND(CQ$3&gt;YEAR($X15),CQ$3-YEAR($X15)&lt;20),$Y15*12,CQ$3-YEAR($X15)=20,DATEDIF(DATE(YEAR($X15),1,1),$X15,"m")*$Y15,CQ$3-YEAR($X15)&gt;20,0)</f>
        <v>19074</v>
      </c>
      <c r="CR15" s="202" cm="1">
        <f t="array" ref="CR15">_xlfn.IFS(CR$3&lt;=YEAR($B$2),SUMPRODUCT(($E$4:$E$79=$E15)*($Z$2:$CG$2=CR$3)*($Z$2:$CG$2&lt;CS$3)*$Z$4:$CG$79),CR$3&lt;YEAR($X15),0,CR$3=YEAR($X15),DATEDIF($X15,DATE(CR$3,12,31),"m")*$Y15,AND(CR$3&gt;YEAR($X15),CR$3-YEAR($X15)&lt;20),$Y15*12,CR$3-YEAR($X15)=20,DATEDIF(DATE(YEAR($X15),1,1),$X15,"m")*$Y15,CR$3-YEAR($X15)&gt;20,0)</f>
        <v>19074</v>
      </c>
      <c r="CS15" s="202" cm="1">
        <f t="array" ref="CS15">_xlfn.IFS(CS$3&lt;=YEAR($B$2),SUMPRODUCT(($E$4:$E$79=$E15)*($Z$2:$CG$2=CS$3)*($Z$2:$CG$2&lt;CT$3)*$Z$4:$CG$79),CS$3&lt;YEAR($X15),0,CS$3=YEAR($X15),DATEDIF($X15,DATE(CS$3,12,31),"m")*$Y15,AND(CS$3&gt;YEAR($X15),CS$3-YEAR($X15)&lt;20),$Y15*12,CS$3-YEAR($X15)=20,DATEDIF(DATE(YEAR($X15),1,1),$X15,"m")*$Y15,CS$3-YEAR($X15)&gt;20,0)</f>
        <v>19074</v>
      </c>
      <c r="CT15" s="202" cm="1">
        <f t="array" ref="CT15">_xlfn.IFS(CT$3&lt;=YEAR($B$2),SUMPRODUCT(($E$4:$E$79=$E15)*($Z$2:$CG$2=CT$3)*($Z$2:$CG$2&lt;CU$3)*$Z$4:$CG$79),CT$3&lt;YEAR($X15),0,CT$3=YEAR($X15),DATEDIF($X15,DATE(CT$3,12,31),"m")*$Y15,AND(CT$3&gt;YEAR($X15),CT$3-YEAR($X15)&lt;20),$Y15*12,CT$3-YEAR($X15)=20,DATEDIF(DATE(YEAR($X15),1,1),$X15,"m")*$Y15,CT$3-YEAR($X15)&gt;20,0)</f>
        <v>19074</v>
      </c>
      <c r="CU15" s="202" cm="1">
        <f t="array" ref="CU15">_xlfn.IFS(CU$3&lt;=YEAR($B$2),SUMPRODUCT(($E$4:$E$79=$E15)*($Z$2:$CG$2=CU$3)*($Z$2:$CG$2&lt;CV$3)*$Z$4:$CG$79),CU$3&lt;YEAR($X15),0,CU$3=YEAR($X15),DATEDIF($X15,DATE(CU$3,12,31),"m")*$Y15,AND(CU$3&gt;YEAR($X15),CU$3-YEAR($X15)&lt;20),$Y15*12,CU$3-YEAR($X15)=20,DATEDIF(DATE(YEAR($X15),1,1),$X15,"m")*$Y15,CU$3-YEAR($X15)&gt;20,0)</f>
        <v>19074</v>
      </c>
      <c r="CV15" s="202" cm="1">
        <f t="array" ref="CV15">_xlfn.IFS(CV$3&lt;=YEAR($B$2),SUMPRODUCT(($E$4:$E$79=$E15)*($Z$2:$CG$2=CV$3)*($Z$2:$CG$2&lt;CW$3)*$Z$4:$CG$79),CV$3&lt;YEAR($X15),0,CV$3=YEAR($X15),DATEDIF($X15,DATE(CV$3,12,31),"m")*$Y15,AND(CV$3&gt;YEAR($X15),CV$3-YEAR($X15)&lt;20),$Y15*12,CV$3-YEAR($X15)=20,DATEDIF(DATE(YEAR($X15),1,1),$X15,"m")*$Y15,CV$3-YEAR($X15)&gt;20,0)</f>
        <v>19074</v>
      </c>
      <c r="CW15" s="202" cm="1">
        <f t="array" ref="CW15">_xlfn.IFS(CW$3&lt;=YEAR($B$2),SUMPRODUCT(($E$4:$E$79=$E15)*($Z$2:$CG$2=CW$3)*($Z$2:$CG$2&lt;CX$3)*$Z$4:$CG$79),CW$3&lt;YEAR($X15),0,CW$3=YEAR($X15),DATEDIF($X15,DATE(CW$3,12,31),"m")*$Y15,AND(CW$3&gt;YEAR($X15),CW$3-YEAR($X15)&lt;20),$Y15*12,CW$3-YEAR($X15)=20,DATEDIF(DATE(YEAR($X15),1,1),$X15,"m")*$Y15,CW$3-YEAR($X15)&gt;20,0)</f>
        <v>19074</v>
      </c>
      <c r="CX15" s="202" cm="1">
        <f t="array" ref="CX15">_xlfn.IFS(CX$3&lt;=YEAR($B$2),SUMPRODUCT(($E$4:$E$79=$E15)*($Z$2:$CG$2=CX$3)*($Z$2:$CG$2&lt;CY$3)*$Z$4:$CG$79),CX$3&lt;YEAR($X15),0,CX$3=YEAR($X15),DATEDIF($X15,DATE(CX$3,12,31),"m")*$Y15,AND(CX$3&gt;YEAR($X15),CX$3-YEAR($X15)&lt;20),$Y15*12,CX$3-YEAR($X15)=20,DATEDIF(DATE(YEAR($X15),1,1),$X15,"m")*$Y15,CX$3-YEAR($X15)&gt;20,0)</f>
        <v>19074</v>
      </c>
      <c r="CY15" s="202" cm="1">
        <f t="array" ref="CY15">_xlfn.IFS(CY$3&lt;=YEAR($B$2),SUMPRODUCT(($E$4:$E$79=$E15)*($Z$2:$CG$2=CY$3)*($Z$2:$CG$2&lt;CZ$3)*$Z$4:$CG$79),CY$3&lt;YEAR($X15),0,CY$3=YEAR($X15),DATEDIF($X15,DATE(CY$3,12,31),"m")*$Y15,AND(CY$3&gt;YEAR($X15),CY$3-YEAR($X15)&lt;20),$Y15*12,CY$3-YEAR($X15)=20,DATEDIF(DATE(YEAR($X15),1,1),$X15,"m")*$Y15,CY$3-YEAR($X15)&gt;20,0)</f>
        <v>19074</v>
      </c>
      <c r="CZ15" s="202" cm="1">
        <f t="array" ref="CZ15">_xlfn.IFS(CZ$3&lt;=YEAR($B$2),SUMPRODUCT(($E$4:$E$79=$E15)*($Z$2:$CG$2=CZ$3)*($Z$2:$CG$2&lt;DA$3)*$Z$4:$CG$79),CZ$3&lt;YEAR($X15),0,CZ$3=YEAR($X15),DATEDIF($X15,DATE(CZ$3,12,31),"m")*$Y15,AND(CZ$3&gt;YEAR($X15),CZ$3-YEAR($X15)&lt;20),$Y15*12,CZ$3-YEAR($X15)=20,DATEDIF(DATE(YEAR($X15),1,1),$X15,"m")*$Y15,CZ$3-YEAR($X15)&gt;20,0)</f>
        <v>19074</v>
      </c>
      <c r="DA15" s="202" cm="1">
        <f t="array" ref="DA15">_xlfn.IFS(DA$3&lt;=YEAR($B$2),SUMPRODUCT(($E$4:$E$79=$E15)*($Z$2:$CG$2=DA$3)*($Z$2:$CG$2&lt;DB$3)*$Z$4:$CG$79),DA$3&lt;YEAR($X15),0,DA$3=YEAR($X15),DATEDIF($X15,DATE(DA$3,12,31),"m")*$Y15,AND(DA$3&gt;YEAR($X15),DA$3-YEAR($X15)&lt;20),$Y15*12,DA$3-YEAR($X15)=20,DATEDIF(DATE(YEAR($X15),1,1),$X15,"m")*$Y15,DA$3-YEAR($X15)&gt;20,0)</f>
        <v>19074</v>
      </c>
      <c r="DB15" s="202" cm="1">
        <f t="array" ref="DB15">_xlfn.IFS(DB$3&lt;=YEAR($B$2),SUMPRODUCT(($E$4:$E$79=$E15)*($Z$2:$CG$2=DB$3)*($Z$2:$CG$2&lt;DC$3)*$Z$4:$CG$79),DB$3&lt;YEAR($X15),0,DB$3=YEAR($X15),DATEDIF($X15,DATE(DB$3,12,31),"m")*$Y15,AND(DB$3&gt;YEAR($X15),DB$3-YEAR($X15)&lt;20),$Y15*12,DB$3-YEAR($X15)=20,DATEDIF(DATE(YEAR($X15),1,1),$X15,"m")*$Y15,DB$3-YEAR($X15)&gt;20,0)</f>
        <v>19074</v>
      </c>
      <c r="DC15" s="202" cm="1">
        <f t="array" ref="DC15">_xlfn.IFS(DC$3&lt;=YEAR($B$2),SUMPRODUCT(($E$4:$E$79=$E15)*($Z$2:$CG$2=DC$3)*($Z$2:$CG$2&lt;DD$3)*$Z$4:$CG$79),DC$3&lt;YEAR($X15),0,DC$3=YEAR($X15),DATEDIF($X15,DATE(DC$3,12,31),"m")*$Y15,AND(DC$3&gt;YEAR($X15),DC$3-YEAR($X15)&lt;20),$Y15*12,DC$3-YEAR($X15)=20,DATEDIF(DATE(YEAR($X15),1,1),$X15,"m")*$Y15,DC$3-YEAR($X15)&gt;20,0)</f>
        <v>17484.5</v>
      </c>
      <c r="DD15" s="202" cm="1">
        <f t="array" ref="DD15">_xlfn.IFS(DD$3&lt;=YEAR($B$2),SUMPRODUCT(($E$4:$E$79=$E15)*($Z$2:$CG$2=DD$3)*($Z$2:$CG$2&lt;DE$3)*$Z$4:$CG$79),DD$3&lt;YEAR($X15),0,DD$3=YEAR($X15),DATEDIF($X15,DATE(DD$3,12,31),"m")*$Y15,AND(DD$3&gt;YEAR($X15),DD$3-YEAR($X15)&lt;20),$Y15*12,DD$3-YEAR($X15)=20,DATEDIF(DATE(YEAR($X15),1,1),$X15,"m")*$Y15,DD$3-YEAR($X15)&gt;20,0)</f>
        <v>0</v>
      </c>
      <c r="DE15" s="202" cm="1">
        <f t="array" ref="DE15">_xlfn.IFS(DE$3&lt;=YEAR($B$2),SUMPRODUCT(($E$4:$E$79=$E15)*($Z$2:$CG$2=DE$3)*($Z$2:$CG$2&lt;DF$3)*$Z$4:$CG$79),DE$3&lt;YEAR($X15),0,DE$3=YEAR($X15),DATEDIF($X15,DATE(DE$3,12,31),"m")*$Y15,AND(DE$3&gt;YEAR($X15),DE$3-YEAR($X15)&lt;20),$Y15*12,DE$3-YEAR($X15)=20,DATEDIF(DATE(YEAR($X15),1,1),$X15,"m")*$Y15,DE$3-YEAR($X15)&gt;20,0)</f>
        <v>0</v>
      </c>
      <c r="DF15" s="202" cm="1">
        <f t="array" ref="DF15">_xlfn.IFS(DF$3&lt;=YEAR($B$2),SUMPRODUCT(($E$4:$E$79=$E15)*($Z$2:$CG$2=DF$3)*($Z$2:$CG$2&lt;DG$3)*$Z$4:$CG$79),DF$3&lt;YEAR($X15),0,DF$3=YEAR($X15),DATEDIF($X15,DATE(DF$3,12,31),"m")*$Y15,AND(DF$3&gt;YEAR($X15),DF$3-YEAR($X15)&lt;20),$Y15*12,DF$3-YEAR($X15)=20,DATEDIF(DATE(YEAR($X15),1,1),$X15,"m")*$Y15,DF$3-YEAR($X15)&gt;20,0)</f>
        <v>0</v>
      </c>
      <c r="DG15" s="202" cm="1">
        <f t="array" ref="DG15">_xlfn.IFS(DG$3&lt;=YEAR($B$2),SUMPRODUCT(($E$4:$E$79=$E15)*($Z$2:$CG$2=DG$3)*($Z$2:$CG$2&lt;DH$3)*$Z$4:$CG$79),DG$3&lt;YEAR($X15),0,DG$3=YEAR($X15),DATEDIF($X15,DATE(DG$3,12,31),"m")*$Y15,AND(DG$3&gt;YEAR($X15),DG$3-YEAR($X15)&lt;20),$Y15*12,DG$3-YEAR($X15)=20,DATEDIF(DATE(YEAR($X15),1,1),$X15,"m")*$Y15,DG$3-YEAR($X15)&gt;20,0)</f>
        <v>0</v>
      </c>
      <c r="DH15" s="202" cm="1">
        <f t="array" ref="DH15">_xlfn.IFS(DH$3&lt;=YEAR($B$2),SUMPRODUCT(($E$4:$E$79=$E15)*($Z$2:$CG$2=DH$3)*($Z$2:$CG$2&lt;DI$3)*$Z$4:$CG$79),DH$3&lt;YEAR($X15),0,DH$3=YEAR($X15),DATEDIF($X15,DATE(DH$3,12,31),"m")*$Y15,AND(DH$3&gt;YEAR($X15),DH$3-YEAR($X15)&lt;20),$Y15*12,DH$3-YEAR($X15)=20,DATEDIF(DATE(YEAR($X15),1,1),$X15,"m")*$Y15,DH$3-YEAR($X15)&gt;20,0)</f>
        <v>0</v>
      </c>
      <c r="DI15" s="202" cm="1">
        <f t="array" ref="DI15">_xlfn.IFS(DI$3&lt;=YEAR($B$2),SUMPRODUCT(($E$4:$E$79=$E15)*($Z$2:$CG$2=DI$3)*($Z$2:$CG$2&lt;DJ$3)*$Z$4:$CG$79),DI$3&lt;YEAR($X15),0,DI$3=YEAR($X15),DATEDIF($X15,DATE(DI$3,12,31),"m")*$Y15,AND(DI$3&gt;YEAR($X15),DI$3-YEAR($X15)&lt;20),$Y15*12,DI$3-YEAR($X15)=20,DATEDIF(DATE(YEAR($X15),1,1),$X15,"m")*$Y15,DI$3-YEAR($X15)&gt;20,0)</f>
        <v>0</v>
      </c>
      <c r="DJ15" s="202" cm="1">
        <f t="array" ref="DJ15">_xlfn.IFS(DJ$3&lt;=YEAR($B$2),SUMPRODUCT(($E$4:$E$79=$E15)*($Z$2:$CG$2=DJ$3)*($Z$2:$CG$2&lt;DK$3)*$Z$4:$CG$79),DJ$3&lt;YEAR($X15),0,DJ$3=YEAR($X15),DATEDIF($X15,DATE(DJ$3,12,31),"m")*$Y15,AND(DJ$3&gt;YEAR($X15),DJ$3-YEAR($X15)&lt;20),$Y15*12,DJ$3-YEAR($X15)=20,DATEDIF(DATE(YEAR($X15),1,1),$X15,"m")*$Y15,DJ$3-YEAR($X15)&gt;20,0)</f>
        <v>0</v>
      </c>
      <c r="DK15" s="202" cm="1">
        <f t="array" ref="DK15">_xlfn.IFS(DK$3&lt;=YEAR($B$2),SUMPRODUCT(($E$4:$E$79=$E15)*($Z$2:$CG$2=DK$3)*($Z$2:$CG$2&lt;DL$3)*$Z$4:$CG$79),DK$3&lt;YEAR($X15),0,DK$3=YEAR($X15),DATEDIF($X15,DATE(DK$3,12,31),"m")*$Y15,AND(DK$3&gt;YEAR($X15),DK$3-YEAR($X15)&lt;20),$Y15*12,DK$3-YEAR($X15)=20,DATEDIF(DATE(YEAR($X15),1,1),$X15,"m")*$Y15,DK$3-YEAR($X15)&gt;20,0)</f>
        <v>0</v>
      </c>
      <c r="DL15" s="202" cm="1">
        <f t="array" ref="DL15">_xlfn.IFS(DL$3&lt;=YEAR($B$2),SUMPRODUCT(($E$4:$E$79=$E15)*($Z$2:$CG$2=DL$3)*($Z$2:$CG$2&lt;DM$3)*$Z$4:$CG$79),DL$3&lt;YEAR($X15),0,DL$3=YEAR($X15),DATEDIF($X15,DATE(DL$3,12,31),"m")*$Y15,AND(DL$3&gt;YEAR($X15),DL$3-YEAR($X15)&lt;20),$Y15*12,DL$3-YEAR($X15)=20,DATEDIF(DATE(YEAR($X15),1,1),$X15,"m")*$Y15,DL$3-YEAR($X15)&gt;20,0)</f>
        <v>0</v>
      </c>
      <c r="DO15" s="166">
        <f t="shared" si="26"/>
        <v>2024</v>
      </c>
      <c r="DP15" s="158">
        <v>256606.07</v>
      </c>
      <c r="DQ15" s="158">
        <v>35873.06</v>
      </c>
      <c r="DR15" s="158">
        <v>4087.91</v>
      </c>
      <c r="DS15" s="158">
        <f t="shared" si="27"/>
        <v>296567.03999999998</v>
      </c>
    </row>
    <row r="16" spans="1:150">
      <c r="A16" s="155" t="str" cm="1">
        <f t="array" ref="A16">INDEX('Monthly Report July 2025'!C:C,MATCH(E16,'Monthly Report July 2025'!E:E,0),0)</f>
        <v>SPQ0125</v>
      </c>
      <c r="B16" s="155" t="str" cm="1">
        <f t="array" ref="B16">_xlfn.IFS(LEFT(E16,3)="PGE","PGE",LEFT(E16,2)="PP","PAC",TRUE,"IP")</f>
        <v>PGE</v>
      </c>
      <c r="C16" s="155" t="str">
        <f>IF(ISNA(MATCH(E16,'Monthly Report July 2025'!E:E,0)),"Missing","Present")</f>
        <v>Present</v>
      </c>
      <c r="D16" s="155" t="str">
        <f>IF(ISNA(MATCH(E16,'Project Operational Timelines'!C:C,0))=TRUE,"Missing","Present")</f>
        <v>Present</v>
      </c>
      <c r="E16" s="155" t="s">
        <v>121</v>
      </c>
      <c r="F16" s="155" t="str" cm="1">
        <f t="array" ref="F16">INDEX('Monthly Report July 2025'!F:F,MATCH(E16,'Monthly Report July 2025'!E:E,),0)</f>
        <v>River Valley</v>
      </c>
      <c r="G16" s="155" t="str" cm="1">
        <f t="array" ref="G16">_xlfn.IFS(INDEX('Monthly Report July 2025'!O:O,MATCH(E16,'Monthly Report July 2025'!E:E,0),0)="Operational","Operational",INDEX('Monthly Report July 2025'!O:O,MATCH(E16,'Monthly Report July 2025'!E:E,0),0)="Certified","Certified",TRUE,"Pre-Certified")</f>
        <v>Operational</v>
      </c>
      <c r="H16" s="155" t="str" cm="1">
        <f t="array" ref="H16">INDEX('Monthly Report July 2025'!H:H,MATCH($E16,'Monthly Report July 2025'!$E:$E,0),0)</f>
        <v>Neighborhood Power</v>
      </c>
      <c r="I16" s="155" t="str" cm="1">
        <f t="array" ref="I16">INDEX('Monthly Report July 2025'!I:I,MATCH($E16,'Monthly Report July 2025'!$E:$E,0),0)</f>
        <v>Neighborhood Power</v>
      </c>
      <c r="J16" s="174" cm="1">
        <f t="array" ref="J16">INDEX('Monthly Report July 2025'!J:J,MATCH($E16,'Monthly Report July 2025'!$E:$E,0),0)</f>
        <v>2</v>
      </c>
      <c r="K16" s="174" t="str" cm="1">
        <f t="array" ref="K16">INDEX('Monthly Report July 2025'!K:K,MATCH($E16,'Monthly Report July 2025'!$E:$E,0),0)</f>
        <v>No</v>
      </c>
      <c r="L16" s="174" t="b" cm="1">
        <f t="array" ref="L16">INDEX('Monthly Report July 2025'!L:L,MATCH(E16,'Monthly Report July 2025'!E:E,0),0)=M16</f>
        <v>1</v>
      </c>
      <c r="M16" s="273" cm="1">
        <f t="array" ref="M16">INDEX('Monthly Report July 2025'!L:L,MATCH($E16,'Monthly Report July 2025'!$E:$E,0),0)</f>
        <v>1998</v>
      </c>
      <c r="N16" s="175" cm="1">
        <f t="array" ref="N16">INDEX('Monthly Report July 2025'!M:M,MATCH($E16,'Monthly Report July 2025'!$E:$E,0),0)</f>
        <v>44672</v>
      </c>
      <c r="O16" s="175" t="str" cm="1">
        <f t="array" ref="O16">_xlfn.IFS(G16="Operational","Operational",G16="Certified","Certified",TRUE,INDEX('Monthly Report July 2025'!O:O,MATCH(E16,'Monthly Report July 2025'!E:E,0),0))</f>
        <v>Operational</v>
      </c>
      <c r="P16" s="175" t="b" cm="1">
        <f t="array" ref="P16">_xlfn.IFS(G16="Operational",O16="Operational",G16="Certified",O16="Certified",TRUE,G16="Pre-Certified")</f>
        <v>1</v>
      </c>
      <c r="Q16" s="175" cm="1">
        <f t="array" ref="Q16">IF(O16="Operational",INDEX('Monthly Report July 2025'!R:R,MATCH(E16,'Monthly Report July 2025'!E:E,0),0),"")</f>
        <v>44958</v>
      </c>
      <c r="R16" s="175" cm="1">
        <f t="array" ref="R16">INDEX('Monthly Report July 2025'!P:P,MATCH(E16,'Monthly Report July 2025'!E:E,0),0)</f>
        <v>44909</v>
      </c>
      <c r="S16" s="175" t="b">
        <f t="shared" si="5"/>
        <v>1</v>
      </c>
      <c r="T16" s="175" cm="1">
        <f t="array" ref="T16">INDEX('Monthly Report July 2025'!U:U,MATCH(E16,'Monthly Report July 2025'!E:E,0),0)</f>
        <v>44908</v>
      </c>
      <c r="U16" s="175" t="str">
        <f t="shared" si="6"/>
        <v>IGNORE</v>
      </c>
      <c r="V16" s="156">
        <f t="shared" si="7"/>
        <v>44909</v>
      </c>
      <c r="W16" s="156" cm="1">
        <f t="array" ref="W16">_xlfn.IFS(U16=TRUE,EDATE(O16,6),U16=FALSE,T16,O16="Operational",Q16,AND(O16="Certified",EDATE(R16,6)&gt;T16),EDATE(R16,6),TRUE,T16)</f>
        <v>44958</v>
      </c>
      <c r="X16" s="156">
        <f t="shared" si="8"/>
        <v>45017</v>
      </c>
      <c r="Y16" s="157">
        <f t="shared" si="9"/>
        <v>1443.5549999999998</v>
      </c>
      <c r="Z16" s="202" cm="1">
        <f t="array" ref="Z16">_xlfn.IFS(Z$3&lt;$B$2,SUMPRODUCT(('PA Fees Actual'!$B$5:$B$882=$E16)*('PA Fees Actual'!$A$5:$A$882&gt;=Z$3)*('PA Fees Actual'!$A$5:$A$882&lt;=EOMONTH(Z$3,0))*'PA Fees Actual'!$D$5:$D$882),Z$3&gt;=EOMONTH($X16,-1)+1,$Y16,TRUE,0)</f>
        <v>0</v>
      </c>
      <c r="AA16" s="202" cm="1">
        <f t="array" ref="AA16">_xlfn.IFS(AA$3&lt;$B$2,SUMPRODUCT(('PA Fees Actual'!$B$5:$B$882=$E16)*('PA Fees Actual'!$A$5:$A$882&gt;=AA$3)*('PA Fees Actual'!$A$5:$A$882&lt;=EOMONTH(AA$3,0))*'PA Fees Actual'!$D$5:$D$882),AA$3&gt;=EOMONTH($X16,-1)+1,$Y16,TRUE,0)</f>
        <v>0</v>
      </c>
      <c r="AB16" s="202" cm="1">
        <f t="array" ref="AB16">_xlfn.IFS(AB$3&lt;$B$2,SUMPRODUCT(('PA Fees Actual'!$B$5:$B$882=$E16)*('PA Fees Actual'!$A$5:$A$882&gt;=AB$3)*('PA Fees Actual'!$A$5:$A$882&lt;=EOMONTH(AB$3,0))*'PA Fees Actual'!$D$5:$D$882),AB$3&gt;=EOMONTH($X16,-1)+1,$Y16,TRUE,0)</f>
        <v>0</v>
      </c>
      <c r="AC16" s="202" cm="1">
        <f t="array" ref="AC16">_xlfn.IFS(AC$3&lt;$B$2,SUMPRODUCT(('PA Fees Actual'!$B$5:$B$882=$E16)*('PA Fees Actual'!$A$5:$A$882&gt;=AC$3)*('PA Fees Actual'!$A$5:$A$882&lt;=EOMONTH(AC$3,0))*'PA Fees Actual'!$D$5:$D$882),AC$3&gt;=EOMONTH($X16,-1)+1,$Y16,TRUE,0)</f>
        <v>0</v>
      </c>
      <c r="AD16" s="202" cm="1">
        <f t="array" ref="AD16">_xlfn.IFS(AD$3&lt;$B$2,SUMPRODUCT(('PA Fees Actual'!$B$5:$B$882=$E16)*('PA Fees Actual'!$A$5:$A$882&gt;=AD$3)*('PA Fees Actual'!$A$5:$A$882&lt;=EOMONTH(AD$3,0))*'PA Fees Actual'!$D$5:$D$882),AD$3&gt;=EOMONTH($X16,-1)+1,$Y16,TRUE,0)</f>
        <v>0</v>
      </c>
      <c r="AE16" s="202" cm="1">
        <f t="array" ref="AE16">_xlfn.IFS(AE$3&lt;$B$2,SUMPRODUCT(('PA Fees Actual'!$B$5:$B$882=$E16)*('PA Fees Actual'!$A$5:$A$882&gt;=AE$3)*('PA Fees Actual'!$A$5:$A$882&lt;=EOMONTH(AE$3,0))*'PA Fees Actual'!$D$5:$D$882),AE$3&gt;=EOMONTH($X16,-1)+1,$Y16,TRUE,0)</f>
        <v>0</v>
      </c>
      <c r="AF16" s="202" cm="1">
        <f t="array" ref="AF16">_xlfn.IFS(AF$3&lt;$B$2,SUMPRODUCT(('PA Fees Actual'!$B$5:$B$882=$E16)*('PA Fees Actual'!$A$5:$A$882&gt;=AF$3)*('PA Fees Actual'!$A$5:$A$882&lt;=EOMONTH(AF$3,0))*'PA Fees Actual'!$D$5:$D$882),AF$3&gt;=EOMONTH($X16,-1)+1,$Y16,TRUE,0)</f>
        <v>0</v>
      </c>
      <c r="AG16" s="202" cm="1">
        <f t="array" ref="AG16">_xlfn.IFS(AG$3&lt;$B$2,SUMPRODUCT(('PA Fees Actual'!$B$5:$B$882=$E16)*('PA Fees Actual'!$A$5:$A$882&gt;=AG$3)*('PA Fees Actual'!$A$5:$A$882&lt;=EOMONTH(AG$3,0))*'PA Fees Actual'!$D$5:$D$882),AG$3&gt;=EOMONTH($X16,-1)+1,$Y16,TRUE,0)</f>
        <v>0</v>
      </c>
      <c r="AH16" s="202" cm="1">
        <f t="array" ref="AH16">_xlfn.IFS(AH$3&lt;$B$2,SUMPRODUCT(('PA Fees Actual'!$B$5:$B$882=$E16)*('PA Fees Actual'!$A$5:$A$882&gt;=AH$3)*('PA Fees Actual'!$A$5:$A$882&lt;=EOMONTH(AH$3,0))*'PA Fees Actual'!$D$5:$D$882),AH$3&gt;=EOMONTH($X16,-1)+1,$Y16,TRUE,0)</f>
        <v>0</v>
      </c>
      <c r="AI16" s="202" cm="1">
        <f t="array" ref="AI16">_xlfn.IFS(AI$3&lt;$B$2,SUMPRODUCT(('PA Fees Actual'!$B$5:$B$882=$E16)*('PA Fees Actual'!$A$5:$A$882&gt;=AI$3)*('PA Fees Actual'!$A$5:$A$882&lt;=EOMONTH(AI$3,0))*'PA Fees Actual'!$D$5:$D$882),AI$3&gt;=EOMONTH($X16,-1)+1,$Y16,TRUE,0)</f>
        <v>0</v>
      </c>
      <c r="AJ16" s="202" cm="1">
        <f t="array" ref="AJ16">_xlfn.IFS(AJ$3&lt;$B$2,SUMPRODUCT(('PA Fees Actual'!$B$5:$B$882=$E16)*('PA Fees Actual'!$A$5:$A$882&gt;=AJ$3)*('PA Fees Actual'!$A$5:$A$882&lt;=EOMONTH(AJ$3,0))*'PA Fees Actual'!$D$5:$D$882),AJ$3&gt;=EOMONTH($X16,-1)+1,$Y16,TRUE,0)</f>
        <v>0</v>
      </c>
      <c r="AK16" s="202" cm="1">
        <f t="array" ref="AK16">_xlfn.IFS(AK$3&lt;$B$2,SUMPRODUCT(('PA Fees Actual'!$B$5:$B$882=$E16)*('PA Fees Actual'!$A$5:$A$882&gt;=AK$3)*('PA Fees Actual'!$A$5:$A$882&lt;=EOMONTH(AK$3,0))*'PA Fees Actual'!$D$5:$D$882),AK$3&gt;=EOMONTH($X16,-1)+1,$Y16,TRUE,0)</f>
        <v>0</v>
      </c>
      <c r="AL16" s="202" cm="1">
        <f t="array" ref="AL16">_xlfn.IFS(AL$3&lt;$B$2,SUMPRODUCT(('PA Fees Actual'!$B$5:$B$882=$E16)*('PA Fees Actual'!$A$5:$A$882&gt;=AL$3)*('PA Fees Actual'!$A$5:$A$882&lt;=EOMONTH(AL$3,0))*'PA Fees Actual'!$D$5:$D$882),AL$3&gt;=EOMONTH($X16,-1)+1,$Y16,TRUE,0)</f>
        <v>0</v>
      </c>
      <c r="AM16" s="202" cm="1">
        <f t="array" ref="AM16">_xlfn.IFS(AM$3&lt;$B$2,SUMPRODUCT(('PA Fees Actual'!$B$5:$B$882=$E16)*('PA Fees Actual'!$A$5:$A$882&gt;=AM$3)*('PA Fees Actual'!$A$5:$A$882&lt;=EOMONTH(AM$3,0))*'PA Fees Actual'!$D$5:$D$882),AM$3&gt;=EOMONTH($X16,-1)+1,$Y16,TRUE,0)</f>
        <v>0</v>
      </c>
      <c r="AN16" s="202" cm="1">
        <f t="array" ref="AN16">_xlfn.IFS(AN$3&lt;$B$2,SUMPRODUCT(('PA Fees Actual'!$B$5:$B$882=$E16)*('PA Fees Actual'!$A$5:$A$882&gt;=AN$3)*('PA Fees Actual'!$A$5:$A$882&lt;=EOMONTH(AN$3,0))*'PA Fees Actual'!$D$5:$D$882),AN$3&gt;=EOMONTH($X16,-1)+1,$Y16,TRUE,0)</f>
        <v>0</v>
      </c>
      <c r="AO16" s="202" cm="1">
        <f t="array" ref="AO16">_xlfn.IFS(AO$3&lt;$B$2,SUMPRODUCT(('PA Fees Actual'!$B$5:$B$882=$E16)*('PA Fees Actual'!$A$5:$A$882&gt;=AO$3)*('PA Fees Actual'!$A$5:$A$882&lt;=EOMONTH(AO$3,0))*'PA Fees Actual'!$D$5:$D$882),AO$3&gt;=EOMONTH($X16,-1)+1,$Y16,TRUE,0)</f>
        <v>0</v>
      </c>
      <c r="AP16" s="202" cm="1">
        <f t="array" ref="AP16">_xlfn.IFS(AP$3&lt;$B$2,SUMPRODUCT(('PA Fees Actual'!$B$5:$B$882=$E16)*('PA Fees Actual'!$A$5:$A$882&gt;=AP$3)*('PA Fees Actual'!$A$5:$A$882&lt;=EOMONTH(AP$3,0))*'PA Fees Actual'!$D$5:$D$882),AP$3&gt;=EOMONTH($X16,-1)+1,$Y16,TRUE,0)</f>
        <v>0</v>
      </c>
      <c r="AQ16" s="202" cm="1">
        <f t="array" ref="AQ16">_xlfn.IFS(AQ$3&lt;$B$2,SUMPRODUCT(('PA Fees Actual'!$B$5:$B$882=$E16)*('PA Fees Actual'!$A$5:$A$882&gt;=AQ$3)*('PA Fees Actual'!$A$5:$A$882&lt;=EOMONTH(AQ$3,0))*'PA Fees Actual'!$D$5:$D$882),AQ$3&gt;=EOMONTH($X16,-1)+1,$Y16,TRUE,0)</f>
        <v>0</v>
      </c>
      <c r="AR16" s="202" cm="1">
        <f t="array" ref="AR16">_xlfn.IFS(AR$3&lt;$B$2,SUMPRODUCT(('PA Fees Actual'!$B$5:$B$882=$E16)*('PA Fees Actual'!$A$5:$A$882&gt;=AR$3)*('PA Fees Actual'!$A$5:$A$882&lt;=EOMONTH(AR$3,0))*'PA Fees Actual'!$D$5:$D$882),AR$3&gt;=EOMONTH($X16,-1)+1,$Y16,TRUE,0)</f>
        <v>0</v>
      </c>
      <c r="AS16" s="202" cm="1">
        <f t="array" ref="AS16">_xlfn.IFS(AS$3&lt;$B$2,SUMPRODUCT(('PA Fees Actual'!$B$5:$B$882=$E16)*('PA Fees Actual'!$A$5:$A$882&gt;=AS$3)*('PA Fees Actual'!$A$5:$A$882&lt;=EOMONTH(AS$3,0))*'PA Fees Actual'!$D$5:$D$882),AS$3&gt;=EOMONTH($X16,-1)+1,$Y16,TRUE,0)</f>
        <v>0</v>
      </c>
      <c r="AT16" s="202" cm="1">
        <f t="array" ref="AT16">_xlfn.IFS(AT$3&lt;$B$2,SUMPRODUCT(('PA Fees Actual'!$B$5:$B$882=$E16)*('PA Fees Actual'!$A$5:$A$882&gt;=AT$3)*('PA Fees Actual'!$A$5:$A$882&lt;=EOMONTH(AT$3,0))*'PA Fees Actual'!$D$5:$D$882),AT$3&gt;=EOMONTH($X16,-1)+1,$Y16,TRUE,0)</f>
        <v>0</v>
      </c>
      <c r="AU16" s="202" cm="1">
        <f t="array" ref="AU16">_xlfn.IFS(AU$3&lt;$B$2,SUMPRODUCT(('PA Fees Actual'!$B$5:$B$882=$E16)*('PA Fees Actual'!$A$5:$A$882&gt;=AU$3)*('PA Fees Actual'!$A$5:$A$882&lt;=EOMONTH(AU$3,0))*'PA Fees Actual'!$D$5:$D$882),AU$3&gt;=EOMONTH($X16,-1)+1,$Y16,TRUE,0)</f>
        <v>0</v>
      </c>
      <c r="AV16" s="202" cm="1">
        <f t="array" ref="AV16">_xlfn.IFS(AV$3&lt;$B$2,SUMPRODUCT(('PA Fees Actual'!$B$5:$B$882=$E16)*('PA Fees Actual'!$A$5:$A$882&gt;=AV$3)*('PA Fees Actual'!$A$5:$A$882&lt;=EOMONTH(AV$3,0))*'PA Fees Actual'!$D$5:$D$882),AV$3&gt;=EOMONTH($X16,-1)+1,$Y16,TRUE,0)</f>
        <v>0</v>
      </c>
      <c r="AW16" s="202" cm="1">
        <f t="array" ref="AW16">_xlfn.IFS(AW$3&lt;$B$2,SUMPRODUCT(('PA Fees Actual'!$B$5:$B$882=$E16)*('PA Fees Actual'!$A$5:$A$882&gt;=AW$3)*('PA Fees Actual'!$A$5:$A$882&lt;=EOMONTH(AW$3,0))*'PA Fees Actual'!$D$5:$D$882),AW$3&gt;=EOMONTH($X16,-1)+1,$Y16,TRUE,0)</f>
        <v>0</v>
      </c>
      <c r="AX16" s="202" cm="1">
        <f t="array" ref="AX16">_xlfn.IFS(AX$3&lt;$B$2,SUMPRODUCT(('PA Fees Actual'!$B$5:$B$882=$E16)*('PA Fees Actual'!$A$5:$A$882&gt;=AX$3)*('PA Fees Actual'!$A$5:$A$882&lt;=EOMONTH(AX$3,0))*'PA Fees Actual'!$D$5:$D$882),AX$3&gt;=EOMONTH($X16,-1)+1,$Y16,TRUE,0)</f>
        <v>0</v>
      </c>
      <c r="AY16" s="202" cm="1">
        <f t="array" ref="AY16">_xlfn.IFS(AY$3&lt;$B$2,SUMPRODUCT(('PA Fees Actual'!$B$5:$B$882=$E16)*('PA Fees Actual'!$A$5:$A$882&gt;=AY$3)*('PA Fees Actual'!$A$5:$A$882&lt;=EOMONTH(AY$3,0))*'PA Fees Actual'!$D$5:$D$882),AY$3&gt;=EOMONTH($X16,-1)+1,$Y16,TRUE,0)</f>
        <v>0</v>
      </c>
      <c r="AZ16" s="202" cm="1">
        <f t="array" ref="AZ16">_xlfn.IFS(AZ$3&lt;$B$2,SUMPRODUCT(('PA Fees Actual'!$B$5:$B$882=$E16)*('PA Fees Actual'!$A$5:$A$882&gt;=AZ$3)*('PA Fees Actual'!$A$5:$A$882&lt;=EOMONTH(AZ$3,0))*'PA Fees Actual'!$D$5:$D$882),AZ$3&gt;=EOMONTH($X16,-1)+1,$Y16,TRUE,0)</f>
        <v>9.06</v>
      </c>
      <c r="BA16" s="202" cm="1">
        <f t="array" ref="BA16">_xlfn.IFS(BA$3&lt;$B$2,SUMPRODUCT(('PA Fees Actual'!$B$5:$B$882=$E16)*('PA Fees Actual'!$A$5:$A$882&gt;=BA$3)*('PA Fees Actual'!$A$5:$A$882&lt;=EOMONTH(BA$3,0))*'PA Fees Actual'!$D$5:$D$882),BA$3&gt;=EOMONTH($X16,-1)+1,$Y16,TRUE,0)</f>
        <v>552.41000000000042</v>
      </c>
      <c r="BB16" s="202" cm="1">
        <f t="array" ref="BB16">_xlfn.IFS(BB$3&lt;$B$2,SUMPRODUCT(('PA Fees Actual'!$B$5:$B$882=$E16)*('PA Fees Actual'!$A$5:$A$882&gt;=BB$3)*('PA Fees Actual'!$A$5:$A$882&lt;=EOMONTH(BB$3,0))*'PA Fees Actual'!$D$5:$D$882),BB$3&gt;=EOMONTH($X16,-1)+1,$Y16,TRUE,0)</f>
        <v>365.1</v>
      </c>
      <c r="BC16" s="202" cm="1">
        <f t="array" ref="BC16">_xlfn.IFS(BC$3&lt;$B$2,SUMPRODUCT(('PA Fees Actual'!$B$5:$B$882=$E16)*('PA Fees Actual'!$A$5:$A$882&gt;=BC$3)*('PA Fees Actual'!$A$5:$A$882&lt;=EOMONTH(BC$3,0))*'PA Fees Actual'!$D$5:$D$882),BC$3&gt;=EOMONTH($X16,-1)+1,$Y16,TRUE,0)</f>
        <v>1140.9800000000002</v>
      </c>
      <c r="BD16" s="202" cm="1">
        <f t="array" ref="BD16">_xlfn.IFS(BD$3&lt;$B$2,SUMPRODUCT(('PA Fees Actual'!$B$5:$B$882=$E16)*('PA Fees Actual'!$A$5:$A$882&gt;=BD$3)*('PA Fees Actual'!$A$5:$A$882&lt;=EOMONTH(BD$3,0))*'PA Fees Actual'!$D$5:$D$882),BD$3&gt;=EOMONTH($X16,-1)+1,$Y16,TRUE,0)</f>
        <v>1994.53</v>
      </c>
      <c r="BE16" s="202" cm="1">
        <f t="array" ref="BE16">_xlfn.IFS(BE$3&lt;$B$2,SUMPRODUCT(('PA Fees Actual'!$B$5:$B$882=$E16)*('PA Fees Actual'!$A$5:$A$882&gt;=BE$3)*('PA Fees Actual'!$A$5:$A$882&lt;=EOMONTH(BE$3,0))*'PA Fees Actual'!$D$5:$D$882),BE$3&gt;=EOMONTH($X16,-1)+1,$Y16,TRUE,0)</f>
        <v>1275.3000000000006</v>
      </c>
      <c r="BF16" s="202" cm="1">
        <f t="array" ref="BF16">_xlfn.IFS(BF$3&lt;$B$2,SUMPRODUCT(('PA Fees Actual'!$B$5:$B$882=$E16)*('PA Fees Actual'!$A$5:$A$882&gt;=BF$3)*('PA Fees Actual'!$A$5:$A$882&lt;=EOMONTH(BF$3,0))*'PA Fees Actual'!$D$5:$D$882),BF$3&gt;=EOMONTH($X16,-1)+1,$Y16,TRUE,0)</f>
        <v>1211.3800000000003</v>
      </c>
      <c r="BG16" s="202" cm="1">
        <f t="array" ref="BG16">_xlfn.IFS(BG$3&lt;$B$2,SUMPRODUCT(('PA Fees Actual'!$B$5:$B$882=$E16)*('PA Fees Actual'!$A$5:$A$882&gt;=BG$3)*('PA Fees Actual'!$A$5:$A$882&lt;=EOMONTH(BG$3,0))*'PA Fees Actual'!$D$5:$D$882),BG$3&gt;=EOMONTH($X16,-1)+1,$Y16,TRUE,0)</f>
        <v>0</v>
      </c>
      <c r="BH16" s="202" cm="1">
        <f t="array" ref="BH16">_xlfn.IFS(BH$3&lt;$B$2,SUMPRODUCT(('PA Fees Actual'!$B$5:$B$882=$E16)*('PA Fees Actual'!$A$5:$A$882&gt;=BH$3)*('PA Fees Actual'!$A$5:$A$882&lt;=EOMONTH(BH$3,0))*'PA Fees Actual'!$D$5:$D$882),BH$3&gt;=EOMONTH($X16,-1)+1,$Y16,TRUE,0)</f>
        <v>1027.9500000000005</v>
      </c>
      <c r="BI16" s="202" cm="1">
        <f t="array" ref="BI16">_xlfn.IFS(BI$3&lt;$B$2,SUMPRODUCT(('PA Fees Actual'!$B$5:$B$882=$E16)*('PA Fees Actual'!$A$5:$A$882&gt;=BI$3)*('PA Fees Actual'!$A$5:$A$882&lt;=EOMONTH(BI$3,0))*'PA Fees Actual'!$D$5:$D$882),BI$3&gt;=EOMONTH($X16,-1)+1,$Y16,TRUE,0)</f>
        <v>1553.0100000000007</v>
      </c>
      <c r="BJ16" s="202" cm="1">
        <f t="array" ref="BJ16">_xlfn.IFS(BJ$3&lt;$B$2,SUMPRODUCT(('PA Fees Actual'!$B$5:$B$882=$E16)*('PA Fees Actual'!$A$5:$A$882&gt;=BJ$3)*('PA Fees Actual'!$A$5:$A$882&lt;=EOMONTH(BJ$3,0))*'PA Fees Actual'!$D$5:$D$882),BJ$3&gt;=EOMONTH($X16,-1)+1,$Y16,TRUE,0)</f>
        <v>1841.8700000000013</v>
      </c>
      <c r="BK16" s="202" cm="1">
        <f t="array" ref="BK16">_xlfn.IFS(BK$3&lt;$B$2,SUMPRODUCT(('PA Fees Actual'!$B$5:$B$882=$E16)*('PA Fees Actual'!$A$5:$A$882&gt;=BK$3)*('PA Fees Actual'!$A$5:$A$882&lt;=EOMONTH(BK$3,0))*'PA Fees Actual'!$D$5:$D$882),BK$3&gt;=EOMONTH($X16,-1)+1,$Y16,TRUE,0)</f>
        <v>341.03000000000009</v>
      </c>
      <c r="BL16" s="202" cm="1">
        <f t="array" ref="BL16">_xlfn.IFS(BL$3&lt;$B$2,SUMPRODUCT(('PA Fees Actual'!$B$5:$B$882=$E16)*('PA Fees Actual'!$A$5:$A$882&gt;=BL$3)*('PA Fees Actual'!$A$5:$A$882&lt;=EOMONTH(BL$3,0))*'PA Fees Actual'!$D$5:$D$882),BL$3&gt;=EOMONTH($X16,-1)+1,$Y16,TRUE,0)</f>
        <v>1229.9499999999998</v>
      </c>
      <c r="BM16" s="202" cm="1">
        <f t="array" ref="BM16">_xlfn.IFS(BM$3&lt;$B$2,SUMPRODUCT(('PA Fees Actual'!$B$5:$B$882=$E16)*('PA Fees Actual'!$A$5:$A$882&gt;=BM$3)*('PA Fees Actual'!$A$5:$A$882&lt;=EOMONTH(BM$3,0))*'PA Fees Actual'!$D$5:$D$882),BM$3&gt;=EOMONTH($X16,-1)+1,$Y16,TRUE,0)</f>
        <v>738.64000000000033</v>
      </c>
      <c r="BN16" s="202" cm="1">
        <f t="array" ref="BN16">_xlfn.IFS(BN$3&lt;$B$2,SUMPRODUCT(('PA Fees Actual'!$B$5:$B$882=$E16)*('PA Fees Actual'!$A$5:$A$882&gt;=BN$3)*('PA Fees Actual'!$A$5:$A$882&lt;=EOMONTH(BN$3,0))*'PA Fees Actual'!$D$5:$D$882),BN$3&gt;=EOMONTH($X16,-1)+1,$Y16,TRUE,0)</f>
        <v>2332.5100000000002</v>
      </c>
      <c r="BO16" s="202" cm="1">
        <f t="array" ref="BO16">_xlfn.IFS(BO$3&lt;$B$2,SUMPRODUCT(('PA Fees Actual'!$B$5:$B$882=$E16)*('PA Fees Actual'!$A$5:$A$882&gt;=BO$3)*('PA Fees Actual'!$A$5:$A$882&lt;=EOMONTH(BO$3,0))*'PA Fees Actual'!$D$5:$D$882),BO$3&gt;=EOMONTH($X16,-1)+1,$Y16,TRUE,0)</f>
        <v>505.48</v>
      </c>
      <c r="BP16" s="202" cm="1">
        <f t="array" ref="BP16">_xlfn.IFS(BP$3&lt;$B$2,SUMPRODUCT(('PA Fees Actual'!$B$5:$B$882=$E16)*('PA Fees Actual'!$A$5:$A$882&gt;=BP$3)*('PA Fees Actual'!$A$5:$A$882&lt;=EOMONTH(BP$3,0))*'PA Fees Actual'!$D$5:$D$882),BP$3&gt;=EOMONTH($X16,-1)+1,$Y16,TRUE,0)</f>
        <v>1915.95</v>
      </c>
      <c r="BQ16" s="202" cm="1">
        <f t="array" ref="BQ16">_xlfn.IFS(BQ$3&lt;$B$2,SUMPRODUCT(('PA Fees Actual'!$B$5:$B$882=$E16)*('PA Fees Actual'!$A$5:$A$882&gt;=BQ$3)*('PA Fees Actual'!$A$5:$A$882&lt;=EOMONTH(BQ$3,0))*'PA Fees Actual'!$D$5:$D$882),BQ$3&gt;=EOMONTH($X16,-1)+1,$Y16,TRUE,0)</f>
        <v>457.47</v>
      </c>
      <c r="BR16" s="202" cm="1">
        <f t="array" ref="BR16">_xlfn.IFS(BR$3&lt;$B$2,SUMPRODUCT(('PA Fees Actual'!$B$5:$B$882=$E16)*('PA Fees Actual'!$A$5:$A$882&gt;=BR$3)*('PA Fees Actual'!$A$5:$A$882&lt;=EOMONTH(BR$3,0))*'PA Fees Actual'!$D$5:$D$882),BR$3&gt;=EOMONTH($X16,-1)+1,$Y16,TRUE,0)</f>
        <v>1965.77</v>
      </c>
      <c r="BS16" s="202" cm="1">
        <f t="array" ref="BS16">_xlfn.IFS(BS$3&lt;$B$2,SUMPRODUCT(('PA Fees Actual'!$B$5:$B$882=$E16)*('PA Fees Actual'!$A$5:$A$882&gt;=BS$3)*('PA Fees Actual'!$A$5:$A$882&lt;=EOMONTH(BS$3,0))*'PA Fees Actual'!$D$5:$D$882),BS$3&gt;=EOMONTH($X16,-1)+1,$Y16,TRUE,0)</f>
        <v>1152.8</v>
      </c>
      <c r="BT16" s="202" cm="1">
        <f t="array" ref="BT16">_xlfn.IFS(BT$3&lt;$B$2,SUMPRODUCT(('PA Fees Actual'!$B$5:$B$882=$E16)*('PA Fees Actual'!$A$5:$A$882&gt;=BT$3)*('PA Fees Actual'!$A$5:$A$882&lt;=EOMONTH(BT$3,0))*'PA Fees Actual'!$D$5:$D$882),BT$3&gt;=EOMONTH($X16,-1)+1,$Y16,TRUE,0)</f>
        <v>1333.82</v>
      </c>
      <c r="BU16" s="202" cm="1">
        <f t="array" ref="BU16">_xlfn.IFS(BU$3&lt;$B$2,SUMPRODUCT(('PA Fees Actual'!$B$5:$B$882=$E16)*('PA Fees Actual'!$A$5:$A$882&gt;=BU$3)*('PA Fees Actual'!$A$5:$A$882&lt;=EOMONTH(BU$3,0))*'PA Fees Actual'!$D$5:$D$882),BU$3&gt;=EOMONTH($X16,-1)+1,$Y16,TRUE,0)</f>
        <v>1061.8900000000001</v>
      </c>
      <c r="BV16" s="202" cm="1">
        <f t="array" ref="BV16">_xlfn.IFS(BV$3&lt;$B$2,SUMPRODUCT(('PA Fees Actual'!$B$5:$B$882=$E16)*('PA Fees Actual'!$A$5:$A$882&gt;=BV$3)*('PA Fees Actual'!$A$5:$A$882&lt;=EOMONTH(BV$3,0))*'PA Fees Actual'!$D$5:$D$882),BV$3&gt;=EOMONTH($X16,-1)+1,$Y16,TRUE,0)</f>
        <v>1423.06</v>
      </c>
      <c r="BW16" s="202" cm="1">
        <f t="array" ref="BW16">_xlfn.IFS(BW$3&lt;$B$2,SUMPRODUCT(('PA Fees Actual'!$B$5:$B$882=$E16)*('PA Fees Actual'!$A$5:$A$882&gt;=BW$3)*('PA Fees Actual'!$A$5:$A$882&lt;=EOMONTH(BW$3,0))*'PA Fees Actual'!$D$5:$D$882),BW$3&gt;=EOMONTH($X16,-1)+1,$Y16,TRUE,0)</f>
        <v>773.2</v>
      </c>
      <c r="BX16" s="202" cm="1">
        <f t="array" ref="BX16">_xlfn.IFS(BX$3&lt;$B$2,SUMPRODUCT(('PA Fees Actual'!$B$5:$B$882=$E16)*('PA Fees Actual'!$A$5:$A$882&gt;=BX$3)*('PA Fees Actual'!$A$5:$A$882&lt;=EOMONTH(BX$3,0))*'PA Fees Actual'!$D$5:$D$882),BX$3&gt;=EOMONTH($X16,-1)+1,$Y16,TRUE,0)</f>
        <v>1163.4100000000008</v>
      </c>
      <c r="BY16" s="202" cm="1">
        <f t="array" ref="BY16">_xlfn.IFS(BY$3&lt;$B$2,SUMPRODUCT(('PA Fees Actual'!$B$5:$B$882=$E16)*('PA Fees Actual'!$A$5:$A$882&gt;=BY$3)*('PA Fees Actual'!$A$5:$A$882&lt;=EOMONTH(BY$3,0))*'PA Fees Actual'!$D$5:$D$882),BY$3&gt;=EOMONTH($X16,-1)+1,$Y16,TRUE,0)</f>
        <v>1713.42</v>
      </c>
      <c r="BZ16" s="202" cm="1">
        <f t="array" ref="BZ16">_xlfn.IFS(BZ$3&lt;$B$2,SUMPRODUCT(('PA Fees Actual'!$B$5:$B$882=$E16)*('PA Fees Actual'!$A$5:$A$882&gt;=BZ$3)*('PA Fees Actual'!$A$5:$A$882&lt;=EOMONTH(BZ$3,0))*'PA Fees Actual'!$D$5:$D$882),BZ$3&gt;=EOMONTH($X16,-1)+1,$Y16,TRUE,0)</f>
        <v>765.5</v>
      </c>
      <c r="CA16" s="202" cm="1">
        <f t="array" ref="CA16">_xlfn.IFS(CA$3&lt;$B$2,SUMPRODUCT(('PA Fees Actual'!$B$5:$B$882=$E16)*('PA Fees Actual'!$A$5:$A$882&gt;=CA$3)*('PA Fees Actual'!$A$5:$A$882&lt;=EOMONTH(CA$3,0))*'PA Fees Actual'!$D$5:$D$882),CA$3&gt;=EOMONTH($X16,-1)+1,$Y16,TRUE,0)</f>
        <v>1125.3799999999999</v>
      </c>
      <c r="CB16" s="202" cm="1">
        <f t="array" ref="CB16">_xlfn.IFS(CB$3&lt;$B$2,SUMPRODUCT(('PA Fees Actual'!$B$5:$B$882=$E16)*('PA Fees Actual'!$A$5:$A$882&gt;=CB$3)*('PA Fees Actual'!$A$5:$A$882&lt;=EOMONTH(CB$3,0))*'PA Fees Actual'!$D$5:$D$882),CB$3&gt;=EOMONTH($X16,-1)+1,$Y16,TRUE,0)</f>
        <v>1443.5549999999998</v>
      </c>
      <c r="CC16" s="202" cm="1">
        <f t="array" ref="CC16">_xlfn.IFS(CC$3&lt;$B$2,SUMPRODUCT(('PA Fees Actual'!$B$5:$B$882=$E16)*('PA Fees Actual'!$A$5:$A$882&gt;=CC$3)*('PA Fees Actual'!$A$5:$A$882&lt;=EOMONTH(CC$3,0))*'PA Fees Actual'!$D$5:$D$882),CC$3&gt;=EOMONTH($X16,-1)+1,$Y16,TRUE,0)</f>
        <v>1443.5549999999998</v>
      </c>
      <c r="CD16" s="202" cm="1">
        <f t="array" ref="CD16">_xlfn.IFS(CD$3&lt;$B$2,SUMPRODUCT(('PA Fees Actual'!$B$5:$B$882=$E16)*('PA Fees Actual'!$A$5:$A$882&gt;=CD$3)*('PA Fees Actual'!$A$5:$A$882&lt;=EOMONTH(CD$3,0))*'PA Fees Actual'!$D$5:$D$882),CD$3&gt;=EOMONTH($X16,-1)+1,$Y16,TRUE,0)</f>
        <v>1443.5549999999998</v>
      </c>
      <c r="CE16" s="202" cm="1">
        <f t="array" ref="CE16">_xlfn.IFS(CE$3&lt;$B$2,SUMPRODUCT(('PA Fees Actual'!$B$5:$B$882=$E16)*('PA Fees Actual'!$A$5:$A$882&gt;=CE$3)*('PA Fees Actual'!$A$5:$A$882&lt;=EOMONTH(CE$3,0))*'PA Fees Actual'!$D$5:$D$882),CE$3&gt;=EOMONTH($X16,-1)+1,$Y16,TRUE,0)</f>
        <v>1443.5549999999998</v>
      </c>
      <c r="CF16" s="202" cm="1">
        <f t="array" ref="CF16">_xlfn.IFS(CF$3&lt;$B$2,SUMPRODUCT(('PA Fees Actual'!$B$5:$B$882=$E16)*('PA Fees Actual'!$A$5:$A$882&gt;=CF$3)*('PA Fees Actual'!$A$5:$A$882&lt;=EOMONTH(CF$3,0))*'PA Fees Actual'!$D$5:$D$882),CF$3&gt;=EOMONTH($X16,-1)+1,$Y16,TRUE,0)</f>
        <v>1443.5549999999998</v>
      </c>
      <c r="CG16" s="202" cm="1">
        <f t="array" ref="CG16">_xlfn.IFS(CG$3&lt;$B$2,SUMPRODUCT(('PA Fees Actual'!$B$5:$B$882=$E16)*('PA Fees Actual'!$A$5:$A$882&gt;=CG$3)*('PA Fees Actual'!$A$5:$A$882&lt;=EOMONTH(CG$3,0))*'PA Fees Actual'!$D$5:$D$882),CG$3&gt;=EOMONTH($X16,-1)+1,$Y16,TRUE,0)</f>
        <v>1443.5549999999998</v>
      </c>
      <c r="CI16" s="202" cm="1">
        <f t="array" ref="CI16">_xlfn.IFS(CI$3&lt;=YEAR($B$2),SUMPRODUCT(($E$4:$E$79=$E16)*($Z$2:$CG$2=CI$3)*($Z$2:$CG$2&lt;CJ$3)*$Z$4:$CG$79),CI$3&lt;YEAR($X16),0,CI$3=YEAR($X16),DATEDIF($X16,DATE(CI$3,12,31),"m")*$Y16,AND(CI$3&gt;YEAR($X16),CI$3-YEAR($X16)&lt;20),$Y16*12,CI$3-YEAR($X16)=20,DATEDIF(DATE(YEAR($X16),1,1),$X16,"m")*$Y16,CI$3-YEAR($X16)&gt;20,0)</f>
        <v>0</v>
      </c>
      <c r="CJ16" s="202" cm="1">
        <f t="array" ref="CJ16">_xlfn.IFS(CJ$3&lt;=YEAR($B$2),SUMPRODUCT(($E$4:$E$79=$E16)*($Z$2:$CG$2=CJ$3)*($Z$2:$CG$2&lt;CK$3)*$Z$4:$CG$79),CJ$3&lt;YEAR($X16),0,CJ$3=YEAR($X16),DATEDIF($X16,DATE(CJ$3,12,31),"m")*$Y16,AND(CJ$3&gt;YEAR($X16),CJ$3-YEAR($X16)&lt;20),$Y16*12,CJ$3-YEAR($X16)=20,DATEDIF(DATE(YEAR($X16),1,1),$X16,"m")*$Y16,CJ$3-YEAR($X16)&gt;20,0)</f>
        <v>0</v>
      </c>
      <c r="CK16" s="202" cm="1">
        <f t="array" ref="CK16">_xlfn.IFS(CK$3&lt;=YEAR($B$2),SUMPRODUCT(($E$4:$E$79=$E16)*($Z$2:$CG$2=CK$3)*($Z$2:$CG$2&lt;CL$3)*$Z$4:$CG$79),CK$3&lt;YEAR($X16),0,CK$3=YEAR($X16),DATEDIF($X16,DATE(CK$3,12,31),"m")*$Y16,AND(CK$3&gt;YEAR($X16),CK$3-YEAR($X16)&lt;20),$Y16*12,CK$3-YEAR($X16)=20,DATEDIF(DATE(YEAR($X16),1,1),$X16,"m")*$Y16,CK$3-YEAR($X16)&gt;20,0)</f>
        <v>9129.720000000003</v>
      </c>
      <c r="CL16" s="202" cm="1">
        <f t="array" ref="CL16">_xlfn.IFS(CL$3&lt;=YEAR($B$2),SUMPRODUCT(($E$4:$E$79=$E16)*($Z$2:$CG$2=CL$3)*($Z$2:$CG$2&lt;CM$3)*$Z$4:$CG$79),CL$3&lt;YEAR($X16),0,CL$3=YEAR($X16),DATEDIF($X16,DATE(CL$3,12,31),"m")*$Y16,AND(CL$3&gt;YEAR($X16),CL$3-YEAR($X16)&lt;20),$Y16*12,CL$3-YEAR($X16)=20,DATEDIF(DATE(YEAR($X16),1,1),$X16,"m")*$Y16,CL$3-YEAR($X16)&gt;20,0)</f>
        <v>14877.18</v>
      </c>
      <c r="CM16" s="202" cm="1">
        <f t="array" ref="CM16">_xlfn.IFS(CM$3&lt;=YEAR($B$2),SUMPRODUCT(($E$4:$E$79=$E16)*($Z$2:$CG$2=CM$3)*($Z$2:$CG$2&lt;CN$3)*$Z$4:$CG$79),CM$3&lt;YEAR($X16),0,CM$3=YEAR($X16),DATEDIF($X16,DATE(CM$3,12,31),"m")*$Y16,AND(CM$3&gt;YEAR($X16),CM$3-YEAR($X16)&lt;20),$Y16*12,CM$3-YEAR($X16)=20,DATEDIF(DATE(YEAR($X16),1,1),$X16,"m")*$Y16,CM$3-YEAR($X16)&gt;20,0)</f>
        <v>15625.300000000003</v>
      </c>
      <c r="CN16" s="202" cm="1">
        <f t="array" ref="CN16">_xlfn.IFS(CN$3&lt;=YEAR($B$2),SUMPRODUCT(($E$4:$E$79=$E16)*($Z$2:$CG$2=CN$3)*($Z$2:$CG$2&lt;CO$3)*$Z$4:$CG$79),CN$3&lt;YEAR($X16),0,CN$3=YEAR($X16),DATEDIF($X16,DATE(CN$3,12,31),"m")*$Y16,AND(CN$3&gt;YEAR($X16),CN$3-YEAR($X16)&lt;20),$Y16*12,CN$3-YEAR($X16)=20,DATEDIF(DATE(YEAR($X16),1,1),$X16,"m")*$Y16,CN$3-YEAR($X16)&gt;20,0)</f>
        <v>17322.659999999996</v>
      </c>
      <c r="CO16" s="202" cm="1">
        <f t="array" ref="CO16">_xlfn.IFS(CO$3&lt;=YEAR($B$2),SUMPRODUCT(($E$4:$E$79=$E16)*($Z$2:$CG$2=CO$3)*($Z$2:$CG$2&lt;CP$3)*$Z$4:$CG$79),CO$3&lt;YEAR($X16),0,CO$3=YEAR($X16),DATEDIF($X16,DATE(CO$3,12,31),"m")*$Y16,AND(CO$3&gt;YEAR($X16),CO$3-YEAR($X16)&lt;20),$Y16*12,CO$3-YEAR($X16)=20,DATEDIF(DATE(YEAR($X16),1,1),$X16,"m")*$Y16,CO$3-YEAR($X16)&gt;20,0)</f>
        <v>17322.659999999996</v>
      </c>
      <c r="CP16" s="202" cm="1">
        <f t="array" ref="CP16">_xlfn.IFS(CP$3&lt;=YEAR($B$2),SUMPRODUCT(($E$4:$E$79=$E16)*($Z$2:$CG$2=CP$3)*($Z$2:$CG$2&lt;CQ$3)*$Z$4:$CG$79),CP$3&lt;YEAR($X16),0,CP$3=YEAR($X16),DATEDIF($X16,DATE(CP$3,12,31),"m")*$Y16,AND(CP$3&gt;YEAR($X16),CP$3-YEAR($X16)&lt;20),$Y16*12,CP$3-YEAR($X16)=20,DATEDIF(DATE(YEAR($X16),1,1),$X16,"m")*$Y16,CP$3-YEAR($X16)&gt;20,0)</f>
        <v>17322.659999999996</v>
      </c>
      <c r="CQ16" s="202" cm="1">
        <f t="array" ref="CQ16">_xlfn.IFS(CQ$3&lt;=YEAR($B$2),SUMPRODUCT(($E$4:$E$79=$E16)*($Z$2:$CG$2=CQ$3)*($Z$2:$CG$2&lt;CR$3)*$Z$4:$CG$79),CQ$3&lt;YEAR($X16),0,CQ$3=YEAR($X16),DATEDIF($X16,DATE(CQ$3,12,31),"m")*$Y16,AND(CQ$3&gt;YEAR($X16),CQ$3-YEAR($X16)&lt;20),$Y16*12,CQ$3-YEAR($X16)=20,DATEDIF(DATE(YEAR($X16),1,1),$X16,"m")*$Y16,CQ$3-YEAR($X16)&gt;20,0)</f>
        <v>17322.659999999996</v>
      </c>
      <c r="CR16" s="202" cm="1">
        <f t="array" ref="CR16">_xlfn.IFS(CR$3&lt;=YEAR($B$2),SUMPRODUCT(($E$4:$E$79=$E16)*($Z$2:$CG$2=CR$3)*($Z$2:$CG$2&lt;CS$3)*$Z$4:$CG$79),CR$3&lt;YEAR($X16),0,CR$3=YEAR($X16),DATEDIF($X16,DATE(CR$3,12,31),"m")*$Y16,AND(CR$3&gt;YEAR($X16),CR$3-YEAR($X16)&lt;20),$Y16*12,CR$3-YEAR($X16)=20,DATEDIF(DATE(YEAR($X16),1,1),$X16,"m")*$Y16,CR$3-YEAR($X16)&gt;20,0)</f>
        <v>17322.659999999996</v>
      </c>
      <c r="CS16" s="202" cm="1">
        <f t="array" ref="CS16">_xlfn.IFS(CS$3&lt;=YEAR($B$2),SUMPRODUCT(($E$4:$E$79=$E16)*($Z$2:$CG$2=CS$3)*($Z$2:$CG$2&lt;CT$3)*$Z$4:$CG$79),CS$3&lt;YEAR($X16),0,CS$3=YEAR($X16),DATEDIF($X16,DATE(CS$3,12,31),"m")*$Y16,AND(CS$3&gt;YEAR($X16),CS$3-YEAR($X16)&lt;20),$Y16*12,CS$3-YEAR($X16)=20,DATEDIF(DATE(YEAR($X16),1,1),$X16,"m")*$Y16,CS$3-YEAR($X16)&gt;20,0)</f>
        <v>17322.659999999996</v>
      </c>
      <c r="CT16" s="202" cm="1">
        <f t="array" ref="CT16">_xlfn.IFS(CT$3&lt;=YEAR($B$2),SUMPRODUCT(($E$4:$E$79=$E16)*($Z$2:$CG$2=CT$3)*($Z$2:$CG$2&lt;CU$3)*$Z$4:$CG$79),CT$3&lt;YEAR($X16),0,CT$3=YEAR($X16),DATEDIF($X16,DATE(CT$3,12,31),"m")*$Y16,AND(CT$3&gt;YEAR($X16),CT$3-YEAR($X16)&lt;20),$Y16*12,CT$3-YEAR($X16)=20,DATEDIF(DATE(YEAR($X16),1,1),$X16,"m")*$Y16,CT$3-YEAR($X16)&gt;20,0)</f>
        <v>17322.659999999996</v>
      </c>
      <c r="CU16" s="202" cm="1">
        <f t="array" ref="CU16">_xlfn.IFS(CU$3&lt;=YEAR($B$2),SUMPRODUCT(($E$4:$E$79=$E16)*($Z$2:$CG$2=CU$3)*($Z$2:$CG$2&lt;CV$3)*$Z$4:$CG$79),CU$3&lt;YEAR($X16),0,CU$3=YEAR($X16),DATEDIF($X16,DATE(CU$3,12,31),"m")*$Y16,AND(CU$3&gt;YEAR($X16),CU$3-YEAR($X16)&lt;20),$Y16*12,CU$3-YEAR($X16)=20,DATEDIF(DATE(YEAR($X16),1,1),$X16,"m")*$Y16,CU$3-YEAR($X16)&gt;20,0)</f>
        <v>17322.659999999996</v>
      </c>
      <c r="CV16" s="202" cm="1">
        <f t="array" ref="CV16">_xlfn.IFS(CV$3&lt;=YEAR($B$2),SUMPRODUCT(($E$4:$E$79=$E16)*($Z$2:$CG$2=CV$3)*($Z$2:$CG$2&lt;CW$3)*$Z$4:$CG$79),CV$3&lt;YEAR($X16),0,CV$3=YEAR($X16),DATEDIF($X16,DATE(CV$3,12,31),"m")*$Y16,AND(CV$3&gt;YEAR($X16),CV$3-YEAR($X16)&lt;20),$Y16*12,CV$3-YEAR($X16)=20,DATEDIF(DATE(YEAR($X16),1,1),$X16,"m")*$Y16,CV$3-YEAR($X16)&gt;20,0)</f>
        <v>17322.659999999996</v>
      </c>
      <c r="CW16" s="202" cm="1">
        <f t="array" ref="CW16">_xlfn.IFS(CW$3&lt;=YEAR($B$2),SUMPRODUCT(($E$4:$E$79=$E16)*($Z$2:$CG$2=CW$3)*($Z$2:$CG$2&lt;CX$3)*$Z$4:$CG$79),CW$3&lt;YEAR($X16),0,CW$3=YEAR($X16),DATEDIF($X16,DATE(CW$3,12,31),"m")*$Y16,AND(CW$3&gt;YEAR($X16),CW$3-YEAR($X16)&lt;20),$Y16*12,CW$3-YEAR($X16)=20,DATEDIF(DATE(YEAR($X16),1,1),$X16,"m")*$Y16,CW$3-YEAR($X16)&gt;20,0)</f>
        <v>17322.659999999996</v>
      </c>
      <c r="CX16" s="202" cm="1">
        <f t="array" ref="CX16">_xlfn.IFS(CX$3&lt;=YEAR($B$2),SUMPRODUCT(($E$4:$E$79=$E16)*($Z$2:$CG$2=CX$3)*($Z$2:$CG$2&lt;CY$3)*$Z$4:$CG$79),CX$3&lt;YEAR($X16),0,CX$3=YEAR($X16),DATEDIF($X16,DATE(CX$3,12,31),"m")*$Y16,AND(CX$3&gt;YEAR($X16),CX$3-YEAR($X16)&lt;20),$Y16*12,CX$3-YEAR($X16)=20,DATEDIF(DATE(YEAR($X16),1,1),$X16,"m")*$Y16,CX$3-YEAR($X16)&gt;20,0)</f>
        <v>17322.659999999996</v>
      </c>
      <c r="CY16" s="202" cm="1">
        <f t="array" ref="CY16">_xlfn.IFS(CY$3&lt;=YEAR($B$2),SUMPRODUCT(($E$4:$E$79=$E16)*($Z$2:$CG$2=CY$3)*($Z$2:$CG$2&lt;CZ$3)*$Z$4:$CG$79),CY$3&lt;YEAR($X16),0,CY$3=YEAR($X16),DATEDIF($X16,DATE(CY$3,12,31),"m")*$Y16,AND(CY$3&gt;YEAR($X16),CY$3-YEAR($X16)&lt;20),$Y16*12,CY$3-YEAR($X16)=20,DATEDIF(DATE(YEAR($X16),1,1),$X16,"m")*$Y16,CY$3-YEAR($X16)&gt;20,0)</f>
        <v>17322.659999999996</v>
      </c>
      <c r="CZ16" s="202" cm="1">
        <f t="array" ref="CZ16">_xlfn.IFS(CZ$3&lt;=YEAR($B$2),SUMPRODUCT(($E$4:$E$79=$E16)*($Z$2:$CG$2=CZ$3)*($Z$2:$CG$2&lt;DA$3)*$Z$4:$CG$79),CZ$3&lt;YEAR($X16),0,CZ$3=YEAR($X16),DATEDIF($X16,DATE(CZ$3,12,31),"m")*$Y16,AND(CZ$3&gt;YEAR($X16),CZ$3-YEAR($X16)&lt;20),$Y16*12,CZ$3-YEAR($X16)=20,DATEDIF(DATE(YEAR($X16),1,1),$X16,"m")*$Y16,CZ$3-YEAR($X16)&gt;20,0)</f>
        <v>17322.659999999996</v>
      </c>
      <c r="DA16" s="202" cm="1">
        <f t="array" ref="DA16">_xlfn.IFS(DA$3&lt;=YEAR($B$2),SUMPRODUCT(($E$4:$E$79=$E16)*($Z$2:$CG$2=DA$3)*($Z$2:$CG$2&lt;DB$3)*$Z$4:$CG$79),DA$3&lt;YEAR($X16),0,DA$3=YEAR($X16),DATEDIF($X16,DATE(DA$3,12,31),"m")*$Y16,AND(DA$3&gt;YEAR($X16),DA$3-YEAR($X16)&lt;20),$Y16*12,DA$3-YEAR($X16)=20,DATEDIF(DATE(YEAR($X16),1,1),$X16,"m")*$Y16,DA$3-YEAR($X16)&gt;20,0)</f>
        <v>17322.659999999996</v>
      </c>
      <c r="DB16" s="202" cm="1">
        <f t="array" ref="DB16">_xlfn.IFS(DB$3&lt;=YEAR($B$2),SUMPRODUCT(($E$4:$E$79=$E16)*($Z$2:$CG$2=DB$3)*($Z$2:$CG$2&lt;DC$3)*$Z$4:$CG$79),DB$3&lt;YEAR($X16),0,DB$3=YEAR($X16),DATEDIF($X16,DATE(DB$3,12,31),"m")*$Y16,AND(DB$3&gt;YEAR($X16),DB$3-YEAR($X16)&lt;20),$Y16*12,DB$3-YEAR($X16)=20,DATEDIF(DATE(YEAR($X16),1,1),$X16,"m")*$Y16,DB$3-YEAR($X16)&gt;20,0)</f>
        <v>17322.659999999996</v>
      </c>
      <c r="DC16" s="202" cm="1">
        <f t="array" ref="DC16">_xlfn.IFS(DC$3&lt;=YEAR($B$2),SUMPRODUCT(($E$4:$E$79=$E16)*($Z$2:$CG$2=DC$3)*($Z$2:$CG$2&lt;DD$3)*$Z$4:$CG$79),DC$3&lt;YEAR($X16),0,DC$3=YEAR($X16),DATEDIF($X16,DATE(DC$3,12,31),"m")*$Y16,AND(DC$3&gt;YEAR($X16),DC$3-YEAR($X16)&lt;20),$Y16*12,DC$3-YEAR($X16)=20,DATEDIF(DATE(YEAR($X16),1,1),$X16,"m")*$Y16,DC$3-YEAR($X16)&gt;20,0)</f>
        <v>17322.659999999996</v>
      </c>
      <c r="DD16" s="202" cm="1">
        <f t="array" ref="DD16">_xlfn.IFS(DD$3&lt;=YEAR($B$2),SUMPRODUCT(($E$4:$E$79=$E16)*($Z$2:$CG$2=DD$3)*($Z$2:$CG$2&lt;DE$3)*$Z$4:$CG$79),DD$3&lt;YEAR($X16),0,DD$3=YEAR($X16),DATEDIF($X16,DATE(DD$3,12,31),"m")*$Y16,AND(DD$3&gt;YEAR($X16),DD$3-YEAR($X16)&lt;20),$Y16*12,DD$3-YEAR($X16)=20,DATEDIF(DATE(YEAR($X16),1,1),$X16,"m")*$Y16,DD$3-YEAR($X16)&gt;20,0)</f>
        <v>17322.659999999996</v>
      </c>
      <c r="DE16" s="202" cm="1">
        <f t="array" ref="DE16">_xlfn.IFS(DE$3&lt;=YEAR($B$2),SUMPRODUCT(($E$4:$E$79=$E16)*($Z$2:$CG$2=DE$3)*($Z$2:$CG$2&lt;DF$3)*$Z$4:$CG$79),DE$3&lt;YEAR($X16),0,DE$3=YEAR($X16),DATEDIF($X16,DATE(DE$3,12,31),"m")*$Y16,AND(DE$3&gt;YEAR($X16),DE$3-YEAR($X16)&lt;20),$Y16*12,DE$3-YEAR($X16)=20,DATEDIF(DATE(YEAR($X16),1,1),$X16,"m")*$Y16,DE$3-YEAR($X16)&gt;20,0)</f>
        <v>4330.6649999999991</v>
      </c>
      <c r="DF16" s="202" cm="1">
        <f t="array" ref="DF16">_xlfn.IFS(DF$3&lt;=YEAR($B$2),SUMPRODUCT(($E$4:$E$79=$E16)*($Z$2:$CG$2=DF$3)*($Z$2:$CG$2&lt;DG$3)*$Z$4:$CG$79),DF$3&lt;YEAR($X16),0,DF$3=YEAR($X16),DATEDIF($X16,DATE(DF$3,12,31),"m")*$Y16,AND(DF$3&gt;YEAR($X16),DF$3-YEAR($X16)&lt;20),$Y16*12,DF$3-YEAR($X16)=20,DATEDIF(DATE(YEAR($X16),1,1),$X16,"m")*$Y16,DF$3-YEAR($X16)&gt;20,0)</f>
        <v>0</v>
      </c>
      <c r="DG16" s="202" cm="1">
        <f t="array" ref="DG16">_xlfn.IFS(DG$3&lt;=YEAR($B$2),SUMPRODUCT(($E$4:$E$79=$E16)*($Z$2:$CG$2=DG$3)*($Z$2:$CG$2&lt;DH$3)*$Z$4:$CG$79),DG$3&lt;YEAR($X16),0,DG$3=YEAR($X16),DATEDIF($X16,DATE(DG$3,12,31),"m")*$Y16,AND(DG$3&gt;YEAR($X16),DG$3-YEAR($X16)&lt;20),$Y16*12,DG$3-YEAR($X16)=20,DATEDIF(DATE(YEAR($X16),1,1),$X16,"m")*$Y16,DG$3-YEAR($X16)&gt;20,0)</f>
        <v>0</v>
      </c>
      <c r="DH16" s="202" cm="1">
        <f t="array" ref="DH16">_xlfn.IFS(DH$3&lt;=YEAR($B$2),SUMPRODUCT(($E$4:$E$79=$E16)*($Z$2:$CG$2=DH$3)*($Z$2:$CG$2&lt;DI$3)*$Z$4:$CG$79),DH$3&lt;YEAR($X16),0,DH$3=YEAR($X16),DATEDIF($X16,DATE(DH$3,12,31),"m")*$Y16,AND(DH$3&gt;YEAR($X16),DH$3-YEAR($X16)&lt;20),$Y16*12,DH$3-YEAR($X16)=20,DATEDIF(DATE(YEAR($X16),1,1),$X16,"m")*$Y16,DH$3-YEAR($X16)&gt;20,0)</f>
        <v>0</v>
      </c>
      <c r="DI16" s="202" cm="1">
        <f t="array" ref="DI16">_xlfn.IFS(DI$3&lt;=YEAR($B$2),SUMPRODUCT(($E$4:$E$79=$E16)*($Z$2:$CG$2=DI$3)*($Z$2:$CG$2&lt;DJ$3)*$Z$4:$CG$79),DI$3&lt;YEAR($X16),0,DI$3=YEAR($X16),DATEDIF($X16,DATE(DI$3,12,31),"m")*$Y16,AND(DI$3&gt;YEAR($X16),DI$3-YEAR($X16)&lt;20),$Y16*12,DI$3-YEAR($X16)=20,DATEDIF(DATE(YEAR($X16),1,1),$X16,"m")*$Y16,DI$3-YEAR($X16)&gt;20,0)</f>
        <v>0</v>
      </c>
      <c r="DJ16" s="202" cm="1">
        <f t="array" ref="DJ16">_xlfn.IFS(DJ$3&lt;=YEAR($B$2),SUMPRODUCT(($E$4:$E$79=$E16)*($Z$2:$CG$2=DJ$3)*($Z$2:$CG$2&lt;DK$3)*$Z$4:$CG$79),DJ$3&lt;YEAR($X16),0,DJ$3=YEAR($X16),DATEDIF($X16,DATE(DJ$3,12,31),"m")*$Y16,AND(DJ$3&gt;YEAR($X16),DJ$3-YEAR($X16)&lt;20),$Y16*12,DJ$3-YEAR($X16)=20,DATEDIF(DATE(YEAR($X16),1,1),$X16,"m")*$Y16,DJ$3-YEAR($X16)&gt;20,0)</f>
        <v>0</v>
      </c>
      <c r="DK16" s="202" cm="1">
        <f t="array" ref="DK16">_xlfn.IFS(DK$3&lt;=YEAR($B$2),SUMPRODUCT(($E$4:$E$79=$E16)*($Z$2:$CG$2=DK$3)*($Z$2:$CG$2&lt;DL$3)*$Z$4:$CG$79),DK$3&lt;YEAR($X16),0,DK$3=YEAR($X16),DATEDIF($X16,DATE(DK$3,12,31),"m")*$Y16,AND(DK$3&gt;YEAR($X16),DK$3-YEAR($X16)&lt;20),$Y16*12,DK$3-YEAR($X16)=20,DATEDIF(DATE(YEAR($X16),1,1),$X16,"m")*$Y16,DK$3-YEAR($X16)&gt;20,0)</f>
        <v>0</v>
      </c>
      <c r="DL16" s="202" cm="1">
        <f t="array" ref="DL16">_xlfn.IFS(DL$3&lt;=YEAR($B$2),SUMPRODUCT(($E$4:$E$79=$E16)*($Z$2:$CG$2=DL$3)*($Z$2:$CG$2&lt;DM$3)*$Z$4:$CG$79),DL$3&lt;YEAR($X16),0,DL$3=YEAR($X16),DATEDIF($X16,DATE(DL$3,12,31),"m")*$Y16,AND(DL$3&gt;YEAR($X16),DL$3-YEAR($X16)&lt;20),$Y16*12,DL$3-YEAR($X16)=20,DATEDIF(DATE(YEAR($X16),1,1),$X16,"m")*$Y16,DL$3-YEAR($X16)&gt;20,0)</f>
        <v>0</v>
      </c>
      <c r="DO16" s="166">
        <f t="shared" si="26"/>
        <v>2025</v>
      </c>
      <c r="DP16" s="158">
        <v>439024.21499999997</v>
      </c>
      <c r="DQ16" s="158">
        <v>159745.56199999995</v>
      </c>
      <c r="DR16" s="158">
        <v>25628.579999999998</v>
      </c>
      <c r="DS16" s="158">
        <f t="shared" si="27"/>
        <v>624398.35699999984</v>
      </c>
    </row>
    <row r="17" spans="1:636">
      <c r="A17" s="155" t="str" cm="1">
        <f t="array" ref="A17">INDEX('Monthly Report July 2025'!C:C,MATCH(E17,'Monthly Report July 2025'!E:E,0),0)</f>
        <v>SPQ0071</v>
      </c>
      <c r="B17" s="155" t="str" cm="1">
        <f t="array" ref="B17">_xlfn.IFS(LEFT(E17,3)="PGE","PGE",LEFT(E17,2)="PP","PAC",TRUE,"IP")</f>
        <v>PGE</v>
      </c>
      <c r="C17" s="155" t="str">
        <f>IF(ISNA(MATCH(E17,'Monthly Report July 2025'!E:E,0)),"Missing","Present")</f>
        <v>Present</v>
      </c>
      <c r="D17" s="155" t="str">
        <f>IF(ISNA(MATCH(E17,'Project Operational Timelines'!C:C,0))=TRUE,"Missing","Present")</f>
        <v>Present</v>
      </c>
      <c r="E17" s="155" t="s">
        <v>122</v>
      </c>
      <c r="F17" s="155" t="str" cm="1">
        <f t="array" ref="F17">INDEX('Monthly Report July 2025'!F:F,MATCH(E17,'Monthly Report July 2025'!E:E,),0)</f>
        <v>Sandy River Solar</v>
      </c>
      <c r="G17" s="155" t="str" cm="1">
        <f t="array" ref="G17">_xlfn.IFS(INDEX('Monthly Report July 2025'!O:O,MATCH(E17,'Monthly Report July 2025'!E:E,0),0)="Operational","Operational",INDEX('Monthly Report July 2025'!O:O,MATCH(E17,'Monthly Report July 2025'!E:E,0),0)="Certified","Certified",TRUE,"Pre-Certified")</f>
        <v>Operational</v>
      </c>
      <c r="H17" s="155" t="str" cm="1">
        <f t="array" ref="H17">INDEX('Monthly Report July 2025'!H:H,MATCH($E17,'Monthly Report July 2025'!$E:$E,0),0)</f>
        <v>TLS Capital</v>
      </c>
      <c r="I17" s="155" t="str" cm="1">
        <f t="array" ref="I17">INDEX('Monthly Report July 2025'!I:I,MATCH($E17,'Monthly Report July 2025'!$E:$E,0),0)</f>
        <v>Arcadia</v>
      </c>
      <c r="J17" s="174" cm="1">
        <f t="array" ref="J17">INDEX('Monthly Report July 2025'!J:J,MATCH($E17,'Monthly Report July 2025'!$E:$E,0),0)</f>
        <v>1</v>
      </c>
      <c r="K17" s="174" t="str" cm="1">
        <f t="array" ref="K17">INDEX('Monthly Report July 2025'!K:K,MATCH($E17,'Monthly Report July 2025'!$E:$E,0),0)</f>
        <v>No</v>
      </c>
      <c r="L17" s="174" t="b" cm="1">
        <f t="array" ref="L17">INDEX('Monthly Report July 2025'!L:L,MATCH(E17,'Monthly Report July 2025'!E:E,0),0)=M17</f>
        <v>1</v>
      </c>
      <c r="M17" s="273" cm="1">
        <f t="array" ref="M17">INDEX('Monthly Report July 2025'!L:L,MATCH($E17,'Monthly Report July 2025'!$E:$E,0),0)</f>
        <v>1850</v>
      </c>
      <c r="N17" s="175" cm="1">
        <f t="array" ref="N17">INDEX('Monthly Report July 2025'!M:M,MATCH($E17,'Monthly Report July 2025'!$E:$E,0),0)</f>
        <v>43948</v>
      </c>
      <c r="O17" s="175" t="str" cm="1">
        <f t="array" ref="O17">_xlfn.IFS(G17="Operational","Operational",G17="Certified","Certified",TRUE,INDEX('Monthly Report July 2025'!O:O,MATCH(E17,'Monthly Report July 2025'!E:E,0),0))</f>
        <v>Operational</v>
      </c>
      <c r="P17" s="175" t="b" cm="1">
        <f t="array" ref="P17">_xlfn.IFS(G17="Operational",O17="Operational",G17="Certified",O17="Certified",TRUE,G17="Pre-Certified")</f>
        <v>1</v>
      </c>
      <c r="Q17" s="175" cm="1">
        <f t="array" ref="Q17">IF(O17="Operational",INDEX('Monthly Report July 2025'!R:R,MATCH(E17,'Monthly Report July 2025'!E:E,0),0),"")</f>
        <v>44910</v>
      </c>
      <c r="R17" s="175" cm="1">
        <f t="array" ref="R17">INDEX('Monthly Report July 2025'!P:P,MATCH(E17,'Monthly Report July 2025'!E:E,0),0)</f>
        <v>44895</v>
      </c>
      <c r="S17" s="175" t="b">
        <f t="shared" si="5"/>
        <v>1</v>
      </c>
      <c r="T17" s="175" cm="1">
        <f t="array" ref="T17">INDEX('Monthly Report July 2025'!U:U,MATCH(E17,'Monthly Report July 2025'!E:E,0),0)</f>
        <v>44984</v>
      </c>
      <c r="U17" s="175" t="str">
        <f t="shared" si="6"/>
        <v>IGNORE</v>
      </c>
      <c r="V17" s="156">
        <f t="shared" si="7"/>
        <v>44895</v>
      </c>
      <c r="W17" s="156" cm="1">
        <f t="array" ref="W17">_xlfn.IFS(U17=TRUE,EDATE(O17,6),U17=FALSE,T17,O17="Operational",Q17,AND(O17="Certified",EDATE(R17,6)&gt;T17),EDATE(R17,6),TRUE,T17)</f>
        <v>44910</v>
      </c>
      <c r="X17" s="156">
        <f t="shared" si="8"/>
        <v>44972</v>
      </c>
      <c r="Y17" s="157">
        <f t="shared" si="9"/>
        <v>1336.625</v>
      </c>
      <c r="Z17" s="202" cm="1">
        <f t="array" ref="Z17">_xlfn.IFS(Z$3&lt;$B$2,SUMPRODUCT(('PA Fees Actual'!$B$5:$B$882=$E17)*('PA Fees Actual'!$A$5:$A$882&gt;=Z$3)*('PA Fees Actual'!$A$5:$A$882&lt;=EOMONTH(Z$3,0))*'PA Fees Actual'!$D$5:$D$882),Z$3&gt;=EOMONTH($X17,-1)+1,$Y17,TRUE,0)</f>
        <v>0</v>
      </c>
      <c r="AA17" s="202" cm="1">
        <f t="array" ref="AA17">_xlfn.IFS(AA$3&lt;$B$2,SUMPRODUCT(('PA Fees Actual'!$B$5:$B$882=$E17)*('PA Fees Actual'!$A$5:$A$882&gt;=AA$3)*('PA Fees Actual'!$A$5:$A$882&lt;=EOMONTH(AA$3,0))*'PA Fees Actual'!$D$5:$D$882),AA$3&gt;=EOMONTH($X17,-1)+1,$Y17,TRUE,0)</f>
        <v>0</v>
      </c>
      <c r="AB17" s="202" cm="1">
        <f t="array" ref="AB17">_xlfn.IFS(AB$3&lt;$B$2,SUMPRODUCT(('PA Fees Actual'!$B$5:$B$882=$E17)*('PA Fees Actual'!$A$5:$A$882&gt;=AB$3)*('PA Fees Actual'!$A$5:$A$882&lt;=EOMONTH(AB$3,0))*'PA Fees Actual'!$D$5:$D$882),AB$3&gt;=EOMONTH($X17,-1)+1,$Y17,TRUE,0)</f>
        <v>0</v>
      </c>
      <c r="AC17" s="202" cm="1">
        <f t="array" ref="AC17">_xlfn.IFS(AC$3&lt;$B$2,SUMPRODUCT(('PA Fees Actual'!$B$5:$B$882=$E17)*('PA Fees Actual'!$A$5:$A$882&gt;=AC$3)*('PA Fees Actual'!$A$5:$A$882&lt;=EOMONTH(AC$3,0))*'PA Fees Actual'!$D$5:$D$882),AC$3&gt;=EOMONTH($X17,-1)+1,$Y17,TRUE,0)</f>
        <v>0</v>
      </c>
      <c r="AD17" s="202" cm="1">
        <f t="array" ref="AD17">_xlfn.IFS(AD$3&lt;$B$2,SUMPRODUCT(('PA Fees Actual'!$B$5:$B$882=$E17)*('PA Fees Actual'!$A$5:$A$882&gt;=AD$3)*('PA Fees Actual'!$A$5:$A$882&lt;=EOMONTH(AD$3,0))*'PA Fees Actual'!$D$5:$D$882),AD$3&gt;=EOMONTH($X17,-1)+1,$Y17,TRUE,0)</f>
        <v>0</v>
      </c>
      <c r="AE17" s="202" cm="1">
        <f t="array" ref="AE17">_xlfn.IFS(AE$3&lt;$B$2,SUMPRODUCT(('PA Fees Actual'!$B$5:$B$882=$E17)*('PA Fees Actual'!$A$5:$A$882&gt;=AE$3)*('PA Fees Actual'!$A$5:$A$882&lt;=EOMONTH(AE$3,0))*'PA Fees Actual'!$D$5:$D$882),AE$3&gt;=EOMONTH($X17,-1)+1,$Y17,TRUE,0)</f>
        <v>0</v>
      </c>
      <c r="AF17" s="202" cm="1">
        <f t="array" ref="AF17">_xlfn.IFS(AF$3&lt;$B$2,SUMPRODUCT(('PA Fees Actual'!$B$5:$B$882=$E17)*('PA Fees Actual'!$A$5:$A$882&gt;=AF$3)*('PA Fees Actual'!$A$5:$A$882&lt;=EOMONTH(AF$3,0))*'PA Fees Actual'!$D$5:$D$882),AF$3&gt;=EOMONTH($X17,-1)+1,$Y17,TRUE,0)</f>
        <v>0</v>
      </c>
      <c r="AG17" s="202" cm="1">
        <f t="array" ref="AG17">_xlfn.IFS(AG$3&lt;$B$2,SUMPRODUCT(('PA Fees Actual'!$B$5:$B$882=$E17)*('PA Fees Actual'!$A$5:$A$882&gt;=AG$3)*('PA Fees Actual'!$A$5:$A$882&lt;=EOMONTH(AG$3,0))*'PA Fees Actual'!$D$5:$D$882),AG$3&gt;=EOMONTH($X17,-1)+1,$Y17,TRUE,0)</f>
        <v>0</v>
      </c>
      <c r="AH17" s="202" cm="1">
        <f t="array" ref="AH17">_xlfn.IFS(AH$3&lt;$B$2,SUMPRODUCT(('PA Fees Actual'!$B$5:$B$882=$E17)*('PA Fees Actual'!$A$5:$A$882&gt;=AH$3)*('PA Fees Actual'!$A$5:$A$882&lt;=EOMONTH(AH$3,0))*'PA Fees Actual'!$D$5:$D$882),AH$3&gt;=EOMONTH($X17,-1)+1,$Y17,TRUE,0)</f>
        <v>0</v>
      </c>
      <c r="AI17" s="202" cm="1">
        <f t="array" ref="AI17">_xlfn.IFS(AI$3&lt;$B$2,SUMPRODUCT(('PA Fees Actual'!$B$5:$B$882=$E17)*('PA Fees Actual'!$A$5:$A$882&gt;=AI$3)*('PA Fees Actual'!$A$5:$A$882&lt;=EOMONTH(AI$3,0))*'PA Fees Actual'!$D$5:$D$882),AI$3&gt;=EOMONTH($X17,-1)+1,$Y17,TRUE,0)</f>
        <v>0</v>
      </c>
      <c r="AJ17" s="202" cm="1">
        <f t="array" ref="AJ17">_xlfn.IFS(AJ$3&lt;$B$2,SUMPRODUCT(('PA Fees Actual'!$B$5:$B$882=$E17)*('PA Fees Actual'!$A$5:$A$882&gt;=AJ$3)*('PA Fees Actual'!$A$5:$A$882&lt;=EOMONTH(AJ$3,0))*'PA Fees Actual'!$D$5:$D$882),AJ$3&gt;=EOMONTH($X17,-1)+1,$Y17,TRUE,0)</f>
        <v>0</v>
      </c>
      <c r="AK17" s="202" cm="1">
        <f t="array" ref="AK17">_xlfn.IFS(AK$3&lt;$B$2,SUMPRODUCT(('PA Fees Actual'!$B$5:$B$882=$E17)*('PA Fees Actual'!$A$5:$A$882&gt;=AK$3)*('PA Fees Actual'!$A$5:$A$882&lt;=EOMONTH(AK$3,0))*'PA Fees Actual'!$D$5:$D$882),AK$3&gt;=EOMONTH($X17,-1)+1,$Y17,TRUE,0)</f>
        <v>0</v>
      </c>
      <c r="AL17" s="202" cm="1">
        <f t="array" ref="AL17">_xlfn.IFS(AL$3&lt;$B$2,SUMPRODUCT(('PA Fees Actual'!$B$5:$B$882=$E17)*('PA Fees Actual'!$A$5:$A$882&gt;=AL$3)*('PA Fees Actual'!$A$5:$A$882&lt;=EOMONTH(AL$3,0))*'PA Fees Actual'!$D$5:$D$882),AL$3&gt;=EOMONTH($X17,-1)+1,$Y17,TRUE,0)</f>
        <v>0</v>
      </c>
      <c r="AM17" s="202" cm="1">
        <f t="array" ref="AM17">_xlfn.IFS(AM$3&lt;$B$2,SUMPRODUCT(('PA Fees Actual'!$B$5:$B$882=$E17)*('PA Fees Actual'!$A$5:$A$882&gt;=AM$3)*('PA Fees Actual'!$A$5:$A$882&lt;=EOMONTH(AM$3,0))*'PA Fees Actual'!$D$5:$D$882),AM$3&gt;=EOMONTH($X17,-1)+1,$Y17,TRUE,0)</f>
        <v>0</v>
      </c>
      <c r="AN17" s="202" cm="1">
        <f t="array" ref="AN17">_xlfn.IFS(AN$3&lt;$B$2,SUMPRODUCT(('PA Fees Actual'!$B$5:$B$882=$E17)*('PA Fees Actual'!$A$5:$A$882&gt;=AN$3)*('PA Fees Actual'!$A$5:$A$882&lt;=EOMONTH(AN$3,0))*'PA Fees Actual'!$D$5:$D$882),AN$3&gt;=EOMONTH($X17,-1)+1,$Y17,TRUE,0)</f>
        <v>0</v>
      </c>
      <c r="AO17" s="202" cm="1">
        <f t="array" ref="AO17">_xlfn.IFS(AO$3&lt;$B$2,SUMPRODUCT(('PA Fees Actual'!$B$5:$B$882=$E17)*('PA Fees Actual'!$A$5:$A$882&gt;=AO$3)*('PA Fees Actual'!$A$5:$A$882&lt;=EOMONTH(AO$3,0))*'PA Fees Actual'!$D$5:$D$882),AO$3&gt;=EOMONTH($X17,-1)+1,$Y17,TRUE,0)</f>
        <v>0</v>
      </c>
      <c r="AP17" s="202" cm="1">
        <f t="array" ref="AP17">_xlfn.IFS(AP$3&lt;$B$2,SUMPRODUCT(('PA Fees Actual'!$B$5:$B$882=$E17)*('PA Fees Actual'!$A$5:$A$882&gt;=AP$3)*('PA Fees Actual'!$A$5:$A$882&lt;=EOMONTH(AP$3,0))*'PA Fees Actual'!$D$5:$D$882),AP$3&gt;=EOMONTH($X17,-1)+1,$Y17,TRUE,0)</f>
        <v>0</v>
      </c>
      <c r="AQ17" s="202" cm="1">
        <f t="array" ref="AQ17">_xlfn.IFS(AQ$3&lt;$B$2,SUMPRODUCT(('PA Fees Actual'!$B$5:$B$882=$E17)*('PA Fees Actual'!$A$5:$A$882&gt;=AQ$3)*('PA Fees Actual'!$A$5:$A$882&lt;=EOMONTH(AQ$3,0))*'PA Fees Actual'!$D$5:$D$882),AQ$3&gt;=EOMONTH($X17,-1)+1,$Y17,TRUE,0)</f>
        <v>0</v>
      </c>
      <c r="AR17" s="202" cm="1">
        <f t="array" ref="AR17">_xlfn.IFS(AR$3&lt;$B$2,SUMPRODUCT(('PA Fees Actual'!$B$5:$B$882=$E17)*('PA Fees Actual'!$A$5:$A$882&gt;=AR$3)*('PA Fees Actual'!$A$5:$A$882&lt;=EOMONTH(AR$3,0))*'PA Fees Actual'!$D$5:$D$882),AR$3&gt;=EOMONTH($X17,-1)+1,$Y17,TRUE,0)</f>
        <v>0</v>
      </c>
      <c r="AS17" s="202" cm="1">
        <f t="array" ref="AS17">_xlfn.IFS(AS$3&lt;$B$2,SUMPRODUCT(('PA Fees Actual'!$B$5:$B$882=$E17)*('PA Fees Actual'!$A$5:$A$882&gt;=AS$3)*('PA Fees Actual'!$A$5:$A$882&lt;=EOMONTH(AS$3,0))*'PA Fees Actual'!$D$5:$D$882),AS$3&gt;=EOMONTH($X17,-1)+1,$Y17,TRUE,0)</f>
        <v>0</v>
      </c>
      <c r="AT17" s="202" cm="1">
        <f t="array" ref="AT17">_xlfn.IFS(AT$3&lt;$B$2,SUMPRODUCT(('PA Fees Actual'!$B$5:$B$882=$E17)*('PA Fees Actual'!$A$5:$A$882&gt;=AT$3)*('PA Fees Actual'!$A$5:$A$882&lt;=EOMONTH(AT$3,0))*'PA Fees Actual'!$D$5:$D$882),AT$3&gt;=EOMONTH($X17,-1)+1,$Y17,TRUE,0)</f>
        <v>0</v>
      </c>
      <c r="AU17" s="202" cm="1">
        <f t="array" ref="AU17">_xlfn.IFS(AU$3&lt;$B$2,SUMPRODUCT(('PA Fees Actual'!$B$5:$B$882=$E17)*('PA Fees Actual'!$A$5:$A$882&gt;=AU$3)*('PA Fees Actual'!$A$5:$A$882&lt;=EOMONTH(AU$3,0))*'PA Fees Actual'!$D$5:$D$882),AU$3&gt;=EOMONTH($X17,-1)+1,$Y17,TRUE,0)</f>
        <v>0</v>
      </c>
      <c r="AV17" s="202" cm="1">
        <f t="array" ref="AV17">_xlfn.IFS(AV$3&lt;$B$2,SUMPRODUCT(('PA Fees Actual'!$B$5:$B$882=$E17)*('PA Fees Actual'!$A$5:$A$882&gt;=AV$3)*('PA Fees Actual'!$A$5:$A$882&lt;=EOMONTH(AV$3,0))*'PA Fees Actual'!$D$5:$D$882),AV$3&gt;=EOMONTH($X17,-1)+1,$Y17,TRUE,0)</f>
        <v>0</v>
      </c>
      <c r="AW17" s="202" cm="1">
        <f t="array" ref="AW17">_xlfn.IFS(AW$3&lt;$B$2,SUMPRODUCT(('PA Fees Actual'!$B$5:$B$882=$E17)*('PA Fees Actual'!$A$5:$A$882&gt;=AW$3)*('PA Fees Actual'!$A$5:$A$882&lt;=EOMONTH(AW$3,0))*'PA Fees Actual'!$D$5:$D$882),AW$3&gt;=EOMONTH($X17,-1)+1,$Y17,TRUE,0)</f>
        <v>0</v>
      </c>
      <c r="AX17" s="202" cm="1">
        <f t="array" ref="AX17">_xlfn.IFS(AX$3&lt;$B$2,SUMPRODUCT(('PA Fees Actual'!$B$5:$B$882=$E17)*('PA Fees Actual'!$A$5:$A$882&gt;=AX$3)*('PA Fees Actual'!$A$5:$A$882&lt;=EOMONTH(AX$3,0))*'PA Fees Actual'!$D$5:$D$882),AX$3&gt;=EOMONTH($X17,-1)+1,$Y17,TRUE,0)</f>
        <v>220.66</v>
      </c>
      <c r="AY17" s="202" cm="1">
        <f t="array" ref="AY17">_xlfn.IFS(AY$3&lt;$B$2,SUMPRODUCT(('PA Fees Actual'!$B$5:$B$882=$E17)*('PA Fees Actual'!$A$5:$A$882&gt;=AY$3)*('PA Fees Actual'!$A$5:$A$882&lt;=EOMONTH(AY$3,0))*'PA Fees Actual'!$D$5:$D$882),AY$3&gt;=EOMONTH($X17,-1)+1,$Y17,TRUE,0)</f>
        <v>0</v>
      </c>
      <c r="AZ17" s="202" cm="1">
        <f t="array" ref="AZ17">_xlfn.IFS(AZ$3&lt;$B$2,SUMPRODUCT(('PA Fees Actual'!$B$5:$B$882=$E17)*('PA Fees Actual'!$A$5:$A$882&gt;=AZ$3)*('PA Fees Actual'!$A$5:$A$882&lt;=EOMONTH(AZ$3,0))*'PA Fees Actual'!$D$5:$D$882),AZ$3&gt;=EOMONTH($X17,-1)+1,$Y17,TRUE,0)</f>
        <v>787.13</v>
      </c>
      <c r="BA17" s="202" cm="1">
        <f t="array" ref="BA17">_xlfn.IFS(BA$3&lt;$B$2,SUMPRODUCT(('PA Fees Actual'!$B$5:$B$882=$E17)*('PA Fees Actual'!$A$5:$A$882&gt;=BA$3)*('PA Fees Actual'!$A$5:$A$882&lt;=EOMONTH(BA$3,0))*'PA Fees Actual'!$D$5:$D$882),BA$3&gt;=EOMONTH($X17,-1)+1,$Y17,TRUE,0)</f>
        <v>3235.81</v>
      </c>
      <c r="BB17" s="202" cm="1">
        <f t="array" ref="BB17">_xlfn.IFS(BB$3&lt;$B$2,SUMPRODUCT(('PA Fees Actual'!$B$5:$B$882=$E17)*('PA Fees Actual'!$A$5:$A$882&gt;=BB$3)*('PA Fees Actual'!$A$5:$A$882&lt;=EOMONTH(BB$3,0))*'PA Fees Actual'!$D$5:$D$882),BB$3&gt;=EOMONTH($X17,-1)+1,$Y17,TRUE,0)</f>
        <v>0</v>
      </c>
      <c r="BC17" s="202" cm="1">
        <f t="array" ref="BC17">_xlfn.IFS(BC$3&lt;$B$2,SUMPRODUCT(('PA Fees Actual'!$B$5:$B$882=$E17)*('PA Fees Actual'!$A$5:$A$882&gt;=BC$3)*('PA Fees Actual'!$A$5:$A$882&lt;=EOMONTH(BC$3,0))*'PA Fees Actual'!$D$5:$D$882),BC$3&gt;=EOMONTH($X17,-1)+1,$Y17,TRUE,0)</f>
        <v>1158.06</v>
      </c>
      <c r="BD17" s="202" cm="1">
        <f t="array" ref="BD17">_xlfn.IFS(BD$3&lt;$B$2,SUMPRODUCT(('PA Fees Actual'!$B$5:$B$882=$E17)*('PA Fees Actual'!$A$5:$A$882&gt;=BD$3)*('PA Fees Actual'!$A$5:$A$882&lt;=EOMONTH(BD$3,0))*'PA Fees Actual'!$D$5:$D$882),BD$3&gt;=EOMONTH($X17,-1)+1,$Y17,TRUE,0)</f>
        <v>0</v>
      </c>
      <c r="BE17" s="202" cm="1">
        <f t="array" ref="BE17">_xlfn.IFS(BE$3&lt;$B$2,SUMPRODUCT(('PA Fees Actual'!$B$5:$B$882=$E17)*('PA Fees Actual'!$A$5:$A$882&gt;=BE$3)*('PA Fees Actual'!$A$5:$A$882&lt;=EOMONTH(BE$3,0))*'PA Fees Actual'!$D$5:$D$882),BE$3&gt;=EOMONTH($X17,-1)+1,$Y17,TRUE,0)</f>
        <v>0</v>
      </c>
      <c r="BF17" s="202" cm="1">
        <f t="array" ref="BF17">_xlfn.IFS(BF$3&lt;$B$2,SUMPRODUCT(('PA Fees Actual'!$B$5:$B$882=$E17)*('PA Fees Actual'!$A$5:$A$882&gt;=BF$3)*('PA Fees Actual'!$A$5:$A$882&lt;=EOMONTH(BF$3,0))*'PA Fees Actual'!$D$5:$D$882),BF$3&gt;=EOMONTH($X17,-1)+1,$Y17,TRUE,0)</f>
        <v>4308.53</v>
      </c>
      <c r="BG17" s="202" cm="1">
        <f t="array" ref="BG17">_xlfn.IFS(BG$3&lt;$B$2,SUMPRODUCT(('PA Fees Actual'!$B$5:$B$882=$E17)*('PA Fees Actual'!$A$5:$A$882&gt;=BG$3)*('PA Fees Actual'!$A$5:$A$882&lt;=EOMONTH(BG$3,0))*'PA Fees Actual'!$D$5:$D$882),BG$3&gt;=EOMONTH($X17,-1)+1,$Y17,TRUE,0)</f>
        <v>0</v>
      </c>
      <c r="BH17" s="202" cm="1">
        <f t="array" ref="BH17">_xlfn.IFS(BH$3&lt;$B$2,SUMPRODUCT(('PA Fees Actual'!$B$5:$B$882=$E17)*('PA Fees Actual'!$A$5:$A$882&gt;=BH$3)*('PA Fees Actual'!$A$5:$A$882&lt;=EOMONTH(BH$3,0))*'PA Fees Actual'!$D$5:$D$882),BH$3&gt;=EOMONTH($X17,-1)+1,$Y17,TRUE,0)</f>
        <v>1356.39</v>
      </c>
      <c r="BI17" s="202" cm="1">
        <f t="array" ref="BI17">_xlfn.IFS(BI$3&lt;$B$2,SUMPRODUCT(('PA Fees Actual'!$B$5:$B$882=$E17)*('PA Fees Actual'!$A$5:$A$882&gt;=BI$3)*('PA Fees Actual'!$A$5:$A$882&lt;=EOMONTH(BI$3,0))*'PA Fees Actual'!$D$5:$D$882),BI$3&gt;=EOMONTH($X17,-1)+1,$Y17,TRUE,0)</f>
        <v>1351.75</v>
      </c>
      <c r="BJ17" s="202" cm="1">
        <f t="array" ref="BJ17">_xlfn.IFS(BJ$3&lt;$B$2,SUMPRODUCT(('PA Fees Actual'!$B$5:$B$882=$E17)*('PA Fees Actual'!$A$5:$A$882&gt;=BJ$3)*('PA Fees Actual'!$A$5:$A$882&lt;=EOMONTH(BJ$3,0))*'PA Fees Actual'!$D$5:$D$882),BJ$3&gt;=EOMONTH($X17,-1)+1,$Y17,TRUE,0)</f>
        <v>3060.13</v>
      </c>
      <c r="BK17" s="202" cm="1">
        <f t="array" ref="BK17">_xlfn.IFS(BK$3&lt;$B$2,SUMPRODUCT(('PA Fees Actual'!$B$5:$B$882=$E17)*('PA Fees Actual'!$A$5:$A$882&gt;=BK$3)*('PA Fees Actual'!$A$5:$A$882&lt;=EOMONTH(BK$3,0))*'PA Fees Actual'!$D$5:$D$882),BK$3&gt;=EOMONTH($X17,-1)+1,$Y17,TRUE,0)</f>
        <v>1361.36</v>
      </c>
      <c r="BL17" s="202" cm="1">
        <f t="array" ref="BL17">_xlfn.IFS(BL$3&lt;$B$2,SUMPRODUCT(('PA Fees Actual'!$B$5:$B$882=$E17)*('PA Fees Actual'!$A$5:$A$882&gt;=BL$3)*('PA Fees Actual'!$A$5:$A$882&lt;=EOMONTH(BL$3,0))*'PA Fees Actual'!$D$5:$D$882),BL$3&gt;=EOMONTH($X17,-1)+1,$Y17,TRUE,0)</f>
        <v>1349.71</v>
      </c>
      <c r="BM17" s="202" cm="1">
        <f t="array" ref="BM17">_xlfn.IFS(BM$3&lt;$B$2,SUMPRODUCT(('PA Fees Actual'!$B$5:$B$882=$E17)*('PA Fees Actual'!$A$5:$A$882&gt;=BM$3)*('PA Fees Actual'!$A$5:$A$882&lt;=EOMONTH(BM$3,0))*'PA Fees Actual'!$D$5:$D$882),BM$3&gt;=EOMONTH($X17,-1)+1,$Y17,TRUE,0)</f>
        <v>0</v>
      </c>
      <c r="BN17" s="202" cm="1">
        <f t="array" ref="BN17">_xlfn.IFS(BN$3&lt;$B$2,SUMPRODUCT(('PA Fees Actual'!$B$5:$B$882=$E17)*('PA Fees Actual'!$A$5:$A$882&gt;=BN$3)*('PA Fees Actual'!$A$5:$A$882&lt;=EOMONTH(BN$3,0))*'PA Fees Actual'!$D$5:$D$882),BN$3&gt;=EOMONTH($X17,-1)+1,$Y17,TRUE,0)</f>
        <v>2698.8199999999997</v>
      </c>
      <c r="BO17" s="202" cm="1">
        <f t="array" ref="BO17">_xlfn.IFS(BO$3&lt;$B$2,SUMPRODUCT(('PA Fees Actual'!$B$5:$B$882=$E17)*('PA Fees Actual'!$A$5:$A$882&gt;=BO$3)*('PA Fees Actual'!$A$5:$A$882&lt;=EOMONTH(BO$3,0))*'PA Fees Actual'!$D$5:$D$882),BO$3&gt;=EOMONTH($X17,-1)+1,$Y17,TRUE,0)</f>
        <v>0</v>
      </c>
      <c r="BP17" s="202" cm="1">
        <f t="array" ref="BP17">_xlfn.IFS(BP$3&lt;$B$2,SUMPRODUCT(('PA Fees Actual'!$B$5:$B$882=$E17)*('PA Fees Actual'!$A$5:$A$882&gt;=BP$3)*('PA Fees Actual'!$A$5:$A$882&lt;=EOMONTH(BP$3,0))*'PA Fees Actual'!$D$5:$D$882),BP$3&gt;=EOMONTH($X17,-1)+1,$Y17,TRUE,0)</f>
        <v>3960.91</v>
      </c>
      <c r="BQ17" s="202" cm="1">
        <f t="array" ref="BQ17">_xlfn.IFS(BQ$3&lt;$B$2,SUMPRODUCT(('PA Fees Actual'!$B$5:$B$882=$E17)*('PA Fees Actual'!$A$5:$A$882&gt;=BQ$3)*('PA Fees Actual'!$A$5:$A$882&lt;=EOMONTH(BQ$3,0))*'PA Fees Actual'!$D$5:$D$882),BQ$3&gt;=EOMONTH($X17,-1)+1,$Y17,TRUE,0)</f>
        <v>0</v>
      </c>
      <c r="BR17" s="202" cm="1">
        <f t="array" ref="BR17">_xlfn.IFS(BR$3&lt;$B$2,SUMPRODUCT(('PA Fees Actual'!$B$5:$B$882=$E17)*('PA Fees Actual'!$A$5:$A$882&gt;=BR$3)*('PA Fees Actual'!$A$5:$A$882&lt;=EOMONTH(BR$3,0))*'PA Fees Actual'!$D$5:$D$882),BR$3&gt;=EOMONTH($X17,-1)+1,$Y17,TRUE,0)</f>
        <v>0</v>
      </c>
      <c r="BS17" s="202" cm="1">
        <f t="array" ref="BS17">_xlfn.IFS(BS$3&lt;$B$2,SUMPRODUCT(('PA Fees Actual'!$B$5:$B$882=$E17)*('PA Fees Actual'!$A$5:$A$882&gt;=BS$3)*('PA Fees Actual'!$A$5:$A$882&lt;=EOMONTH(BS$3,0))*'PA Fees Actual'!$D$5:$D$882),BS$3&gt;=EOMONTH($X17,-1)+1,$Y17,TRUE,0)</f>
        <v>2644.17</v>
      </c>
      <c r="BT17" s="202" cm="1">
        <f t="array" ref="BT17">_xlfn.IFS(BT$3&lt;$B$2,SUMPRODUCT(('PA Fees Actual'!$B$5:$B$882=$E17)*('PA Fees Actual'!$A$5:$A$882&gt;=BT$3)*('PA Fees Actual'!$A$5:$A$882&lt;=EOMONTH(BT$3,0))*'PA Fees Actual'!$D$5:$D$882),BT$3&gt;=EOMONTH($X17,-1)+1,$Y17,TRUE,0)</f>
        <v>2644</v>
      </c>
      <c r="BU17" s="202" cm="1">
        <f t="array" ref="BU17">_xlfn.IFS(BU$3&lt;$B$2,SUMPRODUCT(('PA Fees Actual'!$B$5:$B$882=$E17)*('PA Fees Actual'!$A$5:$A$882&gt;=BU$3)*('PA Fees Actual'!$A$5:$A$882&lt;=EOMONTH(BU$3,0))*'PA Fees Actual'!$D$5:$D$882),BU$3&gt;=EOMONTH($X17,-1)+1,$Y17,TRUE,0)</f>
        <v>0</v>
      </c>
      <c r="BV17" s="202" cm="1">
        <f t="array" ref="BV17">_xlfn.IFS(BV$3&lt;$B$2,SUMPRODUCT(('PA Fees Actual'!$B$5:$B$882=$E17)*('PA Fees Actual'!$A$5:$A$882&gt;=BV$3)*('PA Fees Actual'!$A$5:$A$882&lt;=EOMONTH(BV$3,0))*'PA Fees Actual'!$D$5:$D$882),BV$3&gt;=EOMONTH($X17,-1)+1,$Y17,TRUE,0)</f>
        <v>788.79</v>
      </c>
      <c r="BW17" s="202" cm="1">
        <f t="array" ref="BW17">_xlfn.IFS(BW$3&lt;$B$2,SUMPRODUCT(('PA Fees Actual'!$B$5:$B$882=$E17)*('PA Fees Actual'!$A$5:$A$882&gt;=BW$3)*('PA Fees Actual'!$A$5:$A$882&lt;=EOMONTH(BW$3,0))*'PA Fees Actual'!$D$5:$D$882),BW$3&gt;=EOMONTH($X17,-1)+1,$Y17,TRUE,0)</f>
        <v>1325.11</v>
      </c>
      <c r="BX17" s="202" cm="1">
        <f t="array" ref="BX17">_xlfn.IFS(BX$3&lt;$B$2,SUMPRODUCT(('PA Fees Actual'!$B$5:$B$882=$E17)*('PA Fees Actual'!$A$5:$A$882&gt;=BX$3)*('PA Fees Actual'!$A$5:$A$882&lt;=EOMONTH(BX$3,0))*'PA Fees Actual'!$D$5:$D$882),BX$3&gt;=EOMONTH($X17,-1)+1,$Y17,TRUE,0)</f>
        <v>0</v>
      </c>
      <c r="BY17" s="202" cm="1">
        <f t="array" ref="BY17">_xlfn.IFS(BY$3&lt;$B$2,SUMPRODUCT(('PA Fees Actual'!$B$5:$B$882=$E17)*('PA Fees Actual'!$A$5:$A$882&gt;=BY$3)*('PA Fees Actual'!$A$5:$A$882&lt;=EOMONTH(BY$3,0))*'PA Fees Actual'!$D$5:$D$882),BY$3&gt;=EOMONTH($X17,-1)+1,$Y17,TRUE,0)</f>
        <v>3304.7599999999998</v>
      </c>
      <c r="BZ17" s="202" cm="1">
        <f t="array" ref="BZ17">_xlfn.IFS(BZ$3&lt;$B$2,SUMPRODUCT(('PA Fees Actual'!$B$5:$B$882=$E17)*('PA Fees Actual'!$A$5:$A$882&gt;=BZ$3)*('PA Fees Actual'!$A$5:$A$882&lt;=EOMONTH(BZ$3,0))*'PA Fees Actual'!$D$5:$D$882),BZ$3&gt;=EOMONTH($X17,-1)+1,$Y17,TRUE,0)</f>
        <v>988.1</v>
      </c>
      <c r="CA17" s="202" cm="1">
        <f t="array" ref="CA17">_xlfn.IFS(CA$3&lt;$B$2,SUMPRODUCT(('PA Fees Actual'!$B$5:$B$882=$E17)*('PA Fees Actual'!$A$5:$A$882&gt;=CA$3)*('PA Fees Actual'!$A$5:$A$882&lt;=EOMONTH(CA$3,0))*'PA Fees Actual'!$D$5:$D$882),CA$3&gt;=EOMONTH($X17,-1)+1,$Y17,TRUE,0)</f>
        <v>1736.25</v>
      </c>
      <c r="CB17" s="202" cm="1">
        <f t="array" ref="CB17">_xlfn.IFS(CB$3&lt;$B$2,SUMPRODUCT(('PA Fees Actual'!$B$5:$B$882=$E17)*('PA Fees Actual'!$A$5:$A$882&gt;=CB$3)*('PA Fees Actual'!$A$5:$A$882&lt;=EOMONTH(CB$3,0))*'PA Fees Actual'!$D$5:$D$882),CB$3&gt;=EOMONTH($X17,-1)+1,$Y17,TRUE,0)</f>
        <v>1336.625</v>
      </c>
      <c r="CC17" s="202" cm="1">
        <f t="array" ref="CC17">_xlfn.IFS(CC$3&lt;$B$2,SUMPRODUCT(('PA Fees Actual'!$B$5:$B$882=$E17)*('PA Fees Actual'!$A$5:$A$882&gt;=CC$3)*('PA Fees Actual'!$A$5:$A$882&lt;=EOMONTH(CC$3,0))*'PA Fees Actual'!$D$5:$D$882),CC$3&gt;=EOMONTH($X17,-1)+1,$Y17,TRUE,0)</f>
        <v>1336.625</v>
      </c>
      <c r="CD17" s="202" cm="1">
        <f t="array" ref="CD17">_xlfn.IFS(CD$3&lt;$B$2,SUMPRODUCT(('PA Fees Actual'!$B$5:$B$882=$E17)*('PA Fees Actual'!$A$5:$A$882&gt;=CD$3)*('PA Fees Actual'!$A$5:$A$882&lt;=EOMONTH(CD$3,0))*'PA Fees Actual'!$D$5:$D$882),CD$3&gt;=EOMONTH($X17,-1)+1,$Y17,TRUE,0)</f>
        <v>1336.625</v>
      </c>
      <c r="CE17" s="202" cm="1">
        <f t="array" ref="CE17">_xlfn.IFS(CE$3&lt;$B$2,SUMPRODUCT(('PA Fees Actual'!$B$5:$B$882=$E17)*('PA Fees Actual'!$A$5:$A$882&gt;=CE$3)*('PA Fees Actual'!$A$5:$A$882&lt;=EOMONTH(CE$3,0))*'PA Fees Actual'!$D$5:$D$882),CE$3&gt;=EOMONTH($X17,-1)+1,$Y17,TRUE,0)</f>
        <v>1336.625</v>
      </c>
      <c r="CF17" s="202" cm="1">
        <f t="array" ref="CF17">_xlfn.IFS(CF$3&lt;$B$2,SUMPRODUCT(('PA Fees Actual'!$B$5:$B$882=$E17)*('PA Fees Actual'!$A$5:$A$882&gt;=CF$3)*('PA Fees Actual'!$A$5:$A$882&lt;=EOMONTH(CF$3,0))*'PA Fees Actual'!$D$5:$D$882),CF$3&gt;=EOMONTH($X17,-1)+1,$Y17,TRUE,0)</f>
        <v>1336.625</v>
      </c>
      <c r="CG17" s="202" cm="1">
        <f t="array" ref="CG17">_xlfn.IFS(CG$3&lt;$B$2,SUMPRODUCT(('PA Fees Actual'!$B$5:$B$882=$E17)*('PA Fees Actual'!$A$5:$A$882&gt;=CG$3)*('PA Fees Actual'!$A$5:$A$882&lt;=EOMONTH(CG$3,0))*'PA Fees Actual'!$D$5:$D$882),CG$3&gt;=EOMONTH($X17,-1)+1,$Y17,TRUE,0)</f>
        <v>1336.625</v>
      </c>
      <c r="CI17" s="202" cm="1">
        <f t="array" ref="CI17">_xlfn.IFS(CI$3&lt;=YEAR($B$2),SUMPRODUCT(($E$4:$E$79=$E17)*($Z$2:$CG$2=CI$3)*($Z$2:$CG$2&lt;CJ$3)*$Z$4:$CG$79),CI$3&lt;YEAR($X17),0,CI$3=YEAR($X17),DATEDIF($X17,DATE(CI$3,12,31),"m")*$Y17,AND(CI$3&gt;YEAR($X17),CI$3-YEAR($X17)&lt;20),$Y17*12,CI$3-YEAR($X17)=20,DATEDIF(DATE(YEAR($X17),1,1),$X17,"m")*$Y17,CI$3-YEAR($X17)&gt;20,0)</f>
        <v>0</v>
      </c>
      <c r="CJ17" s="202" cm="1">
        <f t="array" ref="CJ17">_xlfn.IFS(CJ$3&lt;=YEAR($B$2),SUMPRODUCT(($E$4:$E$79=$E17)*($Z$2:$CG$2=CJ$3)*($Z$2:$CG$2&lt;CK$3)*$Z$4:$CG$79),CJ$3&lt;YEAR($X17),0,CJ$3=YEAR($X17),DATEDIF($X17,DATE(CJ$3,12,31),"m")*$Y17,AND(CJ$3&gt;YEAR($X17),CJ$3-YEAR($X17)&lt;20),$Y17*12,CJ$3-YEAR($X17)=20,DATEDIF(DATE(YEAR($X17),1,1),$X17,"m")*$Y17,CJ$3-YEAR($X17)&gt;20,0)</f>
        <v>0</v>
      </c>
      <c r="CK17" s="202" cm="1">
        <f t="array" ref="CK17">_xlfn.IFS(CK$3&lt;=YEAR($B$2),SUMPRODUCT(($E$4:$E$79=$E17)*($Z$2:$CG$2=CK$3)*($Z$2:$CG$2&lt;CL$3)*$Z$4:$CG$79),CK$3&lt;YEAR($X17),0,CK$3=YEAR($X17),DATEDIF($X17,DATE(CK$3,12,31),"m")*$Y17,AND(CK$3&gt;YEAR($X17),CK$3-YEAR($X17)&lt;20),$Y17*12,CK$3-YEAR($X17)=20,DATEDIF(DATE(YEAR($X17),1,1),$X17,"m")*$Y17,CK$3-YEAR($X17)&gt;20,0)</f>
        <v>12418.329999999998</v>
      </c>
      <c r="CL17" s="202" cm="1">
        <f t="array" ref="CL17">_xlfn.IFS(CL$3&lt;=YEAR($B$2),SUMPRODUCT(($E$4:$E$79=$E17)*($Z$2:$CG$2=CL$3)*($Z$2:$CG$2&lt;CM$3)*$Z$4:$CG$79),CL$3&lt;YEAR($X17),0,CL$3=YEAR($X17),DATEDIF($X17,DATE(CL$3,12,31),"m")*$Y17,AND(CL$3&gt;YEAR($X17),CL$3-YEAR($X17)&lt;20),$Y17*12,CL$3-YEAR($X17)=20,DATEDIF(DATE(YEAR($X17),1,1),$X17,"m")*$Y17,CL$3-YEAR($X17)&gt;20,0)</f>
        <v>17719.099999999999</v>
      </c>
      <c r="CM17" s="202" cm="1">
        <f t="array" ref="CM17">_xlfn.IFS(CM$3&lt;=YEAR($B$2),SUMPRODUCT(($E$4:$E$79=$E17)*($Z$2:$CG$2=CM$3)*($Z$2:$CG$2&lt;CN$3)*$Z$4:$CG$79),CM$3&lt;YEAR($X17),0,CM$3=YEAR($X17),DATEDIF($X17,DATE(CM$3,12,31),"m")*$Y17,AND(CM$3&gt;YEAR($X17),CM$3-YEAR($X17)&lt;20),$Y17*12,CM$3-YEAR($X17)=20,DATEDIF(DATE(YEAR($X17),1,1),$X17,"m")*$Y17,CM$3-YEAR($X17)&gt;20,0)</f>
        <v>16162.76</v>
      </c>
      <c r="CN17" s="202" cm="1">
        <f t="array" ref="CN17">_xlfn.IFS(CN$3&lt;=YEAR($B$2),SUMPRODUCT(($E$4:$E$79=$E17)*($Z$2:$CG$2=CN$3)*($Z$2:$CG$2&lt;CO$3)*$Z$4:$CG$79),CN$3&lt;YEAR($X17),0,CN$3=YEAR($X17),DATEDIF($X17,DATE(CN$3,12,31),"m")*$Y17,AND(CN$3&gt;YEAR($X17),CN$3-YEAR($X17)&lt;20),$Y17*12,CN$3-YEAR($X17)=20,DATEDIF(DATE(YEAR($X17),1,1),$X17,"m")*$Y17,CN$3-YEAR($X17)&gt;20,0)</f>
        <v>16039.5</v>
      </c>
      <c r="CO17" s="202" cm="1">
        <f t="array" ref="CO17">_xlfn.IFS(CO$3&lt;=YEAR($B$2),SUMPRODUCT(($E$4:$E$79=$E17)*($Z$2:$CG$2=CO$3)*($Z$2:$CG$2&lt;CP$3)*$Z$4:$CG$79),CO$3&lt;YEAR($X17),0,CO$3=YEAR($X17),DATEDIF($X17,DATE(CO$3,12,31),"m")*$Y17,AND(CO$3&gt;YEAR($X17),CO$3-YEAR($X17)&lt;20),$Y17*12,CO$3-YEAR($X17)=20,DATEDIF(DATE(YEAR($X17),1,1),$X17,"m")*$Y17,CO$3-YEAR($X17)&gt;20,0)</f>
        <v>16039.5</v>
      </c>
      <c r="CP17" s="202" cm="1">
        <f t="array" ref="CP17">_xlfn.IFS(CP$3&lt;=YEAR($B$2),SUMPRODUCT(($E$4:$E$79=$E17)*($Z$2:$CG$2=CP$3)*($Z$2:$CG$2&lt;CQ$3)*$Z$4:$CG$79),CP$3&lt;YEAR($X17),0,CP$3=YEAR($X17),DATEDIF($X17,DATE(CP$3,12,31),"m")*$Y17,AND(CP$3&gt;YEAR($X17),CP$3-YEAR($X17)&lt;20),$Y17*12,CP$3-YEAR($X17)=20,DATEDIF(DATE(YEAR($X17),1,1),$X17,"m")*$Y17,CP$3-YEAR($X17)&gt;20,0)</f>
        <v>16039.5</v>
      </c>
      <c r="CQ17" s="202" cm="1">
        <f t="array" ref="CQ17">_xlfn.IFS(CQ$3&lt;=YEAR($B$2),SUMPRODUCT(($E$4:$E$79=$E17)*($Z$2:$CG$2=CQ$3)*($Z$2:$CG$2&lt;CR$3)*$Z$4:$CG$79),CQ$3&lt;YEAR($X17),0,CQ$3=YEAR($X17),DATEDIF($X17,DATE(CQ$3,12,31),"m")*$Y17,AND(CQ$3&gt;YEAR($X17),CQ$3-YEAR($X17)&lt;20),$Y17*12,CQ$3-YEAR($X17)=20,DATEDIF(DATE(YEAR($X17),1,1),$X17,"m")*$Y17,CQ$3-YEAR($X17)&gt;20,0)</f>
        <v>16039.5</v>
      </c>
      <c r="CR17" s="202" cm="1">
        <f t="array" ref="CR17">_xlfn.IFS(CR$3&lt;=YEAR($B$2),SUMPRODUCT(($E$4:$E$79=$E17)*($Z$2:$CG$2=CR$3)*($Z$2:$CG$2&lt;CS$3)*$Z$4:$CG$79),CR$3&lt;YEAR($X17),0,CR$3=YEAR($X17),DATEDIF($X17,DATE(CR$3,12,31),"m")*$Y17,AND(CR$3&gt;YEAR($X17),CR$3-YEAR($X17)&lt;20),$Y17*12,CR$3-YEAR($X17)=20,DATEDIF(DATE(YEAR($X17),1,1),$X17,"m")*$Y17,CR$3-YEAR($X17)&gt;20,0)</f>
        <v>16039.5</v>
      </c>
      <c r="CS17" s="202" cm="1">
        <f t="array" ref="CS17">_xlfn.IFS(CS$3&lt;=YEAR($B$2),SUMPRODUCT(($E$4:$E$79=$E17)*($Z$2:$CG$2=CS$3)*($Z$2:$CG$2&lt;CT$3)*$Z$4:$CG$79),CS$3&lt;YEAR($X17),0,CS$3=YEAR($X17),DATEDIF($X17,DATE(CS$3,12,31),"m")*$Y17,AND(CS$3&gt;YEAR($X17),CS$3-YEAR($X17)&lt;20),$Y17*12,CS$3-YEAR($X17)=20,DATEDIF(DATE(YEAR($X17),1,1),$X17,"m")*$Y17,CS$3-YEAR($X17)&gt;20,0)</f>
        <v>16039.5</v>
      </c>
      <c r="CT17" s="202" cm="1">
        <f t="array" ref="CT17">_xlfn.IFS(CT$3&lt;=YEAR($B$2),SUMPRODUCT(($E$4:$E$79=$E17)*($Z$2:$CG$2=CT$3)*($Z$2:$CG$2&lt;CU$3)*$Z$4:$CG$79),CT$3&lt;YEAR($X17),0,CT$3=YEAR($X17),DATEDIF($X17,DATE(CT$3,12,31),"m")*$Y17,AND(CT$3&gt;YEAR($X17),CT$3-YEAR($X17)&lt;20),$Y17*12,CT$3-YEAR($X17)=20,DATEDIF(DATE(YEAR($X17),1,1),$X17,"m")*$Y17,CT$3-YEAR($X17)&gt;20,0)</f>
        <v>16039.5</v>
      </c>
      <c r="CU17" s="202" cm="1">
        <f t="array" ref="CU17">_xlfn.IFS(CU$3&lt;=YEAR($B$2),SUMPRODUCT(($E$4:$E$79=$E17)*($Z$2:$CG$2=CU$3)*($Z$2:$CG$2&lt;CV$3)*$Z$4:$CG$79),CU$3&lt;YEAR($X17),0,CU$3=YEAR($X17),DATEDIF($X17,DATE(CU$3,12,31),"m")*$Y17,AND(CU$3&gt;YEAR($X17),CU$3-YEAR($X17)&lt;20),$Y17*12,CU$3-YEAR($X17)=20,DATEDIF(DATE(YEAR($X17),1,1),$X17,"m")*$Y17,CU$3-YEAR($X17)&gt;20,0)</f>
        <v>16039.5</v>
      </c>
      <c r="CV17" s="202" cm="1">
        <f t="array" ref="CV17">_xlfn.IFS(CV$3&lt;=YEAR($B$2),SUMPRODUCT(($E$4:$E$79=$E17)*($Z$2:$CG$2=CV$3)*($Z$2:$CG$2&lt;CW$3)*$Z$4:$CG$79),CV$3&lt;YEAR($X17),0,CV$3=YEAR($X17),DATEDIF($X17,DATE(CV$3,12,31),"m")*$Y17,AND(CV$3&gt;YEAR($X17),CV$3-YEAR($X17)&lt;20),$Y17*12,CV$3-YEAR($X17)=20,DATEDIF(DATE(YEAR($X17),1,1),$X17,"m")*$Y17,CV$3-YEAR($X17)&gt;20,0)</f>
        <v>16039.5</v>
      </c>
      <c r="CW17" s="202" cm="1">
        <f t="array" ref="CW17">_xlfn.IFS(CW$3&lt;=YEAR($B$2),SUMPRODUCT(($E$4:$E$79=$E17)*($Z$2:$CG$2=CW$3)*($Z$2:$CG$2&lt;CX$3)*$Z$4:$CG$79),CW$3&lt;YEAR($X17),0,CW$3=YEAR($X17),DATEDIF($X17,DATE(CW$3,12,31),"m")*$Y17,AND(CW$3&gt;YEAR($X17),CW$3-YEAR($X17)&lt;20),$Y17*12,CW$3-YEAR($X17)=20,DATEDIF(DATE(YEAR($X17),1,1),$X17,"m")*$Y17,CW$3-YEAR($X17)&gt;20,0)</f>
        <v>16039.5</v>
      </c>
      <c r="CX17" s="202" cm="1">
        <f t="array" ref="CX17">_xlfn.IFS(CX$3&lt;=YEAR($B$2),SUMPRODUCT(($E$4:$E$79=$E17)*($Z$2:$CG$2=CX$3)*($Z$2:$CG$2&lt;CY$3)*$Z$4:$CG$79),CX$3&lt;YEAR($X17),0,CX$3=YEAR($X17),DATEDIF($X17,DATE(CX$3,12,31),"m")*$Y17,AND(CX$3&gt;YEAR($X17),CX$3-YEAR($X17)&lt;20),$Y17*12,CX$3-YEAR($X17)=20,DATEDIF(DATE(YEAR($X17),1,1),$X17,"m")*$Y17,CX$3-YEAR($X17)&gt;20,0)</f>
        <v>16039.5</v>
      </c>
      <c r="CY17" s="202" cm="1">
        <f t="array" ref="CY17">_xlfn.IFS(CY$3&lt;=YEAR($B$2),SUMPRODUCT(($E$4:$E$79=$E17)*($Z$2:$CG$2=CY$3)*($Z$2:$CG$2&lt;CZ$3)*$Z$4:$CG$79),CY$3&lt;YEAR($X17),0,CY$3=YEAR($X17),DATEDIF($X17,DATE(CY$3,12,31),"m")*$Y17,AND(CY$3&gt;YEAR($X17),CY$3-YEAR($X17)&lt;20),$Y17*12,CY$3-YEAR($X17)=20,DATEDIF(DATE(YEAR($X17),1,1),$X17,"m")*$Y17,CY$3-YEAR($X17)&gt;20,0)</f>
        <v>16039.5</v>
      </c>
      <c r="CZ17" s="202" cm="1">
        <f t="array" ref="CZ17">_xlfn.IFS(CZ$3&lt;=YEAR($B$2),SUMPRODUCT(($E$4:$E$79=$E17)*($Z$2:$CG$2=CZ$3)*($Z$2:$CG$2&lt;DA$3)*$Z$4:$CG$79),CZ$3&lt;YEAR($X17),0,CZ$3=YEAR($X17),DATEDIF($X17,DATE(CZ$3,12,31),"m")*$Y17,AND(CZ$3&gt;YEAR($X17),CZ$3-YEAR($X17)&lt;20),$Y17*12,CZ$3-YEAR($X17)=20,DATEDIF(DATE(YEAR($X17),1,1),$X17,"m")*$Y17,CZ$3-YEAR($X17)&gt;20,0)</f>
        <v>16039.5</v>
      </c>
      <c r="DA17" s="202" cm="1">
        <f t="array" ref="DA17">_xlfn.IFS(DA$3&lt;=YEAR($B$2),SUMPRODUCT(($E$4:$E$79=$E17)*($Z$2:$CG$2=DA$3)*($Z$2:$CG$2&lt;DB$3)*$Z$4:$CG$79),DA$3&lt;YEAR($X17),0,DA$3=YEAR($X17),DATEDIF($X17,DATE(DA$3,12,31),"m")*$Y17,AND(DA$3&gt;YEAR($X17),DA$3-YEAR($X17)&lt;20),$Y17*12,DA$3-YEAR($X17)=20,DATEDIF(DATE(YEAR($X17),1,1),$X17,"m")*$Y17,DA$3-YEAR($X17)&gt;20,0)</f>
        <v>16039.5</v>
      </c>
      <c r="DB17" s="202" cm="1">
        <f t="array" ref="DB17">_xlfn.IFS(DB$3&lt;=YEAR($B$2),SUMPRODUCT(($E$4:$E$79=$E17)*($Z$2:$CG$2=DB$3)*($Z$2:$CG$2&lt;DC$3)*$Z$4:$CG$79),DB$3&lt;YEAR($X17),0,DB$3=YEAR($X17),DATEDIF($X17,DATE(DB$3,12,31),"m")*$Y17,AND(DB$3&gt;YEAR($X17),DB$3-YEAR($X17)&lt;20),$Y17*12,DB$3-YEAR($X17)=20,DATEDIF(DATE(YEAR($X17),1,1),$X17,"m")*$Y17,DB$3-YEAR($X17)&gt;20,0)</f>
        <v>16039.5</v>
      </c>
      <c r="DC17" s="202" cm="1">
        <f t="array" ref="DC17">_xlfn.IFS(DC$3&lt;=YEAR($B$2),SUMPRODUCT(($E$4:$E$79=$E17)*($Z$2:$CG$2=DC$3)*($Z$2:$CG$2&lt;DD$3)*$Z$4:$CG$79),DC$3&lt;YEAR($X17),0,DC$3=YEAR($X17),DATEDIF($X17,DATE(DC$3,12,31),"m")*$Y17,AND(DC$3&gt;YEAR($X17),DC$3-YEAR($X17)&lt;20),$Y17*12,DC$3-YEAR($X17)=20,DATEDIF(DATE(YEAR($X17),1,1),$X17,"m")*$Y17,DC$3-YEAR($X17)&gt;20,0)</f>
        <v>16039.5</v>
      </c>
      <c r="DD17" s="202" cm="1">
        <f t="array" ref="DD17">_xlfn.IFS(DD$3&lt;=YEAR($B$2),SUMPRODUCT(($E$4:$E$79=$E17)*($Z$2:$CG$2=DD$3)*($Z$2:$CG$2&lt;DE$3)*$Z$4:$CG$79),DD$3&lt;YEAR($X17),0,DD$3=YEAR($X17),DATEDIF($X17,DATE(DD$3,12,31),"m")*$Y17,AND(DD$3&gt;YEAR($X17),DD$3-YEAR($X17)&lt;20),$Y17*12,DD$3-YEAR($X17)=20,DATEDIF(DATE(YEAR($X17),1,1),$X17,"m")*$Y17,DD$3-YEAR($X17)&gt;20,0)</f>
        <v>16039.5</v>
      </c>
      <c r="DE17" s="202" cm="1">
        <f t="array" ref="DE17">_xlfn.IFS(DE$3&lt;=YEAR($B$2),SUMPRODUCT(($E$4:$E$79=$E17)*($Z$2:$CG$2=DE$3)*($Z$2:$CG$2&lt;DF$3)*$Z$4:$CG$79),DE$3&lt;YEAR($X17),0,DE$3=YEAR($X17),DATEDIF($X17,DATE(DE$3,12,31),"m")*$Y17,AND(DE$3&gt;YEAR($X17),DE$3-YEAR($X17)&lt;20),$Y17*12,DE$3-YEAR($X17)=20,DATEDIF(DATE(YEAR($X17),1,1),$X17,"m")*$Y17,DE$3-YEAR($X17)&gt;20,0)</f>
        <v>1336.625</v>
      </c>
      <c r="DF17" s="202" cm="1">
        <f t="array" ref="DF17">_xlfn.IFS(DF$3&lt;=YEAR($B$2),SUMPRODUCT(($E$4:$E$79=$E17)*($Z$2:$CG$2=DF$3)*($Z$2:$CG$2&lt;DG$3)*$Z$4:$CG$79),DF$3&lt;YEAR($X17),0,DF$3=YEAR($X17),DATEDIF($X17,DATE(DF$3,12,31),"m")*$Y17,AND(DF$3&gt;YEAR($X17),DF$3-YEAR($X17)&lt;20),$Y17*12,DF$3-YEAR($X17)=20,DATEDIF(DATE(YEAR($X17),1,1),$X17,"m")*$Y17,DF$3-YEAR($X17)&gt;20,0)</f>
        <v>0</v>
      </c>
      <c r="DG17" s="202" cm="1">
        <f t="array" ref="DG17">_xlfn.IFS(DG$3&lt;=YEAR($B$2),SUMPRODUCT(($E$4:$E$79=$E17)*($Z$2:$CG$2=DG$3)*($Z$2:$CG$2&lt;DH$3)*$Z$4:$CG$79),DG$3&lt;YEAR($X17),0,DG$3=YEAR($X17),DATEDIF($X17,DATE(DG$3,12,31),"m")*$Y17,AND(DG$3&gt;YEAR($X17),DG$3-YEAR($X17)&lt;20),$Y17*12,DG$3-YEAR($X17)=20,DATEDIF(DATE(YEAR($X17),1,1),$X17,"m")*$Y17,DG$3-YEAR($X17)&gt;20,0)</f>
        <v>0</v>
      </c>
      <c r="DH17" s="202" cm="1">
        <f t="array" ref="DH17">_xlfn.IFS(DH$3&lt;=YEAR($B$2),SUMPRODUCT(($E$4:$E$79=$E17)*($Z$2:$CG$2=DH$3)*($Z$2:$CG$2&lt;DI$3)*$Z$4:$CG$79),DH$3&lt;YEAR($X17),0,DH$3=YEAR($X17),DATEDIF($X17,DATE(DH$3,12,31),"m")*$Y17,AND(DH$3&gt;YEAR($X17),DH$3-YEAR($X17)&lt;20),$Y17*12,DH$3-YEAR($X17)=20,DATEDIF(DATE(YEAR($X17),1,1),$X17,"m")*$Y17,DH$3-YEAR($X17)&gt;20,0)</f>
        <v>0</v>
      </c>
      <c r="DI17" s="202" cm="1">
        <f t="array" ref="DI17">_xlfn.IFS(DI$3&lt;=YEAR($B$2),SUMPRODUCT(($E$4:$E$79=$E17)*($Z$2:$CG$2=DI$3)*($Z$2:$CG$2&lt;DJ$3)*$Z$4:$CG$79),DI$3&lt;YEAR($X17),0,DI$3=YEAR($X17),DATEDIF($X17,DATE(DI$3,12,31),"m")*$Y17,AND(DI$3&gt;YEAR($X17),DI$3-YEAR($X17)&lt;20),$Y17*12,DI$3-YEAR($X17)=20,DATEDIF(DATE(YEAR($X17),1,1),$X17,"m")*$Y17,DI$3-YEAR($X17)&gt;20,0)</f>
        <v>0</v>
      </c>
      <c r="DJ17" s="202" cm="1">
        <f t="array" ref="DJ17">_xlfn.IFS(DJ$3&lt;=YEAR($B$2),SUMPRODUCT(($E$4:$E$79=$E17)*($Z$2:$CG$2=DJ$3)*($Z$2:$CG$2&lt;DK$3)*$Z$4:$CG$79),DJ$3&lt;YEAR($X17),0,DJ$3=YEAR($X17),DATEDIF($X17,DATE(DJ$3,12,31),"m")*$Y17,AND(DJ$3&gt;YEAR($X17),DJ$3-YEAR($X17)&lt;20),$Y17*12,DJ$3-YEAR($X17)=20,DATEDIF(DATE(YEAR($X17),1,1),$X17,"m")*$Y17,DJ$3-YEAR($X17)&gt;20,0)</f>
        <v>0</v>
      </c>
      <c r="DK17" s="202" cm="1">
        <f t="array" ref="DK17">_xlfn.IFS(DK$3&lt;=YEAR($B$2),SUMPRODUCT(($E$4:$E$79=$E17)*($Z$2:$CG$2=DK$3)*($Z$2:$CG$2&lt;DL$3)*$Z$4:$CG$79),DK$3&lt;YEAR($X17),0,DK$3=YEAR($X17),DATEDIF($X17,DATE(DK$3,12,31),"m")*$Y17,AND(DK$3&gt;YEAR($X17),DK$3-YEAR($X17)&lt;20),$Y17*12,DK$3-YEAR($X17)=20,DATEDIF(DATE(YEAR($X17),1,1),$X17,"m")*$Y17,DK$3-YEAR($X17)&gt;20,0)</f>
        <v>0</v>
      </c>
      <c r="DL17" s="202" cm="1">
        <f t="array" ref="DL17">_xlfn.IFS(DL$3&lt;=YEAR($B$2),SUMPRODUCT(($E$4:$E$79=$E17)*($Z$2:$CG$2=DL$3)*($Z$2:$CG$2&lt;DM$3)*$Z$4:$CG$79),DL$3&lt;YEAR($X17),0,DL$3=YEAR($X17),DATEDIF($X17,DATE(DL$3,12,31),"m")*$Y17,AND(DL$3&gt;YEAR($X17),DL$3-YEAR($X17)&lt;20),$Y17*12,DL$3-YEAR($X17)=20,DATEDIF(DATE(YEAR($X17),1,1),$X17,"m")*$Y17,DL$3-YEAR($X17)&gt;20,0)</f>
        <v>0</v>
      </c>
      <c r="DO17" s="166">
        <f t="shared" si="26"/>
        <v>2026</v>
      </c>
      <c r="DP17" s="158">
        <v>536297.72500000009</v>
      </c>
      <c r="DQ17" s="158">
        <v>337446.43424999993</v>
      </c>
      <c r="DR17" s="158">
        <v>25576.5</v>
      </c>
      <c r="DS17" s="158">
        <f t="shared" si="27"/>
        <v>899320.65925000003</v>
      </c>
    </row>
    <row r="18" spans="1:636">
      <c r="A18" s="155" t="str" cm="1">
        <f t="array" ref="A18">INDEX('Monthly Report July 2025'!C:C,MATCH(E18,'Monthly Report July 2025'!E:E,0),0)</f>
        <v>SPQ0181</v>
      </c>
      <c r="B18" s="155" t="str" cm="1">
        <f t="array" ref="B18">_xlfn.IFS(LEFT(E18,3)="PGE","PGE",LEFT(E18,2)="PP","PAC",TRUE,"IP")</f>
        <v>PGE</v>
      </c>
      <c r="C18" s="155" t="str">
        <f>IF(ISNA(MATCH(E18,'Monthly Report July 2025'!E:E,0)),"Missing","Present")</f>
        <v>Present</v>
      </c>
      <c r="D18" s="155" t="str">
        <f>IF(ISNA(MATCH(E18,'Project Operational Timelines'!C:C,0))=TRUE,"Missing","Present")</f>
        <v>Present</v>
      </c>
      <c r="E18" s="155" t="s">
        <v>124</v>
      </c>
      <c r="F18" s="155" t="str" cm="1">
        <f t="array" ref="F18">INDEX('Monthly Report July 2025'!F:F,MATCH(E18,'Monthly Report July 2025'!E:E,),0)</f>
        <v>Sesqui-C Solar LLC</v>
      </c>
      <c r="G18" s="155" t="str" cm="1">
        <f t="array" ref="G18">_xlfn.IFS(INDEX('Monthly Report July 2025'!O:O,MATCH(E18,'Monthly Report July 2025'!E:E,0),0)="Operational","Operational",INDEX('Monthly Report July 2025'!O:O,MATCH(E18,'Monthly Report July 2025'!E:E,0),0)="Certified","Certified",TRUE,"Pre-Certified")</f>
        <v>Operational</v>
      </c>
      <c r="H18" s="155" t="str" cm="1">
        <f t="array" ref="H18">INDEX('Monthly Report July 2025'!H:H,MATCH($E18,'Monthly Report July 2025'!$E:$E,0),0)</f>
        <v>Conifer Energy Partners</v>
      </c>
      <c r="I18" s="155" t="str" cm="1">
        <f t="array" ref="I18">INDEX('Monthly Report July 2025'!I:I,MATCH($E18,'Monthly Report July 2025'!$E:$E,0),0)</f>
        <v>Arcadia</v>
      </c>
      <c r="J18" s="174" cm="1">
        <f t="array" ref="J18">INDEX('Monthly Report July 2025'!J:J,MATCH($E18,'Monthly Report July 2025'!$E:$E,0),0)</f>
        <v>1</v>
      </c>
      <c r="K18" s="174" t="str" cm="1">
        <f t="array" ref="K18">INDEX('Monthly Report July 2025'!K:K,MATCH($E18,'Monthly Report July 2025'!$E:$E,0),0)</f>
        <v>No</v>
      </c>
      <c r="L18" s="174" t="b" cm="1">
        <f t="array" ref="L18">INDEX('Monthly Report July 2025'!L:L,MATCH(E18,'Monthly Report July 2025'!E:E,0),0)=M18</f>
        <v>1</v>
      </c>
      <c r="M18" s="273" cm="1">
        <f t="array" ref="M18">INDEX('Monthly Report July 2025'!L:L,MATCH($E18,'Monthly Report July 2025'!$E:$E,0),0)</f>
        <v>2500</v>
      </c>
      <c r="N18" s="175" cm="1">
        <f t="array" ref="N18">INDEX('Monthly Report July 2025'!M:M,MATCH($E18,'Monthly Report July 2025'!$E:$E,0),0)</f>
        <v>43948</v>
      </c>
      <c r="O18" s="175" t="str" cm="1">
        <f t="array" ref="O18">_xlfn.IFS(G18="Operational","Operational",G18="Certified","Certified",TRUE,INDEX('Monthly Report July 2025'!O:O,MATCH(E18,'Monthly Report July 2025'!E:E,0),0))</f>
        <v>Operational</v>
      </c>
      <c r="P18" s="175" t="b" cm="1">
        <f t="array" ref="P18">_xlfn.IFS(G18="Operational",O18="Operational",G18="Certified",O18="Certified",TRUE,G18="Pre-Certified")</f>
        <v>1</v>
      </c>
      <c r="Q18" s="175" cm="1">
        <f t="array" ref="Q18">IF(O18="Operational",INDEX('Monthly Report July 2025'!R:R,MATCH(E18,'Monthly Report July 2025'!E:E,0),0),"")</f>
        <v>44910</v>
      </c>
      <c r="R18" s="175" cm="1">
        <f t="array" ref="R18">INDEX('Monthly Report July 2025'!P:P,MATCH(E18,'Monthly Report July 2025'!E:E,0),0)</f>
        <v>44895</v>
      </c>
      <c r="S18" s="175" t="b">
        <f t="shared" si="5"/>
        <v>1</v>
      </c>
      <c r="T18" s="175" cm="1">
        <f t="array" ref="T18">INDEX('Monthly Report July 2025'!U:U,MATCH(E18,'Monthly Report July 2025'!E:E,0),0)</f>
        <v>44908</v>
      </c>
      <c r="U18" s="175" t="str">
        <f t="shared" si="6"/>
        <v>IGNORE</v>
      </c>
      <c r="V18" s="156">
        <f t="shared" si="7"/>
        <v>44895</v>
      </c>
      <c r="W18" s="156" cm="1">
        <f t="array" ref="W18">_xlfn.IFS(U18=TRUE,EDATE(O18,6),U18=FALSE,T18,O18="Operational",Q18,AND(O18="Certified",EDATE(R18,6)&gt;T18),EDATE(R18,6),TRUE,T18)</f>
        <v>44910</v>
      </c>
      <c r="X18" s="156">
        <f t="shared" si="8"/>
        <v>44972</v>
      </c>
      <c r="Y18" s="157">
        <f t="shared" si="9"/>
        <v>1806.25</v>
      </c>
      <c r="Z18" s="202" cm="1">
        <f t="array" ref="Z18">_xlfn.IFS(Z$3&lt;$B$2,SUMPRODUCT(('PA Fees Actual'!$B$5:$B$882=$E18)*('PA Fees Actual'!$A$5:$A$882&gt;=Z$3)*('PA Fees Actual'!$A$5:$A$882&lt;=EOMONTH(Z$3,0))*'PA Fees Actual'!$D$5:$D$882),Z$3&gt;=EOMONTH($X18,-1)+1,$Y18,TRUE,0)</f>
        <v>0</v>
      </c>
      <c r="AA18" s="202" cm="1">
        <f t="array" ref="AA18">_xlfn.IFS(AA$3&lt;$B$2,SUMPRODUCT(('PA Fees Actual'!$B$5:$B$882=$E18)*('PA Fees Actual'!$A$5:$A$882&gt;=AA$3)*('PA Fees Actual'!$A$5:$A$882&lt;=EOMONTH(AA$3,0))*'PA Fees Actual'!$D$5:$D$882),AA$3&gt;=EOMONTH($X18,-1)+1,$Y18,TRUE,0)</f>
        <v>0</v>
      </c>
      <c r="AB18" s="202" cm="1">
        <f t="array" ref="AB18">_xlfn.IFS(AB$3&lt;$B$2,SUMPRODUCT(('PA Fees Actual'!$B$5:$B$882=$E18)*('PA Fees Actual'!$A$5:$A$882&gt;=AB$3)*('PA Fees Actual'!$A$5:$A$882&lt;=EOMONTH(AB$3,0))*'PA Fees Actual'!$D$5:$D$882),AB$3&gt;=EOMONTH($X18,-1)+1,$Y18,TRUE,0)</f>
        <v>0</v>
      </c>
      <c r="AC18" s="202" cm="1">
        <f t="array" ref="AC18">_xlfn.IFS(AC$3&lt;$B$2,SUMPRODUCT(('PA Fees Actual'!$B$5:$B$882=$E18)*('PA Fees Actual'!$A$5:$A$882&gt;=AC$3)*('PA Fees Actual'!$A$5:$A$882&lt;=EOMONTH(AC$3,0))*'PA Fees Actual'!$D$5:$D$882),AC$3&gt;=EOMONTH($X18,-1)+1,$Y18,TRUE,0)</f>
        <v>0</v>
      </c>
      <c r="AD18" s="202" cm="1">
        <f t="array" ref="AD18">_xlfn.IFS(AD$3&lt;$B$2,SUMPRODUCT(('PA Fees Actual'!$B$5:$B$882=$E18)*('PA Fees Actual'!$A$5:$A$882&gt;=AD$3)*('PA Fees Actual'!$A$5:$A$882&lt;=EOMONTH(AD$3,0))*'PA Fees Actual'!$D$5:$D$882),AD$3&gt;=EOMONTH($X18,-1)+1,$Y18,TRUE,0)</f>
        <v>0</v>
      </c>
      <c r="AE18" s="202" cm="1">
        <f t="array" ref="AE18">_xlfn.IFS(AE$3&lt;$B$2,SUMPRODUCT(('PA Fees Actual'!$B$5:$B$882=$E18)*('PA Fees Actual'!$A$5:$A$882&gt;=AE$3)*('PA Fees Actual'!$A$5:$A$882&lt;=EOMONTH(AE$3,0))*'PA Fees Actual'!$D$5:$D$882),AE$3&gt;=EOMONTH($X18,-1)+1,$Y18,TRUE,0)</f>
        <v>0</v>
      </c>
      <c r="AF18" s="202" cm="1">
        <f t="array" ref="AF18">_xlfn.IFS(AF$3&lt;$B$2,SUMPRODUCT(('PA Fees Actual'!$B$5:$B$882=$E18)*('PA Fees Actual'!$A$5:$A$882&gt;=AF$3)*('PA Fees Actual'!$A$5:$A$882&lt;=EOMONTH(AF$3,0))*'PA Fees Actual'!$D$5:$D$882),AF$3&gt;=EOMONTH($X18,-1)+1,$Y18,TRUE,0)</f>
        <v>0</v>
      </c>
      <c r="AG18" s="202" cm="1">
        <f t="array" ref="AG18">_xlfn.IFS(AG$3&lt;$B$2,SUMPRODUCT(('PA Fees Actual'!$B$5:$B$882=$E18)*('PA Fees Actual'!$A$5:$A$882&gt;=AG$3)*('PA Fees Actual'!$A$5:$A$882&lt;=EOMONTH(AG$3,0))*'PA Fees Actual'!$D$5:$D$882),AG$3&gt;=EOMONTH($X18,-1)+1,$Y18,TRUE,0)</f>
        <v>0</v>
      </c>
      <c r="AH18" s="202" cm="1">
        <f t="array" ref="AH18">_xlfn.IFS(AH$3&lt;$B$2,SUMPRODUCT(('PA Fees Actual'!$B$5:$B$882=$E18)*('PA Fees Actual'!$A$5:$A$882&gt;=AH$3)*('PA Fees Actual'!$A$5:$A$882&lt;=EOMONTH(AH$3,0))*'PA Fees Actual'!$D$5:$D$882),AH$3&gt;=EOMONTH($X18,-1)+1,$Y18,TRUE,0)</f>
        <v>0</v>
      </c>
      <c r="AI18" s="202" cm="1">
        <f t="array" ref="AI18">_xlfn.IFS(AI$3&lt;$B$2,SUMPRODUCT(('PA Fees Actual'!$B$5:$B$882=$E18)*('PA Fees Actual'!$A$5:$A$882&gt;=AI$3)*('PA Fees Actual'!$A$5:$A$882&lt;=EOMONTH(AI$3,0))*'PA Fees Actual'!$D$5:$D$882),AI$3&gt;=EOMONTH($X18,-1)+1,$Y18,TRUE,0)</f>
        <v>0</v>
      </c>
      <c r="AJ18" s="202" cm="1">
        <f t="array" ref="AJ18">_xlfn.IFS(AJ$3&lt;$B$2,SUMPRODUCT(('PA Fees Actual'!$B$5:$B$882=$E18)*('PA Fees Actual'!$A$5:$A$882&gt;=AJ$3)*('PA Fees Actual'!$A$5:$A$882&lt;=EOMONTH(AJ$3,0))*'PA Fees Actual'!$D$5:$D$882),AJ$3&gt;=EOMONTH($X18,-1)+1,$Y18,TRUE,0)</f>
        <v>0</v>
      </c>
      <c r="AK18" s="202" cm="1">
        <f t="array" ref="AK18">_xlfn.IFS(AK$3&lt;$B$2,SUMPRODUCT(('PA Fees Actual'!$B$5:$B$882=$E18)*('PA Fees Actual'!$A$5:$A$882&gt;=AK$3)*('PA Fees Actual'!$A$5:$A$882&lt;=EOMONTH(AK$3,0))*'PA Fees Actual'!$D$5:$D$882),AK$3&gt;=EOMONTH($X18,-1)+1,$Y18,TRUE,0)</f>
        <v>0</v>
      </c>
      <c r="AL18" s="202" cm="1">
        <f t="array" ref="AL18">_xlfn.IFS(AL$3&lt;$B$2,SUMPRODUCT(('PA Fees Actual'!$B$5:$B$882=$E18)*('PA Fees Actual'!$A$5:$A$882&gt;=AL$3)*('PA Fees Actual'!$A$5:$A$882&lt;=EOMONTH(AL$3,0))*'PA Fees Actual'!$D$5:$D$882),AL$3&gt;=EOMONTH($X18,-1)+1,$Y18,TRUE,0)</f>
        <v>0</v>
      </c>
      <c r="AM18" s="202" cm="1">
        <f t="array" ref="AM18">_xlfn.IFS(AM$3&lt;$B$2,SUMPRODUCT(('PA Fees Actual'!$B$5:$B$882=$E18)*('PA Fees Actual'!$A$5:$A$882&gt;=AM$3)*('PA Fees Actual'!$A$5:$A$882&lt;=EOMONTH(AM$3,0))*'PA Fees Actual'!$D$5:$D$882),AM$3&gt;=EOMONTH($X18,-1)+1,$Y18,TRUE,0)</f>
        <v>0</v>
      </c>
      <c r="AN18" s="202" cm="1">
        <f t="array" ref="AN18">_xlfn.IFS(AN$3&lt;$B$2,SUMPRODUCT(('PA Fees Actual'!$B$5:$B$882=$E18)*('PA Fees Actual'!$A$5:$A$882&gt;=AN$3)*('PA Fees Actual'!$A$5:$A$882&lt;=EOMONTH(AN$3,0))*'PA Fees Actual'!$D$5:$D$882),AN$3&gt;=EOMONTH($X18,-1)+1,$Y18,TRUE,0)</f>
        <v>0</v>
      </c>
      <c r="AO18" s="202" cm="1">
        <f t="array" ref="AO18">_xlfn.IFS(AO$3&lt;$B$2,SUMPRODUCT(('PA Fees Actual'!$B$5:$B$882=$E18)*('PA Fees Actual'!$A$5:$A$882&gt;=AO$3)*('PA Fees Actual'!$A$5:$A$882&lt;=EOMONTH(AO$3,0))*'PA Fees Actual'!$D$5:$D$882),AO$3&gt;=EOMONTH($X18,-1)+1,$Y18,TRUE,0)</f>
        <v>0</v>
      </c>
      <c r="AP18" s="202" cm="1">
        <f t="array" ref="AP18">_xlfn.IFS(AP$3&lt;$B$2,SUMPRODUCT(('PA Fees Actual'!$B$5:$B$882=$E18)*('PA Fees Actual'!$A$5:$A$882&gt;=AP$3)*('PA Fees Actual'!$A$5:$A$882&lt;=EOMONTH(AP$3,0))*'PA Fees Actual'!$D$5:$D$882),AP$3&gt;=EOMONTH($X18,-1)+1,$Y18,TRUE,0)</f>
        <v>0</v>
      </c>
      <c r="AQ18" s="202" cm="1">
        <f t="array" ref="AQ18">_xlfn.IFS(AQ$3&lt;$B$2,SUMPRODUCT(('PA Fees Actual'!$B$5:$B$882=$E18)*('PA Fees Actual'!$A$5:$A$882&gt;=AQ$3)*('PA Fees Actual'!$A$5:$A$882&lt;=EOMONTH(AQ$3,0))*'PA Fees Actual'!$D$5:$D$882),AQ$3&gt;=EOMONTH($X18,-1)+1,$Y18,TRUE,0)</f>
        <v>0</v>
      </c>
      <c r="AR18" s="202" cm="1">
        <f t="array" ref="AR18">_xlfn.IFS(AR$3&lt;$B$2,SUMPRODUCT(('PA Fees Actual'!$B$5:$B$882=$E18)*('PA Fees Actual'!$A$5:$A$882&gt;=AR$3)*('PA Fees Actual'!$A$5:$A$882&lt;=EOMONTH(AR$3,0))*'PA Fees Actual'!$D$5:$D$882),AR$3&gt;=EOMONTH($X18,-1)+1,$Y18,TRUE,0)</f>
        <v>0</v>
      </c>
      <c r="AS18" s="202" cm="1">
        <f t="array" ref="AS18">_xlfn.IFS(AS$3&lt;$B$2,SUMPRODUCT(('PA Fees Actual'!$B$5:$B$882=$E18)*('PA Fees Actual'!$A$5:$A$882&gt;=AS$3)*('PA Fees Actual'!$A$5:$A$882&lt;=EOMONTH(AS$3,0))*'PA Fees Actual'!$D$5:$D$882),AS$3&gt;=EOMONTH($X18,-1)+1,$Y18,TRUE,0)</f>
        <v>0</v>
      </c>
      <c r="AT18" s="202" cm="1">
        <f t="array" ref="AT18">_xlfn.IFS(AT$3&lt;$B$2,SUMPRODUCT(('PA Fees Actual'!$B$5:$B$882=$E18)*('PA Fees Actual'!$A$5:$A$882&gt;=AT$3)*('PA Fees Actual'!$A$5:$A$882&lt;=EOMONTH(AT$3,0))*'PA Fees Actual'!$D$5:$D$882),AT$3&gt;=EOMONTH($X18,-1)+1,$Y18,TRUE,0)</f>
        <v>0</v>
      </c>
      <c r="AU18" s="202" cm="1">
        <f t="array" ref="AU18">_xlfn.IFS(AU$3&lt;$B$2,SUMPRODUCT(('PA Fees Actual'!$B$5:$B$882=$E18)*('PA Fees Actual'!$A$5:$A$882&gt;=AU$3)*('PA Fees Actual'!$A$5:$A$882&lt;=EOMONTH(AU$3,0))*'PA Fees Actual'!$D$5:$D$882),AU$3&gt;=EOMONTH($X18,-1)+1,$Y18,TRUE,0)</f>
        <v>0</v>
      </c>
      <c r="AV18" s="202" cm="1">
        <f t="array" ref="AV18">_xlfn.IFS(AV$3&lt;$B$2,SUMPRODUCT(('PA Fees Actual'!$B$5:$B$882=$E18)*('PA Fees Actual'!$A$5:$A$882&gt;=AV$3)*('PA Fees Actual'!$A$5:$A$882&lt;=EOMONTH(AV$3,0))*'PA Fees Actual'!$D$5:$D$882),AV$3&gt;=EOMONTH($X18,-1)+1,$Y18,TRUE,0)</f>
        <v>0</v>
      </c>
      <c r="AW18" s="202" cm="1">
        <f t="array" ref="AW18">_xlfn.IFS(AW$3&lt;$B$2,SUMPRODUCT(('PA Fees Actual'!$B$5:$B$882=$E18)*('PA Fees Actual'!$A$5:$A$882&gt;=AW$3)*('PA Fees Actual'!$A$5:$A$882&lt;=EOMONTH(AW$3,0))*'PA Fees Actual'!$D$5:$D$882),AW$3&gt;=EOMONTH($X18,-1)+1,$Y18,TRUE,0)</f>
        <v>0</v>
      </c>
      <c r="AX18" s="202" cm="1">
        <f t="array" ref="AX18">_xlfn.IFS(AX$3&lt;$B$2,SUMPRODUCT(('PA Fees Actual'!$B$5:$B$882=$E18)*('PA Fees Actual'!$A$5:$A$882&gt;=AX$3)*('PA Fees Actual'!$A$5:$A$882&lt;=EOMONTH(AX$3,0))*'PA Fees Actual'!$D$5:$D$882),AX$3&gt;=EOMONTH($X18,-1)+1,$Y18,TRUE,0)</f>
        <v>0</v>
      </c>
      <c r="AY18" s="202" cm="1">
        <f t="array" ref="AY18">_xlfn.IFS(AY$3&lt;$B$2,SUMPRODUCT(('PA Fees Actual'!$B$5:$B$882=$E18)*('PA Fees Actual'!$A$5:$A$882&gt;=AY$3)*('PA Fees Actual'!$A$5:$A$882&lt;=EOMONTH(AY$3,0))*'PA Fees Actual'!$D$5:$D$882),AY$3&gt;=EOMONTH($X18,-1)+1,$Y18,TRUE,0)</f>
        <v>0</v>
      </c>
      <c r="AZ18" s="202" cm="1">
        <f t="array" ref="AZ18">_xlfn.IFS(AZ$3&lt;$B$2,SUMPRODUCT(('PA Fees Actual'!$B$5:$B$882=$E18)*('PA Fees Actual'!$A$5:$A$882&gt;=AZ$3)*('PA Fees Actual'!$A$5:$A$882&lt;=EOMONTH(AZ$3,0))*'PA Fees Actual'!$D$5:$D$882),AZ$3&gt;=EOMONTH($X18,-1)+1,$Y18,TRUE,0)</f>
        <v>3805.65</v>
      </c>
      <c r="BA18" s="202" cm="1">
        <f t="array" ref="BA18">_xlfn.IFS(BA$3&lt;$B$2,SUMPRODUCT(('PA Fees Actual'!$B$5:$B$882=$E18)*('PA Fees Actual'!$A$5:$A$882&gt;=BA$3)*('PA Fees Actual'!$A$5:$A$882&lt;=EOMONTH(BA$3,0))*'PA Fees Actual'!$D$5:$D$882),BA$3&gt;=EOMONTH($X18,-1)+1,$Y18,TRUE,0)</f>
        <v>1933.63</v>
      </c>
      <c r="BB18" s="202" cm="1">
        <f t="array" ref="BB18">_xlfn.IFS(BB$3&lt;$B$2,SUMPRODUCT(('PA Fees Actual'!$B$5:$B$882=$E18)*('PA Fees Actual'!$A$5:$A$882&gt;=BB$3)*('PA Fees Actual'!$A$5:$A$882&lt;=EOMONTH(BB$3,0))*'PA Fees Actual'!$D$5:$D$882),BB$3&gt;=EOMONTH($X18,-1)+1,$Y18,TRUE,0)</f>
        <v>0</v>
      </c>
      <c r="BC18" s="202" cm="1">
        <f t="array" ref="BC18">_xlfn.IFS(BC$3&lt;$B$2,SUMPRODUCT(('PA Fees Actual'!$B$5:$B$882=$E18)*('PA Fees Actual'!$A$5:$A$882&gt;=BC$3)*('PA Fees Actual'!$A$5:$A$882&lt;=EOMONTH(BC$3,0))*'PA Fees Actual'!$D$5:$D$882),BC$3&gt;=EOMONTH($X18,-1)+1,$Y18,TRUE,0)</f>
        <v>1913.09</v>
      </c>
      <c r="BD18" s="202" cm="1">
        <f t="array" ref="BD18">_xlfn.IFS(BD$3&lt;$B$2,SUMPRODUCT(('PA Fees Actual'!$B$5:$B$882=$E18)*('PA Fees Actual'!$A$5:$A$882&gt;=BD$3)*('PA Fees Actual'!$A$5:$A$882&lt;=EOMONTH(BD$3,0))*'PA Fees Actual'!$D$5:$D$882),BD$3&gt;=EOMONTH($X18,-1)+1,$Y18,TRUE,0)</f>
        <v>0</v>
      </c>
      <c r="BE18" s="202" cm="1">
        <f t="array" ref="BE18">_xlfn.IFS(BE$3&lt;$B$2,SUMPRODUCT(('PA Fees Actual'!$B$5:$B$882=$E18)*('PA Fees Actual'!$A$5:$A$882&gt;=BE$3)*('PA Fees Actual'!$A$5:$A$882&lt;=EOMONTH(BE$3,0))*'PA Fees Actual'!$D$5:$D$882),BE$3&gt;=EOMONTH($X18,-1)+1,$Y18,TRUE,0)</f>
        <v>0</v>
      </c>
      <c r="BF18" s="202" cm="1">
        <f t="array" ref="BF18">_xlfn.IFS(BF$3&lt;$B$2,SUMPRODUCT(('PA Fees Actual'!$B$5:$B$882=$E18)*('PA Fees Actual'!$A$5:$A$882&gt;=BF$3)*('PA Fees Actual'!$A$5:$A$882&lt;=EOMONTH(BF$3,0))*'PA Fees Actual'!$D$5:$D$882),BF$3&gt;=EOMONTH($X18,-1)+1,$Y18,TRUE,0)</f>
        <v>5529.88</v>
      </c>
      <c r="BG18" s="202" cm="1">
        <f t="array" ref="BG18">_xlfn.IFS(BG$3&lt;$B$2,SUMPRODUCT(('PA Fees Actual'!$B$5:$B$882=$E18)*('PA Fees Actual'!$A$5:$A$882&gt;=BG$3)*('PA Fees Actual'!$A$5:$A$882&lt;=EOMONTH(BG$3,0))*'PA Fees Actual'!$D$5:$D$882),BG$3&gt;=EOMONTH($X18,-1)+1,$Y18,TRUE,0)</f>
        <v>0</v>
      </c>
      <c r="BH18" s="202" cm="1">
        <f t="array" ref="BH18">_xlfn.IFS(BH$3&lt;$B$2,SUMPRODUCT(('PA Fees Actual'!$B$5:$B$882=$E18)*('PA Fees Actual'!$A$5:$A$882&gt;=BH$3)*('PA Fees Actual'!$A$5:$A$882&lt;=EOMONTH(BH$3,0))*'PA Fees Actual'!$D$5:$D$882),BH$3&gt;=EOMONTH($X18,-1)+1,$Y18,TRUE,0)</f>
        <v>1869.49</v>
      </c>
      <c r="BI18" s="202" cm="1">
        <f t="array" ref="BI18">_xlfn.IFS(BI$3&lt;$B$2,SUMPRODUCT(('PA Fees Actual'!$B$5:$B$882=$E18)*('PA Fees Actual'!$A$5:$A$882&gt;=BI$3)*('PA Fees Actual'!$A$5:$A$882&lt;=EOMONTH(BI$3,0))*'PA Fees Actual'!$D$5:$D$882),BI$3&gt;=EOMONTH($X18,-1)+1,$Y18,TRUE,0)</f>
        <v>1880.98</v>
      </c>
      <c r="BJ18" s="202" cm="1">
        <f t="array" ref="BJ18">_xlfn.IFS(BJ$3&lt;$B$2,SUMPRODUCT(('PA Fees Actual'!$B$5:$B$882=$E18)*('PA Fees Actual'!$A$5:$A$882&gt;=BJ$3)*('PA Fees Actual'!$A$5:$A$882&lt;=EOMONTH(BJ$3,0))*'PA Fees Actual'!$D$5:$D$882),BJ$3&gt;=EOMONTH($X18,-1)+1,$Y18,TRUE,0)</f>
        <v>6009.7699999999995</v>
      </c>
      <c r="BK18" s="202" cm="1">
        <f t="array" ref="BK18">_xlfn.IFS(BK$3&lt;$B$2,SUMPRODUCT(('PA Fees Actual'!$B$5:$B$882=$E18)*('PA Fees Actual'!$A$5:$A$882&gt;=BK$3)*('PA Fees Actual'!$A$5:$A$882&lt;=EOMONTH(BK$3,0))*'PA Fees Actual'!$D$5:$D$882),BK$3&gt;=EOMONTH($X18,-1)+1,$Y18,TRUE,0)</f>
        <v>0</v>
      </c>
      <c r="BL18" s="202" cm="1">
        <f t="array" ref="BL18">_xlfn.IFS(BL$3&lt;$B$2,SUMPRODUCT(('PA Fees Actual'!$B$5:$B$882=$E18)*('PA Fees Actual'!$A$5:$A$882&gt;=BL$3)*('PA Fees Actual'!$A$5:$A$882&lt;=EOMONTH(BL$3,0))*'PA Fees Actual'!$D$5:$D$882),BL$3&gt;=EOMONTH($X18,-1)+1,$Y18,TRUE,0)</f>
        <v>1862.24</v>
      </c>
      <c r="BM18" s="202" cm="1">
        <f t="array" ref="BM18">_xlfn.IFS(BM$3&lt;$B$2,SUMPRODUCT(('PA Fees Actual'!$B$5:$B$882=$E18)*('PA Fees Actual'!$A$5:$A$882&gt;=BM$3)*('PA Fees Actual'!$A$5:$A$882&lt;=EOMONTH(BM$3,0))*'PA Fees Actual'!$D$5:$D$882),BM$3&gt;=EOMONTH($X18,-1)+1,$Y18,TRUE,0)</f>
        <v>0</v>
      </c>
      <c r="BN18" s="202" cm="1">
        <f t="array" ref="BN18">_xlfn.IFS(BN$3&lt;$B$2,SUMPRODUCT(('PA Fees Actual'!$B$5:$B$882=$E18)*('PA Fees Actual'!$A$5:$A$882&gt;=BN$3)*('PA Fees Actual'!$A$5:$A$882&lt;=EOMONTH(BN$3,0))*'PA Fees Actual'!$D$5:$D$882),BN$3&gt;=EOMONTH($X18,-1)+1,$Y18,TRUE,0)</f>
        <v>3724.01</v>
      </c>
      <c r="BO18" s="202" cm="1">
        <f t="array" ref="BO18">_xlfn.IFS(BO$3&lt;$B$2,SUMPRODUCT(('PA Fees Actual'!$B$5:$B$882=$E18)*('PA Fees Actual'!$A$5:$A$882&gt;=BO$3)*('PA Fees Actual'!$A$5:$A$882&lt;=EOMONTH(BO$3,0))*'PA Fees Actual'!$D$5:$D$882),BO$3&gt;=EOMONTH($X18,-1)+1,$Y18,TRUE,0)</f>
        <v>1218.98</v>
      </c>
      <c r="BP18" s="202" cm="1">
        <f t="array" ref="BP18">_xlfn.IFS(BP$3&lt;$B$2,SUMPRODUCT(('PA Fees Actual'!$B$5:$B$882=$E18)*('PA Fees Actual'!$A$5:$A$882&gt;=BP$3)*('PA Fees Actual'!$A$5:$A$882&lt;=EOMONTH(BP$3,0))*'PA Fees Actual'!$D$5:$D$882),BP$3&gt;=EOMONTH($X18,-1)+1,$Y18,TRUE,0)</f>
        <v>3697.75</v>
      </c>
      <c r="BQ18" s="202" cm="1">
        <f t="array" ref="BQ18">_xlfn.IFS(BQ$3&lt;$B$2,SUMPRODUCT(('PA Fees Actual'!$B$5:$B$882=$E18)*('PA Fees Actual'!$A$5:$A$882&gt;=BQ$3)*('PA Fees Actual'!$A$5:$A$882&lt;=EOMONTH(BQ$3,0))*'PA Fees Actual'!$D$5:$D$882),BQ$3&gt;=EOMONTH($X18,-1)+1,$Y18,TRUE,0)</f>
        <v>0</v>
      </c>
      <c r="BR18" s="202" cm="1">
        <f t="array" ref="BR18">_xlfn.IFS(BR$3&lt;$B$2,SUMPRODUCT(('PA Fees Actual'!$B$5:$B$882=$E18)*('PA Fees Actual'!$A$5:$A$882&gt;=BR$3)*('PA Fees Actual'!$A$5:$A$882&lt;=EOMONTH(BR$3,0))*'PA Fees Actual'!$D$5:$D$882),BR$3&gt;=EOMONTH($X18,-1)+1,$Y18,TRUE,0)</f>
        <v>1844.82</v>
      </c>
      <c r="BS18" s="202" cm="1">
        <f t="array" ref="BS18">_xlfn.IFS(BS$3&lt;$B$2,SUMPRODUCT(('PA Fees Actual'!$B$5:$B$882=$E18)*('PA Fees Actual'!$A$5:$A$882&gt;=BS$3)*('PA Fees Actual'!$A$5:$A$882&lt;=EOMONTH(BS$3,0))*'PA Fees Actual'!$D$5:$D$882),BS$3&gt;=EOMONTH($X18,-1)+1,$Y18,TRUE,0)</f>
        <v>1839.93</v>
      </c>
      <c r="BT18" s="202" cm="1">
        <f t="array" ref="BT18">_xlfn.IFS(BT$3&lt;$B$2,SUMPRODUCT(('PA Fees Actual'!$B$5:$B$882=$E18)*('PA Fees Actual'!$A$5:$A$882&gt;=BT$3)*('PA Fees Actual'!$A$5:$A$882&lt;=EOMONTH(BT$3,0))*'PA Fees Actual'!$D$5:$D$882),BT$3&gt;=EOMONTH($X18,-1)+1,$Y18,TRUE,0)</f>
        <v>3696.3</v>
      </c>
      <c r="BU18" s="202" cm="1">
        <f t="array" ref="BU18">_xlfn.IFS(BU$3&lt;$B$2,SUMPRODUCT(('PA Fees Actual'!$B$5:$B$882=$E18)*('PA Fees Actual'!$A$5:$A$882&gt;=BU$3)*('PA Fees Actual'!$A$5:$A$882&lt;=EOMONTH(BU$3,0))*'PA Fees Actual'!$D$5:$D$882),BU$3&gt;=EOMONTH($X18,-1)+1,$Y18,TRUE,0)</f>
        <v>0</v>
      </c>
      <c r="BV18" s="202" cm="1">
        <f t="array" ref="BV18">_xlfn.IFS(BV$3&lt;$B$2,SUMPRODUCT(('PA Fees Actual'!$B$5:$B$882=$E18)*('PA Fees Actual'!$A$5:$A$882&gt;=BV$3)*('PA Fees Actual'!$A$5:$A$882&lt;=EOMONTH(BV$3,0))*'PA Fees Actual'!$D$5:$D$882),BV$3&gt;=EOMONTH($X18,-1)+1,$Y18,TRUE,0)</f>
        <v>0</v>
      </c>
      <c r="BW18" s="202" cm="1">
        <f t="array" ref="BW18">_xlfn.IFS(BW$3&lt;$B$2,SUMPRODUCT(('PA Fees Actual'!$B$5:$B$882=$E18)*('PA Fees Actual'!$A$5:$A$882&gt;=BW$3)*('PA Fees Actual'!$A$5:$A$882&lt;=EOMONTH(BW$3,0))*'PA Fees Actual'!$D$5:$D$882),BW$3&gt;=EOMONTH($X18,-1)+1,$Y18,TRUE,0)</f>
        <v>1834.26</v>
      </c>
      <c r="BX18" s="202" cm="1">
        <f t="array" ref="BX18">_xlfn.IFS(BX$3&lt;$B$2,SUMPRODUCT(('PA Fees Actual'!$B$5:$B$882=$E18)*('PA Fees Actual'!$A$5:$A$882&gt;=BX$3)*('PA Fees Actual'!$A$5:$A$882&lt;=EOMONTH(BX$3,0))*'PA Fees Actual'!$D$5:$D$882),BX$3&gt;=EOMONTH($X18,-1)+1,$Y18,TRUE,0)</f>
        <v>1857.1299999999999</v>
      </c>
      <c r="BY18" s="202" cm="1">
        <f t="array" ref="BY18">_xlfn.IFS(BY$3&lt;$B$2,SUMPRODUCT(('PA Fees Actual'!$B$5:$B$882=$E18)*('PA Fees Actual'!$A$5:$A$882&gt;=BY$3)*('PA Fees Actual'!$A$5:$A$882&lt;=EOMONTH(BY$3,0))*'PA Fees Actual'!$D$5:$D$882),BY$3&gt;=EOMONTH($X18,-1)+1,$Y18,TRUE,0)</f>
        <v>1395.85</v>
      </c>
      <c r="BZ18" s="202" cm="1">
        <f t="array" ref="BZ18">_xlfn.IFS(BZ$3&lt;$B$2,SUMPRODUCT(('PA Fees Actual'!$B$5:$B$882=$E18)*('PA Fees Actual'!$A$5:$A$882&gt;=BZ$3)*('PA Fees Actual'!$A$5:$A$882&lt;=EOMONTH(BZ$3,0))*'PA Fees Actual'!$D$5:$D$882),BZ$3&gt;=EOMONTH($X18,-1)+1,$Y18,TRUE,0)</f>
        <v>3810.71</v>
      </c>
      <c r="CA18" s="202" cm="1">
        <f t="array" ref="CA18">_xlfn.IFS(CA$3&lt;$B$2,SUMPRODUCT(('PA Fees Actual'!$B$5:$B$882=$E18)*('PA Fees Actual'!$A$5:$A$882&gt;=CA$3)*('PA Fees Actual'!$A$5:$A$882&lt;=EOMONTH(CA$3,0))*'PA Fees Actual'!$D$5:$D$882),CA$3&gt;=EOMONTH($X18,-1)+1,$Y18,TRUE,0)</f>
        <v>2286.17</v>
      </c>
      <c r="CB18" s="202" cm="1">
        <f t="array" ref="CB18">_xlfn.IFS(CB$3&lt;$B$2,SUMPRODUCT(('PA Fees Actual'!$B$5:$B$882=$E18)*('PA Fees Actual'!$A$5:$A$882&gt;=CB$3)*('PA Fees Actual'!$A$5:$A$882&lt;=EOMONTH(CB$3,0))*'PA Fees Actual'!$D$5:$D$882),CB$3&gt;=EOMONTH($X18,-1)+1,$Y18,TRUE,0)</f>
        <v>1806.25</v>
      </c>
      <c r="CC18" s="202" cm="1">
        <f t="array" ref="CC18">_xlfn.IFS(CC$3&lt;$B$2,SUMPRODUCT(('PA Fees Actual'!$B$5:$B$882=$E18)*('PA Fees Actual'!$A$5:$A$882&gt;=CC$3)*('PA Fees Actual'!$A$5:$A$882&lt;=EOMONTH(CC$3,0))*'PA Fees Actual'!$D$5:$D$882),CC$3&gt;=EOMONTH($X18,-1)+1,$Y18,TRUE,0)</f>
        <v>1806.25</v>
      </c>
      <c r="CD18" s="202" cm="1">
        <f t="array" ref="CD18">_xlfn.IFS(CD$3&lt;$B$2,SUMPRODUCT(('PA Fees Actual'!$B$5:$B$882=$E18)*('PA Fees Actual'!$A$5:$A$882&gt;=CD$3)*('PA Fees Actual'!$A$5:$A$882&lt;=EOMONTH(CD$3,0))*'PA Fees Actual'!$D$5:$D$882),CD$3&gt;=EOMONTH($X18,-1)+1,$Y18,TRUE,0)</f>
        <v>1806.25</v>
      </c>
      <c r="CE18" s="202" cm="1">
        <f t="array" ref="CE18">_xlfn.IFS(CE$3&lt;$B$2,SUMPRODUCT(('PA Fees Actual'!$B$5:$B$882=$E18)*('PA Fees Actual'!$A$5:$A$882&gt;=CE$3)*('PA Fees Actual'!$A$5:$A$882&lt;=EOMONTH(CE$3,0))*'PA Fees Actual'!$D$5:$D$882),CE$3&gt;=EOMONTH($X18,-1)+1,$Y18,TRUE,0)</f>
        <v>1806.25</v>
      </c>
      <c r="CF18" s="202" cm="1">
        <f t="array" ref="CF18">_xlfn.IFS(CF$3&lt;$B$2,SUMPRODUCT(('PA Fees Actual'!$B$5:$B$882=$E18)*('PA Fees Actual'!$A$5:$A$882&gt;=CF$3)*('PA Fees Actual'!$A$5:$A$882&lt;=EOMONTH(CF$3,0))*'PA Fees Actual'!$D$5:$D$882),CF$3&gt;=EOMONTH($X18,-1)+1,$Y18,TRUE,0)</f>
        <v>1806.25</v>
      </c>
      <c r="CG18" s="202" cm="1">
        <f t="array" ref="CG18">_xlfn.IFS(CG$3&lt;$B$2,SUMPRODUCT(('PA Fees Actual'!$B$5:$B$882=$E18)*('PA Fees Actual'!$A$5:$A$882&gt;=CG$3)*('PA Fees Actual'!$A$5:$A$882&lt;=EOMONTH(CG$3,0))*'PA Fees Actual'!$D$5:$D$882),CG$3&gt;=EOMONTH($X18,-1)+1,$Y18,TRUE,0)</f>
        <v>1806.25</v>
      </c>
      <c r="CI18" s="202" cm="1">
        <f t="array" ref="CI18">_xlfn.IFS(CI$3&lt;=YEAR($B$2),SUMPRODUCT(($E$4:$E$79=$E18)*($Z$2:$CG$2=CI$3)*($Z$2:$CG$2&lt;CJ$3)*$Z$4:$CG$79),CI$3&lt;YEAR($X18),0,CI$3=YEAR($X18),DATEDIF($X18,DATE(CI$3,12,31),"m")*$Y18,AND(CI$3&gt;YEAR($X18),CI$3-YEAR($X18)&lt;20),$Y18*12,CI$3-YEAR($X18)=20,DATEDIF(DATE(YEAR($X18),1,1),$X18,"m")*$Y18,CI$3-YEAR($X18)&gt;20,0)</f>
        <v>0</v>
      </c>
      <c r="CJ18" s="202" cm="1">
        <f t="array" ref="CJ18">_xlfn.IFS(CJ$3&lt;=YEAR($B$2),SUMPRODUCT(($E$4:$E$79=$E18)*($Z$2:$CG$2=CJ$3)*($Z$2:$CG$2&lt;CK$3)*$Z$4:$CG$79),CJ$3&lt;YEAR($X18),0,CJ$3=YEAR($X18),DATEDIF($X18,DATE(CJ$3,12,31),"m")*$Y18,AND(CJ$3&gt;YEAR($X18),CJ$3-YEAR($X18)&lt;20),$Y18*12,CJ$3-YEAR($X18)=20,DATEDIF(DATE(YEAR($X18),1,1),$X18,"m")*$Y18,CJ$3-YEAR($X18)&gt;20,0)</f>
        <v>0</v>
      </c>
      <c r="CK18" s="202" cm="1">
        <f t="array" ref="CK18">_xlfn.IFS(CK$3&lt;=YEAR($B$2),SUMPRODUCT(($E$4:$E$79=$E18)*($Z$2:$CG$2=CK$3)*($Z$2:$CG$2&lt;CL$3)*$Z$4:$CG$79),CK$3&lt;YEAR($X18),0,CK$3=YEAR($X18),DATEDIF($X18,DATE(CK$3,12,31),"m")*$Y18,AND(CK$3&gt;YEAR($X18),CK$3-YEAR($X18)&lt;20),$Y18*12,CK$3-YEAR($X18)=20,DATEDIF(DATE(YEAR($X18),1,1),$X18,"m")*$Y18,CK$3-YEAR($X18)&gt;20,0)</f>
        <v>16932.72</v>
      </c>
      <c r="CL18" s="202" cm="1">
        <f t="array" ref="CL18">_xlfn.IFS(CL$3&lt;=YEAR($B$2),SUMPRODUCT(($E$4:$E$79=$E18)*($Z$2:$CG$2=CL$3)*($Z$2:$CG$2&lt;CM$3)*$Z$4:$CG$79),CL$3&lt;YEAR($X18),0,CL$3=YEAR($X18),DATEDIF($X18,DATE(CL$3,12,31),"m")*$Y18,AND(CL$3&gt;YEAR($X18),CL$3-YEAR($X18)&lt;20),$Y18*12,CL$3-YEAR($X18)=20,DATEDIF(DATE(YEAR($X18),1,1),$X18,"m")*$Y18,CL$3-YEAR($X18)&gt;20,0)</f>
        <v>23893.8</v>
      </c>
      <c r="CM18" s="202" cm="1">
        <f t="array" ref="CM18">_xlfn.IFS(CM$3&lt;=YEAR($B$2),SUMPRODUCT(($E$4:$E$79=$E18)*($Z$2:$CG$2=CM$3)*($Z$2:$CG$2&lt;CN$3)*$Z$4:$CG$79),CM$3&lt;YEAR($X18),0,CM$3=YEAR($X18),DATEDIF($X18,DATE(CM$3,12,31),"m")*$Y18,AND(CM$3&gt;YEAR($X18),CM$3-YEAR($X18)&lt;20),$Y18*12,CM$3-YEAR($X18)=20,DATEDIF(DATE(YEAR($X18),1,1),$X18,"m")*$Y18,CM$3-YEAR($X18)&gt;20,0)</f>
        <v>22021.620000000003</v>
      </c>
      <c r="CN18" s="202" cm="1">
        <f t="array" ref="CN18">_xlfn.IFS(CN$3&lt;=YEAR($B$2),SUMPRODUCT(($E$4:$E$79=$E18)*($Z$2:$CG$2=CN$3)*($Z$2:$CG$2&lt;CO$3)*$Z$4:$CG$79),CN$3&lt;YEAR($X18),0,CN$3=YEAR($X18),DATEDIF($X18,DATE(CN$3,12,31),"m")*$Y18,AND(CN$3&gt;YEAR($X18),CN$3-YEAR($X18)&lt;20),$Y18*12,CN$3-YEAR($X18)=20,DATEDIF(DATE(YEAR($X18),1,1),$X18,"m")*$Y18,CN$3-YEAR($X18)&gt;20,0)</f>
        <v>21675</v>
      </c>
      <c r="CO18" s="202" cm="1">
        <f t="array" ref="CO18">_xlfn.IFS(CO$3&lt;=YEAR($B$2),SUMPRODUCT(($E$4:$E$79=$E18)*($Z$2:$CG$2=CO$3)*($Z$2:$CG$2&lt;CP$3)*$Z$4:$CG$79),CO$3&lt;YEAR($X18),0,CO$3=YEAR($X18),DATEDIF($X18,DATE(CO$3,12,31),"m")*$Y18,AND(CO$3&gt;YEAR($X18),CO$3-YEAR($X18)&lt;20),$Y18*12,CO$3-YEAR($X18)=20,DATEDIF(DATE(YEAR($X18),1,1),$X18,"m")*$Y18,CO$3-YEAR($X18)&gt;20,0)</f>
        <v>21675</v>
      </c>
      <c r="CP18" s="202" cm="1">
        <f t="array" ref="CP18">_xlfn.IFS(CP$3&lt;=YEAR($B$2),SUMPRODUCT(($E$4:$E$79=$E18)*($Z$2:$CG$2=CP$3)*($Z$2:$CG$2&lt;CQ$3)*$Z$4:$CG$79),CP$3&lt;YEAR($X18),0,CP$3=YEAR($X18),DATEDIF($X18,DATE(CP$3,12,31),"m")*$Y18,AND(CP$3&gt;YEAR($X18),CP$3-YEAR($X18)&lt;20),$Y18*12,CP$3-YEAR($X18)=20,DATEDIF(DATE(YEAR($X18),1,1),$X18,"m")*$Y18,CP$3-YEAR($X18)&gt;20,0)</f>
        <v>21675</v>
      </c>
      <c r="CQ18" s="202" cm="1">
        <f t="array" ref="CQ18">_xlfn.IFS(CQ$3&lt;=YEAR($B$2),SUMPRODUCT(($E$4:$E$79=$E18)*($Z$2:$CG$2=CQ$3)*($Z$2:$CG$2&lt;CR$3)*$Z$4:$CG$79),CQ$3&lt;YEAR($X18),0,CQ$3=YEAR($X18),DATEDIF($X18,DATE(CQ$3,12,31),"m")*$Y18,AND(CQ$3&gt;YEAR($X18),CQ$3-YEAR($X18)&lt;20),$Y18*12,CQ$3-YEAR($X18)=20,DATEDIF(DATE(YEAR($X18),1,1),$X18,"m")*$Y18,CQ$3-YEAR($X18)&gt;20,0)</f>
        <v>21675</v>
      </c>
      <c r="CR18" s="202" cm="1">
        <f t="array" ref="CR18">_xlfn.IFS(CR$3&lt;=YEAR($B$2),SUMPRODUCT(($E$4:$E$79=$E18)*($Z$2:$CG$2=CR$3)*($Z$2:$CG$2&lt;CS$3)*$Z$4:$CG$79),CR$3&lt;YEAR($X18),0,CR$3=YEAR($X18),DATEDIF($X18,DATE(CR$3,12,31),"m")*$Y18,AND(CR$3&gt;YEAR($X18),CR$3-YEAR($X18)&lt;20),$Y18*12,CR$3-YEAR($X18)=20,DATEDIF(DATE(YEAR($X18),1,1),$X18,"m")*$Y18,CR$3-YEAR($X18)&gt;20,0)</f>
        <v>21675</v>
      </c>
      <c r="CS18" s="202" cm="1">
        <f t="array" ref="CS18">_xlfn.IFS(CS$3&lt;=YEAR($B$2),SUMPRODUCT(($E$4:$E$79=$E18)*($Z$2:$CG$2=CS$3)*($Z$2:$CG$2&lt;CT$3)*$Z$4:$CG$79),CS$3&lt;YEAR($X18),0,CS$3=YEAR($X18),DATEDIF($X18,DATE(CS$3,12,31),"m")*$Y18,AND(CS$3&gt;YEAR($X18),CS$3-YEAR($X18)&lt;20),$Y18*12,CS$3-YEAR($X18)=20,DATEDIF(DATE(YEAR($X18),1,1),$X18,"m")*$Y18,CS$3-YEAR($X18)&gt;20,0)</f>
        <v>21675</v>
      </c>
      <c r="CT18" s="202" cm="1">
        <f t="array" ref="CT18">_xlfn.IFS(CT$3&lt;=YEAR($B$2),SUMPRODUCT(($E$4:$E$79=$E18)*($Z$2:$CG$2=CT$3)*($Z$2:$CG$2&lt;CU$3)*$Z$4:$CG$79),CT$3&lt;YEAR($X18),0,CT$3=YEAR($X18),DATEDIF($X18,DATE(CT$3,12,31),"m")*$Y18,AND(CT$3&gt;YEAR($X18),CT$3-YEAR($X18)&lt;20),$Y18*12,CT$3-YEAR($X18)=20,DATEDIF(DATE(YEAR($X18),1,1),$X18,"m")*$Y18,CT$3-YEAR($X18)&gt;20,0)</f>
        <v>21675</v>
      </c>
      <c r="CU18" s="202" cm="1">
        <f t="array" ref="CU18">_xlfn.IFS(CU$3&lt;=YEAR($B$2),SUMPRODUCT(($E$4:$E$79=$E18)*($Z$2:$CG$2=CU$3)*($Z$2:$CG$2&lt;CV$3)*$Z$4:$CG$79),CU$3&lt;YEAR($X18),0,CU$3=YEAR($X18),DATEDIF($X18,DATE(CU$3,12,31),"m")*$Y18,AND(CU$3&gt;YEAR($X18),CU$3-YEAR($X18)&lt;20),$Y18*12,CU$3-YEAR($X18)=20,DATEDIF(DATE(YEAR($X18),1,1),$X18,"m")*$Y18,CU$3-YEAR($X18)&gt;20,0)</f>
        <v>21675</v>
      </c>
      <c r="CV18" s="202" cm="1">
        <f t="array" ref="CV18">_xlfn.IFS(CV$3&lt;=YEAR($B$2),SUMPRODUCT(($E$4:$E$79=$E18)*($Z$2:$CG$2=CV$3)*($Z$2:$CG$2&lt;CW$3)*$Z$4:$CG$79),CV$3&lt;YEAR($X18),0,CV$3=YEAR($X18),DATEDIF($X18,DATE(CV$3,12,31),"m")*$Y18,AND(CV$3&gt;YEAR($X18),CV$3-YEAR($X18)&lt;20),$Y18*12,CV$3-YEAR($X18)=20,DATEDIF(DATE(YEAR($X18),1,1),$X18,"m")*$Y18,CV$3-YEAR($X18)&gt;20,0)</f>
        <v>21675</v>
      </c>
      <c r="CW18" s="202" cm="1">
        <f t="array" ref="CW18">_xlfn.IFS(CW$3&lt;=YEAR($B$2),SUMPRODUCT(($E$4:$E$79=$E18)*($Z$2:$CG$2=CW$3)*($Z$2:$CG$2&lt;CX$3)*$Z$4:$CG$79),CW$3&lt;YEAR($X18),0,CW$3=YEAR($X18),DATEDIF($X18,DATE(CW$3,12,31),"m")*$Y18,AND(CW$3&gt;YEAR($X18),CW$3-YEAR($X18)&lt;20),$Y18*12,CW$3-YEAR($X18)=20,DATEDIF(DATE(YEAR($X18),1,1),$X18,"m")*$Y18,CW$3-YEAR($X18)&gt;20,0)</f>
        <v>21675</v>
      </c>
      <c r="CX18" s="202" cm="1">
        <f t="array" ref="CX18">_xlfn.IFS(CX$3&lt;=YEAR($B$2),SUMPRODUCT(($E$4:$E$79=$E18)*($Z$2:$CG$2=CX$3)*($Z$2:$CG$2&lt;CY$3)*$Z$4:$CG$79),CX$3&lt;YEAR($X18),0,CX$3=YEAR($X18),DATEDIF($X18,DATE(CX$3,12,31),"m")*$Y18,AND(CX$3&gt;YEAR($X18),CX$3-YEAR($X18)&lt;20),$Y18*12,CX$3-YEAR($X18)=20,DATEDIF(DATE(YEAR($X18),1,1),$X18,"m")*$Y18,CX$3-YEAR($X18)&gt;20,0)</f>
        <v>21675</v>
      </c>
      <c r="CY18" s="202" cm="1">
        <f t="array" ref="CY18">_xlfn.IFS(CY$3&lt;=YEAR($B$2),SUMPRODUCT(($E$4:$E$79=$E18)*($Z$2:$CG$2=CY$3)*($Z$2:$CG$2&lt;CZ$3)*$Z$4:$CG$79),CY$3&lt;YEAR($X18),0,CY$3=YEAR($X18),DATEDIF($X18,DATE(CY$3,12,31),"m")*$Y18,AND(CY$3&gt;YEAR($X18),CY$3-YEAR($X18)&lt;20),$Y18*12,CY$3-YEAR($X18)=20,DATEDIF(DATE(YEAR($X18),1,1),$X18,"m")*$Y18,CY$3-YEAR($X18)&gt;20,0)</f>
        <v>21675</v>
      </c>
      <c r="CZ18" s="202" cm="1">
        <f t="array" ref="CZ18">_xlfn.IFS(CZ$3&lt;=YEAR($B$2),SUMPRODUCT(($E$4:$E$79=$E18)*($Z$2:$CG$2=CZ$3)*($Z$2:$CG$2&lt;DA$3)*$Z$4:$CG$79),CZ$3&lt;YEAR($X18),0,CZ$3=YEAR($X18),DATEDIF($X18,DATE(CZ$3,12,31),"m")*$Y18,AND(CZ$3&gt;YEAR($X18),CZ$3-YEAR($X18)&lt;20),$Y18*12,CZ$3-YEAR($X18)=20,DATEDIF(DATE(YEAR($X18),1,1),$X18,"m")*$Y18,CZ$3-YEAR($X18)&gt;20,0)</f>
        <v>21675</v>
      </c>
      <c r="DA18" s="202" cm="1">
        <f t="array" ref="DA18">_xlfn.IFS(DA$3&lt;=YEAR($B$2),SUMPRODUCT(($E$4:$E$79=$E18)*($Z$2:$CG$2=DA$3)*($Z$2:$CG$2&lt;DB$3)*$Z$4:$CG$79),DA$3&lt;YEAR($X18),0,DA$3=YEAR($X18),DATEDIF($X18,DATE(DA$3,12,31),"m")*$Y18,AND(DA$3&gt;YEAR($X18),DA$3-YEAR($X18)&lt;20),$Y18*12,DA$3-YEAR($X18)=20,DATEDIF(DATE(YEAR($X18),1,1),$X18,"m")*$Y18,DA$3-YEAR($X18)&gt;20,0)</f>
        <v>21675</v>
      </c>
      <c r="DB18" s="202" cm="1">
        <f t="array" ref="DB18">_xlfn.IFS(DB$3&lt;=YEAR($B$2),SUMPRODUCT(($E$4:$E$79=$E18)*($Z$2:$CG$2=DB$3)*($Z$2:$CG$2&lt;DC$3)*$Z$4:$CG$79),DB$3&lt;YEAR($X18),0,DB$3=YEAR($X18),DATEDIF($X18,DATE(DB$3,12,31),"m")*$Y18,AND(DB$3&gt;YEAR($X18),DB$3-YEAR($X18)&lt;20),$Y18*12,DB$3-YEAR($X18)=20,DATEDIF(DATE(YEAR($X18),1,1),$X18,"m")*$Y18,DB$3-YEAR($X18)&gt;20,0)</f>
        <v>21675</v>
      </c>
      <c r="DC18" s="202" cm="1">
        <f t="array" ref="DC18">_xlfn.IFS(DC$3&lt;=YEAR($B$2),SUMPRODUCT(($E$4:$E$79=$E18)*($Z$2:$CG$2=DC$3)*($Z$2:$CG$2&lt;DD$3)*$Z$4:$CG$79),DC$3&lt;YEAR($X18),0,DC$3=YEAR($X18),DATEDIF($X18,DATE(DC$3,12,31),"m")*$Y18,AND(DC$3&gt;YEAR($X18),DC$3-YEAR($X18)&lt;20),$Y18*12,DC$3-YEAR($X18)=20,DATEDIF(DATE(YEAR($X18),1,1),$X18,"m")*$Y18,DC$3-YEAR($X18)&gt;20,0)</f>
        <v>21675</v>
      </c>
      <c r="DD18" s="202" cm="1">
        <f t="array" ref="DD18">_xlfn.IFS(DD$3&lt;=YEAR($B$2),SUMPRODUCT(($E$4:$E$79=$E18)*($Z$2:$CG$2=DD$3)*($Z$2:$CG$2&lt;DE$3)*$Z$4:$CG$79),DD$3&lt;YEAR($X18),0,DD$3=YEAR($X18),DATEDIF($X18,DATE(DD$3,12,31),"m")*$Y18,AND(DD$3&gt;YEAR($X18),DD$3-YEAR($X18)&lt;20),$Y18*12,DD$3-YEAR($X18)=20,DATEDIF(DATE(YEAR($X18),1,1),$X18,"m")*$Y18,DD$3-YEAR($X18)&gt;20,0)</f>
        <v>21675</v>
      </c>
      <c r="DE18" s="202" cm="1">
        <f t="array" ref="DE18">_xlfn.IFS(DE$3&lt;=YEAR($B$2),SUMPRODUCT(($E$4:$E$79=$E18)*($Z$2:$CG$2=DE$3)*($Z$2:$CG$2&lt;DF$3)*$Z$4:$CG$79),DE$3&lt;YEAR($X18),0,DE$3=YEAR($X18),DATEDIF($X18,DATE(DE$3,12,31),"m")*$Y18,AND(DE$3&gt;YEAR($X18),DE$3-YEAR($X18)&lt;20),$Y18*12,DE$3-YEAR($X18)=20,DATEDIF(DATE(YEAR($X18),1,1),$X18,"m")*$Y18,DE$3-YEAR($X18)&gt;20,0)</f>
        <v>1806.25</v>
      </c>
      <c r="DF18" s="202" cm="1">
        <f t="array" ref="DF18">_xlfn.IFS(DF$3&lt;=YEAR($B$2),SUMPRODUCT(($E$4:$E$79=$E18)*($Z$2:$CG$2=DF$3)*($Z$2:$CG$2&lt;DG$3)*$Z$4:$CG$79),DF$3&lt;YEAR($X18),0,DF$3=YEAR($X18),DATEDIF($X18,DATE(DF$3,12,31),"m")*$Y18,AND(DF$3&gt;YEAR($X18),DF$3-YEAR($X18)&lt;20),$Y18*12,DF$3-YEAR($X18)=20,DATEDIF(DATE(YEAR($X18),1,1),$X18,"m")*$Y18,DF$3-YEAR($X18)&gt;20,0)</f>
        <v>0</v>
      </c>
      <c r="DG18" s="202" cm="1">
        <f t="array" ref="DG18">_xlfn.IFS(DG$3&lt;=YEAR($B$2),SUMPRODUCT(($E$4:$E$79=$E18)*($Z$2:$CG$2=DG$3)*($Z$2:$CG$2&lt;DH$3)*$Z$4:$CG$79),DG$3&lt;YEAR($X18),0,DG$3=YEAR($X18),DATEDIF($X18,DATE(DG$3,12,31),"m")*$Y18,AND(DG$3&gt;YEAR($X18),DG$3-YEAR($X18)&lt;20),$Y18*12,DG$3-YEAR($X18)=20,DATEDIF(DATE(YEAR($X18),1,1),$X18,"m")*$Y18,DG$3-YEAR($X18)&gt;20,0)</f>
        <v>0</v>
      </c>
      <c r="DH18" s="202" cm="1">
        <f t="array" ref="DH18">_xlfn.IFS(DH$3&lt;=YEAR($B$2),SUMPRODUCT(($E$4:$E$79=$E18)*($Z$2:$CG$2=DH$3)*($Z$2:$CG$2&lt;DI$3)*$Z$4:$CG$79),DH$3&lt;YEAR($X18),0,DH$3=YEAR($X18),DATEDIF($X18,DATE(DH$3,12,31),"m")*$Y18,AND(DH$3&gt;YEAR($X18),DH$3-YEAR($X18)&lt;20),$Y18*12,DH$3-YEAR($X18)=20,DATEDIF(DATE(YEAR($X18),1,1),$X18,"m")*$Y18,DH$3-YEAR($X18)&gt;20,0)</f>
        <v>0</v>
      </c>
      <c r="DI18" s="202" cm="1">
        <f t="array" ref="DI18">_xlfn.IFS(DI$3&lt;=YEAR($B$2),SUMPRODUCT(($E$4:$E$79=$E18)*($Z$2:$CG$2=DI$3)*($Z$2:$CG$2&lt;DJ$3)*$Z$4:$CG$79),DI$3&lt;YEAR($X18),0,DI$3=YEAR($X18),DATEDIF($X18,DATE(DI$3,12,31),"m")*$Y18,AND(DI$3&gt;YEAR($X18),DI$3-YEAR($X18)&lt;20),$Y18*12,DI$3-YEAR($X18)=20,DATEDIF(DATE(YEAR($X18),1,1),$X18,"m")*$Y18,DI$3-YEAR($X18)&gt;20,0)</f>
        <v>0</v>
      </c>
      <c r="DJ18" s="202" cm="1">
        <f t="array" ref="DJ18">_xlfn.IFS(DJ$3&lt;=YEAR($B$2),SUMPRODUCT(($E$4:$E$79=$E18)*($Z$2:$CG$2=DJ$3)*($Z$2:$CG$2&lt;DK$3)*$Z$4:$CG$79),DJ$3&lt;YEAR($X18),0,DJ$3=YEAR($X18),DATEDIF($X18,DATE(DJ$3,12,31),"m")*$Y18,AND(DJ$3&gt;YEAR($X18),DJ$3-YEAR($X18)&lt;20),$Y18*12,DJ$3-YEAR($X18)=20,DATEDIF(DATE(YEAR($X18),1,1),$X18,"m")*$Y18,DJ$3-YEAR($X18)&gt;20,0)</f>
        <v>0</v>
      </c>
      <c r="DK18" s="202" cm="1">
        <f t="array" ref="DK18">_xlfn.IFS(DK$3&lt;=YEAR($B$2),SUMPRODUCT(($E$4:$E$79=$E18)*($Z$2:$CG$2=DK$3)*($Z$2:$CG$2&lt;DL$3)*$Z$4:$CG$79),DK$3&lt;YEAR($X18),0,DK$3=YEAR($X18),DATEDIF($X18,DATE(DK$3,12,31),"m")*$Y18,AND(DK$3&gt;YEAR($X18),DK$3-YEAR($X18)&lt;20),$Y18*12,DK$3-YEAR($X18)=20,DATEDIF(DATE(YEAR($X18),1,1),$X18,"m")*$Y18,DK$3-YEAR($X18)&gt;20,0)</f>
        <v>0</v>
      </c>
      <c r="DL18" s="202" cm="1">
        <f t="array" ref="DL18">_xlfn.IFS(DL$3&lt;=YEAR($B$2),SUMPRODUCT(($E$4:$E$79=$E18)*($Z$2:$CG$2=DL$3)*($Z$2:$CG$2&lt;DM$3)*$Z$4:$CG$79),DL$3&lt;YEAR($X18),0,DL$3=YEAR($X18),DATEDIF($X18,DATE(DL$3,12,31),"m")*$Y18,AND(DL$3&gt;YEAR($X18),DL$3-YEAR($X18)&lt;20),$Y18*12,DL$3-YEAR($X18)=20,DATEDIF(DATE(YEAR($X18),1,1),$X18,"m")*$Y18,DL$3-YEAR($X18)&gt;20,0)</f>
        <v>0</v>
      </c>
      <c r="DO18" s="166">
        <f t="shared" si="26"/>
        <v>2027</v>
      </c>
      <c r="DP18" s="158">
        <v>638266.70000000019</v>
      </c>
      <c r="DQ18" s="158">
        <v>447705.14729999995</v>
      </c>
      <c r="DR18" s="158">
        <v>25576.5</v>
      </c>
      <c r="DS18" s="158">
        <f t="shared" si="27"/>
        <v>1111548.3473</v>
      </c>
    </row>
    <row r="19" spans="1:636">
      <c r="A19" s="155" t="str" cm="1">
        <f t="array" ref="A19">INDEX('Monthly Report July 2025'!C:C,MATCH(E19,'Monthly Report July 2025'!E:E,0),0)</f>
        <v>SPQ0067</v>
      </c>
      <c r="B19" s="155" t="str" cm="1">
        <f t="array" ref="B19">_xlfn.IFS(LEFT(E19,3)="PGE","PGE",LEFT(E19,2)="PP","PAC",TRUE,"IP")</f>
        <v>PGE</v>
      </c>
      <c r="C19" s="155" t="str">
        <f>IF(ISNA(MATCH(E19,'Monthly Report July 2025'!E:E,0)),"Missing","Present")</f>
        <v>Present</v>
      </c>
      <c r="D19" s="155" t="str">
        <f>IF(ISNA(MATCH(E19,'Project Operational Timelines'!C:C,0))=TRUE,"Missing","Present")</f>
        <v>Present</v>
      </c>
      <c r="E19" s="155" t="s">
        <v>125</v>
      </c>
      <c r="F19" s="155" t="str" cm="1">
        <f t="array" ref="F19">INDEX('Monthly Report July 2025'!F:F,MATCH(E19,'Monthly Report July 2025'!E:E,),0)</f>
        <v>Skyward Solar</v>
      </c>
      <c r="G19" s="155" t="str" cm="1">
        <f t="array" ref="G19">_xlfn.IFS(INDEX('Monthly Report July 2025'!O:O,MATCH(E19,'Monthly Report July 2025'!E:E,0),0)="Operational","Operational",INDEX('Monthly Report July 2025'!O:O,MATCH(E19,'Monthly Report July 2025'!E:E,0),0)="Certified","Certified",TRUE,"Pre-Certified")</f>
        <v>Operational</v>
      </c>
      <c r="H19" s="155" t="str" cm="1">
        <f t="array" ref="H19">INDEX('Monthly Report July 2025'!H:H,MATCH($E19,'Monthly Report July 2025'!$E:$E,0),0)</f>
        <v>Nautilus Solar</v>
      </c>
      <c r="I19" s="155" t="str" cm="1">
        <f t="array" ref="I19">INDEX('Monthly Report July 2025'!I:I,MATCH($E19,'Monthly Report July 2025'!$E:$E,0),0)</f>
        <v>Standard Solar</v>
      </c>
      <c r="J19" s="174" cm="1">
        <f t="array" ref="J19">INDEX('Monthly Report July 2025'!J:J,MATCH($E19,'Monthly Report July 2025'!$E:$E,0),0)</f>
        <v>1</v>
      </c>
      <c r="K19" s="174" t="str" cm="1">
        <f t="array" ref="K19">INDEX('Monthly Report July 2025'!K:K,MATCH($E19,'Monthly Report July 2025'!$E:$E,0),0)</f>
        <v>No</v>
      </c>
      <c r="L19" s="174" t="b" cm="1">
        <f t="array" ref="L19">INDEX('Monthly Report July 2025'!L:L,MATCH(E19,'Monthly Report July 2025'!E:E,0),0)=M19</f>
        <v>1</v>
      </c>
      <c r="M19" s="273" cm="1">
        <f t="array" ref="M19">INDEX('Monthly Report July 2025'!L:L,MATCH($E19,'Monthly Report July 2025'!$E:$E,0),0)</f>
        <v>2500</v>
      </c>
      <c r="N19" s="175" cm="1">
        <f t="array" ref="N19">INDEX('Monthly Report July 2025'!M:M,MATCH($E19,'Monthly Report July 2025'!$E:$E,0),0)</f>
        <v>43903</v>
      </c>
      <c r="O19" s="175" t="str" cm="1">
        <f t="array" ref="O19">_xlfn.IFS(G19="Operational","Operational",G19="Certified","Certified",TRUE,INDEX('Monthly Report July 2025'!O:O,MATCH(E19,'Monthly Report July 2025'!E:E,0),0))</f>
        <v>Operational</v>
      </c>
      <c r="P19" s="175" t="b" cm="1">
        <f t="array" ref="P19">_xlfn.IFS(G19="Operational",O19="Operational",G19="Certified",O19="Certified",TRUE,G19="Pre-Certified")</f>
        <v>1</v>
      </c>
      <c r="Q19" s="175" cm="1">
        <f t="array" ref="Q19">IF(O19="Operational",INDEX('Monthly Report July 2025'!R:R,MATCH(E19,'Monthly Report July 2025'!E:E,0),0),"")</f>
        <v>44896</v>
      </c>
      <c r="R19" s="175" cm="1">
        <f t="array" ref="R19">INDEX('Monthly Report July 2025'!P:P,MATCH(E19,'Monthly Report July 2025'!E:E,0),0)</f>
        <v>44895</v>
      </c>
      <c r="S19" s="175" t="b">
        <f t="shared" si="5"/>
        <v>1</v>
      </c>
      <c r="T19" s="175" cm="1">
        <f t="array" ref="T19">INDEX('Monthly Report July 2025'!U:U,MATCH(E19,'Monthly Report July 2025'!E:E,0),0)</f>
        <v>44908</v>
      </c>
      <c r="U19" s="175" t="str">
        <f t="shared" si="6"/>
        <v>IGNORE</v>
      </c>
      <c r="V19" s="156">
        <f t="shared" si="7"/>
        <v>44895</v>
      </c>
      <c r="W19" s="156" cm="1">
        <f t="array" ref="W19">_xlfn.IFS(U19=TRUE,EDATE(O19,6),U19=FALSE,T19,O19="Operational",Q19,AND(O19="Certified",EDATE(R19,6)&gt;T19),EDATE(R19,6),TRUE,T19)</f>
        <v>44896</v>
      </c>
      <c r="X19" s="156">
        <f t="shared" si="8"/>
        <v>44958</v>
      </c>
      <c r="Y19" s="157">
        <f t="shared" si="9"/>
        <v>1806.25</v>
      </c>
      <c r="Z19" s="202" cm="1">
        <f t="array" ref="Z19">_xlfn.IFS(Z$3&lt;$B$2,SUMPRODUCT(('PA Fees Actual'!$B$5:$B$882=$E19)*('PA Fees Actual'!$A$5:$A$882&gt;=Z$3)*('PA Fees Actual'!$A$5:$A$882&lt;=EOMONTH(Z$3,0))*'PA Fees Actual'!$D$5:$D$882),Z$3&gt;=EOMONTH($X19,-1)+1,$Y19,TRUE,0)</f>
        <v>0</v>
      </c>
      <c r="AA19" s="202" cm="1">
        <f t="array" ref="AA19">_xlfn.IFS(AA$3&lt;$B$2,SUMPRODUCT(('PA Fees Actual'!$B$5:$B$882=$E19)*('PA Fees Actual'!$A$5:$A$882&gt;=AA$3)*('PA Fees Actual'!$A$5:$A$882&lt;=EOMONTH(AA$3,0))*'PA Fees Actual'!$D$5:$D$882),AA$3&gt;=EOMONTH($X19,-1)+1,$Y19,TRUE,0)</f>
        <v>0</v>
      </c>
      <c r="AB19" s="202" cm="1">
        <f t="array" ref="AB19">_xlfn.IFS(AB$3&lt;$B$2,SUMPRODUCT(('PA Fees Actual'!$B$5:$B$882=$E19)*('PA Fees Actual'!$A$5:$A$882&gt;=AB$3)*('PA Fees Actual'!$A$5:$A$882&lt;=EOMONTH(AB$3,0))*'PA Fees Actual'!$D$5:$D$882),AB$3&gt;=EOMONTH($X19,-1)+1,$Y19,TRUE,0)</f>
        <v>0</v>
      </c>
      <c r="AC19" s="202" cm="1">
        <f t="array" ref="AC19">_xlfn.IFS(AC$3&lt;$B$2,SUMPRODUCT(('PA Fees Actual'!$B$5:$B$882=$E19)*('PA Fees Actual'!$A$5:$A$882&gt;=AC$3)*('PA Fees Actual'!$A$5:$A$882&lt;=EOMONTH(AC$3,0))*'PA Fees Actual'!$D$5:$D$882),AC$3&gt;=EOMONTH($X19,-1)+1,$Y19,TRUE,0)</f>
        <v>0</v>
      </c>
      <c r="AD19" s="202" cm="1">
        <f t="array" ref="AD19">_xlfn.IFS(AD$3&lt;$B$2,SUMPRODUCT(('PA Fees Actual'!$B$5:$B$882=$E19)*('PA Fees Actual'!$A$5:$A$882&gt;=AD$3)*('PA Fees Actual'!$A$5:$A$882&lt;=EOMONTH(AD$3,0))*'PA Fees Actual'!$D$5:$D$882),AD$3&gt;=EOMONTH($X19,-1)+1,$Y19,TRUE,0)</f>
        <v>0</v>
      </c>
      <c r="AE19" s="202" cm="1">
        <f t="array" ref="AE19">_xlfn.IFS(AE$3&lt;$B$2,SUMPRODUCT(('PA Fees Actual'!$B$5:$B$882=$E19)*('PA Fees Actual'!$A$5:$A$882&gt;=AE$3)*('PA Fees Actual'!$A$5:$A$882&lt;=EOMONTH(AE$3,0))*'PA Fees Actual'!$D$5:$D$882),AE$3&gt;=EOMONTH($X19,-1)+1,$Y19,TRUE,0)</f>
        <v>0</v>
      </c>
      <c r="AF19" s="202" cm="1">
        <f t="array" ref="AF19">_xlfn.IFS(AF$3&lt;$B$2,SUMPRODUCT(('PA Fees Actual'!$B$5:$B$882=$E19)*('PA Fees Actual'!$A$5:$A$882&gt;=AF$3)*('PA Fees Actual'!$A$5:$A$882&lt;=EOMONTH(AF$3,0))*'PA Fees Actual'!$D$5:$D$882),AF$3&gt;=EOMONTH($X19,-1)+1,$Y19,TRUE,0)</f>
        <v>0</v>
      </c>
      <c r="AG19" s="202" cm="1">
        <f t="array" ref="AG19">_xlfn.IFS(AG$3&lt;$B$2,SUMPRODUCT(('PA Fees Actual'!$B$5:$B$882=$E19)*('PA Fees Actual'!$A$5:$A$882&gt;=AG$3)*('PA Fees Actual'!$A$5:$A$882&lt;=EOMONTH(AG$3,0))*'PA Fees Actual'!$D$5:$D$882),AG$3&gt;=EOMONTH($X19,-1)+1,$Y19,TRUE,0)</f>
        <v>0</v>
      </c>
      <c r="AH19" s="202" cm="1">
        <f t="array" ref="AH19">_xlfn.IFS(AH$3&lt;$B$2,SUMPRODUCT(('PA Fees Actual'!$B$5:$B$882=$E19)*('PA Fees Actual'!$A$5:$A$882&gt;=AH$3)*('PA Fees Actual'!$A$5:$A$882&lt;=EOMONTH(AH$3,0))*'PA Fees Actual'!$D$5:$D$882),AH$3&gt;=EOMONTH($X19,-1)+1,$Y19,TRUE,0)</f>
        <v>0</v>
      </c>
      <c r="AI19" s="202" cm="1">
        <f t="array" ref="AI19">_xlfn.IFS(AI$3&lt;$B$2,SUMPRODUCT(('PA Fees Actual'!$B$5:$B$882=$E19)*('PA Fees Actual'!$A$5:$A$882&gt;=AI$3)*('PA Fees Actual'!$A$5:$A$882&lt;=EOMONTH(AI$3,0))*'PA Fees Actual'!$D$5:$D$882),AI$3&gt;=EOMONTH($X19,-1)+1,$Y19,TRUE,0)</f>
        <v>0</v>
      </c>
      <c r="AJ19" s="202" cm="1">
        <f t="array" ref="AJ19">_xlfn.IFS(AJ$3&lt;$B$2,SUMPRODUCT(('PA Fees Actual'!$B$5:$B$882=$E19)*('PA Fees Actual'!$A$5:$A$882&gt;=AJ$3)*('PA Fees Actual'!$A$5:$A$882&lt;=EOMONTH(AJ$3,0))*'PA Fees Actual'!$D$5:$D$882),AJ$3&gt;=EOMONTH($X19,-1)+1,$Y19,TRUE,0)</f>
        <v>0</v>
      </c>
      <c r="AK19" s="202" cm="1">
        <f t="array" ref="AK19">_xlfn.IFS(AK$3&lt;$B$2,SUMPRODUCT(('PA Fees Actual'!$B$5:$B$882=$E19)*('PA Fees Actual'!$A$5:$A$882&gt;=AK$3)*('PA Fees Actual'!$A$5:$A$882&lt;=EOMONTH(AK$3,0))*'PA Fees Actual'!$D$5:$D$882),AK$3&gt;=EOMONTH($X19,-1)+1,$Y19,TRUE,0)</f>
        <v>0</v>
      </c>
      <c r="AL19" s="202" cm="1">
        <f t="array" ref="AL19">_xlfn.IFS(AL$3&lt;$B$2,SUMPRODUCT(('PA Fees Actual'!$B$5:$B$882=$E19)*('PA Fees Actual'!$A$5:$A$882&gt;=AL$3)*('PA Fees Actual'!$A$5:$A$882&lt;=EOMONTH(AL$3,0))*'PA Fees Actual'!$D$5:$D$882),AL$3&gt;=EOMONTH($X19,-1)+1,$Y19,TRUE,0)</f>
        <v>0</v>
      </c>
      <c r="AM19" s="202" cm="1">
        <f t="array" ref="AM19">_xlfn.IFS(AM$3&lt;$B$2,SUMPRODUCT(('PA Fees Actual'!$B$5:$B$882=$E19)*('PA Fees Actual'!$A$5:$A$882&gt;=AM$3)*('PA Fees Actual'!$A$5:$A$882&lt;=EOMONTH(AM$3,0))*'PA Fees Actual'!$D$5:$D$882),AM$3&gt;=EOMONTH($X19,-1)+1,$Y19,TRUE,0)</f>
        <v>0</v>
      </c>
      <c r="AN19" s="202" cm="1">
        <f t="array" ref="AN19">_xlfn.IFS(AN$3&lt;$B$2,SUMPRODUCT(('PA Fees Actual'!$B$5:$B$882=$E19)*('PA Fees Actual'!$A$5:$A$882&gt;=AN$3)*('PA Fees Actual'!$A$5:$A$882&lt;=EOMONTH(AN$3,0))*'PA Fees Actual'!$D$5:$D$882),AN$3&gt;=EOMONTH($X19,-1)+1,$Y19,TRUE,0)</f>
        <v>0</v>
      </c>
      <c r="AO19" s="202" cm="1">
        <f t="array" ref="AO19">_xlfn.IFS(AO$3&lt;$B$2,SUMPRODUCT(('PA Fees Actual'!$B$5:$B$882=$E19)*('PA Fees Actual'!$A$5:$A$882&gt;=AO$3)*('PA Fees Actual'!$A$5:$A$882&lt;=EOMONTH(AO$3,0))*'PA Fees Actual'!$D$5:$D$882),AO$3&gt;=EOMONTH($X19,-1)+1,$Y19,TRUE,0)</f>
        <v>0</v>
      </c>
      <c r="AP19" s="202" cm="1">
        <f t="array" ref="AP19">_xlfn.IFS(AP$3&lt;$B$2,SUMPRODUCT(('PA Fees Actual'!$B$5:$B$882=$E19)*('PA Fees Actual'!$A$5:$A$882&gt;=AP$3)*('PA Fees Actual'!$A$5:$A$882&lt;=EOMONTH(AP$3,0))*'PA Fees Actual'!$D$5:$D$882),AP$3&gt;=EOMONTH($X19,-1)+1,$Y19,TRUE,0)</f>
        <v>0</v>
      </c>
      <c r="AQ19" s="202" cm="1">
        <f t="array" ref="AQ19">_xlfn.IFS(AQ$3&lt;$B$2,SUMPRODUCT(('PA Fees Actual'!$B$5:$B$882=$E19)*('PA Fees Actual'!$A$5:$A$882&gt;=AQ$3)*('PA Fees Actual'!$A$5:$A$882&lt;=EOMONTH(AQ$3,0))*'PA Fees Actual'!$D$5:$D$882),AQ$3&gt;=EOMONTH($X19,-1)+1,$Y19,TRUE,0)</f>
        <v>0</v>
      </c>
      <c r="AR19" s="202" cm="1">
        <f t="array" ref="AR19">_xlfn.IFS(AR$3&lt;$B$2,SUMPRODUCT(('PA Fees Actual'!$B$5:$B$882=$E19)*('PA Fees Actual'!$A$5:$A$882&gt;=AR$3)*('PA Fees Actual'!$A$5:$A$882&lt;=EOMONTH(AR$3,0))*'PA Fees Actual'!$D$5:$D$882),AR$3&gt;=EOMONTH($X19,-1)+1,$Y19,TRUE,0)</f>
        <v>0</v>
      </c>
      <c r="AS19" s="202" cm="1">
        <f t="array" ref="AS19">_xlfn.IFS(AS$3&lt;$B$2,SUMPRODUCT(('PA Fees Actual'!$B$5:$B$882=$E19)*('PA Fees Actual'!$A$5:$A$882&gt;=AS$3)*('PA Fees Actual'!$A$5:$A$882&lt;=EOMONTH(AS$3,0))*'PA Fees Actual'!$D$5:$D$882),AS$3&gt;=EOMONTH($X19,-1)+1,$Y19,TRUE,0)</f>
        <v>0</v>
      </c>
      <c r="AT19" s="202" cm="1">
        <f t="array" ref="AT19">_xlfn.IFS(AT$3&lt;$B$2,SUMPRODUCT(('PA Fees Actual'!$B$5:$B$882=$E19)*('PA Fees Actual'!$A$5:$A$882&gt;=AT$3)*('PA Fees Actual'!$A$5:$A$882&lt;=EOMONTH(AT$3,0))*'PA Fees Actual'!$D$5:$D$882),AT$3&gt;=EOMONTH($X19,-1)+1,$Y19,TRUE,0)</f>
        <v>0</v>
      </c>
      <c r="AU19" s="202" cm="1">
        <f t="array" ref="AU19">_xlfn.IFS(AU$3&lt;$B$2,SUMPRODUCT(('PA Fees Actual'!$B$5:$B$882=$E19)*('PA Fees Actual'!$A$5:$A$882&gt;=AU$3)*('PA Fees Actual'!$A$5:$A$882&lt;=EOMONTH(AU$3,0))*'PA Fees Actual'!$D$5:$D$882),AU$3&gt;=EOMONTH($X19,-1)+1,$Y19,TRUE,0)</f>
        <v>0</v>
      </c>
      <c r="AV19" s="202" cm="1">
        <f t="array" ref="AV19">_xlfn.IFS(AV$3&lt;$B$2,SUMPRODUCT(('PA Fees Actual'!$B$5:$B$882=$E19)*('PA Fees Actual'!$A$5:$A$882&gt;=AV$3)*('PA Fees Actual'!$A$5:$A$882&lt;=EOMONTH(AV$3,0))*'PA Fees Actual'!$D$5:$D$882),AV$3&gt;=EOMONTH($X19,-1)+1,$Y19,TRUE,0)</f>
        <v>0</v>
      </c>
      <c r="AW19" s="202" cm="1">
        <f t="array" ref="AW19">_xlfn.IFS(AW$3&lt;$B$2,SUMPRODUCT(('PA Fees Actual'!$B$5:$B$882=$E19)*('PA Fees Actual'!$A$5:$A$882&gt;=AW$3)*('PA Fees Actual'!$A$5:$A$882&lt;=EOMONTH(AW$3,0))*'PA Fees Actual'!$D$5:$D$882),AW$3&gt;=EOMONTH($X19,-1)+1,$Y19,TRUE,0)</f>
        <v>0</v>
      </c>
      <c r="AX19" s="202" cm="1">
        <f t="array" ref="AX19">_xlfn.IFS(AX$3&lt;$B$2,SUMPRODUCT(('PA Fees Actual'!$B$5:$B$882=$E19)*('PA Fees Actual'!$A$5:$A$882&gt;=AX$3)*('PA Fees Actual'!$A$5:$A$882&lt;=EOMONTH(AX$3,0))*'PA Fees Actual'!$D$5:$D$882),AX$3&gt;=EOMONTH($X19,-1)+1,$Y19,TRUE,0)</f>
        <v>0</v>
      </c>
      <c r="AY19" s="202" cm="1">
        <f t="array" ref="AY19">_xlfn.IFS(AY$3&lt;$B$2,SUMPRODUCT(('PA Fees Actual'!$B$5:$B$882=$E19)*('PA Fees Actual'!$A$5:$A$882&gt;=AY$3)*('PA Fees Actual'!$A$5:$A$882&lt;=EOMONTH(AY$3,0))*'PA Fees Actual'!$D$5:$D$882),AY$3&gt;=EOMONTH($X19,-1)+1,$Y19,TRUE,0)</f>
        <v>0</v>
      </c>
      <c r="AZ19" s="202" cm="1">
        <f t="array" ref="AZ19">_xlfn.IFS(AZ$3&lt;$B$2,SUMPRODUCT(('PA Fees Actual'!$B$5:$B$882=$E19)*('PA Fees Actual'!$A$5:$A$882&gt;=AZ$3)*('PA Fees Actual'!$A$5:$A$882&lt;=EOMONTH(AZ$3,0))*'PA Fees Actual'!$D$5:$D$882),AZ$3&gt;=EOMONTH($X19,-1)+1,$Y19,TRUE,0)</f>
        <v>5642.19</v>
      </c>
      <c r="BA19" s="202" cm="1">
        <f t="array" ref="BA19">_xlfn.IFS(BA$3&lt;$B$2,SUMPRODUCT(('PA Fees Actual'!$B$5:$B$882=$E19)*('PA Fees Actual'!$A$5:$A$882&gt;=BA$3)*('PA Fees Actual'!$A$5:$A$882&lt;=EOMONTH(BA$3,0))*'PA Fees Actual'!$D$5:$D$882),BA$3&gt;=EOMONTH($X19,-1)+1,$Y19,TRUE,0)</f>
        <v>0</v>
      </c>
      <c r="BB19" s="202" cm="1">
        <f t="array" ref="BB19">_xlfn.IFS(BB$3&lt;$B$2,SUMPRODUCT(('PA Fees Actual'!$B$5:$B$882=$E19)*('PA Fees Actual'!$A$5:$A$882&gt;=BB$3)*('PA Fees Actual'!$A$5:$A$882&lt;=EOMONTH(BB$3,0))*'PA Fees Actual'!$D$5:$D$882),BB$3&gt;=EOMONTH($X19,-1)+1,$Y19,TRUE,0)</f>
        <v>5642.19</v>
      </c>
      <c r="BC19" s="202" cm="1">
        <f t="array" ref="BC19">_xlfn.IFS(BC$3&lt;$B$2,SUMPRODUCT(('PA Fees Actual'!$B$5:$B$882=$E19)*('PA Fees Actual'!$A$5:$A$882&gt;=BC$3)*('PA Fees Actual'!$A$5:$A$882&lt;=EOMONTH(BC$3,0))*'PA Fees Actual'!$D$5:$D$882),BC$3&gt;=EOMONTH($X19,-1)+1,$Y19,TRUE,0)</f>
        <v>1875.73</v>
      </c>
      <c r="BD19" s="202" cm="1">
        <f t="array" ref="BD19">_xlfn.IFS(BD$3&lt;$B$2,SUMPRODUCT(('PA Fees Actual'!$B$5:$B$882=$E19)*('PA Fees Actual'!$A$5:$A$882&gt;=BD$3)*('PA Fees Actual'!$A$5:$A$882&lt;=EOMONTH(BD$3,0))*'PA Fees Actual'!$D$5:$D$882),BD$3&gt;=EOMONTH($X19,-1)+1,$Y19,TRUE,0)</f>
        <v>1882.15</v>
      </c>
      <c r="BE19" s="202" cm="1">
        <f t="array" ref="BE19">_xlfn.IFS(BE$3&lt;$B$2,SUMPRODUCT(('PA Fees Actual'!$B$5:$B$882=$E19)*('PA Fees Actual'!$A$5:$A$882&gt;=BE$3)*('PA Fees Actual'!$A$5:$A$882&lt;=EOMONTH(BE$3,0))*'PA Fees Actual'!$D$5:$D$882),BE$3&gt;=EOMONTH($X19,-1)+1,$Y19,TRUE,0)</f>
        <v>1883.91</v>
      </c>
      <c r="BF19" s="202" cm="1">
        <f t="array" ref="BF19">_xlfn.IFS(BF$3&lt;$B$2,SUMPRODUCT(('PA Fees Actual'!$B$5:$B$882=$E19)*('PA Fees Actual'!$A$5:$A$882&gt;=BF$3)*('PA Fees Actual'!$A$5:$A$882&lt;=EOMONTH(BF$3,0))*'PA Fees Actual'!$D$5:$D$882),BF$3&gt;=EOMONTH($X19,-1)+1,$Y19,TRUE,0)</f>
        <v>1882.15</v>
      </c>
      <c r="BG19" s="202" cm="1">
        <f t="array" ref="BG19">_xlfn.IFS(BG$3&lt;$B$2,SUMPRODUCT(('PA Fees Actual'!$B$5:$B$882=$E19)*('PA Fees Actual'!$A$5:$A$882&gt;=BG$3)*('PA Fees Actual'!$A$5:$A$882&lt;=EOMONTH(BG$3,0))*'PA Fees Actual'!$D$5:$D$882),BG$3&gt;=EOMONTH($X19,-1)+1,$Y19,TRUE,0)</f>
        <v>0</v>
      </c>
      <c r="BH19" s="202" cm="1">
        <f t="array" ref="BH19">_xlfn.IFS(BH$3&lt;$B$2,SUMPRODUCT(('PA Fees Actual'!$B$5:$B$882=$E19)*('PA Fees Actual'!$A$5:$A$882&gt;=BH$3)*('PA Fees Actual'!$A$5:$A$882&lt;=EOMONTH(BH$3,0))*'PA Fees Actual'!$D$5:$D$882),BH$3&gt;=EOMONTH($X19,-1)+1,$Y19,TRUE,0)</f>
        <v>1883.91</v>
      </c>
      <c r="BI19" s="202" cm="1">
        <f t="array" ref="BI19">_xlfn.IFS(BI$3&lt;$B$2,SUMPRODUCT(('PA Fees Actual'!$B$5:$B$882=$E19)*('PA Fees Actual'!$A$5:$A$882&gt;=BI$3)*('PA Fees Actual'!$A$5:$A$882&lt;=EOMONTH(BI$3,0))*'PA Fees Actual'!$D$5:$D$882),BI$3&gt;=EOMONTH($X19,-1)+1,$Y19,TRUE,0)</f>
        <v>3788.18</v>
      </c>
      <c r="BJ19" s="202" cm="1">
        <f t="array" ref="BJ19">_xlfn.IFS(BJ$3&lt;$B$2,SUMPRODUCT(('PA Fees Actual'!$B$5:$B$882=$E19)*('PA Fees Actual'!$A$5:$A$882&gt;=BJ$3)*('PA Fees Actual'!$A$5:$A$882&lt;=EOMONTH(BJ$3,0))*'PA Fees Actual'!$D$5:$D$882),BJ$3&gt;=EOMONTH($X19,-1)+1,$Y19,TRUE,0)</f>
        <v>1898.37</v>
      </c>
      <c r="BK19" s="202" cm="1">
        <f t="array" ref="BK19">_xlfn.IFS(BK$3&lt;$B$2,SUMPRODUCT(('PA Fees Actual'!$B$5:$B$882=$E19)*('PA Fees Actual'!$A$5:$A$882&gt;=BK$3)*('PA Fees Actual'!$A$5:$A$882&lt;=EOMONTH(BK$3,0))*'PA Fees Actual'!$D$5:$D$882),BK$3&gt;=EOMONTH($X19,-1)+1,$Y19,TRUE,0)</f>
        <v>1899.2</v>
      </c>
      <c r="BL19" s="202" cm="1">
        <f t="array" ref="BL19">_xlfn.IFS(BL$3&lt;$B$2,SUMPRODUCT(('PA Fees Actual'!$B$5:$B$882=$E19)*('PA Fees Actual'!$A$5:$A$882&gt;=BL$3)*('PA Fees Actual'!$A$5:$A$882&lt;=EOMONTH(BL$3,0))*'PA Fees Actual'!$D$5:$D$882),BL$3&gt;=EOMONTH($X19,-1)+1,$Y19,TRUE,0)</f>
        <v>1914.14</v>
      </c>
      <c r="BM19" s="202" cm="1">
        <f t="array" ref="BM19">_xlfn.IFS(BM$3&lt;$B$2,SUMPRODUCT(('PA Fees Actual'!$B$5:$B$882=$E19)*('PA Fees Actual'!$A$5:$A$882&gt;=BM$3)*('PA Fees Actual'!$A$5:$A$882&lt;=EOMONTH(BM$3,0))*'PA Fees Actual'!$D$5:$D$882),BM$3&gt;=EOMONTH($X19,-1)+1,$Y19,TRUE,0)</f>
        <v>0</v>
      </c>
      <c r="BN19" s="202" cm="1">
        <f t="array" ref="BN19">_xlfn.IFS(BN$3&lt;$B$2,SUMPRODUCT(('PA Fees Actual'!$B$5:$B$882=$E19)*('PA Fees Actual'!$A$5:$A$882&gt;=BN$3)*('PA Fees Actual'!$A$5:$A$882&lt;=EOMONTH(BN$3,0))*'PA Fees Actual'!$D$5:$D$882),BN$3&gt;=EOMONTH($X19,-1)+1,$Y19,TRUE,0)</f>
        <v>3843.7700000000004</v>
      </c>
      <c r="BO19" s="202" cm="1">
        <f t="array" ref="BO19">_xlfn.IFS(BO$3&lt;$B$2,SUMPRODUCT(('PA Fees Actual'!$B$5:$B$882=$E19)*('PA Fees Actual'!$A$5:$A$882&gt;=BO$3)*('PA Fees Actual'!$A$5:$A$882&lt;=EOMONTH(BO$3,0))*'PA Fees Actual'!$D$5:$D$882),BO$3&gt;=EOMONTH($X19,-1)+1,$Y19,TRUE,0)</f>
        <v>1912.59</v>
      </c>
      <c r="BP19" s="202" cm="1">
        <f t="array" ref="BP19">_xlfn.IFS(BP$3&lt;$B$2,SUMPRODUCT(('PA Fees Actual'!$B$5:$B$882=$E19)*('PA Fees Actual'!$A$5:$A$882&gt;=BP$3)*('PA Fees Actual'!$A$5:$A$882&lt;=EOMONTH(BP$3,0))*'PA Fees Actual'!$D$5:$D$882),BP$3&gt;=EOMONTH($X19,-1)+1,$Y19,TRUE,0)</f>
        <v>1912.51</v>
      </c>
      <c r="BQ19" s="202" cm="1">
        <f t="array" ref="BQ19">_xlfn.IFS(BQ$3&lt;$B$2,SUMPRODUCT(('PA Fees Actual'!$B$5:$B$882=$E19)*('PA Fees Actual'!$A$5:$A$882&gt;=BQ$3)*('PA Fees Actual'!$A$5:$A$882&lt;=EOMONTH(BQ$3,0))*'PA Fees Actual'!$D$5:$D$882),BQ$3&gt;=EOMONTH($X19,-1)+1,$Y19,TRUE,0)</f>
        <v>1912.51</v>
      </c>
      <c r="BR19" s="202" cm="1">
        <f t="array" ref="BR19">_xlfn.IFS(BR$3&lt;$B$2,SUMPRODUCT(('PA Fees Actual'!$B$5:$B$882=$E19)*('PA Fees Actual'!$A$5:$A$882&gt;=BR$3)*('PA Fees Actual'!$A$5:$A$882&lt;=EOMONTH(BR$3,0))*'PA Fees Actual'!$D$5:$D$882),BR$3&gt;=EOMONTH($X19,-1)+1,$Y19,TRUE,0)</f>
        <v>1912.53</v>
      </c>
      <c r="BS19" s="202" cm="1">
        <f t="array" ref="BS19">_xlfn.IFS(BS$3&lt;$B$2,SUMPRODUCT(('PA Fees Actual'!$B$5:$B$882=$E19)*('PA Fees Actual'!$A$5:$A$882&gt;=BS$3)*('PA Fees Actual'!$A$5:$A$882&lt;=EOMONTH(BS$3,0))*'PA Fees Actual'!$D$5:$D$882),BS$3&gt;=EOMONTH($X19,-1)+1,$Y19,TRUE,0)</f>
        <v>1912.52</v>
      </c>
      <c r="BT19" s="202" cm="1">
        <f t="array" ref="BT19">_xlfn.IFS(BT$3&lt;$B$2,SUMPRODUCT(('PA Fees Actual'!$B$5:$B$882=$E19)*('PA Fees Actual'!$A$5:$A$882&gt;=BT$3)*('PA Fees Actual'!$A$5:$A$882&lt;=EOMONTH(BT$3,0))*'PA Fees Actual'!$D$5:$D$882),BT$3&gt;=EOMONTH($X19,-1)+1,$Y19,TRUE,0)</f>
        <v>1912.54</v>
      </c>
      <c r="BU19" s="202" cm="1">
        <f t="array" ref="BU19">_xlfn.IFS(BU$3&lt;$B$2,SUMPRODUCT(('PA Fees Actual'!$B$5:$B$882=$E19)*('PA Fees Actual'!$A$5:$A$882&gt;=BU$3)*('PA Fees Actual'!$A$5:$A$882&lt;=EOMONTH(BU$3,0))*'PA Fees Actual'!$D$5:$D$882),BU$3&gt;=EOMONTH($X19,-1)+1,$Y19,TRUE,0)</f>
        <v>1912.54</v>
      </c>
      <c r="BV19" s="202" cm="1">
        <f t="array" ref="BV19">_xlfn.IFS(BV$3&lt;$B$2,SUMPRODUCT(('PA Fees Actual'!$B$5:$B$882=$E19)*('PA Fees Actual'!$A$5:$A$882&gt;=BV$3)*('PA Fees Actual'!$A$5:$A$882&lt;=EOMONTH(BV$3,0))*'PA Fees Actual'!$D$5:$D$882),BV$3&gt;=EOMONTH($X19,-1)+1,$Y19,TRUE,0)</f>
        <v>3824.98</v>
      </c>
      <c r="BW19" s="202" cm="1">
        <f t="array" ref="BW19">_xlfn.IFS(BW$3&lt;$B$2,SUMPRODUCT(('PA Fees Actual'!$B$5:$B$882=$E19)*('PA Fees Actual'!$A$5:$A$882&gt;=BW$3)*('PA Fees Actual'!$A$5:$A$882&lt;=EOMONTH(BW$3,0))*'PA Fees Actual'!$D$5:$D$882),BW$3&gt;=EOMONTH($X19,-1)+1,$Y19,TRUE,0)</f>
        <v>0</v>
      </c>
      <c r="BX19" s="202" cm="1">
        <f t="array" ref="BX19">_xlfn.IFS(BX$3&lt;$B$2,SUMPRODUCT(('PA Fees Actual'!$B$5:$B$882=$E19)*('PA Fees Actual'!$A$5:$A$882&gt;=BX$3)*('PA Fees Actual'!$A$5:$A$882&lt;=EOMONTH(BX$3,0))*'PA Fees Actual'!$D$5:$D$882),BX$3&gt;=EOMONTH($X19,-1)+1,$Y19,TRUE,0)</f>
        <v>0</v>
      </c>
      <c r="BY19" s="202" cm="1">
        <f t="array" ref="BY19">_xlfn.IFS(BY$3&lt;$B$2,SUMPRODUCT(('PA Fees Actual'!$B$5:$B$882=$E19)*('PA Fees Actual'!$A$5:$A$882&gt;=BY$3)*('PA Fees Actual'!$A$5:$A$882&lt;=EOMONTH(BY$3,0))*'PA Fees Actual'!$D$5:$D$882),BY$3&gt;=EOMONTH($X19,-1)+1,$Y19,TRUE,0)</f>
        <v>5706.92</v>
      </c>
      <c r="BZ19" s="202" cm="1">
        <f t="array" ref="BZ19">_xlfn.IFS(BZ$3&lt;$B$2,SUMPRODUCT(('PA Fees Actual'!$B$5:$B$882=$E19)*('PA Fees Actual'!$A$5:$A$882&gt;=BZ$3)*('PA Fees Actual'!$A$5:$A$882&lt;=EOMONTH(BZ$3,0))*'PA Fees Actual'!$D$5:$D$882),BZ$3&gt;=EOMONTH($X19,-1)+1,$Y19,TRUE,0)</f>
        <v>0</v>
      </c>
      <c r="CA19" s="202" cm="1">
        <f t="array" ref="CA19">_xlfn.IFS(CA$3&lt;$B$2,SUMPRODUCT(('PA Fees Actual'!$B$5:$B$882=$E19)*('PA Fees Actual'!$A$5:$A$882&gt;=CA$3)*('PA Fees Actual'!$A$5:$A$882&lt;=EOMONTH(CA$3,0))*'PA Fees Actual'!$D$5:$D$882),CA$3&gt;=EOMONTH($X19,-1)+1,$Y19,TRUE,0)</f>
        <v>1844.8</v>
      </c>
      <c r="CB19" s="202" cm="1">
        <f t="array" ref="CB19">_xlfn.IFS(CB$3&lt;$B$2,SUMPRODUCT(('PA Fees Actual'!$B$5:$B$882=$E19)*('PA Fees Actual'!$A$5:$A$882&gt;=CB$3)*('PA Fees Actual'!$A$5:$A$882&lt;=EOMONTH(CB$3,0))*'PA Fees Actual'!$D$5:$D$882),CB$3&gt;=EOMONTH($X19,-1)+1,$Y19,TRUE,0)</f>
        <v>1806.25</v>
      </c>
      <c r="CC19" s="202" cm="1">
        <f t="array" ref="CC19">_xlfn.IFS(CC$3&lt;$B$2,SUMPRODUCT(('PA Fees Actual'!$B$5:$B$882=$E19)*('PA Fees Actual'!$A$5:$A$882&gt;=CC$3)*('PA Fees Actual'!$A$5:$A$882&lt;=EOMONTH(CC$3,0))*'PA Fees Actual'!$D$5:$D$882),CC$3&gt;=EOMONTH($X19,-1)+1,$Y19,TRUE,0)</f>
        <v>1806.25</v>
      </c>
      <c r="CD19" s="202" cm="1">
        <f t="array" ref="CD19">_xlfn.IFS(CD$3&lt;$B$2,SUMPRODUCT(('PA Fees Actual'!$B$5:$B$882=$E19)*('PA Fees Actual'!$A$5:$A$882&gt;=CD$3)*('PA Fees Actual'!$A$5:$A$882&lt;=EOMONTH(CD$3,0))*'PA Fees Actual'!$D$5:$D$882),CD$3&gt;=EOMONTH($X19,-1)+1,$Y19,TRUE,0)</f>
        <v>1806.25</v>
      </c>
      <c r="CE19" s="202" cm="1">
        <f t="array" ref="CE19">_xlfn.IFS(CE$3&lt;$B$2,SUMPRODUCT(('PA Fees Actual'!$B$5:$B$882=$E19)*('PA Fees Actual'!$A$5:$A$882&gt;=CE$3)*('PA Fees Actual'!$A$5:$A$882&lt;=EOMONTH(CE$3,0))*'PA Fees Actual'!$D$5:$D$882),CE$3&gt;=EOMONTH($X19,-1)+1,$Y19,TRUE,0)</f>
        <v>1806.25</v>
      </c>
      <c r="CF19" s="202" cm="1">
        <f t="array" ref="CF19">_xlfn.IFS(CF$3&lt;$B$2,SUMPRODUCT(('PA Fees Actual'!$B$5:$B$882=$E19)*('PA Fees Actual'!$A$5:$A$882&gt;=CF$3)*('PA Fees Actual'!$A$5:$A$882&lt;=EOMONTH(CF$3,0))*'PA Fees Actual'!$D$5:$D$882),CF$3&gt;=EOMONTH($X19,-1)+1,$Y19,TRUE,0)</f>
        <v>1806.25</v>
      </c>
      <c r="CG19" s="202" cm="1">
        <f t="array" ref="CG19">_xlfn.IFS(CG$3&lt;$B$2,SUMPRODUCT(('PA Fees Actual'!$B$5:$B$882=$E19)*('PA Fees Actual'!$A$5:$A$882&gt;=CG$3)*('PA Fees Actual'!$A$5:$A$882&lt;=EOMONTH(CG$3,0))*'PA Fees Actual'!$D$5:$D$882),CG$3&gt;=EOMONTH($X19,-1)+1,$Y19,TRUE,0)</f>
        <v>1806.25</v>
      </c>
      <c r="CI19" s="202" cm="1">
        <f t="array" ref="CI19">_xlfn.IFS(CI$3&lt;=YEAR($B$2),SUMPRODUCT(($E$4:$E$79=$E19)*($Z$2:$CG$2=CI$3)*($Z$2:$CG$2&lt;CJ$3)*$Z$4:$CG$79),CI$3&lt;YEAR($X19),0,CI$3=YEAR($X19),DATEDIF($X19,DATE(CI$3,12,31),"m")*$Y19,AND(CI$3&gt;YEAR($X19),CI$3-YEAR($X19)&lt;20),$Y19*12,CI$3-YEAR($X19)=20,DATEDIF(DATE(YEAR($X19),1,1),$X19,"m")*$Y19,CI$3-YEAR($X19)&gt;20,0)</f>
        <v>0</v>
      </c>
      <c r="CJ19" s="202" cm="1">
        <f t="array" ref="CJ19">_xlfn.IFS(CJ$3&lt;=YEAR($B$2),SUMPRODUCT(($E$4:$E$79=$E19)*($Z$2:$CG$2=CJ$3)*($Z$2:$CG$2&lt;CK$3)*$Z$4:$CG$79),CJ$3&lt;YEAR($X19),0,CJ$3=YEAR($X19),DATEDIF($X19,DATE(CJ$3,12,31),"m")*$Y19,AND(CJ$3&gt;YEAR($X19),CJ$3-YEAR($X19)&lt;20),$Y19*12,CJ$3-YEAR($X19)=20,DATEDIF(DATE(YEAR($X19),1,1),$X19,"m")*$Y19,CJ$3-YEAR($X19)&gt;20,0)</f>
        <v>0</v>
      </c>
      <c r="CK19" s="202" cm="1">
        <f t="array" ref="CK19">_xlfn.IFS(CK$3&lt;=YEAR($B$2),SUMPRODUCT(($E$4:$E$79=$E19)*($Z$2:$CG$2=CK$3)*($Z$2:$CG$2&lt;CL$3)*$Z$4:$CG$79),CK$3&lt;YEAR($X19),0,CK$3=YEAR($X19),DATEDIF($X19,DATE(CK$3,12,31),"m")*$Y19,AND(CK$3&gt;YEAR($X19),CK$3-YEAR($X19)&lt;20),$Y19*12,CK$3-YEAR($X19)=20,DATEDIF(DATE(YEAR($X19),1,1),$X19,"m")*$Y19,CK$3-YEAR($X19)&gt;20,0)</f>
        <v>24480.41</v>
      </c>
      <c r="CL19" s="202" cm="1">
        <f t="array" ref="CL19">_xlfn.IFS(CL$3&lt;=YEAR($B$2),SUMPRODUCT(($E$4:$E$79=$E19)*($Z$2:$CG$2=CL$3)*($Z$2:$CG$2&lt;CM$3)*$Z$4:$CG$79),CL$3&lt;YEAR($X19),0,CL$3=YEAR($X19),DATEDIF($X19,DATE(CL$3,12,31),"m")*$Y19,AND(CL$3&gt;YEAR($X19),CL$3-YEAR($X19)&lt;20),$Y19*12,CL$3-YEAR($X19)=20,DATEDIF(DATE(YEAR($X19),1,1),$X19,"m")*$Y19,CL$3-YEAR($X19)&gt;20,0)</f>
        <v>22943.22</v>
      </c>
      <c r="CM19" s="202" cm="1">
        <f t="array" ref="CM19">_xlfn.IFS(CM$3&lt;=YEAR($B$2),SUMPRODUCT(($E$4:$E$79=$E19)*($Z$2:$CG$2=CM$3)*($Z$2:$CG$2&lt;CN$3)*$Z$4:$CG$79),CM$3&lt;YEAR($X19),0,CM$3=YEAR($X19),DATEDIF($X19,DATE(CM$3,12,31),"m")*$Y19,AND(CM$3&gt;YEAR($X19),CM$3-YEAR($X19)&lt;20),$Y19*12,CM$3-YEAR($X19)=20,DATEDIF(DATE(YEAR($X19),1,1),$X19,"m")*$Y19,CM$3-YEAR($X19)&gt;20,0)</f>
        <v>22214.199999999997</v>
      </c>
      <c r="CN19" s="202" cm="1">
        <f t="array" ref="CN19">_xlfn.IFS(CN$3&lt;=YEAR($B$2),SUMPRODUCT(($E$4:$E$79=$E19)*($Z$2:$CG$2=CN$3)*($Z$2:$CG$2&lt;CO$3)*$Z$4:$CG$79),CN$3&lt;YEAR($X19),0,CN$3=YEAR($X19),DATEDIF($X19,DATE(CN$3,12,31),"m")*$Y19,AND(CN$3&gt;YEAR($X19),CN$3-YEAR($X19)&lt;20),$Y19*12,CN$3-YEAR($X19)=20,DATEDIF(DATE(YEAR($X19),1,1),$X19,"m")*$Y19,CN$3-YEAR($X19)&gt;20,0)</f>
        <v>21675</v>
      </c>
      <c r="CO19" s="202" cm="1">
        <f t="array" ref="CO19">_xlfn.IFS(CO$3&lt;=YEAR($B$2),SUMPRODUCT(($E$4:$E$79=$E19)*($Z$2:$CG$2=CO$3)*($Z$2:$CG$2&lt;CP$3)*$Z$4:$CG$79),CO$3&lt;YEAR($X19),0,CO$3=YEAR($X19),DATEDIF($X19,DATE(CO$3,12,31),"m")*$Y19,AND(CO$3&gt;YEAR($X19),CO$3-YEAR($X19)&lt;20),$Y19*12,CO$3-YEAR($X19)=20,DATEDIF(DATE(YEAR($X19),1,1),$X19,"m")*$Y19,CO$3-YEAR($X19)&gt;20,0)</f>
        <v>21675</v>
      </c>
      <c r="CP19" s="202" cm="1">
        <f t="array" ref="CP19">_xlfn.IFS(CP$3&lt;=YEAR($B$2),SUMPRODUCT(($E$4:$E$79=$E19)*($Z$2:$CG$2=CP$3)*($Z$2:$CG$2&lt;CQ$3)*$Z$4:$CG$79),CP$3&lt;YEAR($X19),0,CP$3=YEAR($X19),DATEDIF($X19,DATE(CP$3,12,31),"m")*$Y19,AND(CP$3&gt;YEAR($X19),CP$3-YEAR($X19)&lt;20),$Y19*12,CP$3-YEAR($X19)=20,DATEDIF(DATE(YEAR($X19),1,1),$X19,"m")*$Y19,CP$3-YEAR($X19)&gt;20,0)</f>
        <v>21675</v>
      </c>
      <c r="CQ19" s="202" cm="1">
        <f t="array" ref="CQ19">_xlfn.IFS(CQ$3&lt;=YEAR($B$2),SUMPRODUCT(($E$4:$E$79=$E19)*($Z$2:$CG$2=CQ$3)*($Z$2:$CG$2&lt;CR$3)*$Z$4:$CG$79),CQ$3&lt;YEAR($X19),0,CQ$3=YEAR($X19),DATEDIF($X19,DATE(CQ$3,12,31),"m")*$Y19,AND(CQ$3&gt;YEAR($X19),CQ$3-YEAR($X19)&lt;20),$Y19*12,CQ$3-YEAR($X19)=20,DATEDIF(DATE(YEAR($X19),1,1),$X19,"m")*$Y19,CQ$3-YEAR($X19)&gt;20,0)</f>
        <v>21675</v>
      </c>
      <c r="CR19" s="202" cm="1">
        <f t="array" ref="CR19">_xlfn.IFS(CR$3&lt;=YEAR($B$2),SUMPRODUCT(($E$4:$E$79=$E19)*($Z$2:$CG$2=CR$3)*($Z$2:$CG$2&lt;CS$3)*$Z$4:$CG$79),CR$3&lt;YEAR($X19),0,CR$3=YEAR($X19),DATEDIF($X19,DATE(CR$3,12,31),"m")*$Y19,AND(CR$3&gt;YEAR($X19),CR$3-YEAR($X19)&lt;20),$Y19*12,CR$3-YEAR($X19)=20,DATEDIF(DATE(YEAR($X19),1,1),$X19,"m")*$Y19,CR$3-YEAR($X19)&gt;20,0)</f>
        <v>21675</v>
      </c>
      <c r="CS19" s="202" cm="1">
        <f t="array" ref="CS19">_xlfn.IFS(CS$3&lt;=YEAR($B$2),SUMPRODUCT(($E$4:$E$79=$E19)*($Z$2:$CG$2=CS$3)*($Z$2:$CG$2&lt;CT$3)*$Z$4:$CG$79),CS$3&lt;YEAR($X19),0,CS$3=YEAR($X19),DATEDIF($X19,DATE(CS$3,12,31),"m")*$Y19,AND(CS$3&gt;YEAR($X19),CS$3-YEAR($X19)&lt;20),$Y19*12,CS$3-YEAR($X19)=20,DATEDIF(DATE(YEAR($X19),1,1),$X19,"m")*$Y19,CS$3-YEAR($X19)&gt;20,0)</f>
        <v>21675</v>
      </c>
      <c r="CT19" s="202" cm="1">
        <f t="array" ref="CT19">_xlfn.IFS(CT$3&lt;=YEAR($B$2),SUMPRODUCT(($E$4:$E$79=$E19)*($Z$2:$CG$2=CT$3)*($Z$2:$CG$2&lt;CU$3)*$Z$4:$CG$79),CT$3&lt;YEAR($X19),0,CT$3=YEAR($X19),DATEDIF($X19,DATE(CT$3,12,31),"m")*$Y19,AND(CT$3&gt;YEAR($X19),CT$3-YEAR($X19)&lt;20),$Y19*12,CT$3-YEAR($X19)=20,DATEDIF(DATE(YEAR($X19),1,1),$X19,"m")*$Y19,CT$3-YEAR($X19)&gt;20,0)</f>
        <v>21675</v>
      </c>
      <c r="CU19" s="202" cm="1">
        <f t="array" ref="CU19">_xlfn.IFS(CU$3&lt;=YEAR($B$2),SUMPRODUCT(($E$4:$E$79=$E19)*($Z$2:$CG$2=CU$3)*($Z$2:$CG$2&lt;CV$3)*$Z$4:$CG$79),CU$3&lt;YEAR($X19),0,CU$3=YEAR($X19),DATEDIF($X19,DATE(CU$3,12,31),"m")*$Y19,AND(CU$3&gt;YEAR($X19),CU$3-YEAR($X19)&lt;20),$Y19*12,CU$3-YEAR($X19)=20,DATEDIF(DATE(YEAR($X19),1,1),$X19,"m")*$Y19,CU$3-YEAR($X19)&gt;20,0)</f>
        <v>21675</v>
      </c>
      <c r="CV19" s="202" cm="1">
        <f t="array" ref="CV19">_xlfn.IFS(CV$3&lt;=YEAR($B$2),SUMPRODUCT(($E$4:$E$79=$E19)*($Z$2:$CG$2=CV$3)*($Z$2:$CG$2&lt;CW$3)*$Z$4:$CG$79),CV$3&lt;YEAR($X19),0,CV$3=YEAR($X19),DATEDIF($X19,DATE(CV$3,12,31),"m")*$Y19,AND(CV$3&gt;YEAR($X19),CV$3-YEAR($X19)&lt;20),$Y19*12,CV$3-YEAR($X19)=20,DATEDIF(DATE(YEAR($X19),1,1),$X19,"m")*$Y19,CV$3-YEAR($X19)&gt;20,0)</f>
        <v>21675</v>
      </c>
      <c r="CW19" s="202" cm="1">
        <f t="array" ref="CW19">_xlfn.IFS(CW$3&lt;=YEAR($B$2),SUMPRODUCT(($E$4:$E$79=$E19)*($Z$2:$CG$2=CW$3)*($Z$2:$CG$2&lt;CX$3)*$Z$4:$CG$79),CW$3&lt;YEAR($X19),0,CW$3=YEAR($X19),DATEDIF($X19,DATE(CW$3,12,31),"m")*$Y19,AND(CW$3&gt;YEAR($X19),CW$3-YEAR($X19)&lt;20),$Y19*12,CW$3-YEAR($X19)=20,DATEDIF(DATE(YEAR($X19),1,1),$X19,"m")*$Y19,CW$3-YEAR($X19)&gt;20,0)</f>
        <v>21675</v>
      </c>
      <c r="CX19" s="202" cm="1">
        <f t="array" ref="CX19">_xlfn.IFS(CX$3&lt;=YEAR($B$2),SUMPRODUCT(($E$4:$E$79=$E19)*($Z$2:$CG$2=CX$3)*($Z$2:$CG$2&lt;CY$3)*$Z$4:$CG$79),CX$3&lt;YEAR($X19),0,CX$3=YEAR($X19),DATEDIF($X19,DATE(CX$3,12,31),"m")*$Y19,AND(CX$3&gt;YEAR($X19),CX$3-YEAR($X19)&lt;20),$Y19*12,CX$3-YEAR($X19)=20,DATEDIF(DATE(YEAR($X19),1,1),$X19,"m")*$Y19,CX$3-YEAR($X19)&gt;20,0)</f>
        <v>21675</v>
      </c>
      <c r="CY19" s="202" cm="1">
        <f t="array" ref="CY19">_xlfn.IFS(CY$3&lt;=YEAR($B$2),SUMPRODUCT(($E$4:$E$79=$E19)*($Z$2:$CG$2=CY$3)*($Z$2:$CG$2&lt;CZ$3)*$Z$4:$CG$79),CY$3&lt;YEAR($X19),0,CY$3=YEAR($X19),DATEDIF($X19,DATE(CY$3,12,31),"m")*$Y19,AND(CY$3&gt;YEAR($X19),CY$3-YEAR($X19)&lt;20),$Y19*12,CY$3-YEAR($X19)=20,DATEDIF(DATE(YEAR($X19),1,1),$X19,"m")*$Y19,CY$3-YEAR($X19)&gt;20,0)</f>
        <v>21675</v>
      </c>
      <c r="CZ19" s="202" cm="1">
        <f t="array" ref="CZ19">_xlfn.IFS(CZ$3&lt;=YEAR($B$2),SUMPRODUCT(($E$4:$E$79=$E19)*($Z$2:$CG$2=CZ$3)*($Z$2:$CG$2&lt;DA$3)*$Z$4:$CG$79),CZ$3&lt;YEAR($X19),0,CZ$3=YEAR($X19),DATEDIF($X19,DATE(CZ$3,12,31),"m")*$Y19,AND(CZ$3&gt;YEAR($X19),CZ$3-YEAR($X19)&lt;20),$Y19*12,CZ$3-YEAR($X19)=20,DATEDIF(DATE(YEAR($X19),1,1),$X19,"m")*$Y19,CZ$3-YEAR($X19)&gt;20,0)</f>
        <v>21675</v>
      </c>
      <c r="DA19" s="202" cm="1">
        <f t="array" ref="DA19">_xlfn.IFS(DA$3&lt;=YEAR($B$2),SUMPRODUCT(($E$4:$E$79=$E19)*($Z$2:$CG$2=DA$3)*($Z$2:$CG$2&lt;DB$3)*$Z$4:$CG$79),DA$3&lt;YEAR($X19),0,DA$3=YEAR($X19),DATEDIF($X19,DATE(DA$3,12,31),"m")*$Y19,AND(DA$3&gt;YEAR($X19),DA$3-YEAR($X19)&lt;20),$Y19*12,DA$3-YEAR($X19)=20,DATEDIF(DATE(YEAR($X19),1,1),$X19,"m")*$Y19,DA$3-YEAR($X19)&gt;20,0)</f>
        <v>21675</v>
      </c>
      <c r="DB19" s="202" cm="1">
        <f t="array" ref="DB19">_xlfn.IFS(DB$3&lt;=YEAR($B$2),SUMPRODUCT(($E$4:$E$79=$E19)*($Z$2:$CG$2=DB$3)*($Z$2:$CG$2&lt;DC$3)*$Z$4:$CG$79),DB$3&lt;YEAR($X19),0,DB$3=YEAR($X19),DATEDIF($X19,DATE(DB$3,12,31),"m")*$Y19,AND(DB$3&gt;YEAR($X19),DB$3-YEAR($X19)&lt;20),$Y19*12,DB$3-YEAR($X19)=20,DATEDIF(DATE(YEAR($X19),1,1),$X19,"m")*$Y19,DB$3-YEAR($X19)&gt;20,0)</f>
        <v>21675</v>
      </c>
      <c r="DC19" s="202" cm="1">
        <f t="array" ref="DC19">_xlfn.IFS(DC$3&lt;=YEAR($B$2),SUMPRODUCT(($E$4:$E$79=$E19)*($Z$2:$CG$2=DC$3)*($Z$2:$CG$2&lt;DD$3)*$Z$4:$CG$79),DC$3&lt;YEAR($X19),0,DC$3=YEAR($X19),DATEDIF($X19,DATE(DC$3,12,31),"m")*$Y19,AND(DC$3&gt;YEAR($X19),DC$3-YEAR($X19)&lt;20),$Y19*12,DC$3-YEAR($X19)=20,DATEDIF(DATE(YEAR($X19),1,1),$X19,"m")*$Y19,DC$3-YEAR($X19)&gt;20,0)</f>
        <v>21675</v>
      </c>
      <c r="DD19" s="202" cm="1">
        <f t="array" ref="DD19">_xlfn.IFS(DD$3&lt;=YEAR($B$2),SUMPRODUCT(($E$4:$E$79=$E19)*($Z$2:$CG$2=DD$3)*($Z$2:$CG$2&lt;DE$3)*$Z$4:$CG$79),DD$3&lt;YEAR($X19),0,DD$3=YEAR($X19),DATEDIF($X19,DATE(DD$3,12,31),"m")*$Y19,AND(DD$3&gt;YEAR($X19),DD$3-YEAR($X19)&lt;20),$Y19*12,DD$3-YEAR($X19)=20,DATEDIF(DATE(YEAR($X19),1,1),$X19,"m")*$Y19,DD$3-YEAR($X19)&gt;20,0)</f>
        <v>21675</v>
      </c>
      <c r="DE19" s="202" cm="1">
        <f t="array" ref="DE19">_xlfn.IFS(DE$3&lt;=YEAR($B$2),SUMPRODUCT(($E$4:$E$79=$E19)*($Z$2:$CG$2=DE$3)*($Z$2:$CG$2&lt;DF$3)*$Z$4:$CG$79),DE$3&lt;YEAR($X19),0,DE$3=YEAR($X19),DATEDIF($X19,DATE(DE$3,12,31),"m")*$Y19,AND(DE$3&gt;YEAR($X19),DE$3-YEAR($X19)&lt;20),$Y19*12,DE$3-YEAR($X19)=20,DATEDIF(DATE(YEAR($X19),1,1),$X19,"m")*$Y19,DE$3-YEAR($X19)&gt;20,0)</f>
        <v>1806.25</v>
      </c>
      <c r="DF19" s="202" cm="1">
        <f t="array" ref="DF19">_xlfn.IFS(DF$3&lt;=YEAR($B$2),SUMPRODUCT(($E$4:$E$79=$E19)*($Z$2:$CG$2=DF$3)*($Z$2:$CG$2&lt;DG$3)*$Z$4:$CG$79),DF$3&lt;YEAR($X19),0,DF$3=YEAR($X19),DATEDIF($X19,DATE(DF$3,12,31),"m")*$Y19,AND(DF$3&gt;YEAR($X19),DF$3-YEAR($X19)&lt;20),$Y19*12,DF$3-YEAR($X19)=20,DATEDIF(DATE(YEAR($X19),1,1),$X19,"m")*$Y19,DF$3-YEAR($X19)&gt;20,0)</f>
        <v>0</v>
      </c>
      <c r="DG19" s="202" cm="1">
        <f t="array" ref="DG19">_xlfn.IFS(DG$3&lt;=YEAR($B$2),SUMPRODUCT(($E$4:$E$79=$E19)*($Z$2:$CG$2=DG$3)*($Z$2:$CG$2&lt;DH$3)*$Z$4:$CG$79),DG$3&lt;YEAR($X19),0,DG$3=YEAR($X19),DATEDIF($X19,DATE(DG$3,12,31),"m")*$Y19,AND(DG$3&gt;YEAR($X19),DG$3-YEAR($X19)&lt;20),$Y19*12,DG$3-YEAR($X19)=20,DATEDIF(DATE(YEAR($X19),1,1),$X19,"m")*$Y19,DG$3-YEAR($X19)&gt;20,0)</f>
        <v>0</v>
      </c>
      <c r="DH19" s="202" cm="1">
        <f t="array" ref="DH19">_xlfn.IFS(DH$3&lt;=YEAR($B$2),SUMPRODUCT(($E$4:$E$79=$E19)*($Z$2:$CG$2=DH$3)*($Z$2:$CG$2&lt;DI$3)*$Z$4:$CG$79),DH$3&lt;YEAR($X19),0,DH$3=YEAR($X19),DATEDIF($X19,DATE(DH$3,12,31),"m")*$Y19,AND(DH$3&gt;YEAR($X19),DH$3-YEAR($X19)&lt;20),$Y19*12,DH$3-YEAR($X19)=20,DATEDIF(DATE(YEAR($X19),1,1),$X19,"m")*$Y19,DH$3-YEAR($X19)&gt;20,0)</f>
        <v>0</v>
      </c>
      <c r="DI19" s="202" cm="1">
        <f t="array" ref="DI19">_xlfn.IFS(DI$3&lt;=YEAR($B$2),SUMPRODUCT(($E$4:$E$79=$E19)*($Z$2:$CG$2=DI$3)*($Z$2:$CG$2&lt;DJ$3)*$Z$4:$CG$79),DI$3&lt;YEAR($X19),0,DI$3=YEAR($X19),DATEDIF($X19,DATE(DI$3,12,31),"m")*$Y19,AND(DI$3&gt;YEAR($X19),DI$3-YEAR($X19)&lt;20),$Y19*12,DI$3-YEAR($X19)=20,DATEDIF(DATE(YEAR($X19),1,1),$X19,"m")*$Y19,DI$3-YEAR($X19)&gt;20,0)</f>
        <v>0</v>
      </c>
      <c r="DJ19" s="202" cm="1">
        <f t="array" ref="DJ19">_xlfn.IFS(DJ$3&lt;=YEAR($B$2),SUMPRODUCT(($E$4:$E$79=$E19)*($Z$2:$CG$2=DJ$3)*($Z$2:$CG$2&lt;DK$3)*$Z$4:$CG$79),DJ$3&lt;YEAR($X19),0,DJ$3=YEAR($X19),DATEDIF($X19,DATE(DJ$3,12,31),"m")*$Y19,AND(DJ$3&gt;YEAR($X19),DJ$3-YEAR($X19)&lt;20),$Y19*12,DJ$3-YEAR($X19)=20,DATEDIF(DATE(YEAR($X19),1,1),$X19,"m")*$Y19,DJ$3-YEAR($X19)&gt;20,0)</f>
        <v>0</v>
      </c>
      <c r="DK19" s="202" cm="1">
        <f t="array" ref="DK19">_xlfn.IFS(DK$3&lt;=YEAR($B$2),SUMPRODUCT(($E$4:$E$79=$E19)*($Z$2:$CG$2=DK$3)*($Z$2:$CG$2&lt;DL$3)*$Z$4:$CG$79),DK$3&lt;YEAR($X19),0,DK$3=YEAR($X19),DATEDIF($X19,DATE(DK$3,12,31),"m")*$Y19,AND(DK$3&gt;YEAR($X19),DK$3-YEAR($X19)&lt;20),$Y19*12,DK$3-YEAR($X19)=20,DATEDIF(DATE(YEAR($X19),1,1),$X19,"m")*$Y19,DK$3-YEAR($X19)&gt;20,0)</f>
        <v>0</v>
      </c>
      <c r="DL19" s="202" cm="1">
        <f t="array" ref="DL19">_xlfn.IFS(DL$3&lt;=YEAR($B$2),SUMPRODUCT(($E$4:$E$79=$E19)*($Z$2:$CG$2=DL$3)*($Z$2:$CG$2&lt;DM$3)*$Z$4:$CG$79),DL$3&lt;YEAR($X19),0,DL$3=YEAR($X19),DATEDIF($X19,DATE(DL$3,12,31),"m")*$Y19,AND(DL$3&gt;YEAR($X19),DL$3-YEAR($X19)&lt;20),$Y19*12,DL$3-YEAR($X19)=20,DATEDIF(DATE(YEAR($X19),1,1),$X19,"m")*$Y19,DL$3-YEAR($X19)&gt;20,0)</f>
        <v>0</v>
      </c>
      <c r="DO19" s="166">
        <f t="shared" si="26"/>
        <v>2028</v>
      </c>
      <c r="DP19" s="158">
        <v>660421.95000000019</v>
      </c>
      <c r="DQ19" s="158">
        <v>462971.99729999999</v>
      </c>
      <c r="DR19" s="158">
        <v>25576.5</v>
      </c>
      <c r="DS19" s="158">
        <f t="shared" si="27"/>
        <v>1148970.4473000001</v>
      </c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</row>
    <row r="20" spans="1:636">
      <c r="A20" s="155" t="str" cm="1">
        <f t="array" ref="A20">INDEX('Monthly Report July 2025'!C:C,MATCH(E20,'Monthly Report July 2025'!E:E,0),0)</f>
        <v>CSQ0010</v>
      </c>
      <c r="B20" s="155" t="str" cm="1">
        <f t="array" ref="B20">_xlfn.IFS(LEFT(E20,3)="PGE","PGE",LEFT(E20,2)="PP","PAC",TRUE,"IP")</f>
        <v>PGE</v>
      </c>
      <c r="C20" s="155" t="str">
        <f>IF(ISNA(MATCH(E20,'Monthly Report July 2025'!E:E,0)),"Missing","Present")</f>
        <v>Present</v>
      </c>
      <c r="D20" s="155" t="str">
        <f>IF(ISNA(MATCH(E20,'Project Operational Timelines'!C:C,0))=TRUE,"Missing","Present")</f>
        <v>Present</v>
      </c>
      <c r="E20" s="155" t="s">
        <v>126</v>
      </c>
      <c r="F20" s="155" t="str" cm="1">
        <f t="array" ref="F20">INDEX('Monthly Report July 2025'!F:F,MATCH(E20,'Monthly Report July 2025'!E:E,),0)</f>
        <v>Solar Harvest</v>
      </c>
      <c r="G20" s="155" t="str" cm="1">
        <f t="array" ref="G20">_xlfn.IFS(INDEX('Monthly Report July 2025'!O:O,MATCH(E20,'Monthly Report July 2025'!E:E,0),0)="Operational","Operational",INDEX('Monthly Report July 2025'!O:O,MATCH(E20,'Monthly Report July 2025'!E:E,0),0)="Certified","Certified",TRUE,"Pre-Certified")</f>
        <v>Operational</v>
      </c>
      <c r="H20" s="155" t="str" cm="1">
        <f t="array" ref="H20">INDEX('Monthly Report July 2025'!H:H,MATCH($E20,'Monthly Report July 2025'!$E:$E,0),0)</f>
        <v>Oregon Clean Power Cooperative</v>
      </c>
      <c r="I20" s="155" t="str" cm="1">
        <f t="array" ref="I20">INDEX('Monthly Report July 2025'!I:I,MATCH($E20,'Monthly Report July 2025'!$E:$E,0),0)</f>
        <v>Oregon Clean Power Cooperative</v>
      </c>
      <c r="J20" s="174" cm="1">
        <f t="array" ref="J20">INDEX('Monthly Report July 2025'!J:J,MATCH($E20,'Monthly Report July 2025'!$E:$E,0),0)</f>
        <v>2</v>
      </c>
      <c r="K20" s="174" t="str" cm="1">
        <f t="array" ref="K20">INDEX('Monthly Report July 2025'!K:K,MATCH($E20,'Monthly Report July 2025'!$E:$E,0),0)</f>
        <v>Yes</v>
      </c>
      <c r="L20" s="174" t="b" cm="1">
        <f t="array" ref="L20">INDEX('Monthly Report July 2025'!L:L,MATCH(E20,'Monthly Report July 2025'!E:E,0),0)=M20</f>
        <v>1</v>
      </c>
      <c r="M20" s="273" cm="1">
        <f t="array" ref="M20">INDEX('Monthly Report July 2025'!L:L,MATCH($E20,'Monthly Report July 2025'!$E:$E,0),0)</f>
        <v>300</v>
      </c>
      <c r="N20" s="175" cm="1">
        <f t="array" ref="N20">INDEX('Monthly Report July 2025'!M:M,MATCH($E20,'Monthly Report July 2025'!$E:$E,0),0)</f>
        <v>44842</v>
      </c>
      <c r="O20" s="175" t="str" cm="1">
        <f t="array" ref="O20">_xlfn.IFS(G20="Operational","Operational",G20="Certified","Certified",TRUE,INDEX('Monthly Report July 2025'!O:O,MATCH(E20,'Monthly Report July 2025'!E:E,0),0))</f>
        <v>Operational</v>
      </c>
      <c r="P20" s="175" t="b" cm="1">
        <f t="array" ref="P20">_xlfn.IFS(G20="Operational",O20="Operational",G20="Certified",O20="Certified",TRUE,G20="Pre-Certified")</f>
        <v>1</v>
      </c>
      <c r="Q20" s="175" cm="1">
        <f t="array" ref="Q20">IF(O20="Operational",INDEX('Monthly Report July 2025'!R:R,MATCH(E20,'Monthly Report July 2025'!E:E,0),0),"")</f>
        <v>45433</v>
      </c>
      <c r="R20" s="175" cm="1">
        <f t="array" ref="R20">INDEX('Monthly Report July 2025'!P:P,MATCH(E20,'Monthly Report July 2025'!E:E,0),0)</f>
        <v>45429</v>
      </c>
      <c r="S20" s="175" t="b">
        <f t="shared" si="5"/>
        <v>1</v>
      </c>
      <c r="T20" s="175" cm="1">
        <f t="array" ref="T20">INDEX('Monthly Report July 2025'!U:U,MATCH(E20,'Monthly Report July 2025'!E:E,0),0)</f>
        <v>45541</v>
      </c>
      <c r="U20" s="175" t="str">
        <f t="shared" si="6"/>
        <v>IGNORE</v>
      </c>
      <c r="V20" s="156">
        <f t="shared" si="7"/>
        <v>45429</v>
      </c>
      <c r="W20" s="156" cm="1">
        <f t="array" ref="W20">_xlfn.IFS(U20=TRUE,EDATE(O20,6),U20=FALSE,T20,O20="Operational",Q20,AND(O20="Certified",EDATE(R20,6)&gt;T20),EDATE(R20,6),TRUE,T20)</f>
        <v>45433</v>
      </c>
      <c r="X20" s="156">
        <f t="shared" si="8"/>
        <v>45494</v>
      </c>
      <c r="Y20" s="157">
        <f t="shared" si="9"/>
        <v>114.75</v>
      </c>
      <c r="Z20" s="202" cm="1">
        <f t="array" ref="Z20">_xlfn.IFS(Z$3&lt;$B$2,SUMPRODUCT(('PA Fees Actual'!$B$5:$B$882=$E20)*('PA Fees Actual'!$A$5:$A$882&gt;=Z$3)*('PA Fees Actual'!$A$5:$A$882&lt;=EOMONTH(Z$3,0))*'PA Fees Actual'!$D$5:$D$882),Z$3&gt;=EOMONTH($X20,-1)+1,$Y20,TRUE,0)</f>
        <v>0</v>
      </c>
      <c r="AA20" s="202" cm="1">
        <f t="array" ref="AA20">_xlfn.IFS(AA$3&lt;$B$2,SUMPRODUCT(('PA Fees Actual'!$B$5:$B$882=$E20)*('PA Fees Actual'!$A$5:$A$882&gt;=AA$3)*('PA Fees Actual'!$A$5:$A$882&lt;=EOMONTH(AA$3,0))*'PA Fees Actual'!$D$5:$D$882),AA$3&gt;=EOMONTH($X20,-1)+1,$Y20,TRUE,0)</f>
        <v>0</v>
      </c>
      <c r="AB20" s="202" cm="1">
        <f t="array" ref="AB20">_xlfn.IFS(AB$3&lt;$B$2,SUMPRODUCT(('PA Fees Actual'!$B$5:$B$882=$E20)*('PA Fees Actual'!$A$5:$A$882&gt;=AB$3)*('PA Fees Actual'!$A$5:$A$882&lt;=EOMONTH(AB$3,0))*'PA Fees Actual'!$D$5:$D$882),AB$3&gt;=EOMONTH($X20,-1)+1,$Y20,TRUE,0)</f>
        <v>0</v>
      </c>
      <c r="AC20" s="202" cm="1">
        <f t="array" ref="AC20">_xlfn.IFS(AC$3&lt;$B$2,SUMPRODUCT(('PA Fees Actual'!$B$5:$B$882=$E20)*('PA Fees Actual'!$A$5:$A$882&gt;=AC$3)*('PA Fees Actual'!$A$5:$A$882&lt;=EOMONTH(AC$3,0))*'PA Fees Actual'!$D$5:$D$882),AC$3&gt;=EOMONTH($X20,-1)+1,$Y20,TRUE,0)</f>
        <v>0</v>
      </c>
      <c r="AD20" s="202" cm="1">
        <f t="array" ref="AD20">_xlfn.IFS(AD$3&lt;$B$2,SUMPRODUCT(('PA Fees Actual'!$B$5:$B$882=$E20)*('PA Fees Actual'!$A$5:$A$882&gt;=AD$3)*('PA Fees Actual'!$A$5:$A$882&lt;=EOMONTH(AD$3,0))*'PA Fees Actual'!$D$5:$D$882),AD$3&gt;=EOMONTH($X20,-1)+1,$Y20,TRUE,0)</f>
        <v>0</v>
      </c>
      <c r="AE20" s="202" cm="1">
        <f t="array" ref="AE20">_xlfn.IFS(AE$3&lt;$B$2,SUMPRODUCT(('PA Fees Actual'!$B$5:$B$882=$E20)*('PA Fees Actual'!$A$5:$A$882&gt;=AE$3)*('PA Fees Actual'!$A$5:$A$882&lt;=EOMONTH(AE$3,0))*'PA Fees Actual'!$D$5:$D$882),AE$3&gt;=EOMONTH($X20,-1)+1,$Y20,TRUE,0)</f>
        <v>0</v>
      </c>
      <c r="AF20" s="202" cm="1">
        <f t="array" ref="AF20">_xlfn.IFS(AF$3&lt;$B$2,SUMPRODUCT(('PA Fees Actual'!$B$5:$B$882=$E20)*('PA Fees Actual'!$A$5:$A$882&gt;=AF$3)*('PA Fees Actual'!$A$5:$A$882&lt;=EOMONTH(AF$3,0))*'PA Fees Actual'!$D$5:$D$882),AF$3&gt;=EOMONTH($X20,-1)+1,$Y20,TRUE,0)</f>
        <v>0</v>
      </c>
      <c r="AG20" s="202" cm="1">
        <f t="array" ref="AG20">_xlfn.IFS(AG$3&lt;$B$2,SUMPRODUCT(('PA Fees Actual'!$B$5:$B$882=$E20)*('PA Fees Actual'!$A$5:$A$882&gt;=AG$3)*('PA Fees Actual'!$A$5:$A$882&lt;=EOMONTH(AG$3,0))*'PA Fees Actual'!$D$5:$D$882),AG$3&gt;=EOMONTH($X20,-1)+1,$Y20,TRUE,0)</f>
        <v>0</v>
      </c>
      <c r="AH20" s="202" cm="1">
        <f t="array" ref="AH20">_xlfn.IFS(AH$3&lt;$B$2,SUMPRODUCT(('PA Fees Actual'!$B$5:$B$882=$E20)*('PA Fees Actual'!$A$5:$A$882&gt;=AH$3)*('PA Fees Actual'!$A$5:$A$882&lt;=EOMONTH(AH$3,0))*'PA Fees Actual'!$D$5:$D$882),AH$3&gt;=EOMONTH($X20,-1)+1,$Y20,TRUE,0)</f>
        <v>0</v>
      </c>
      <c r="AI20" s="202" cm="1">
        <f t="array" ref="AI20">_xlfn.IFS(AI$3&lt;$B$2,SUMPRODUCT(('PA Fees Actual'!$B$5:$B$882=$E20)*('PA Fees Actual'!$A$5:$A$882&gt;=AI$3)*('PA Fees Actual'!$A$5:$A$882&lt;=EOMONTH(AI$3,0))*'PA Fees Actual'!$D$5:$D$882),AI$3&gt;=EOMONTH($X20,-1)+1,$Y20,TRUE,0)</f>
        <v>0</v>
      </c>
      <c r="AJ20" s="202" cm="1">
        <f t="array" ref="AJ20">_xlfn.IFS(AJ$3&lt;$B$2,SUMPRODUCT(('PA Fees Actual'!$B$5:$B$882=$E20)*('PA Fees Actual'!$A$5:$A$882&gt;=AJ$3)*('PA Fees Actual'!$A$5:$A$882&lt;=EOMONTH(AJ$3,0))*'PA Fees Actual'!$D$5:$D$882),AJ$3&gt;=EOMONTH($X20,-1)+1,$Y20,TRUE,0)</f>
        <v>0</v>
      </c>
      <c r="AK20" s="202" cm="1">
        <f t="array" ref="AK20">_xlfn.IFS(AK$3&lt;$B$2,SUMPRODUCT(('PA Fees Actual'!$B$5:$B$882=$E20)*('PA Fees Actual'!$A$5:$A$882&gt;=AK$3)*('PA Fees Actual'!$A$5:$A$882&lt;=EOMONTH(AK$3,0))*'PA Fees Actual'!$D$5:$D$882),AK$3&gt;=EOMONTH($X20,-1)+1,$Y20,TRUE,0)</f>
        <v>0</v>
      </c>
      <c r="AL20" s="202" cm="1">
        <f t="array" ref="AL20">_xlfn.IFS(AL$3&lt;$B$2,SUMPRODUCT(('PA Fees Actual'!$B$5:$B$882=$E20)*('PA Fees Actual'!$A$5:$A$882&gt;=AL$3)*('PA Fees Actual'!$A$5:$A$882&lt;=EOMONTH(AL$3,0))*'PA Fees Actual'!$D$5:$D$882),AL$3&gt;=EOMONTH($X20,-1)+1,$Y20,TRUE,0)</f>
        <v>0</v>
      </c>
      <c r="AM20" s="202" cm="1">
        <f t="array" ref="AM20">_xlfn.IFS(AM$3&lt;$B$2,SUMPRODUCT(('PA Fees Actual'!$B$5:$B$882=$E20)*('PA Fees Actual'!$A$5:$A$882&gt;=AM$3)*('PA Fees Actual'!$A$5:$A$882&lt;=EOMONTH(AM$3,0))*'PA Fees Actual'!$D$5:$D$882),AM$3&gt;=EOMONTH($X20,-1)+1,$Y20,TRUE,0)</f>
        <v>0</v>
      </c>
      <c r="AN20" s="202" cm="1">
        <f t="array" ref="AN20">_xlfn.IFS(AN$3&lt;$B$2,SUMPRODUCT(('PA Fees Actual'!$B$5:$B$882=$E20)*('PA Fees Actual'!$A$5:$A$882&gt;=AN$3)*('PA Fees Actual'!$A$5:$A$882&lt;=EOMONTH(AN$3,0))*'PA Fees Actual'!$D$5:$D$882),AN$3&gt;=EOMONTH($X20,-1)+1,$Y20,TRUE,0)</f>
        <v>0</v>
      </c>
      <c r="AO20" s="202" cm="1">
        <f t="array" ref="AO20">_xlfn.IFS(AO$3&lt;$B$2,SUMPRODUCT(('PA Fees Actual'!$B$5:$B$882=$E20)*('PA Fees Actual'!$A$5:$A$882&gt;=AO$3)*('PA Fees Actual'!$A$5:$A$882&lt;=EOMONTH(AO$3,0))*'PA Fees Actual'!$D$5:$D$882),AO$3&gt;=EOMONTH($X20,-1)+1,$Y20,TRUE,0)</f>
        <v>0</v>
      </c>
      <c r="AP20" s="202" cm="1">
        <f t="array" ref="AP20">_xlfn.IFS(AP$3&lt;$B$2,SUMPRODUCT(('PA Fees Actual'!$B$5:$B$882=$E20)*('PA Fees Actual'!$A$5:$A$882&gt;=AP$3)*('PA Fees Actual'!$A$5:$A$882&lt;=EOMONTH(AP$3,0))*'PA Fees Actual'!$D$5:$D$882),AP$3&gt;=EOMONTH($X20,-1)+1,$Y20,TRUE,0)</f>
        <v>0</v>
      </c>
      <c r="AQ20" s="202" cm="1">
        <f t="array" ref="AQ20">_xlfn.IFS(AQ$3&lt;$B$2,SUMPRODUCT(('PA Fees Actual'!$B$5:$B$882=$E20)*('PA Fees Actual'!$A$5:$A$882&gt;=AQ$3)*('PA Fees Actual'!$A$5:$A$882&lt;=EOMONTH(AQ$3,0))*'PA Fees Actual'!$D$5:$D$882),AQ$3&gt;=EOMONTH($X20,-1)+1,$Y20,TRUE,0)</f>
        <v>0</v>
      </c>
      <c r="AR20" s="202" cm="1">
        <f t="array" ref="AR20">_xlfn.IFS(AR$3&lt;$B$2,SUMPRODUCT(('PA Fees Actual'!$B$5:$B$882=$E20)*('PA Fees Actual'!$A$5:$A$882&gt;=AR$3)*('PA Fees Actual'!$A$5:$A$882&lt;=EOMONTH(AR$3,0))*'PA Fees Actual'!$D$5:$D$882),AR$3&gt;=EOMONTH($X20,-1)+1,$Y20,TRUE,0)</f>
        <v>0</v>
      </c>
      <c r="AS20" s="202" cm="1">
        <f t="array" ref="AS20">_xlfn.IFS(AS$3&lt;$B$2,SUMPRODUCT(('PA Fees Actual'!$B$5:$B$882=$E20)*('PA Fees Actual'!$A$5:$A$882&gt;=AS$3)*('PA Fees Actual'!$A$5:$A$882&lt;=EOMONTH(AS$3,0))*'PA Fees Actual'!$D$5:$D$882),AS$3&gt;=EOMONTH($X20,-1)+1,$Y20,TRUE,0)</f>
        <v>0</v>
      </c>
      <c r="AT20" s="202" cm="1">
        <f t="array" ref="AT20">_xlfn.IFS(AT$3&lt;$B$2,SUMPRODUCT(('PA Fees Actual'!$B$5:$B$882=$E20)*('PA Fees Actual'!$A$5:$A$882&gt;=AT$3)*('PA Fees Actual'!$A$5:$A$882&lt;=EOMONTH(AT$3,0))*'PA Fees Actual'!$D$5:$D$882),AT$3&gt;=EOMONTH($X20,-1)+1,$Y20,TRUE,0)</f>
        <v>0</v>
      </c>
      <c r="AU20" s="202" cm="1">
        <f t="array" ref="AU20">_xlfn.IFS(AU$3&lt;$B$2,SUMPRODUCT(('PA Fees Actual'!$B$5:$B$882=$E20)*('PA Fees Actual'!$A$5:$A$882&gt;=AU$3)*('PA Fees Actual'!$A$5:$A$882&lt;=EOMONTH(AU$3,0))*'PA Fees Actual'!$D$5:$D$882),AU$3&gt;=EOMONTH($X20,-1)+1,$Y20,TRUE,0)</f>
        <v>0</v>
      </c>
      <c r="AV20" s="202" cm="1">
        <f t="array" ref="AV20">_xlfn.IFS(AV$3&lt;$B$2,SUMPRODUCT(('PA Fees Actual'!$B$5:$B$882=$E20)*('PA Fees Actual'!$A$5:$A$882&gt;=AV$3)*('PA Fees Actual'!$A$5:$A$882&lt;=EOMONTH(AV$3,0))*'PA Fees Actual'!$D$5:$D$882),AV$3&gt;=EOMONTH($X20,-1)+1,$Y20,TRUE,0)</f>
        <v>0</v>
      </c>
      <c r="AW20" s="202" cm="1">
        <f t="array" ref="AW20">_xlfn.IFS(AW$3&lt;$B$2,SUMPRODUCT(('PA Fees Actual'!$B$5:$B$882=$E20)*('PA Fees Actual'!$A$5:$A$882&gt;=AW$3)*('PA Fees Actual'!$A$5:$A$882&lt;=EOMONTH(AW$3,0))*'PA Fees Actual'!$D$5:$D$882),AW$3&gt;=EOMONTH($X20,-1)+1,$Y20,TRUE,0)</f>
        <v>0</v>
      </c>
      <c r="AX20" s="202" cm="1">
        <f t="array" ref="AX20">_xlfn.IFS(AX$3&lt;$B$2,SUMPRODUCT(('PA Fees Actual'!$B$5:$B$882=$E20)*('PA Fees Actual'!$A$5:$A$882&gt;=AX$3)*('PA Fees Actual'!$A$5:$A$882&lt;=EOMONTH(AX$3,0))*'PA Fees Actual'!$D$5:$D$882),AX$3&gt;=EOMONTH($X20,-1)+1,$Y20,TRUE,0)</f>
        <v>0</v>
      </c>
      <c r="AY20" s="202" cm="1">
        <f t="array" ref="AY20">_xlfn.IFS(AY$3&lt;$B$2,SUMPRODUCT(('PA Fees Actual'!$B$5:$B$882=$E20)*('PA Fees Actual'!$A$5:$A$882&gt;=AY$3)*('PA Fees Actual'!$A$5:$A$882&lt;=EOMONTH(AY$3,0))*'PA Fees Actual'!$D$5:$D$882),AY$3&gt;=EOMONTH($X20,-1)+1,$Y20,TRUE,0)</f>
        <v>0</v>
      </c>
      <c r="AZ20" s="202" cm="1">
        <f t="array" ref="AZ20">_xlfn.IFS(AZ$3&lt;$B$2,SUMPRODUCT(('PA Fees Actual'!$B$5:$B$882=$E20)*('PA Fees Actual'!$A$5:$A$882&gt;=AZ$3)*('PA Fees Actual'!$A$5:$A$882&lt;=EOMONTH(AZ$3,0))*'PA Fees Actual'!$D$5:$D$882),AZ$3&gt;=EOMONTH($X20,-1)+1,$Y20,TRUE,0)</f>
        <v>0</v>
      </c>
      <c r="BA20" s="202" cm="1">
        <f t="array" ref="BA20">_xlfn.IFS(BA$3&lt;$B$2,SUMPRODUCT(('PA Fees Actual'!$B$5:$B$882=$E20)*('PA Fees Actual'!$A$5:$A$882&gt;=BA$3)*('PA Fees Actual'!$A$5:$A$882&lt;=EOMONTH(BA$3,0))*'PA Fees Actual'!$D$5:$D$882),BA$3&gt;=EOMONTH($X20,-1)+1,$Y20,TRUE,0)</f>
        <v>0</v>
      </c>
      <c r="BB20" s="202" cm="1">
        <f t="array" ref="BB20">_xlfn.IFS(BB$3&lt;$B$2,SUMPRODUCT(('PA Fees Actual'!$B$5:$B$882=$E20)*('PA Fees Actual'!$A$5:$A$882&gt;=BB$3)*('PA Fees Actual'!$A$5:$A$882&lt;=EOMONTH(BB$3,0))*'PA Fees Actual'!$D$5:$D$882),BB$3&gt;=EOMONTH($X20,-1)+1,$Y20,TRUE,0)</f>
        <v>0</v>
      </c>
      <c r="BC20" s="202" cm="1">
        <f t="array" ref="BC20">_xlfn.IFS(BC$3&lt;$B$2,SUMPRODUCT(('PA Fees Actual'!$B$5:$B$882=$E20)*('PA Fees Actual'!$A$5:$A$882&gt;=BC$3)*('PA Fees Actual'!$A$5:$A$882&lt;=EOMONTH(BC$3,0))*'PA Fees Actual'!$D$5:$D$882),BC$3&gt;=EOMONTH($X20,-1)+1,$Y20,TRUE,0)</f>
        <v>0</v>
      </c>
      <c r="BD20" s="202" cm="1">
        <f t="array" ref="BD20">_xlfn.IFS(BD$3&lt;$B$2,SUMPRODUCT(('PA Fees Actual'!$B$5:$B$882=$E20)*('PA Fees Actual'!$A$5:$A$882&gt;=BD$3)*('PA Fees Actual'!$A$5:$A$882&lt;=EOMONTH(BD$3,0))*'PA Fees Actual'!$D$5:$D$882),BD$3&gt;=EOMONTH($X20,-1)+1,$Y20,TRUE,0)</f>
        <v>0</v>
      </c>
      <c r="BE20" s="202" cm="1">
        <f t="array" ref="BE20">_xlfn.IFS(BE$3&lt;$B$2,SUMPRODUCT(('PA Fees Actual'!$B$5:$B$882=$E20)*('PA Fees Actual'!$A$5:$A$882&gt;=BE$3)*('PA Fees Actual'!$A$5:$A$882&lt;=EOMONTH(BE$3,0))*'PA Fees Actual'!$D$5:$D$882),BE$3&gt;=EOMONTH($X20,-1)+1,$Y20,TRUE,0)</f>
        <v>0</v>
      </c>
      <c r="BF20" s="202" cm="1">
        <f t="array" ref="BF20">_xlfn.IFS(BF$3&lt;$B$2,SUMPRODUCT(('PA Fees Actual'!$B$5:$B$882=$E20)*('PA Fees Actual'!$A$5:$A$882&gt;=BF$3)*('PA Fees Actual'!$A$5:$A$882&lt;=EOMONTH(BF$3,0))*'PA Fees Actual'!$D$5:$D$882),BF$3&gt;=EOMONTH($X20,-1)+1,$Y20,TRUE,0)</f>
        <v>0</v>
      </c>
      <c r="BG20" s="202" cm="1">
        <f t="array" ref="BG20">_xlfn.IFS(BG$3&lt;$B$2,SUMPRODUCT(('PA Fees Actual'!$B$5:$B$882=$E20)*('PA Fees Actual'!$A$5:$A$882&gt;=BG$3)*('PA Fees Actual'!$A$5:$A$882&lt;=EOMONTH(BG$3,0))*'PA Fees Actual'!$D$5:$D$882),BG$3&gt;=EOMONTH($X20,-1)+1,$Y20,TRUE,0)</f>
        <v>0</v>
      </c>
      <c r="BH20" s="202" cm="1">
        <f t="array" ref="BH20">_xlfn.IFS(BH$3&lt;$B$2,SUMPRODUCT(('PA Fees Actual'!$B$5:$B$882=$E20)*('PA Fees Actual'!$A$5:$A$882&gt;=BH$3)*('PA Fees Actual'!$A$5:$A$882&lt;=EOMONTH(BH$3,0))*'PA Fees Actual'!$D$5:$D$882),BH$3&gt;=EOMONTH($X20,-1)+1,$Y20,TRUE,0)</f>
        <v>0</v>
      </c>
      <c r="BI20" s="202" cm="1">
        <f t="array" ref="BI20">_xlfn.IFS(BI$3&lt;$B$2,SUMPRODUCT(('PA Fees Actual'!$B$5:$B$882=$E20)*('PA Fees Actual'!$A$5:$A$882&gt;=BI$3)*('PA Fees Actual'!$A$5:$A$882&lt;=EOMONTH(BI$3,0))*'PA Fees Actual'!$D$5:$D$882),BI$3&gt;=EOMONTH($X20,-1)+1,$Y20,TRUE,0)</f>
        <v>0</v>
      </c>
      <c r="BJ20" s="202" cm="1">
        <f t="array" ref="BJ20">_xlfn.IFS(BJ$3&lt;$B$2,SUMPRODUCT(('PA Fees Actual'!$B$5:$B$882=$E20)*('PA Fees Actual'!$A$5:$A$882&gt;=BJ$3)*('PA Fees Actual'!$A$5:$A$882&lt;=EOMONTH(BJ$3,0))*'PA Fees Actual'!$D$5:$D$882),BJ$3&gt;=EOMONTH($X20,-1)+1,$Y20,TRUE,0)</f>
        <v>0</v>
      </c>
      <c r="BK20" s="202" cm="1">
        <f t="array" ref="BK20">_xlfn.IFS(BK$3&lt;$B$2,SUMPRODUCT(('PA Fees Actual'!$B$5:$B$882=$E20)*('PA Fees Actual'!$A$5:$A$882&gt;=BK$3)*('PA Fees Actual'!$A$5:$A$882&lt;=EOMONTH(BK$3,0))*'PA Fees Actual'!$D$5:$D$882),BK$3&gt;=EOMONTH($X20,-1)+1,$Y20,TRUE,0)</f>
        <v>0</v>
      </c>
      <c r="BL20" s="202" cm="1">
        <f t="array" ref="BL20">_xlfn.IFS(BL$3&lt;$B$2,SUMPRODUCT(('PA Fees Actual'!$B$5:$B$882=$E20)*('PA Fees Actual'!$A$5:$A$882&gt;=BL$3)*('PA Fees Actual'!$A$5:$A$882&lt;=EOMONTH(BL$3,0))*'PA Fees Actual'!$D$5:$D$882),BL$3&gt;=EOMONTH($X20,-1)+1,$Y20,TRUE,0)</f>
        <v>0</v>
      </c>
      <c r="BM20" s="202" cm="1">
        <f t="array" ref="BM20">_xlfn.IFS(BM$3&lt;$B$2,SUMPRODUCT(('PA Fees Actual'!$B$5:$B$882=$E20)*('PA Fees Actual'!$A$5:$A$882&gt;=BM$3)*('PA Fees Actual'!$A$5:$A$882&lt;=EOMONTH(BM$3,0))*'PA Fees Actual'!$D$5:$D$882),BM$3&gt;=EOMONTH($X20,-1)+1,$Y20,TRUE,0)</f>
        <v>0</v>
      </c>
      <c r="BN20" s="202" cm="1">
        <f t="array" ref="BN20">_xlfn.IFS(BN$3&lt;$B$2,SUMPRODUCT(('PA Fees Actual'!$B$5:$B$882=$E20)*('PA Fees Actual'!$A$5:$A$882&gt;=BN$3)*('PA Fees Actual'!$A$5:$A$882&lt;=EOMONTH(BN$3,0))*'PA Fees Actual'!$D$5:$D$882),BN$3&gt;=EOMONTH($X20,-1)+1,$Y20,TRUE,0)</f>
        <v>0</v>
      </c>
      <c r="BO20" s="202" cm="1">
        <f t="array" ref="BO20">_xlfn.IFS(BO$3&lt;$B$2,SUMPRODUCT(('PA Fees Actual'!$B$5:$B$882=$E20)*('PA Fees Actual'!$A$5:$A$882&gt;=BO$3)*('PA Fees Actual'!$A$5:$A$882&lt;=EOMONTH(BO$3,0))*'PA Fees Actual'!$D$5:$D$882),BO$3&gt;=EOMONTH($X20,-1)+1,$Y20,TRUE,0)</f>
        <v>0</v>
      </c>
      <c r="BP20" s="202" cm="1">
        <f t="array" ref="BP20">_xlfn.IFS(BP$3&lt;$B$2,SUMPRODUCT(('PA Fees Actual'!$B$5:$B$882=$E20)*('PA Fees Actual'!$A$5:$A$882&gt;=BP$3)*('PA Fees Actual'!$A$5:$A$882&lt;=EOMONTH(BP$3,0))*'PA Fees Actual'!$D$5:$D$882),BP$3&gt;=EOMONTH($X20,-1)+1,$Y20,TRUE,0)</f>
        <v>0</v>
      </c>
      <c r="BQ20" s="202" cm="1">
        <f t="array" ref="BQ20">_xlfn.IFS(BQ$3&lt;$B$2,SUMPRODUCT(('PA Fees Actual'!$B$5:$B$882=$E20)*('PA Fees Actual'!$A$5:$A$882&gt;=BQ$3)*('PA Fees Actual'!$A$5:$A$882&lt;=EOMONTH(BQ$3,0))*'PA Fees Actual'!$D$5:$D$882),BQ$3&gt;=EOMONTH($X20,-1)+1,$Y20,TRUE,0)</f>
        <v>0</v>
      </c>
      <c r="BR20" s="202" cm="1">
        <f t="array" ref="BR20">_xlfn.IFS(BR$3&lt;$B$2,SUMPRODUCT(('PA Fees Actual'!$B$5:$B$882=$E20)*('PA Fees Actual'!$A$5:$A$882&gt;=BR$3)*('PA Fees Actual'!$A$5:$A$882&lt;=EOMONTH(BR$3,0))*'PA Fees Actual'!$D$5:$D$882),BR$3&gt;=EOMONTH($X20,-1)+1,$Y20,TRUE,0)</f>
        <v>435.79</v>
      </c>
      <c r="BS20" s="202" cm="1">
        <f t="array" ref="BS20">_xlfn.IFS(BS$3&lt;$B$2,SUMPRODUCT(('PA Fees Actual'!$B$5:$B$882=$E20)*('PA Fees Actual'!$A$5:$A$882&gt;=BS$3)*('PA Fees Actual'!$A$5:$A$882&lt;=EOMONTH(BS$3,0))*'PA Fees Actual'!$D$5:$D$882),BS$3&gt;=EOMONTH($X20,-1)+1,$Y20,TRUE,0)</f>
        <v>227.99</v>
      </c>
      <c r="BT20" s="202" cm="1">
        <f t="array" ref="BT20">_xlfn.IFS(BT$3&lt;$B$2,SUMPRODUCT(('PA Fees Actual'!$B$5:$B$882=$E20)*('PA Fees Actual'!$A$5:$A$882&gt;=BT$3)*('PA Fees Actual'!$A$5:$A$882&lt;=EOMONTH(BT$3,0))*'PA Fees Actual'!$D$5:$D$882),BT$3&gt;=EOMONTH($X20,-1)+1,$Y20,TRUE,0)</f>
        <v>224.12</v>
      </c>
      <c r="BU20" s="202" cm="1">
        <f t="array" ref="BU20">_xlfn.IFS(BU$3&lt;$B$2,SUMPRODUCT(('PA Fees Actual'!$B$5:$B$882=$E20)*('PA Fees Actual'!$A$5:$A$882&gt;=BU$3)*('PA Fees Actual'!$A$5:$A$882&lt;=EOMONTH(BU$3,0))*'PA Fees Actual'!$D$5:$D$882),BU$3&gt;=EOMONTH($X20,-1)+1,$Y20,TRUE,0)</f>
        <v>224.12</v>
      </c>
      <c r="BV20" s="202" cm="1">
        <f t="array" ref="BV20">_xlfn.IFS(BV$3&lt;$B$2,SUMPRODUCT(('PA Fees Actual'!$B$5:$B$882=$E20)*('PA Fees Actual'!$A$5:$A$882&gt;=BV$3)*('PA Fees Actual'!$A$5:$A$882&lt;=EOMONTH(BV$3,0))*'PA Fees Actual'!$D$5:$D$882),BV$3&gt;=EOMONTH($X20,-1)+1,$Y20,TRUE,0)</f>
        <v>0</v>
      </c>
      <c r="BW20" s="202" cm="1">
        <f t="array" ref="BW20">_xlfn.IFS(BW$3&lt;$B$2,SUMPRODUCT(('PA Fees Actual'!$B$5:$B$882=$E20)*('PA Fees Actual'!$A$5:$A$882&gt;=BW$3)*('PA Fees Actual'!$A$5:$A$882&lt;=EOMONTH(BW$3,0))*'PA Fees Actual'!$D$5:$D$882),BW$3&gt;=EOMONTH($X20,-1)+1,$Y20,TRUE,0)</f>
        <v>450.1</v>
      </c>
      <c r="BX20" s="202" cm="1">
        <f t="array" ref="BX20">_xlfn.IFS(BX$3&lt;$B$2,SUMPRODUCT(('PA Fees Actual'!$B$5:$B$882=$E20)*('PA Fees Actual'!$A$5:$A$882&gt;=BX$3)*('PA Fees Actual'!$A$5:$A$882&lt;=EOMONTH(BX$3,0))*'PA Fees Actual'!$D$5:$D$882),BX$3&gt;=EOMONTH($X20,-1)+1,$Y20,TRUE,0)</f>
        <v>152.51</v>
      </c>
      <c r="BY20" s="202" cm="1">
        <f t="array" ref="BY20">_xlfn.IFS(BY$3&lt;$B$2,SUMPRODUCT(('PA Fees Actual'!$B$5:$B$882=$E20)*('PA Fees Actual'!$A$5:$A$882&gt;=BY$3)*('PA Fees Actual'!$A$5:$A$882&lt;=EOMONTH(BY$3,0))*'PA Fees Actual'!$D$5:$D$882),BY$3&gt;=EOMONTH($X20,-1)+1,$Y20,TRUE,0)</f>
        <v>152.51</v>
      </c>
      <c r="BZ20" s="202" cm="1">
        <f t="array" ref="BZ20">_xlfn.IFS(BZ$3&lt;$B$2,SUMPRODUCT(('PA Fees Actual'!$B$5:$B$882=$E20)*('PA Fees Actual'!$A$5:$A$882&gt;=BZ$3)*('PA Fees Actual'!$A$5:$A$882&lt;=EOMONTH(BZ$3,0))*'PA Fees Actual'!$D$5:$D$882),BZ$3&gt;=EOMONTH($X20,-1)+1,$Y20,TRUE,0)</f>
        <v>152.51</v>
      </c>
      <c r="CA20" s="202" cm="1">
        <f t="array" ref="CA20">_xlfn.IFS(CA$3&lt;$B$2,SUMPRODUCT(('PA Fees Actual'!$B$5:$B$882=$E20)*('PA Fees Actual'!$A$5:$A$882&gt;=CA$3)*('PA Fees Actual'!$A$5:$A$882&lt;=EOMONTH(CA$3,0))*'PA Fees Actual'!$D$5:$D$882),CA$3&gt;=EOMONTH($X20,-1)+1,$Y20,TRUE,0)</f>
        <v>153.01</v>
      </c>
      <c r="CB20" s="202" cm="1">
        <f t="array" ref="CB20">_xlfn.IFS(CB$3&lt;$B$2,SUMPRODUCT(('PA Fees Actual'!$B$5:$B$882=$E20)*('PA Fees Actual'!$A$5:$A$882&gt;=CB$3)*('PA Fees Actual'!$A$5:$A$882&lt;=EOMONTH(CB$3,0))*'PA Fees Actual'!$D$5:$D$882),CB$3&gt;=EOMONTH($X20,-1)+1,$Y20,TRUE,0)</f>
        <v>114.75</v>
      </c>
      <c r="CC20" s="202" cm="1">
        <f t="array" ref="CC20">_xlfn.IFS(CC$3&lt;$B$2,SUMPRODUCT(('PA Fees Actual'!$B$5:$B$882=$E20)*('PA Fees Actual'!$A$5:$A$882&gt;=CC$3)*('PA Fees Actual'!$A$5:$A$882&lt;=EOMONTH(CC$3,0))*'PA Fees Actual'!$D$5:$D$882),CC$3&gt;=EOMONTH($X20,-1)+1,$Y20,TRUE,0)</f>
        <v>114.75</v>
      </c>
      <c r="CD20" s="202" cm="1">
        <f t="array" ref="CD20">_xlfn.IFS(CD$3&lt;$B$2,SUMPRODUCT(('PA Fees Actual'!$B$5:$B$882=$E20)*('PA Fees Actual'!$A$5:$A$882&gt;=CD$3)*('PA Fees Actual'!$A$5:$A$882&lt;=EOMONTH(CD$3,0))*'PA Fees Actual'!$D$5:$D$882),CD$3&gt;=EOMONTH($X20,-1)+1,$Y20,TRUE,0)</f>
        <v>114.75</v>
      </c>
      <c r="CE20" s="202" cm="1">
        <f t="array" ref="CE20">_xlfn.IFS(CE$3&lt;$B$2,SUMPRODUCT(('PA Fees Actual'!$B$5:$B$882=$E20)*('PA Fees Actual'!$A$5:$A$882&gt;=CE$3)*('PA Fees Actual'!$A$5:$A$882&lt;=EOMONTH(CE$3,0))*'PA Fees Actual'!$D$5:$D$882),CE$3&gt;=EOMONTH($X20,-1)+1,$Y20,TRUE,0)</f>
        <v>114.75</v>
      </c>
      <c r="CF20" s="202" cm="1">
        <f t="array" ref="CF20">_xlfn.IFS(CF$3&lt;$B$2,SUMPRODUCT(('PA Fees Actual'!$B$5:$B$882=$E20)*('PA Fees Actual'!$A$5:$A$882&gt;=CF$3)*('PA Fees Actual'!$A$5:$A$882&lt;=EOMONTH(CF$3,0))*'PA Fees Actual'!$D$5:$D$882),CF$3&gt;=EOMONTH($X20,-1)+1,$Y20,TRUE,0)</f>
        <v>114.75</v>
      </c>
      <c r="CG20" s="202" cm="1">
        <f t="array" ref="CG20">_xlfn.IFS(CG$3&lt;$B$2,SUMPRODUCT(('PA Fees Actual'!$B$5:$B$882=$E20)*('PA Fees Actual'!$A$5:$A$882&gt;=CG$3)*('PA Fees Actual'!$A$5:$A$882&lt;=EOMONTH(CG$3,0))*'PA Fees Actual'!$D$5:$D$882),CG$3&gt;=EOMONTH($X20,-1)+1,$Y20,TRUE,0)</f>
        <v>114.75</v>
      </c>
      <c r="CI20" s="202" cm="1">
        <f t="array" ref="CI20">_xlfn.IFS(CI$3&lt;=YEAR($B$2),SUMPRODUCT(($E$4:$E$79=$E20)*($Z$2:$CG$2=CI$3)*($Z$2:$CG$2&lt;CJ$3)*$Z$4:$CG$79),CI$3&lt;YEAR($X20),0,CI$3=YEAR($X20),DATEDIF($X20,DATE(CI$3,12,31),"m")*$Y20,AND(CI$3&gt;YEAR($X20),CI$3-YEAR($X20)&lt;20),$Y20*12,CI$3-YEAR($X20)=20,DATEDIF(DATE(YEAR($X20),1,1),$X20,"m")*$Y20,CI$3-YEAR($X20)&gt;20,0)</f>
        <v>0</v>
      </c>
      <c r="CJ20" s="202" cm="1">
        <f t="array" ref="CJ20">_xlfn.IFS(CJ$3&lt;=YEAR($B$2),SUMPRODUCT(($E$4:$E$79=$E20)*($Z$2:$CG$2=CJ$3)*($Z$2:$CG$2&lt;CK$3)*$Z$4:$CG$79),CJ$3&lt;YEAR($X20),0,CJ$3=YEAR($X20),DATEDIF($X20,DATE(CJ$3,12,31),"m")*$Y20,AND(CJ$3&gt;YEAR($X20),CJ$3-YEAR($X20)&lt;20),$Y20*12,CJ$3-YEAR($X20)=20,DATEDIF(DATE(YEAR($X20),1,1),$X20,"m")*$Y20,CJ$3-YEAR($X20)&gt;20,0)</f>
        <v>0</v>
      </c>
      <c r="CK20" s="202" cm="1">
        <f t="array" ref="CK20">_xlfn.IFS(CK$3&lt;=YEAR($B$2),SUMPRODUCT(($E$4:$E$79=$E20)*($Z$2:$CG$2=CK$3)*($Z$2:$CG$2&lt;CL$3)*$Z$4:$CG$79),CK$3&lt;YEAR($X20),0,CK$3=YEAR($X20),DATEDIF($X20,DATE(CK$3,12,31),"m")*$Y20,AND(CK$3&gt;YEAR($X20),CK$3-YEAR($X20)&lt;20),$Y20*12,CK$3-YEAR($X20)=20,DATEDIF(DATE(YEAR($X20),1,1),$X20,"m")*$Y20,CK$3-YEAR($X20)&gt;20,0)</f>
        <v>0</v>
      </c>
      <c r="CL20" s="202" cm="1">
        <f t="array" ref="CL20">_xlfn.IFS(CL$3&lt;=YEAR($B$2),SUMPRODUCT(($E$4:$E$79=$E20)*($Z$2:$CG$2=CL$3)*($Z$2:$CG$2&lt;CM$3)*$Z$4:$CG$79),CL$3&lt;YEAR($X20),0,CL$3=YEAR($X20),DATEDIF($X20,DATE(CL$3,12,31),"m")*$Y20,AND(CL$3&gt;YEAR($X20),CL$3-YEAR($X20)&lt;20),$Y20*12,CL$3-YEAR($X20)=20,DATEDIF(DATE(YEAR($X20),1,1),$X20,"m")*$Y20,CL$3-YEAR($X20)&gt;20,0)</f>
        <v>1112.02</v>
      </c>
      <c r="CM20" s="202" cm="1">
        <f t="array" ref="CM20">_xlfn.IFS(CM$3&lt;=YEAR($B$2),SUMPRODUCT(($E$4:$E$79=$E20)*($Z$2:$CG$2=CM$3)*($Z$2:$CG$2&lt;CN$3)*$Z$4:$CG$79),CM$3&lt;YEAR($X20),0,CM$3=YEAR($X20),DATEDIF($X20,DATE(CM$3,12,31),"m")*$Y20,AND(CM$3&gt;YEAR($X20),CM$3-YEAR($X20)&lt;20),$Y20*12,CM$3-YEAR($X20)=20,DATEDIF(DATE(YEAR($X20),1,1),$X20,"m")*$Y20,CM$3-YEAR($X20)&gt;20,0)</f>
        <v>1749.1399999999999</v>
      </c>
      <c r="CN20" s="202" cm="1">
        <f t="array" ref="CN20">_xlfn.IFS(CN$3&lt;=YEAR($B$2),SUMPRODUCT(($E$4:$E$79=$E20)*($Z$2:$CG$2=CN$3)*($Z$2:$CG$2&lt;CO$3)*$Z$4:$CG$79),CN$3&lt;YEAR($X20),0,CN$3=YEAR($X20),DATEDIF($X20,DATE(CN$3,12,31),"m")*$Y20,AND(CN$3&gt;YEAR($X20),CN$3-YEAR($X20)&lt;20),$Y20*12,CN$3-YEAR($X20)=20,DATEDIF(DATE(YEAR($X20),1,1),$X20,"m")*$Y20,CN$3-YEAR($X20)&gt;20,0)</f>
        <v>1377</v>
      </c>
      <c r="CO20" s="202" cm="1">
        <f t="array" ref="CO20">_xlfn.IFS(CO$3&lt;=YEAR($B$2),SUMPRODUCT(($E$4:$E$79=$E20)*($Z$2:$CG$2=CO$3)*($Z$2:$CG$2&lt;CP$3)*$Z$4:$CG$79),CO$3&lt;YEAR($X20),0,CO$3=YEAR($X20),DATEDIF($X20,DATE(CO$3,12,31),"m")*$Y20,AND(CO$3&gt;YEAR($X20),CO$3-YEAR($X20)&lt;20),$Y20*12,CO$3-YEAR($X20)=20,DATEDIF(DATE(YEAR($X20),1,1),$X20,"m")*$Y20,CO$3-YEAR($X20)&gt;20,0)</f>
        <v>1377</v>
      </c>
      <c r="CP20" s="202" cm="1">
        <f t="array" ref="CP20">_xlfn.IFS(CP$3&lt;=YEAR($B$2),SUMPRODUCT(($E$4:$E$79=$E20)*($Z$2:$CG$2=CP$3)*($Z$2:$CG$2&lt;CQ$3)*$Z$4:$CG$79),CP$3&lt;YEAR($X20),0,CP$3=YEAR($X20),DATEDIF($X20,DATE(CP$3,12,31),"m")*$Y20,AND(CP$3&gt;YEAR($X20),CP$3-YEAR($X20)&lt;20),$Y20*12,CP$3-YEAR($X20)=20,DATEDIF(DATE(YEAR($X20),1,1),$X20,"m")*$Y20,CP$3-YEAR($X20)&gt;20,0)</f>
        <v>1377</v>
      </c>
      <c r="CQ20" s="202" cm="1">
        <f t="array" ref="CQ20">_xlfn.IFS(CQ$3&lt;=YEAR($B$2),SUMPRODUCT(($E$4:$E$79=$E20)*($Z$2:$CG$2=CQ$3)*($Z$2:$CG$2&lt;CR$3)*$Z$4:$CG$79),CQ$3&lt;YEAR($X20),0,CQ$3=YEAR($X20),DATEDIF($X20,DATE(CQ$3,12,31),"m")*$Y20,AND(CQ$3&gt;YEAR($X20),CQ$3-YEAR($X20)&lt;20),$Y20*12,CQ$3-YEAR($X20)=20,DATEDIF(DATE(YEAR($X20),1,1),$X20,"m")*$Y20,CQ$3-YEAR($X20)&gt;20,0)</f>
        <v>1377</v>
      </c>
      <c r="CR20" s="202" cm="1">
        <f t="array" ref="CR20">_xlfn.IFS(CR$3&lt;=YEAR($B$2),SUMPRODUCT(($E$4:$E$79=$E20)*($Z$2:$CG$2=CR$3)*($Z$2:$CG$2&lt;CS$3)*$Z$4:$CG$79),CR$3&lt;YEAR($X20),0,CR$3=YEAR($X20),DATEDIF($X20,DATE(CR$3,12,31),"m")*$Y20,AND(CR$3&gt;YEAR($X20),CR$3-YEAR($X20)&lt;20),$Y20*12,CR$3-YEAR($X20)=20,DATEDIF(DATE(YEAR($X20),1,1),$X20,"m")*$Y20,CR$3-YEAR($X20)&gt;20,0)</f>
        <v>1377</v>
      </c>
      <c r="CS20" s="202" cm="1">
        <f t="array" ref="CS20">_xlfn.IFS(CS$3&lt;=YEAR($B$2),SUMPRODUCT(($E$4:$E$79=$E20)*($Z$2:$CG$2=CS$3)*($Z$2:$CG$2&lt;CT$3)*$Z$4:$CG$79),CS$3&lt;YEAR($X20),0,CS$3=YEAR($X20),DATEDIF($X20,DATE(CS$3,12,31),"m")*$Y20,AND(CS$3&gt;YEAR($X20),CS$3-YEAR($X20)&lt;20),$Y20*12,CS$3-YEAR($X20)=20,DATEDIF(DATE(YEAR($X20),1,1),$X20,"m")*$Y20,CS$3-YEAR($X20)&gt;20,0)</f>
        <v>1377</v>
      </c>
      <c r="CT20" s="202" cm="1">
        <f t="array" ref="CT20">_xlfn.IFS(CT$3&lt;=YEAR($B$2),SUMPRODUCT(($E$4:$E$79=$E20)*($Z$2:$CG$2=CT$3)*($Z$2:$CG$2&lt;CU$3)*$Z$4:$CG$79),CT$3&lt;YEAR($X20),0,CT$3=YEAR($X20),DATEDIF($X20,DATE(CT$3,12,31),"m")*$Y20,AND(CT$3&gt;YEAR($X20),CT$3-YEAR($X20)&lt;20),$Y20*12,CT$3-YEAR($X20)=20,DATEDIF(DATE(YEAR($X20),1,1),$X20,"m")*$Y20,CT$3-YEAR($X20)&gt;20,0)</f>
        <v>1377</v>
      </c>
      <c r="CU20" s="202" cm="1">
        <f t="array" ref="CU20">_xlfn.IFS(CU$3&lt;=YEAR($B$2),SUMPRODUCT(($E$4:$E$79=$E20)*($Z$2:$CG$2=CU$3)*($Z$2:$CG$2&lt;CV$3)*$Z$4:$CG$79),CU$3&lt;YEAR($X20),0,CU$3=YEAR($X20),DATEDIF($X20,DATE(CU$3,12,31),"m")*$Y20,AND(CU$3&gt;YEAR($X20),CU$3-YEAR($X20)&lt;20),$Y20*12,CU$3-YEAR($X20)=20,DATEDIF(DATE(YEAR($X20),1,1),$X20,"m")*$Y20,CU$3-YEAR($X20)&gt;20,0)</f>
        <v>1377</v>
      </c>
      <c r="CV20" s="202" cm="1">
        <f t="array" ref="CV20">_xlfn.IFS(CV$3&lt;=YEAR($B$2),SUMPRODUCT(($E$4:$E$79=$E20)*($Z$2:$CG$2=CV$3)*($Z$2:$CG$2&lt;CW$3)*$Z$4:$CG$79),CV$3&lt;YEAR($X20),0,CV$3=YEAR($X20),DATEDIF($X20,DATE(CV$3,12,31),"m")*$Y20,AND(CV$3&gt;YEAR($X20),CV$3-YEAR($X20)&lt;20),$Y20*12,CV$3-YEAR($X20)=20,DATEDIF(DATE(YEAR($X20),1,1),$X20,"m")*$Y20,CV$3-YEAR($X20)&gt;20,0)</f>
        <v>1377</v>
      </c>
      <c r="CW20" s="202" cm="1">
        <f t="array" ref="CW20">_xlfn.IFS(CW$3&lt;=YEAR($B$2),SUMPRODUCT(($E$4:$E$79=$E20)*($Z$2:$CG$2=CW$3)*($Z$2:$CG$2&lt;CX$3)*$Z$4:$CG$79),CW$3&lt;YEAR($X20),0,CW$3=YEAR($X20),DATEDIF($X20,DATE(CW$3,12,31),"m")*$Y20,AND(CW$3&gt;YEAR($X20),CW$3-YEAR($X20)&lt;20),$Y20*12,CW$3-YEAR($X20)=20,DATEDIF(DATE(YEAR($X20),1,1),$X20,"m")*$Y20,CW$3-YEAR($X20)&gt;20,0)</f>
        <v>1377</v>
      </c>
      <c r="CX20" s="202" cm="1">
        <f t="array" ref="CX20">_xlfn.IFS(CX$3&lt;=YEAR($B$2),SUMPRODUCT(($E$4:$E$79=$E20)*($Z$2:$CG$2=CX$3)*($Z$2:$CG$2&lt;CY$3)*$Z$4:$CG$79),CX$3&lt;YEAR($X20),0,CX$3=YEAR($X20),DATEDIF($X20,DATE(CX$3,12,31),"m")*$Y20,AND(CX$3&gt;YEAR($X20),CX$3-YEAR($X20)&lt;20),$Y20*12,CX$3-YEAR($X20)=20,DATEDIF(DATE(YEAR($X20),1,1),$X20,"m")*$Y20,CX$3-YEAR($X20)&gt;20,0)</f>
        <v>1377</v>
      </c>
      <c r="CY20" s="202" cm="1">
        <f t="array" ref="CY20">_xlfn.IFS(CY$3&lt;=YEAR($B$2),SUMPRODUCT(($E$4:$E$79=$E20)*($Z$2:$CG$2=CY$3)*($Z$2:$CG$2&lt;CZ$3)*$Z$4:$CG$79),CY$3&lt;YEAR($X20),0,CY$3=YEAR($X20),DATEDIF($X20,DATE(CY$3,12,31),"m")*$Y20,AND(CY$3&gt;YEAR($X20),CY$3-YEAR($X20)&lt;20),$Y20*12,CY$3-YEAR($X20)=20,DATEDIF(DATE(YEAR($X20),1,1),$X20,"m")*$Y20,CY$3-YEAR($X20)&gt;20,0)</f>
        <v>1377</v>
      </c>
      <c r="CZ20" s="202" cm="1">
        <f t="array" ref="CZ20">_xlfn.IFS(CZ$3&lt;=YEAR($B$2),SUMPRODUCT(($E$4:$E$79=$E20)*($Z$2:$CG$2=CZ$3)*($Z$2:$CG$2&lt;DA$3)*$Z$4:$CG$79),CZ$3&lt;YEAR($X20),0,CZ$3=YEAR($X20),DATEDIF($X20,DATE(CZ$3,12,31),"m")*$Y20,AND(CZ$3&gt;YEAR($X20),CZ$3-YEAR($X20)&lt;20),$Y20*12,CZ$3-YEAR($X20)=20,DATEDIF(DATE(YEAR($X20),1,1),$X20,"m")*$Y20,CZ$3-YEAR($X20)&gt;20,0)</f>
        <v>1377</v>
      </c>
      <c r="DA20" s="202" cm="1">
        <f t="array" ref="DA20">_xlfn.IFS(DA$3&lt;=YEAR($B$2),SUMPRODUCT(($E$4:$E$79=$E20)*($Z$2:$CG$2=DA$3)*($Z$2:$CG$2&lt;DB$3)*$Z$4:$CG$79),DA$3&lt;YEAR($X20),0,DA$3=YEAR($X20),DATEDIF($X20,DATE(DA$3,12,31),"m")*$Y20,AND(DA$3&gt;YEAR($X20),DA$3-YEAR($X20)&lt;20),$Y20*12,DA$3-YEAR($X20)=20,DATEDIF(DATE(YEAR($X20),1,1),$X20,"m")*$Y20,DA$3-YEAR($X20)&gt;20,0)</f>
        <v>1377</v>
      </c>
      <c r="DB20" s="202" cm="1">
        <f t="array" ref="DB20">_xlfn.IFS(DB$3&lt;=YEAR($B$2),SUMPRODUCT(($E$4:$E$79=$E20)*($Z$2:$CG$2=DB$3)*($Z$2:$CG$2&lt;DC$3)*$Z$4:$CG$79),DB$3&lt;YEAR($X20),0,DB$3=YEAR($X20),DATEDIF($X20,DATE(DB$3,12,31),"m")*$Y20,AND(DB$3&gt;YEAR($X20),DB$3-YEAR($X20)&lt;20),$Y20*12,DB$3-YEAR($X20)=20,DATEDIF(DATE(YEAR($X20),1,1),$X20,"m")*$Y20,DB$3-YEAR($X20)&gt;20,0)</f>
        <v>1377</v>
      </c>
      <c r="DC20" s="202" cm="1">
        <f t="array" ref="DC20">_xlfn.IFS(DC$3&lt;=YEAR($B$2),SUMPRODUCT(($E$4:$E$79=$E20)*($Z$2:$CG$2=DC$3)*($Z$2:$CG$2&lt;DD$3)*$Z$4:$CG$79),DC$3&lt;YEAR($X20),0,DC$3=YEAR($X20),DATEDIF($X20,DATE(DC$3,12,31),"m")*$Y20,AND(DC$3&gt;YEAR($X20),DC$3-YEAR($X20)&lt;20),$Y20*12,DC$3-YEAR($X20)=20,DATEDIF(DATE(YEAR($X20),1,1),$X20,"m")*$Y20,DC$3-YEAR($X20)&gt;20,0)</f>
        <v>1377</v>
      </c>
      <c r="DD20" s="202" cm="1">
        <f t="array" ref="DD20">_xlfn.IFS(DD$3&lt;=YEAR($B$2),SUMPRODUCT(($E$4:$E$79=$E20)*($Z$2:$CG$2=DD$3)*($Z$2:$CG$2&lt;DE$3)*$Z$4:$CG$79),DD$3&lt;YEAR($X20),0,DD$3=YEAR($X20),DATEDIF($X20,DATE(DD$3,12,31),"m")*$Y20,AND(DD$3&gt;YEAR($X20),DD$3-YEAR($X20)&lt;20),$Y20*12,DD$3-YEAR($X20)=20,DATEDIF(DATE(YEAR($X20),1,1),$X20,"m")*$Y20,DD$3-YEAR($X20)&gt;20,0)</f>
        <v>1377</v>
      </c>
      <c r="DE20" s="202" cm="1">
        <f t="array" ref="DE20">_xlfn.IFS(DE$3&lt;=YEAR($B$2),SUMPRODUCT(($E$4:$E$79=$E20)*($Z$2:$CG$2=DE$3)*($Z$2:$CG$2&lt;DF$3)*$Z$4:$CG$79),DE$3&lt;YEAR($X20),0,DE$3=YEAR($X20),DATEDIF($X20,DATE(DE$3,12,31),"m")*$Y20,AND(DE$3&gt;YEAR($X20),DE$3-YEAR($X20)&lt;20),$Y20*12,DE$3-YEAR($X20)=20,DATEDIF(DATE(YEAR($X20),1,1),$X20,"m")*$Y20,DE$3-YEAR($X20)&gt;20,0)</f>
        <v>1377</v>
      </c>
      <c r="DF20" s="202" cm="1">
        <f t="array" ref="DF20">_xlfn.IFS(DF$3&lt;=YEAR($B$2),SUMPRODUCT(($E$4:$E$79=$E20)*($Z$2:$CG$2=DF$3)*($Z$2:$CG$2&lt;DG$3)*$Z$4:$CG$79),DF$3&lt;YEAR($X20),0,DF$3=YEAR($X20),DATEDIF($X20,DATE(DF$3,12,31),"m")*$Y20,AND(DF$3&gt;YEAR($X20),DF$3-YEAR($X20)&lt;20),$Y20*12,DF$3-YEAR($X20)=20,DATEDIF(DATE(YEAR($X20),1,1),$X20,"m")*$Y20,DF$3-YEAR($X20)&gt;20,0)</f>
        <v>688.5</v>
      </c>
      <c r="DG20" s="202" cm="1">
        <f t="array" ref="DG20">_xlfn.IFS(DG$3&lt;=YEAR($B$2),SUMPRODUCT(($E$4:$E$79=$E20)*($Z$2:$CG$2=DG$3)*($Z$2:$CG$2&lt;DH$3)*$Z$4:$CG$79),DG$3&lt;YEAR($X20),0,DG$3=YEAR($X20),DATEDIF($X20,DATE(DG$3,12,31),"m")*$Y20,AND(DG$3&gt;YEAR($X20),DG$3-YEAR($X20)&lt;20),$Y20*12,DG$3-YEAR($X20)=20,DATEDIF(DATE(YEAR($X20),1,1),$X20,"m")*$Y20,DG$3-YEAR($X20)&gt;20,0)</f>
        <v>0</v>
      </c>
      <c r="DH20" s="202" cm="1">
        <f t="array" ref="DH20">_xlfn.IFS(DH$3&lt;=YEAR($B$2),SUMPRODUCT(($E$4:$E$79=$E20)*($Z$2:$CG$2=DH$3)*($Z$2:$CG$2&lt;DI$3)*$Z$4:$CG$79),DH$3&lt;YEAR($X20),0,DH$3=YEAR($X20),DATEDIF($X20,DATE(DH$3,12,31),"m")*$Y20,AND(DH$3&gt;YEAR($X20),DH$3-YEAR($X20)&lt;20),$Y20*12,DH$3-YEAR($X20)=20,DATEDIF(DATE(YEAR($X20),1,1),$X20,"m")*$Y20,DH$3-YEAR($X20)&gt;20,0)</f>
        <v>0</v>
      </c>
      <c r="DI20" s="202" cm="1">
        <f t="array" ref="DI20">_xlfn.IFS(DI$3&lt;=YEAR($B$2),SUMPRODUCT(($E$4:$E$79=$E20)*($Z$2:$CG$2=DI$3)*($Z$2:$CG$2&lt;DJ$3)*$Z$4:$CG$79),DI$3&lt;YEAR($X20),0,DI$3=YEAR($X20),DATEDIF($X20,DATE(DI$3,12,31),"m")*$Y20,AND(DI$3&gt;YEAR($X20),DI$3-YEAR($X20)&lt;20),$Y20*12,DI$3-YEAR($X20)=20,DATEDIF(DATE(YEAR($X20),1,1),$X20,"m")*$Y20,DI$3-YEAR($X20)&gt;20,0)</f>
        <v>0</v>
      </c>
      <c r="DJ20" s="202" cm="1">
        <f t="array" ref="DJ20">_xlfn.IFS(DJ$3&lt;=YEAR($B$2),SUMPRODUCT(($E$4:$E$79=$E20)*($Z$2:$CG$2=DJ$3)*($Z$2:$CG$2&lt;DK$3)*$Z$4:$CG$79),DJ$3&lt;YEAR($X20),0,DJ$3=YEAR($X20),DATEDIF($X20,DATE(DJ$3,12,31),"m")*$Y20,AND(DJ$3&gt;YEAR($X20),DJ$3-YEAR($X20)&lt;20),$Y20*12,DJ$3-YEAR($X20)=20,DATEDIF(DATE(YEAR($X20),1,1),$X20,"m")*$Y20,DJ$3-YEAR($X20)&gt;20,0)</f>
        <v>0</v>
      </c>
      <c r="DK20" s="202" cm="1">
        <f t="array" ref="DK20">_xlfn.IFS(DK$3&lt;=YEAR($B$2),SUMPRODUCT(($E$4:$E$79=$E20)*($Z$2:$CG$2=DK$3)*($Z$2:$CG$2&lt;DL$3)*$Z$4:$CG$79),DK$3&lt;YEAR($X20),0,DK$3=YEAR($X20),DATEDIF($X20,DATE(DK$3,12,31),"m")*$Y20,AND(DK$3&gt;YEAR($X20),DK$3-YEAR($X20)&lt;20),$Y20*12,DK$3-YEAR($X20)=20,DATEDIF(DATE(YEAR($X20),1,1),$X20,"m")*$Y20,DK$3-YEAR($X20)&gt;20,0)</f>
        <v>0</v>
      </c>
      <c r="DL20" s="202" cm="1">
        <f t="array" ref="DL20">_xlfn.IFS(DL$3&lt;=YEAR($B$2),SUMPRODUCT(($E$4:$E$79=$E20)*($Z$2:$CG$2=DL$3)*($Z$2:$CG$2&lt;DM$3)*$Z$4:$CG$79),DL$3&lt;YEAR($X20),0,DL$3=YEAR($X20),DATEDIF($X20,DATE(DL$3,12,31),"m")*$Y20,AND(DL$3&gt;YEAR($X20),DL$3-YEAR($X20)&lt;20),$Y20*12,DL$3-YEAR($X20)=20,DATEDIF(DATE(YEAR($X20),1,1),$X20,"m")*$Y20,DL$3-YEAR($X20)&gt;20,0)</f>
        <v>0</v>
      </c>
      <c r="DO20" s="166">
        <f t="shared" si="26"/>
        <v>2029</v>
      </c>
      <c r="DP20" s="158">
        <v>660421.95000000019</v>
      </c>
      <c r="DQ20" s="158">
        <v>462971.99729999999</v>
      </c>
      <c r="DR20" s="158">
        <v>25576.5</v>
      </c>
      <c r="DS20" s="158">
        <f t="shared" si="27"/>
        <v>1148970.4473000001</v>
      </c>
      <c r="DW20" s="35"/>
    </row>
    <row r="21" spans="1:636">
      <c r="A21" s="155" t="str" cm="1">
        <f t="array" ref="A21">INDEX('Monthly Report July 2025'!C:C,MATCH(E21,'Monthly Report July 2025'!E:E,0),0)</f>
        <v>OCS005</v>
      </c>
      <c r="B21" s="155" t="str" cm="1">
        <f t="array" ref="B21">_xlfn.IFS(LEFT(E21,3)="PGE","PGE",LEFT(E21,2)="PP","PAC",TRUE,"IP")</f>
        <v>PAC</v>
      </c>
      <c r="C21" s="155" t="str">
        <f>IF(ISNA(MATCH(E21,'Monthly Report July 2025'!E:E,0)),"Missing","Present")</f>
        <v>Present</v>
      </c>
      <c r="D21" s="155" t="str">
        <f>IF(ISNA(MATCH(E21,'Project Operational Timelines'!C:C,0))=TRUE,"Missing","Present")</f>
        <v>Present</v>
      </c>
      <c r="E21" s="155" t="s">
        <v>129</v>
      </c>
      <c r="F21" s="155" t="str" cm="1">
        <f t="array" ref="F21">INDEX('Monthly Report July 2025'!F:F,MATCH(E21,'Monthly Report July 2025'!E:E,),0)</f>
        <v>Wallowa County Community Solar</v>
      </c>
      <c r="G21" s="155" t="str" cm="1">
        <f t="array" ref="G21">_xlfn.IFS(INDEX('Monthly Report July 2025'!O:O,MATCH(E21,'Monthly Report July 2025'!E:E,0),0)="Operational","Operational",INDEX('Monthly Report July 2025'!O:O,MATCH(E21,'Monthly Report July 2025'!E:E,0),0)="Certified","Certified",TRUE,"Pre-Certified")</f>
        <v>Operational</v>
      </c>
      <c r="H21" s="155" t="str" cm="1">
        <f t="array" ref="H21">INDEX('Monthly Report July 2025'!H:H,MATCH($E21,'Monthly Report July 2025'!$E:$E,0),0)</f>
        <v>Fleet Development</v>
      </c>
      <c r="I21" s="155" t="str" cm="1">
        <f t="array" ref="I21">INDEX('Monthly Report July 2025'!I:I,MATCH($E21,'Monthly Report July 2025'!$E:$E,0),0)</f>
        <v>Fleet Development</v>
      </c>
      <c r="J21" s="174" cm="1">
        <f t="array" ref="J21">INDEX('Monthly Report July 2025'!J:J,MATCH($E21,'Monthly Report July 2025'!$E:$E,0),0)</f>
        <v>1</v>
      </c>
      <c r="K21" s="174" t="str" cm="1">
        <f t="array" ref="K21">INDEX('Monthly Report July 2025'!K:K,MATCH($E21,'Monthly Report July 2025'!$E:$E,0),0)</f>
        <v>Yes</v>
      </c>
      <c r="L21" s="174" t="b" cm="1">
        <f t="array" ref="L21">INDEX('Monthly Report July 2025'!L:L,MATCH(E21,'Monthly Report July 2025'!E:E,0),0)=M21</f>
        <v>1</v>
      </c>
      <c r="M21" s="273" cm="1">
        <f t="array" ref="M21">INDEX('Monthly Report July 2025'!L:L,MATCH($E21,'Monthly Report July 2025'!$E:$E,0),0)</f>
        <v>360</v>
      </c>
      <c r="N21" s="175" cm="1">
        <f t="array" ref="N21">INDEX('Monthly Report July 2025'!M:M,MATCH($E21,'Monthly Report July 2025'!$E:$E,0),0)</f>
        <v>43948</v>
      </c>
      <c r="O21" s="175" t="str" cm="1">
        <f t="array" ref="O21">_xlfn.IFS(G21="Operational","Operational",G21="Certified","Certified",TRUE,INDEX('Monthly Report July 2025'!O:O,MATCH(E21,'Monthly Report July 2025'!E:E,0),0))</f>
        <v>Operational</v>
      </c>
      <c r="P21" s="175" t="b" cm="1">
        <f t="array" ref="P21">_xlfn.IFS(G21="Operational",O21="Operational",G21="Certified",O21="Certified",TRUE,G21="Pre-Certified")</f>
        <v>1</v>
      </c>
      <c r="Q21" s="175" cm="1">
        <f t="array" ref="Q21">IF(O21="Operational",INDEX('Monthly Report July 2025'!R:R,MATCH(E21,'Monthly Report July 2025'!E:E,0),0),"")</f>
        <v>44743</v>
      </c>
      <c r="R21" s="175" cm="1">
        <f t="array" ref="R21">INDEX('Monthly Report July 2025'!P:P,MATCH(E21,'Monthly Report July 2025'!E:E,0),0)</f>
        <v>44601</v>
      </c>
      <c r="S21" s="175" t="b">
        <f t="shared" si="5"/>
        <v>1</v>
      </c>
      <c r="T21" s="175" cm="1">
        <f t="array" ref="T21">INDEX('Monthly Report July 2025'!U:U,MATCH(E21,'Monthly Report July 2025'!E:E,0),0)</f>
        <v>44560</v>
      </c>
      <c r="U21" s="175" t="str">
        <f t="shared" si="6"/>
        <v>IGNORE</v>
      </c>
      <c r="V21" s="156">
        <f t="shared" si="7"/>
        <v>44601</v>
      </c>
      <c r="W21" s="156" cm="1">
        <f t="array" ref="W21">_xlfn.IFS(U21=TRUE,EDATE(O21,6),U21=FALSE,T21,O21="Operational",Q21,AND(O21="Certified",EDATE(R21,6)&gt;T21),EDATE(R21,6),TRUE,T21)</f>
        <v>44743</v>
      </c>
      <c r="X21" s="156">
        <f t="shared" si="8"/>
        <v>44805</v>
      </c>
      <c r="Y21" s="157">
        <f t="shared" si="9"/>
        <v>137.70000000000002</v>
      </c>
      <c r="Z21" s="202" cm="1">
        <f t="array" ref="Z21">_xlfn.IFS(Z$3&lt;$B$2,SUMPRODUCT(('PA Fees Actual'!$B$5:$B$882=$E21)*('PA Fees Actual'!$A$5:$A$882&gt;=Z$3)*('PA Fees Actual'!$A$5:$A$882&lt;=EOMONTH(Z$3,0))*'PA Fees Actual'!$D$5:$D$882),Z$3&gt;=EOMONTH($X21,-1)+1,$Y21,TRUE,0)</f>
        <v>0</v>
      </c>
      <c r="AA21" s="202" cm="1">
        <f t="array" ref="AA21">_xlfn.IFS(AA$3&lt;$B$2,SUMPRODUCT(('PA Fees Actual'!$B$5:$B$882=$E21)*('PA Fees Actual'!$A$5:$A$882&gt;=AA$3)*('PA Fees Actual'!$A$5:$A$882&lt;=EOMONTH(AA$3,0))*'PA Fees Actual'!$D$5:$D$882),AA$3&gt;=EOMONTH($X21,-1)+1,$Y21,TRUE,0)</f>
        <v>0</v>
      </c>
      <c r="AB21" s="202" cm="1">
        <f t="array" ref="AB21">_xlfn.IFS(AB$3&lt;$B$2,SUMPRODUCT(('PA Fees Actual'!$B$5:$B$882=$E21)*('PA Fees Actual'!$A$5:$A$882&gt;=AB$3)*('PA Fees Actual'!$A$5:$A$882&lt;=EOMONTH(AB$3,0))*'PA Fees Actual'!$D$5:$D$882),AB$3&gt;=EOMONTH($X21,-1)+1,$Y21,TRUE,0)</f>
        <v>0</v>
      </c>
      <c r="AC21" s="202" cm="1">
        <f t="array" ref="AC21">_xlfn.IFS(AC$3&lt;$B$2,SUMPRODUCT(('PA Fees Actual'!$B$5:$B$882=$E21)*('PA Fees Actual'!$A$5:$A$882&gt;=AC$3)*('PA Fees Actual'!$A$5:$A$882&lt;=EOMONTH(AC$3,0))*'PA Fees Actual'!$D$5:$D$882),AC$3&gt;=EOMONTH($X21,-1)+1,$Y21,TRUE,0)</f>
        <v>0</v>
      </c>
      <c r="AD21" s="202" cm="1">
        <f t="array" ref="AD21">_xlfn.IFS(AD$3&lt;$B$2,SUMPRODUCT(('PA Fees Actual'!$B$5:$B$882=$E21)*('PA Fees Actual'!$A$5:$A$882&gt;=AD$3)*('PA Fees Actual'!$A$5:$A$882&lt;=EOMONTH(AD$3,0))*'PA Fees Actual'!$D$5:$D$882),AD$3&gt;=EOMONTH($X21,-1)+1,$Y21,TRUE,0)</f>
        <v>0</v>
      </c>
      <c r="AE21" s="202" cm="1">
        <f t="array" ref="AE21">_xlfn.IFS(AE$3&lt;$B$2,SUMPRODUCT(('PA Fees Actual'!$B$5:$B$882=$E21)*('PA Fees Actual'!$A$5:$A$882&gt;=AE$3)*('PA Fees Actual'!$A$5:$A$882&lt;=EOMONTH(AE$3,0))*'PA Fees Actual'!$D$5:$D$882),AE$3&gt;=EOMONTH($X21,-1)+1,$Y21,TRUE,0)</f>
        <v>0</v>
      </c>
      <c r="AF21" s="202" cm="1">
        <f t="array" ref="AF21">_xlfn.IFS(AF$3&lt;$B$2,SUMPRODUCT(('PA Fees Actual'!$B$5:$B$882=$E21)*('PA Fees Actual'!$A$5:$A$882&gt;=AF$3)*('PA Fees Actual'!$A$5:$A$882&lt;=EOMONTH(AF$3,0))*'PA Fees Actual'!$D$5:$D$882),AF$3&gt;=EOMONTH($X21,-1)+1,$Y21,TRUE,0)</f>
        <v>0</v>
      </c>
      <c r="AG21" s="202" cm="1">
        <f t="array" ref="AG21">_xlfn.IFS(AG$3&lt;$B$2,SUMPRODUCT(('PA Fees Actual'!$B$5:$B$882=$E21)*('PA Fees Actual'!$A$5:$A$882&gt;=AG$3)*('PA Fees Actual'!$A$5:$A$882&lt;=EOMONTH(AG$3,0))*'PA Fees Actual'!$D$5:$D$882),AG$3&gt;=EOMONTH($X21,-1)+1,$Y21,TRUE,0)</f>
        <v>0</v>
      </c>
      <c r="AH21" s="202" cm="1">
        <f t="array" ref="AH21">_xlfn.IFS(AH$3&lt;$B$2,SUMPRODUCT(('PA Fees Actual'!$B$5:$B$882=$E21)*('PA Fees Actual'!$A$5:$A$882&gt;=AH$3)*('PA Fees Actual'!$A$5:$A$882&lt;=EOMONTH(AH$3,0))*'PA Fees Actual'!$D$5:$D$882),AH$3&gt;=EOMONTH($X21,-1)+1,$Y21,TRUE,0)</f>
        <v>0</v>
      </c>
      <c r="AI21" s="202" cm="1">
        <f t="array" ref="AI21">_xlfn.IFS(AI$3&lt;$B$2,SUMPRODUCT(('PA Fees Actual'!$B$5:$B$882=$E21)*('PA Fees Actual'!$A$5:$A$882&gt;=AI$3)*('PA Fees Actual'!$A$5:$A$882&lt;=EOMONTH(AI$3,0))*'PA Fees Actual'!$D$5:$D$882),AI$3&gt;=EOMONTH($X21,-1)+1,$Y21,TRUE,0)</f>
        <v>0</v>
      </c>
      <c r="AJ21" s="202" cm="1">
        <f t="array" ref="AJ21">_xlfn.IFS(AJ$3&lt;$B$2,SUMPRODUCT(('PA Fees Actual'!$B$5:$B$882=$E21)*('PA Fees Actual'!$A$5:$A$882&gt;=AJ$3)*('PA Fees Actual'!$A$5:$A$882&lt;=EOMONTH(AJ$3,0))*'PA Fees Actual'!$D$5:$D$882),AJ$3&gt;=EOMONTH($X21,-1)+1,$Y21,TRUE,0)</f>
        <v>0</v>
      </c>
      <c r="AK21" s="202" cm="1">
        <f t="array" ref="AK21">_xlfn.IFS(AK$3&lt;$B$2,SUMPRODUCT(('PA Fees Actual'!$B$5:$B$882=$E21)*('PA Fees Actual'!$A$5:$A$882&gt;=AK$3)*('PA Fees Actual'!$A$5:$A$882&lt;=EOMONTH(AK$3,0))*'PA Fees Actual'!$D$5:$D$882),AK$3&gt;=EOMONTH($X21,-1)+1,$Y21,TRUE,0)</f>
        <v>0</v>
      </c>
      <c r="AL21" s="202" cm="1">
        <f t="array" ref="AL21">_xlfn.IFS(AL$3&lt;$B$2,SUMPRODUCT(('PA Fees Actual'!$B$5:$B$882=$E21)*('PA Fees Actual'!$A$5:$A$882&gt;=AL$3)*('PA Fees Actual'!$A$5:$A$882&lt;=EOMONTH(AL$3,0))*'PA Fees Actual'!$D$5:$D$882),AL$3&gt;=EOMONTH($X21,-1)+1,$Y21,TRUE,0)</f>
        <v>0</v>
      </c>
      <c r="AM21" s="202" cm="1">
        <f t="array" ref="AM21">_xlfn.IFS(AM$3&lt;$B$2,SUMPRODUCT(('PA Fees Actual'!$B$5:$B$882=$E21)*('PA Fees Actual'!$A$5:$A$882&gt;=AM$3)*('PA Fees Actual'!$A$5:$A$882&lt;=EOMONTH(AM$3,0))*'PA Fees Actual'!$D$5:$D$882),AM$3&gt;=EOMONTH($X21,-1)+1,$Y21,TRUE,0)</f>
        <v>0</v>
      </c>
      <c r="AN21" s="202" cm="1">
        <f t="array" ref="AN21">_xlfn.IFS(AN$3&lt;$B$2,SUMPRODUCT(('PA Fees Actual'!$B$5:$B$882=$E21)*('PA Fees Actual'!$A$5:$A$882&gt;=AN$3)*('PA Fees Actual'!$A$5:$A$882&lt;=EOMONTH(AN$3,0))*'PA Fees Actual'!$D$5:$D$882),AN$3&gt;=EOMONTH($X21,-1)+1,$Y21,TRUE,0)</f>
        <v>0</v>
      </c>
      <c r="AO21" s="202" cm="1">
        <f t="array" ref="AO21">_xlfn.IFS(AO$3&lt;$B$2,SUMPRODUCT(('PA Fees Actual'!$B$5:$B$882=$E21)*('PA Fees Actual'!$A$5:$A$882&gt;=AO$3)*('PA Fees Actual'!$A$5:$A$882&lt;=EOMONTH(AO$3,0))*'PA Fees Actual'!$D$5:$D$882),AO$3&gt;=EOMONTH($X21,-1)+1,$Y21,TRUE,0)</f>
        <v>0</v>
      </c>
      <c r="AP21" s="202" cm="1">
        <f t="array" ref="AP21">_xlfn.IFS(AP$3&lt;$B$2,SUMPRODUCT(('PA Fees Actual'!$B$5:$B$882=$E21)*('PA Fees Actual'!$A$5:$A$882&gt;=AP$3)*('PA Fees Actual'!$A$5:$A$882&lt;=EOMONTH(AP$3,0))*'PA Fees Actual'!$D$5:$D$882),AP$3&gt;=EOMONTH($X21,-1)+1,$Y21,TRUE,0)</f>
        <v>0</v>
      </c>
      <c r="AQ21" s="202" cm="1">
        <f t="array" ref="AQ21">_xlfn.IFS(AQ$3&lt;$B$2,SUMPRODUCT(('PA Fees Actual'!$B$5:$B$882=$E21)*('PA Fees Actual'!$A$5:$A$882&gt;=AQ$3)*('PA Fees Actual'!$A$5:$A$882&lt;=EOMONTH(AQ$3,0))*'PA Fees Actual'!$D$5:$D$882),AQ$3&gt;=EOMONTH($X21,-1)+1,$Y21,TRUE,0)</f>
        <v>0</v>
      </c>
      <c r="AR21" s="202" cm="1">
        <f t="array" ref="AR21">_xlfn.IFS(AR$3&lt;$B$2,SUMPRODUCT(('PA Fees Actual'!$B$5:$B$882=$E21)*('PA Fees Actual'!$A$5:$A$882&gt;=AR$3)*('PA Fees Actual'!$A$5:$A$882&lt;=EOMONTH(AR$3,0))*'PA Fees Actual'!$D$5:$D$882),AR$3&gt;=EOMONTH($X21,-1)+1,$Y21,TRUE,0)</f>
        <v>0</v>
      </c>
      <c r="AS21" s="202" cm="1">
        <f t="array" ref="AS21">_xlfn.IFS(AS$3&lt;$B$2,SUMPRODUCT(('PA Fees Actual'!$B$5:$B$882=$E21)*('PA Fees Actual'!$A$5:$A$882&gt;=AS$3)*('PA Fees Actual'!$A$5:$A$882&lt;=EOMONTH(AS$3,0))*'PA Fees Actual'!$D$5:$D$882),AS$3&gt;=EOMONTH($X21,-1)+1,$Y21,TRUE,0)</f>
        <v>0</v>
      </c>
      <c r="AT21" s="202" cm="1">
        <f t="array" ref="AT21">_xlfn.IFS(AT$3&lt;$B$2,SUMPRODUCT(('PA Fees Actual'!$B$5:$B$882=$E21)*('PA Fees Actual'!$A$5:$A$882&gt;=AT$3)*('PA Fees Actual'!$A$5:$A$882&lt;=EOMONTH(AT$3,0))*'PA Fees Actual'!$D$5:$D$882),AT$3&gt;=EOMONTH($X21,-1)+1,$Y21,TRUE,0)</f>
        <v>0</v>
      </c>
      <c r="AU21" s="202" cm="1">
        <f t="array" ref="AU21">_xlfn.IFS(AU$3&lt;$B$2,SUMPRODUCT(('PA Fees Actual'!$B$5:$B$882=$E21)*('PA Fees Actual'!$A$5:$A$882&gt;=AU$3)*('PA Fees Actual'!$A$5:$A$882&lt;=EOMONTH(AU$3,0))*'PA Fees Actual'!$D$5:$D$882),AU$3&gt;=EOMONTH($X21,-1)+1,$Y21,TRUE,0)</f>
        <v>0</v>
      </c>
      <c r="AV21" s="202" cm="1">
        <f t="array" ref="AV21">_xlfn.IFS(AV$3&lt;$B$2,SUMPRODUCT(('PA Fees Actual'!$B$5:$B$882=$E21)*('PA Fees Actual'!$A$5:$A$882&gt;=AV$3)*('PA Fees Actual'!$A$5:$A$882&lt;=EOMONTH(AV$3,0))*'PA Fees Actual'!$D$5:$D$882),AV$3&gt;=EOMONTH($X21,-1)+1,$Y21,TRUE,0)</f>
        <v>664.3</v>
      </c>
      <c r="AW21" s="202" cm="1">
        <f t="array" ref="AW21">_xlfn.IFS(AW$3&lt;$B$2,SUMPRODUCT(('PA Fees Actual'!$B$5:$B$882=$E21)*('PA Fees Actual'!$A$5:$A$882&gt;=AW$3)*('PA Fees Actual'!$A$5:$A$882&lt;=EOMONTH(AW$3,0))*'PA Fees Actual'!$D$5:$D$882),AW$3&gt;=EOMONTH($X21,-1)+1,$Y21,TRUE,0)</f>
        <v>0</v>
      </c>
      <c r="AX21" s="202" cm="1">
        <f t="array" ref="AX21">_xlfn.IFS(AX$3&lt;$B$2,SUMPRODUCT(('PA Fees Actual'!$B$5:$B$882=$E21)*('PA Fees Actual'!$A$5:$A$882&gt;=AX$3)*('PA Fees Actual'!$A$5:$A$882&lt;=EOMONTH(AX$3,0))*'PA Fees Actual'!$D$5:$D$882),AX$3&gt;=EOMONTH($X21,-1)+1,$Y21,TRUE,0)</f>
        <v>390.75</v>
      </c>
      <c r="AY21" s="202" cm="1">
        <f t="array" ref="AY21">_xlfn.IFS(AY$3&lt;$B$2,SUMPRODUCT(('PA Fees Actual'!$B$5:$B$882=$E21)*('PA Fees Actual'!$A$5:$A$882&gt;=AY$3)*('PA Fees Actual'!$A$5:$A$882&lt;=EOMONTH(AY$3,0))*'PA Fees Actual'!$D$5:$D$882),AY$3&gt;=EOMONTH($X21,-1)+1,$Y21,TRUE,0)</f>
        <v>0</v>
      </c>
      <c r="AZ21" s="202" cm="1">
        <f t="array" ref="AZ21">_xlfn.IFS(AZ$3&lt;$B$2,SUMPRODUCT(('PA Fees Actual'!$B$5:$B$882=$E21)*('PA Fees Actual'!$A$5:$A$882&gt;=AZ$3)*('PA Fees Actual'!$A$5:$A$882&lt;=EOMONTH(AZ$3,0))*'PA Fees Actual'!$D$5:$D$882),AZ$3&gt;=EOMONTH($X21,-1)+1,$Y21,TRUE,0)</f>
        <v>822.93000000000006</v>
      </c>
      <c r="BA21" s="202" cm="1">
        <f t="array" ref="BA21">_xlfn.IFS(BA$3&lt;$B$2,SUMPRODUCT(('PA Fees Actual'!$B$5:$B$882=$E21)*('PA Fees Actual'!$A$5:$A$882&gt;=BA$3)*('PA Fees Actual'!$A$5:$A$882&lt;=EOMONTH(BA$3,0))*'PA Fees Actual'!$D$5:$D$882),BA$3&gt;=EOMONTH($X21,-1)+1,$Y21,TRUE,0)</f>
        <v>308.73</v>
      </c>
      <c r="BB21" s="202" cm="1">
        <f t="array" ref="BB21">_xlfn.IFS(BB$3&lt;$B$2,SUMPRODUCT(('PA Fees Actual'!$B$5:$B$882=$E21)*('PA Fees Actual'!$A$5:$A$882&gt;=BB$3)*('PA Fees Actual'!$A$5:$A$882&lt;=EOMONTH(BB$3,0))*'PA Fees Actual'!$D$5:$D$882),BB$3&gt;=EOMONTH($X21,-1)+1,$Y21,TRUE,0)</f>
        <v>0</v>
      </c>
      <c r="BC21" s="202" cm="1">
        <f t="array" ref="BC21">_xlfn.IFS(BC$3&lt;$B$2,SUMPRODUCT(('PA Fees Actual'!$B$5:$B$882=$E21)*('PA Fees Actual'!$A$5:$A$882&gt;=BC$3)*('PA Fees Actual'!$A$5:$A$882&lt;=EOMONTH(BC$3,0))*'PA Fees Actual'!$D$5:$D$882),BC$3&gt;=EOMONTH($X21,-1)+1,$Y21,TRUE,0)</f>
        <v>0</v>
      </c>
      <c r="BD21" s="202" cm="1">
        <f t="array" ref="BD21">_xlfn.IFS(BD$3&lt;$B$2,SUMPRODUCT(('PA Fees Actual'!$B$5:$B$882=$E21)*('PA Fees Actual'!$A$5:$A$882&gt;=BD$3)*('PA Fees Actual'!$A$5:$A$882&lt;=EOMONTH(BD$3,0))*'PA Fees Actual'!$D$5:$D$882),BD$3&gt;=EOMONTH($X21,-1)+1,$Y21,TRUE,0)</f>
        <v>308.73</v>
      </c>
      <c r="BE21" s="202" cm="1">
        <f t="array" ref="BE21">_xlfn.IFS(BE$3&lt;$B$2,SUMPRODUCT(('PA Fees Actual'!$B$5:$B$882=$E21)*('PA Fees Actual'!$A$5:$A$882&gt;=BE$3)*('PA Fees Actual'!$A$5:$A$882&lt;=EOMONTH(BE$3,0))*'PA Fees Actual'!$D$5:$D$882),BE$3&gt;=EOMONTH($X21,-1)+1,$Y21,TRUE,0)</f>
        <v>798.66</v>
      </c>
      <c r="BF21" s="202" cm="1">
        <f t="array" ref="BF21">_xlfn.IFS(BF$3&lt;$B$2,SUMPRODUCT(('PA Fees Actual'!$B$5:$B$882=$E21)*('PA Fees Actual'!$A$5:$A$882&gt;=BF$3)*('PA Fees Actual'!$A$5:$A$882&lt;=EOMONTH(BF$3,0))*'PA Fees Actual'!$D$5:$D$882),BF$3&gt;=EOMONTH($X21,-1)+1,$Y21,TRUE,0)</f>
        <v>273.75</v>
      </c>
      <c r="BG21" s="202" cm="1">
        <f t="array" ref="BG21">_xlfn.IFS(BG$3&lt;$B$2,SUMPRODUCT(('PA Fees Actual'!$B$5:$B$882=$E21)*('PA Fees Actual'!$A$5:$A$882&gt;=BG$3)*('PA Fees Actual'!$A$5:$A$882&lt;=EOMONTH(BG$3,0))*'PA Fees Actual'!$D$5:$D$882),BG$3&gt;=EOMONTH($X21,-1)+1,$Y21,TRUE,0)</f>
        <v>0</v>
      </c>
      <c r="BH21" s="202" cm="1">
        <f t="array" ref="BH21">_xlfn.IFS(BH$3&lt;$B$2,SUMPRODUCT(('PA Fees Actual'!$B$5:$B$882=$E21)*('PA Fees Actual'!$A$5:$A$882&gt;=BH$3)*('PA Fees Actual'!$A$5:$A$882&lt;=EOMONTH(BH$3,0))*'PA Fees Actual'!$D$5:$D$882),BH$3&gt;=EOMONTH($X21,-1)+1,$Y21,TRUE,0)</f>
        <v>547.5</v>
      </c>
      <c r="BI21" s="202" cm="1">
        <f t="array" ref="BI21">_xlfn.IFS(BI$3&lt;$B$2,SUMPRODUCT(('PA Fees Actual'!$B$5:$B$882=$E21)*('PA Fees Actual'!$A$5:$A$882&gt;=BI$3)*('PA Fees Actual'!$A$5:$A$882&lt;=EOMONTH(BI$3,0))*'PA Fees Actual'!$D$5:$D$882),BI$3&gt;=EOMONTH($X21,-1)+1,$Y21,TRUE,0)</f>
        <v>0</v>
      </c>
      <c r="BJ21" s="202" cm="1">
        <f t="array" ref="BJ21">_xlfn.IFS(BJ$3&lt;$B$2,SUMPRODUCT(('PA Fees Actual'!$B$5:$B$882=$E21)*('PA Fees Actual'!$A$5:$A$882&gt;=BJ$3)*('PA Fees Actual'!$A$5:$A$882&lt;=EOMONTH(BJ$3,0))*'PA Fees Actual'!$D$5:$D$882),BJ$3&gt;=EOMONTH($X21,-1)+1,$Y21,TRUE,0)</f>
        <v>273.75</v>
      </c>
      <c r="BK21" s="202" cm="1">
        <f t="array" ref="BK21">_xlfn.IFS(BK$3&lt;$B$2,SUMPRODUCT(('PA Fees Actual'!$B$5:$B$882=$E21)*('PA Fees Actual'!$A$5:$A$882&gt;=BK$3)*('PA Fees Actual'!$A$5:$A$882&lt;=EOMONTH(BK$3,0))*'PA Fees Actual'!$D$5:$D$882),BK$3&gt;=EOMONTH($X21,-1)+1,$Y21,TRUE,0)</f>
        <v>0</v>
      </c>
      <c r="BL21" s="202" cm="1">
        <f t="array" ref="BL21">_xlfn.IFS(BL$3&lt;$B$2,SUMPRODUCT(('PA Fees Actual'!$B$5:$B$882=$E21)*('PA Fees Actual'!$A$5:$A$882&gt;=BL$3)*('PA Fees Actual'!$A$5:$A$882&lt;=EOMONTH(BL$3,0))*'PA Fees Actual'!$D$5:$D$882),BL$3&gt;=EOMONTH($X21,-1)+1,$Y21,TRUE,0)</f>
        <v>547.5</v>
      </c>
      <c r="BM21" s="202" cm="1">
        <f t="array" ref="BM21">_xlfn.IFS(BM$3&lt;$B$2,SUMPRODUCT(('PA Fees Actual'!$B$5:$B$882=$E21)*('PA Fees Actual'!$A$5:$A$882&gt;=BM$3)*('PA Fees Actual'!$A$5:$A$882&lt;=EOMONTH(BM$3,0))*'PA Fees Actual'!$D$5:$D$882),BM$3&gt;=EOMONTH($X21,-1)+1,$Y21,TRUE,0)</f>
        <v>550.56000000000006</v>
      </c>
      <c r="BN21" s="202" cm="1">
        <f t="array" ref="BN21">_xlfn.IFS(BN$3&lt;$B$2,SUMPRODUCT(('PA Fees Actual'!$B$5:$B$882=$E21)*('PA Fees Actual'!$A$5:$A$882&gt;=BN$3)*('PA Fees Actual'!$A$5:$A$882&lt;=EOMONTH(BN$3,0))*'PA Fees Actual'!$D$5:$D$882),BN$3&gt;=EOMONTH($X21,-1)+1,$Y21,TRUE,0)</f>
        <v>273.41000000000003</v>
      </c>
      <c r="BO21" s="202" cm="1">
        <f t="array" ref="BO21">_xlfn.IFS(BO$3&lt;$B$2,SUMPRODUCT(('PA Fees Actual'!$B$5:$B$882=$E21)*('PA Fees Actual'!$A$5:$A$882&gt;=BO$3)*('PA Fees Actual'!$A$5:$A$882&lt;=EOMONTH(BO$3,0))*'PA Fees Actual'!$D$5:$D$882),BO$3&gt;=EOMONTH($X21,-1)+1,$Y21,TRUE,0)</f>
        <v>273.41000000000003</v>
      </c>
      <c r="BP21" s="202" cm="1">
        <f t="array" ref="BP21">_xlfn.IFS(BP$3&lt;$B$2,SUMPRODUCT(('PA Fees Actual'!$B$5:$B$882=$E21)*('PA Fees Actual'!$A$5:$A$882&gt;=BP$3)*('PA Fees Actual'!$A$5:$A$882&lt;=EOMONTH(BP$3,0))*'PA Fees Actual'!$D$5:$D$882),BP$3&gt;=EOMONTH($X21,-1)+1,$Y21,TRUE,0)</f>
        <v>273.41000000000003</v>
      </c>
      <c r="BQ21" s="202" cm="1">
        <f t="array" ref="BQ21">_xlfn.IFS(BQ$3&lt;$B$2,SUMPRODUCT(('PA Fees Actual'!$B$5:$B$882=$E21)*('PA Fees Actual'!$A$5:$A$882&gt;=BQ$3)*('PA Fees Actual'!$A$5:$A$882&lt;=EOMONTH(BQ$3,0))*'PA Fees Actual'!$D$5:$D$882),BQ$3&gt;=EOMONTH($X21,-1)+1,$Y21,TRUE,0)</f>
        <v>273.41000000000003</v>
      </c>
      <c r="BR21" s="202" cm="1">
        <f t="array" ref="BR21">_xlfn.IFS(BR$3&lt;$B$2,SUMPRODUCT(('PA Fees Actual'!$B$5:$B$882=$E21)*('PA Fees Actual'!$A$5:$A$882&gt;=BR$3)*('PA Fees Actual'!$A$5:$A$882&lt;=EOMONTH(BR$3,0))*'PA Fees Actual'!$D$5:$D$882),BR$3&gt;=EOMONTH($X21,-1)+1,$Y21,TRUE,0)</f>
        <v>273.41000000000003</v>
      </c>
      <c r="BS21" s="202" cm="1">
        <f t="array" ref="BS21">_xlfn.IFS(BS$3&lt;$B$2,SUMPRODUCT(('PA Fees Actual'!$B$5:$B$882=$E21)*('PA Fees Actual'!$A$5:$A$882&gt;=BS$3)*('PA Fees Actual'!$A$5:$A$882&lt;=EOMONTH(BS$3,0))*'PA Fees Actual'!$D$5:$D$882),BS$3&gt;=EOMONTH($X21,-1)+1,$Y21,TRUE,0)</f>
        <v>510.46</v>
      </c>
      <c r="BT21" s="202" cm="1">
        <f t="array" ref="BT21">_xlfn.IFS(BT$3&lt;$B$2,SUMPRODUCT(('PA Fees Actual'!$B$5:$B$882=$E21)*('PA Fees Actual'!$A$5:$A$882&gt;=BT$3)*('PA Fees Actual'!$A$5:$A$882&lt;=EOMONTH(BT$3,0))*'PA Fees Actual'!$D$5:$D$882),BT$3&gt;=EOMONTH($X21,-1)+1,$Y21,TRUE,0)</f>
        <v>0</v>
      </c>
      <c r="BU21" s="202" cm="1">
        <f t="array" ref="BU21">_xlfn.IFS(BU$3&lt;$B$2,SUMPRODUCT(('PA Fees Actual'!$B$5:$B$882=$E21)*('PA Fees Actual'!$A$5:$A$882&gt;=BU$3)*('PA Fees Actual'!$A$5:$A$882&lt;=EOMONTH(BU$3,0))*'PA Fees Actual'!$D$5:$D$882),BU$3&gt;=EOMONTH($X21,-1)+1,$Y21,TRUE,0)</f>
        <v>255.23</v>
      </c>
      <c r="BV21" s="202" cm="1">
        <f t="array" ref="BV21">_xlfn.IFS(BV$3&lt;$B$2,SUMPRODUCT(('PA Fees Actual'!$B$5:$B$882=$E21)*('PA Fees Actual'!$A$5:$A$882&gt;=BV$3)*('PA Fees Actual'!$A$5:$A$882&lt;=EOMONTH(BV$3,0))*'PA Fees Actual'!$D$5:$D$882),BV$3&gt;=EOMONTH($X21,-1)+1,$Y21,TRUE,0)</f>
        <v>255.23</v>
      </c>
      <c r="BW21" s="202" cm="1">
        <f t="array" ref="BW21">_xlfn.IFS(BW$3&lt;$B$2,SUMPRODUCT(('PA Fees Actual'!$B$5:$B$882=$E21)*('PA Fees Actual'!$A$5:$A$882&gt;=BW$3)*('PA Fees Actual'!$A$5:$A$882&lt;=EOMONTH(BW$3,0))*'PA Fees Actual'!$D$5:$D$882),BW$3&gt;=EOMONTH($X21,-1)+1,$Y21,TRUE,0)</f>
        <v>255.23</v>
      </c>
      <c r="BX21" s="202" cm="1">
        <f t="array" ref="BX21">_xlfn.IFS(BX$3&lt;$B$2,SUMPRODUCT(('PA Fees Actual'!$B$5:$B$882=$E21)*('PA Fees Actual'!$A$5:$A$882&gt;=BX$3)*('PA Fees Actual'!$A$5:$A$882&lt;=EOMONTH(BX$3,0))*'PA Fees Actual'!$D$5:$D$882),BX$3&gt;=EOMONTH($X21,-1)+1,$Y21,TRUE,0)</f>
        <v>0</v>
      </c>
      <c r="BY21" s="202" cm="1">
        <f t="array" ref="BY21">_xlfn.IFS(BY$3&lt;$B$2,SUMPRODUCT(('PA Fees Actual'!$B$5:$B$882=$E21)*('PA Fees Actual'!$A$5:$A$882&gt;=BY$3)*('PA Fees Actual'!$A$5:$A$882&lt;=EOMONTH(BY$3,0))*'PA Fees Actual'!$D$5:$D$882),BY$3&gt;=EOMONTH($X21,-1)+1,$Y21,TRUE,0)</f>
        <v>508</v>
      </c>
      <c r="BZ21" s="202" cm="1">
        <f t="array" ref="BZ21">_xlfn.IFS(BZ$3&lt;$B$2,SUMPRODUCT(('PA Fees Actual'!$B$5:$B$882=$E21)*('PA Fees Actual'!$A$5:$A$882&gt;=BZ$3)*('PA Fees Actual'!$A$5:$A$882&lt;=EOMONTH(BZ$3,0))*'PA Fees Actual'!$D$5:$D$882),BZ$3&gt;=EOMONTH($X21,-1)+1,$Y21,TRUE,0)</f>
        <v>0</v>
      </c>
      <c r="CA21" s="202" cm="1">
        <f t="array" ref="CA21">_xlfn.IFS(CA$3&lt;$B$2,SUMPRODUCT(('PA Fees Actual'!$B$5:$B$882=$E21)*('PA Fees Actual'!$A$5:$A$882&gt;=CA$3)*('PA Fees Actual'!$A$5:$A$882&lt;=EOMONTH(CA$3,0))*'PA Fees Actual'!$D$5:$D$882),CA$3&gt;=EOMONTH($X21,-1)+1,$Y21,TRUE,0)</f>
        <v>126.04</v>
      </c>
      <c r="CB21" s="202" cm="1">
        <f t="array" ref="CB21">_xlfn.IFS(CB$3&lt;$B$2,SUMPRODUCT(('PA Fees Actual'!$B$5:$B$882=$E21)*('PA Fees Actual'!$A$5:$A$882&gt;=CB$3)*('PA Fees Actual'!$A$5:$A$882&lt;=EOMONTH(CB$3,0))*'PA Fees Actual'!$D$5:$D$882),CB$3&gt;=EOMONTH($X21,-1)+1,$Y21,TRUE,0)</f>
        <v>137.70000000000002</v>
      </c>
      <c r="CC21" s="202" cm="1">
        <f t="array" ref="CC21">_xlfn.IFS(CC$3&lt;$B$2,SUMPRODUCT(('PA Fees Actual'!$B$5:$B$882=$E21)*('PA Fees Actual'!$A$5:$A$882&gt;=CC$3)*('PA Fees Actual'!$A$5:$A$882&lt;=EOMONTH(CC$3,0))*'PA Fees Actual'!$D$5:$D$882),CC$3&gt;=EOMONTH($X21,-1)+1,$Y21,TRUE,0)</f>
        <v>137.70000000000002</v>
      </c>
      <c r="CD21" s="202" cm="1">
        <f t="array" ref="CD21">_xlfn.IFS(CD$3&lt;$B$2,SUMPRODUCT(('PA Fees Actual'!$B$5:$B$882=$E21)*('PA Fees Actual'!$A$5:$A$882&gt;=CD$3)*('PA Fees Actual'!$A$5:$A$882&lt;=EOMONTH(CD$3,0))*'PA Fees Actual'!$D$5:$D$882),CD$3&gt;=EOMONTH($X21,-1)+1,$Y21,TRUE,0)</f>
        <v>137.70000000000002</v>
      </c>
      <c r="CE21" s="202" cm="1">
        <f t="array" ref="CE21">_xlfn.IFS(CE$3&lt;$B$2,SUMPRODUCT(('PA Fees Actual'!$B$5:$B$882=$E21)*('PA Fees Actual'!$A$5:$A$882&gt;=CE$3)*('PA Fees Actual'!$A$5:$A$882&lt;=EOMONTH(CE$3,0))*'PA Fees Actual'!$D$5:$D$882),CE$3&gt;=EOMONTH($X21,-1)+1,$Y21,TRUE,0)</f>
        <v>137.70000000000002</v>
      </c>
      <c r="CF21" s="202" cm="1">
        <f t="array" ref="CF21">_xlfn.IFS(CF$3&lt;$B$2,SUMPRODUCT(('PA Fees Actual'!$B$5:$B$882=$E21)*('PA Fees Actual'!$A$5:$A$882&gt;=CF$3)*('PA Fees Actual'!$A$5:$A$882&lt;=EOMONTH(CF$3,0))*'PA Fees Actual'!$D$5:$D$882),CF$3&gt;=EOMONTH($X21,-1)+1,$Y21,TRUE,0)</f>
        <v>137.70000000000002</v>
      </c>
      <c r="CG21" s="202" cm="1">
        <f t="array" ref="CG21">_xlfn.IFS(CG$3&lt;$B$2,SUMPRODUCT(('PA Fees Actual'!$B$5:$B$882=$E21)*('PA Fees Actual'!$A$5:$A$882&gt;=CG$3)*('PA Fees Actual'!$A$5:$A$882&lt;=EOMONTH(CG$3,0))*'PA Fees Actual'!$D$5:$D$882),CG$3&gt;=EOMONTH($X21,-1)+1,$Y21,TRUE,0)</f>
        <v>137.70000000000002</v>
      </c>
      <c r="CI21" s="202" cm="1">
        <f t="array" ref="CI21">_xlfn.IFS(CI$3&lt;=YEAR($B$2),SUMPRODUCT(($E$4:$E$79=$E21)*($Z$2:$CG$2=CI$3)*($Z$2:$CG$2&lt;CJ$3)*$Z$4:$CG$79),CI$3&lt;YEAR($X21),0,CI$3=YEAR($X21),DATEDIF($X21,DATE(CI$3,12,31),"m")*$Y21,AND(CI$3&gt;YEAR($X21),CI$3-YEAR($X21)&lt;20),$Y21*12,CI$3-YEAR($X21)=20,DATEDIF(DATE(YEAR($X21),1,1),$X21,"m")*$Y21,CI$3-YEAR($X21)&gt;20,0)</f>
        <v>0</v>
      </c>
      <c r="CJ21" s="202" cm="1">
        <f t="array" ref="CJ21">_xlfn.IFS(CJ$3&lt;=YEAR($B$2),SUMPRODUCT(($E$4:$E$79=$E21)*($Z$2:$CG$2=CJ$3)*($Z$2:$CG$2&lt;CK$3)*$Z$4:$CG$79),CJ$3&lt;YEAR($X21),0,CJ$3=YEAR($X21),DATEDIF($X21,DATE(CJ$3,12,31),"m")*$Y21,AND(CJ$3&gt;YEAR($X21),CJ$3-YEAR($X21)&lt;20),$Y21*12,CJ$3-YEAR($X21)=20,DATEDIF(DATE(YEAR($X21),1,1),$X21,"m")*$Y21,CJ$3-YEAR($X21)&gt;20,0)</f>
        <v>664.3</v>
      </c>
      <c r="CK21" s="202" cm="1">
        <f t="array" ref="CK21">_xlfn.IFS(CK$3&lt;=YEAR($B$2),SUMPRODUCT(($E$4:$E$79=$E21)*($Z$2:$CG$2=CK$3)*($Z$2:$CG$2&lt;CL$3)*$Z$4:$CG$79),CK$3&lt;YEAR($X21),0,CK$3=YEAR($X21),DATEDIF($X21,DATE(CK$3,12,31),"m")*$Y21,AND(CK$3&gt;YEAR($X21),CK$3-YEAR($X21)&lt;20),$Y21*12,CK$3-YEAR($X21)=20,DATEDIF(DATE(YEAR($X21),1,1),$X21,"m")*$Y21,CK$3-YEAR($X21)&gt;20,0)</f>
        <v>3451.05</v>
      </c>
      <c r="CL21" s="202" cm="1">
        <f t="array" ref="CL21">_xlfn.IFS(CL$3&lt;=YEAR($B$2),SUMPRODUCT(($E$4:$E$79=$E21)*($Z$2:$CG$2=CL$3)*($Z$2:$CG$2&lt;CM$3)*$Z$4:$CG$79),CL$3&lt;YEAR($X21),0,CL$3=YEAR($X21),DATEDIF($X21,DATE(CL$3,12,31),"m")*$Y21,AND(CL$3&gt;YEAR($X21),CL$3-YEAR($X21)&lt;20),$Y21*12,CL$3-YEAR($X21)=20,DATEDIF(DATE(YEAR($X21),1,1),$X21,"m")*$Y21,CL$3-YEAR($X21)&gt;20,0)</f>
        <v>3504.5499999999997</v>
      </c>
      <c r="CM21" s="202" cm="1">
        <f t="array" ref="CM21">_xlfn.IFS(CM$3&lt;=YEAR($B$2),SUMPRODUCT(($E$4:$E$79=$E21)*($Z$2:$CG$2=CM$3)*($Z$2:$CG$2&lt;CN$3)*$Z$4:$CG$79),CM$3&lt;YEAR($X21),0,CM$3=YEAR($X21),DATEDIF($X21,DATE(CM$3,12,31),"m")*$Y21,AND(CM$3&gt;YEAR($X21),CM$3-YEAR($X21)&lt;20),$Y21*12,CM$3-YEAR($X21)=20,DATEDIF(DATE(YEAR($X21),1,1),$X21,"m")*$Y21,CM$3-YEAR($X21)&gt;20,0)</f>
        <v>1970.7000000000003</v>
      </c>
      <c r="CN21" s="202" cm="1">
        <f t="array" ref="CN21">_xlfn.IFS(CN$3&lt;=YEAR($B$2),SUMPRODUCT(($E$4:$E$79=$E21)*($Z$2:$CG$2=CN$3)*($Z$2:$CG$2&lt;CO$3)*$Z$4:$CG$79),CN$3&lt;YEAR($X21),0,CN$3=YEAR($X21),DATEDIF($X21,DATE(CN$3,12,31),"m")*$Y21,AND(CN$3&gt;YEAR($X21),CN$3-YEAR($X21)&lt;20),$Y21*12,CN$3-YEAR($X21)=20,DATEDIF(DATE(YEAR($X21),1,1),$X21,"m")*$Y21,CN$3-YEAR($X21)&gt;20,0)</f>
        <v>1652.4</v>
      </c>
      <c r="CO21" s="202" cm="1">
        <f t="array" ref="CO21">_xlfn.IFS(CO$3&lt;=YEAR($B$2),SUMPRODUCT(($E$4:$E$79=$E21)*($Z$2:$CG$2=CO$3)*($Z$2:$CG$2&lt;CP$3)*$Z$4:$CG$79),CO$3&lt;YEAR($X21),0,CO$3=YEAR($X21),DATEDIF($X21,DATE(CO$3,12,31),"m")*$Y21,AND(CO$3&gt;YEAR($X21),CO$3-YEAR($X21)&lt;20),$Y21*12,CO$3-YEAR($X21)=20,DATEDIF(DATE(YEAR($X21),1,1),$X21,"m")*$Y21,CO$3-YEAR($X21)&gt;20,0)</f>
        <v>1652.4</v>
      </c>
      <c r="CP21" s="202" cm="1">
        <f t="array" ref="CP21">_xlfn.IFS(CP$3&lt;=YEAR($B$2),SUMPRODUCT(($E$4:$E$79=$E21)*($Z$2:$CG$2=CP$3)*($Z$2:$CG$2&lt;CQ$3)*$Z$4:$CG$79),CP$3&lt;YEAR($X21),0,CP$3=YEAR($X21),DATEDIF($X21,DATE(CP$3,12,31),"m")*$Y21,AND(CP$3&gt;YEAR($X21),CP$3-YEAR($X21)&lt;20),$Y21*12,CP$3-YEAR($X21)=20,DATEDIF(DATE(YEAR($X21),1,1),$X21,"m")*$Y21,CP$3-YEAR($X21)&gt;20,0)</f>
        <v>1652.4</v>
      </c>
      <c r="CQ21" s="202" cm="1">
        <f t="array" ref="CQ21">_xlfn.IFS(CQ$3&lt;=YEAR($B$2),SUMPRODUCT(($E$4:$E$79=$E21)*($Z$2:$CG$2=CQ$3)*($Z$2:$CG$2&lt;CR$3)*$Z$4:$CG$79),CQ$3&lt;YEAR($X21),0,CQ$3=YEAR($X21),DATEDIF($X21,DATE(CQ$3,12,31),"m")*$Y21,AND(CQ$3&gt;YEAR($X21),CQ$3-YEAR($X21)&lt;20),$Y21*12,CQ$3-YEAR($X21)=20,DATEDIF(DATE(YEAR($X21),1,1),$X21,"m")*$Y21,CQ$3-YEAR($X21)&gt;20,0)</f>
        <v>1652.4</v>
      </c>
      <c r="CR21" s="202" cm="1">
        <f t="array" ref="CR21">_xlfn.IFS(CR$3&lt;=YEAR($B$2),SUMPRODUCT(($E$4:$E$79=$E21)*($Z$2:$CG$2=CR$3)*($Z$2:$CG$2&lt;CS$3)*$Z$4:$CG$79),CR$3&lt;YEAR($X21),0,CR$3=YEAR($X21),DATEDIF($X21,DATE(CR$3,12,31),"m")*$Y21,AND(CR$3&gt;YEAR($X21),CR$3-YEAR($X21)&lt;20),$Y21*12,CR$3-YEAR($X21)=20,DATEDIF(DATE(YEAR($X21),1,1),$X21,"m")*$Y21,CR$3-YEAR($X21)&gt;20,0)</f>
        <v>1652.4</v>
      </c>
      <c r="CS21" s="202" cm="1">
        <f t="array" ref="CS21">_xlfn.IFS(CS$3&lt;=YEAR($B$2),SUMPRODUCT(($E$4:$E$79=$E21)*($Z$2:$CG$2=CS$3)*($Z$2:$CG$2&lt;CT$3)*$Z$4:$CG$79),CS$3&lt;YEAR($X21),0,CS$3=YEAR($X21),DATEDIF($X21,DATE(CS$3,12,31),"m")*$Y21,AND(CS$3&gt;YEAR($X21),CS$3-YEAR($X21)&lt;20),$Y21*12,CS$3-YEAR($X21)=20,DATEDIF(DATE(YEAR($X21),1,1),$X21,"m")*$Y21,CS$3-YEAR($X21)&gt;20,0)</f>
        <v>1652.4</v>
      </c>
      <c r="CT21" s="202" cm="1">
        <f t="array" ref="CT21">_xlfn.IFS(CT$3&lt;=YEAR($B$2),SUMPRODUCT(($E$4:$E$79=$E21)*($Z$2:$CG$2=CT$3)*($Z$2:$CG$2&lt;CU$3)*$Z$4:$CG$79),CT$3&lt;YEAR($X21),0,CT$3=YEAR($X21),DATEDIF($X21,DATE(CT$3,12,31),"m")*$Y21,AND(CT$3&gt;YEAR($X21),CT$3-YEAR($X21)&lt;20),$Y21*12,CT$3-YEAR($X21)=20,DATEDIF(DATE(YEAR($X21),1,1),$X21,"m")*$Y21,CT$3-YEAR($X21)&gt;20,0)</f>
        <v>1652.4</v>
      </c>
      <c r="CU21" s="202" cm="1">
        <f t="array" ref="CU21">_xlfn.IFS(CU$3&lt;=YEAR($B$2),SUMPRODUCT(($E$4:$E$79=$E21)*($Z$2:$CG$2=CU$3)*($Z$2:$CG$2&lt;CV$3)*$Z$4:$CG$79),CU$3&lt;YEAR($X21),0,CU$3=YEAR($X21),DATEDIF($X21,DATE(CU$3,12,31),"m")*$Y21,AND(CU$3&gt;YEAR($X21),CU$3-YEAR($X21)&lt;20),$Y21*12,CU$3-YEAR($X21)=20,DATEDIF(DATE(YEAR($X21),1,1),$X21,"m")*$Y21,CU$3-YEAR($X21)&gt;20,0)</f>
        <v>1652.4</v>
      </c>
      <c r="CV21" s="202" cm="1">
        <f t="array" ref="CV21">_xlfn.IFS(CV$3&lt;=YEAR($B$2),SUMPRODUCT(($E$4:$E$79=$E21)*($Z$2:$CG$2=CV$3)*($Z$2:$CG$2&lt;CW$3)*$Z$4:$CG$79),CV$3&lt;YEAR($X21),0,CV$3=YEAR($X21),DATEDIF($X21,DATE(CV$3,12,31),"m")*$Y21,AND(CV$3&gt;YEAR($X21),CV$3-YEAR($X21)&lt;20),$Y21*12,CV$3-YEAR($X21)=20,DATEDIF(DATE(YEAR($X21),1,1),$X21,"m")*$Y21,CV$3-YEAR($X21)&gt;20,0)</f>
        <v>1652.4</v>
      </c>
      <c r="CW21" s="202" cm="1">
        <f t="array" ref="CW21">_xlfn.IFS(CW$3&lt;=YEAR($B$2),SUMPRODUCT(($E$4:$E$79=$E21)*($Z$2:$CG$2=CW$3)*($Z$2:$CG$2&lt;CX$3)*$Z$4:$CG$79),CW$3&lt;YEAR($X21),0,CW$3=YEAR($X21),DATEDIF($X21,DATE(CW$3,12,31),"m")*$Y21,AND(CW$3&gt;YEAR($X21),CW$3-YEAR($X21)&lt;20),$Y21*12,CW$3-YEAR($X21)=20,DATEDIF(DATE(YEAR($X21),1,1),$X21,"m")*$Y21,CW$3-YEAR($X21)&gt;20,0)</f>
        <v>1652.4</v>
      </c>
      <c r="CX21" s="202" cm="1">
        <f t="array" ref="CX21">_xlfn.IFS(CX$3&lt;=YEAR($B$2),SUMPRODUCT(($E$4:$E$79=$E21)*($Z$2:$CG$2=CX$3)*($Z$2:$CG$2&lt;CY$3)*$Z$4:$CG$79),CX$3&lt;YEAR($X21),0,CX$3=YEAR($X21),DATEDIF($X21,DATE(CX$3,12,31),"m")*$Y21,AND(CX$3&gt;YEAR($X21),CX$3-YEAR($X21)&lt;20),$Y21*12,CX$3-YEAR($X21)=20,DATEDIF(DATE(YEAR($X21),1,1),$X21,"m")*$Y21,CX$3-YEAR($X21)&gt;20,0)</f>
        <v>1652.4</v>
      </c>
      <c r="CY21" s="202" cm="1">
        <f t="array" ref="CY21">_xlfn.IFS(CY$3&lt;=YEAR($B$2),SUMPRODUCT(($E$4:$E$79=$E21)*($Z$2:$CG$2=CY$3)*($Z$2:$CG$2&lt;CZ$3)*$Z$4:$CG$79),CY$3&lt;YEAR($X21),0,CY$3=YEAR($X21),DATEDIF($X21,DATE(CY$3,12,31),"m")*$Y21,AND(CY$3&gt;YEAR($X21),CY$3-YEAR($X21)&lt;20),$Y21*12,CY$3-YEAR($X21)=20,DATEDIF(DATE(YEAR($X21),1,1),$X21,"m")*$Y21,CY$3-YEAR($X21)&gt;20,0)</f>
        <v>1652.4</v>
      </c>
      <c r="CZ21" s="202" cm="1">
        <f t="array" ref="CZ21">_xlfn.IFS(CZ$3&lt;=YEAR($B$2),SUMPRODUCT(($E$4:$E$79=$E21)*($Z$2:$CG$2=CZ$3)*($Z$2:$CG$2&lt;DA$3)*$Z$4:$CG$79),CZ$3&lt;YEAR($X21),0,CZ$3=YEAR($X21),DATEDIF($X21,DATE(CZ$3,12,31),"m")*$Y21,AND(CZ$3&gt;YEAR($X21),CZ$3-YEAR($X21)&lt;20),$Y21*12,CZ$3-YEAR($X21)=20,DATEDIF(DATE(YEAR($X21),1,1),$X21,"m")*$Y21,CZ$3-YEAR($X21)&gt;20,0)</f>
        <v>1652.4</v>
      </c>
      <c r="DA21" s="202" cm="1">
        <f t="array" ref="DA21">_xlfn.IFS(DA$3&lt;=YEAR($B$2),SUMPRODUCT(($E$4:$E$79=$E21)*($Z$2:$CG$2=DA$3)*($Z$2:$CG$2&lt;DB$3)*$Z$4:$CG$79),DA$3&lt;YEAR($X21),0,DA$3=YEAR($X21),DATEDIF($X21,DATE(DA$3,12,31),"m")*$Y21,AND(DA$3&gt;YEAR($X21),DA$3-YEAR($X21)&lt;20),$Y21*12,DA$3-YEAR($X21)=20,DATEDIF(DATE(YEAR($X21),1,1),$X21,"m")*$Y21,DA$3-YEAR($X21)&gt;20,0)</f>
        <v>1652.4</v>
      </c>
      <c r="DB21" s="202" cm="1">
        <f t="array" ref="DB21">_xlfn.IFS(DB$3&lt;=YEAR($B$2),SUMPRODUCT(($E$4:$E$79=$E21)*($Z$2:$CG$2=DB$3)*($Z$2:$CG$2&lt;DC$3)*$Z$4:$CG$79),DB$3&lt;YEAR($X21),0,DB$3=YEAR($X21),DATEDIF($X21,DATE(DB$3,12,31),"m")*$Y21,AND(DB$3&gt;YEAR($X21),DB$3-YEAR($X21)&lt;20),$Y21*12,DB$3-YEAR($X21)=20,DATEDIF(DATE(YEAR($X21),1,1),$X21,"m")*$Y21,DB$3-YEAR($X21)&gt;20,0)</f>
        <v>1652.4</v>
      </c>
      <c r="DC21" s="202" cm="1">
        <f t="array" ref="DC21">_xlfn.IFS(DC$3&lt;=YEAR($B$2),SUMPRODUCT(($E$4:$E$79=$E21)*($Z$2:$CG$2=DC$3)*($Z$2:$CG$2&lt;DD$3)*$Z$4:$CG$79),DC$3&lt;YEAR($X21),0,DC$3=YEAR($X21),DATEDIF($X21,DATE(DC$3,12,31),"m")*$Y21,AND(DC$3&gt;YEAR($X21),DC$3-YEAR($X21)&lt;20),$Y21*12,DC$3-YEAR($X21)=20,DATEDIF(DATE(YEAR($X21),1,1),$X21,"m")*$Y21,DC$3-YEAR($X21)&gt;20,0)</f>
        <v>1652.4</v>
      </c>
      <c r="DD21" s="202" cm="1">
        <f t="array" ref="DD21">_xlfn.IFS(DD$3&lt;=YEAR($B$2),SUMPRODUCT(($E$4:$E$79=$E21)*($Z$2:$CG$2=DD$3)*($Z$2:$CG$2&lt;DE$3)*$Z$4:$CG$79),DD$3&lt;YEAR($X21),0,DD$3=YEAR($X21),DATEDIF($X21,DATE(DD$3,12,31),"m")*$Y21,AND(DD$3&gt;YEAR($X21),DD$3-YEAR($X21)&lt;20),$Y21*12,DD$3-YEAR($X21)=20,DATEDIF(DATE(YEAR($X21),1,1),$X21,"m")*$Y21,DD$3-YEAR($X21)&gt;20,0)</f>
        <v>1101.6000000000001</v>
      </c>
      <c r="DE21" s="202" cm="1">
        <f t="array" ref="DE21">_xlfn.IFS(DE$3&lt;=YEAR($B$2),SUMPRODUCT(($E$4:$E$79=$E21)*($Z$2:$CG$2=DE$3)*($Z$2:$CG$2&lt;DF$3)*$Z$4:$CG$79),DE$3&lt;YEAR($X21),0,DE$3=YEAR($X21),DATEDIF($X21,DATE(DE$3,12,31),"m")*$Y21,AND(DE$3&gt;YEAR($X21),DE$3-YEAR($X21)&lt;20),$Y21*12,DE$3-YEAR($X21)=20,DATEDIF(DATE(YEAR($X21),1,1),$X21,"m")*$Y21,DE$3-YEAR($X21)&gt;20,0)</f>
        <v>0</v>
      </c>
      <c r="DF21" s="202" cm="1">
        <f t="array" ref="DF21">_xlfn.IFS(DF$3&lt;=YEAR($B$2),SUMPRODUCT(($E$4:$E$79=$E21)*($Z$2:$CG$2=DF$3)*($Z$2:$CG$2&lt;DG$3)*$Z$4:$CG$79),DF$3&lt;YEAR($X21),0,DF$3=YEAR($X21),DATEDIF($X21,DATE(DF$3,12,31),"m")*$Y21,AND(DF$3&gt;YEAR($X21),DF$3-YEAR($X21)&lt;20),$Y21*12,DF$3-YEAR($X21)=20,DATEDIF(DATE(YEAR($X21),1,1),$X21,"m")*$Y21,DF$3-YEAR($X21)&gt;20,0)</f>
        <v>0</v>
      </c>
      <c r="DG21" s="202" cm="1">
        <f t="array" ref="DG21">_xlfn.IFS(DG$3&lt;=YEAR($B$2),SUMPRODUCT(($E$4:$E$79=$E21)*($Z$2:$CG$2=DG$3)*($Z$2:$CG$2&lt;DH$3)*$Z$4:$CG$79),DG$3&lt;YEAR($X21),0,DG$3=YEAR($X21),DATEDIF($X21,DATE(DG$3,12,31),"m")*$Y21,AND(DG$3&gt;YEAR($X21),DG$3-YEAR($X21)&lt;20),$Y21*12,DG$3-YEAR($X21)=20,DATEDIF(DATE(YEAR($X21),1,1),$X21,"m")*$Y21,DG$3-YEAR($X21)&gt;20,0)</f>
        <v>0</v>
      </c>
      <c r="DH21" s="202" cm="1">
        <f t="array" ref="DH21">_xlfn.IFS(DH$3&lt;=YEAR($B$2),SUMPRODUCT(($E$4:$E$79=$E21)*($Z$2:$CG$2=DH$3)*($Z$2:$CG$2&lt;DI$3)*$Z$4:$CG$79),DH$3&lt;YEAR($X21),0,DH$3=YEAR($X21),DATEDIF($X21,DATE(DH$3,12,31),"m")*$Y21,AND(DH$3&gt;YEAR($X21),DH$3-YEAR($X21)&lt;20),$Y21*12,DH$3-YEAR($X21)=20,DATEDIF(DATE(YEAR($X21),1,1),$X21,"m")*$Y21,DH$3-YEAR($X21)&gt;20,0)</f>
        <v>0</v>
      </c>
      <c r="DI21" s="202" cm="1">
        <f t="array" ref="DI21">_xlfn.IFS(DI$3&lt;=YEAR($B$2),SUMPRODUCT(($E$4:$E$79=$E21)*($Z$2:$CG$2=DI$3)*($Z$2:$CG$2&lt;DJ$3)*$Z$4:$CG$79),DI$3&lt;YEAR($X21),0,DI$3=YEAR($X21),DATEDIF($X21,DATE(DI$3,12,31),"m")*$Y21,AND(DI$3&gt;YEAR($X21),DI$3-YEAR($X21)&lt;20),$Y21*12,DI$3-YEAR($X21)=20,DATEDIF(DATE(YEAR($X21),1,1),$X21,"m")*$Y21,DI$3-YEAR($X21)&gt;20,0)</f>
        <v>0</v>
      </c>
      <c r="DJ21" s="202" cm="1">
        <f t="array" ref="DJ21">_xlfn.IFS(DJ$3&lt;=YEAR($B$2),SUMPRODUCT(($E$4:$E$79=$E21)*($Z$2:$CG$2=DJ$3)*($Z$2:$CG$2&lt;DK$3)*$Z$4:$CG$79),DJ$3&lt;YEAR($X21),0,DJ$3=YEAR($X21),DATEDIF($X21,DATE(DJ$3,12,31),"m")*$Y21,AND(DJ$3&gt;YEAR($X21),DJ$3-YEAR($X21)&lt;20),$Y21*12,DJ$3-YEAR($X21)=20,DATEDIF(DATE(YEAR($X21),1,1),$X21,"m")*$Y21,DJ$3-YEAR($X21)&gt;20,0)</f>
        <v>0</v>
      </c>
      <c r="DK21" s="202" cm="1">
        <f t="array" ref="DK21">_xlfn.IFS(DK$3&lt;=YEAR($B$2),SUMPRODUCT(($E$4:$E$79=$E21)*($Z$2:$CG$2=DK$3)*($Z$2:$CG$2&lt;DL$3)*$Z$4:$CG$79),DK$3&lt;YEAR($X21),0,DK$3=YEAR($X21),DATEDIF($X21,DATE(DK$3,12,31),"m")*$Y21,AND(DK$3&gt;YEAR($X21),DK$3-YEAR($X21)&lt;20),$Y21*12,DK$3-YEAR($X21)=20,DATEDIF(DATE(YEAR($X21),1,1),$X21,"m")*$Y21,DK$3-YEAR($X21)&gt;20,0)</f>
        <v>0</v>
      </c>
      <c r="DL21" s="202" cm="1">
        <f t="array" ref="DL21">_xlfn.IFS(DL$3&lt;=YEAR($B$2),SUMPRODUCT(($E$4:$E$79=$E21)*($Z$2:$CG$2=DL$3)*($Z$2:$CG$2&lt;DM$3)*$Z$4:$CG$79),DL$3&lt;YEAR($X21),0,DL$3=YEAR($X21),DATEDIF($X21,DATE(DL$3,12,31),"m")*$Y21,AND(DL$3&gt;YEAR($X21),DL$3-YEAR($X21)&lt;20),$Y21*12,DL$3-YEAR($X21)=20,DATEDIF(DATE(YEAR($X21),1,1),$X21,"m")*$Y21,DL$3-YEAR($X21)&gt;20,0)</f>
        <v>0</v>
      </c>
      <c r="DO21" s="166">
        <f t="shared" si="26"/>
        <v>2030</v>
      </c>
      <c r="DP21" s="158">
        <v>660421.95000000019</v>
      </c>
      <c r="DQ21" s="158">
        <v>462971.99729999999</v>
      </c>
      <c r="DR21" s="158">
        <v>25576.5</v>
      </c>
      <c r="DS21" s="158">
        <f t="shared" si="27"/>
        <v>1148970.4473000001</v>
      </c>
      <c r="DW21" s="35"/>
    </row>
    <row r="22" spans="1:636">
      <c r="A22" s="155" t="str" cm="1">
        <f t="array" ref="A22">INDEX('Monthly Report July 2025'!C:C,MATCH(E22,'Monthly Report July 2025'!E:E,0),0)</f>
        <v>OCS020</v>
      </c>
      <c r="B22" s="155" t="str" cm="1">
        <f t="array" ref="B22">_xlfn.IFS(LEFT(E22,3)="PGE","PGE",LEFT(E22,2)="PP","PAC",TRUE,"IP")</f>
        <v>PAC</v>
      </c>
      <c r="C22" s="155" t="str">
        <f>IF(ISNA(MATCH(E22,'Monthly Report July 2025'!E:E,0)),"Missing","Present")</f>
        <v>Present</v>
      </c>
      <c r="D22" s="155" t="str">
        <f>IF(ISNA(MATCH(E22,'Project Operational Timelines'!C:C,0))=TRUE,"Missing","Present")</f>
        <v>Present</v>
      </c>
      <c r="E22" s="155" t="s">
        <v>130</v>
      </c>
      <c r="F22" s="155" t="str" cm="1">
        <f t="array" ref="F22">INDEX('Monthly Report July 2025'!F:F,MATCH(E22,'Monthly Report July 2025'!E:E,),0)</f>
        <v>Whisky Creek Solar</v>
      </c>
      <c r="G22" s="155" t="str" cm="1">
        <f t="array" ref="G22">_xlfn.IFS(INDEX('Monthly Report July 2025'!O:O,MATCH(E22,'Monthly Report July 2025'!E:E,0),0)="Operational","Operational",INDEX('Monthly Report July 2025'!O:O,MATCH(E22,'Monthly Report July 2025'!E:E,0),0)="Certified","Certified",TRUE,"Pre-Certified")</f>
        <v>Operational</v>
      </c>
      <c r="H22" s="155" t="str" cm="1">
        <f t="array" ref="H22">INDEX('Monthly Report July 2025'!H:H,MATCH($E22,'Monthly Report July 2025'!$E:$E,0),0)</f>
        <v>TLS Capital</v>
      </c>
      <c r="I22" s="155" t="str" cm="1">
        <f t="array" ref="I22">INDEX('Monthly Report July 2025'!I:I,MATCH($E22,'Monthly Report July 2025'!$E:$E,0),0)</f>
        <v>TLS Capital</v>
      </c>
      <c r="J22" s="174" cm="1">
        <f t="array" ref="J22">INDEX('Monthly Report July 2025'!J:J,MATCH($E22,'Monthly Report July 2025'!$E:$E,0),0)</f>
        <v>1</v>
      </c>
      <c r="K22" s="174" t="str" cm="1">
        <f t="array" ref="K22">INDEX('Monthly Report July 2025'!K:K,MATCH($E22,'Monthly Report July 2025'!$E:$E,0),0)</f>
        <v>Yes</v>
      </c>
      <c r="L22" s="174" t="b" cm="1">
        <f t="array" ref="L22">INDEX('Monthly Report July 2025'!L:L,MATCH(E22,'Monthly Report July 2025'!E:E,0),0)=M22</f>
        <v>1</v>
      </c>
      <c r="M22" s="273" cm="1">
        <f t="array" ref="M22">INDEX('Monthly Report July 2025'!L:L,MATCH($E22,'Monthly Report July 2025'!$E:$E,0),0)</f>
        <v>165</v>
      </c>
      <c r="N22" s="175" cm="1">
        <f t="array" ref="N22">INDEX('Monthly Report July 2025'!M:M,MATCH($E22,'Monthly Report July 2025'!$E:$E,0),0)</f>
        <v>44306</v>
      </c>
      <c r="O22" s="175" t="str" cm="1">
        <f t="array" ref="O22">_xlfn.IFS(G22="Operational","Operational",G22="Certified","Certified",TRUE,INDEX('Monthly Report July 2025'!O:O,MATCH(E22,'Monthly Report July 2025'!E:E,0),0))</f>
        <v>Operational</v>
      </c>
      <c r="P22" s="175" t="b" cm="1">
        <f t="array" ref="P22">_xlfn.IFS(G22="Operational",O22="Operational",G22="Certified",O22="Certified",TRUE,G22="Pre-Certified")</f>
        <v>1</v>
      </c>
      <c r="Q22" s="175" cm="1">
        <f t="array" ref="Q22">IF(O22="Operational",INDEX('Monthly Report July 2025'!R:R,MATCH(E22,'Monthly Report July 2025'!E:E,0),0),"")</f>
        <v>45113</v>
      </c>
      <c r="R22" s="175" cm="1">
        <f t="array" ref="R22">INDEX('Monthly Report July 2025'!P:P,MATCH(E22,'Monthly Report July 2025'!E:E,0),0)</f>
        <v>44909</v>
      </c>
      <c r="S22" s="175" t="b">
        <f t="shared" si="5"/>
        <v>1</v>
      </c>
      <c r="T22" s="175" cm="1">
        <f t="array" ref="T22">INDEX('Monthly Report July 2025'!U:U,MATCH(E22,'Monthly Report July 2025'!E:E,0),0)</f>
        <v>44788</v>
      </c>
      <c r="U22" s="175" t="str">
        <f t="shared" si="6"/>
        <v>IGNORE</v>
      </c>
      <c r="V22" s="156">
        <f t="shared" si="7"/>
        <v>44909</v>
      </c>
      <c r="W22" s="156" cm="1">
        <f t="array" ref="W22">_xlfn.IFS(U22=TRUE,EDATE(O22,6),U22=FALSE,T22,O22="Operational",Q22,AND(O22="Certified",EDATE(R22,6)&gt;T22),EDATE(R22,6),TRUE,T22)</f>
        <v>45113</v>
      </c>
      <c r="X22" s="156">
        <f t="shared" si="8"/>
        <v>45175</v>
      </c>
      <c r="Y22" s="157">
        <f t="shared" si="9"/>
        <v>63.112500000000004</v>
      </c>
      <c r="Z22" s="202" cm="1">
        <f t="array" ref="Z22">_xlfn.IFS(Z$3&lt;$B$2,SUMPRODUCT(('PA Fees Actual'!$B$5:$B$882=$E22)*('PA Fees Actual'!$A$5:$A$882&gt;=Z$3)*('PA Fees Actual'!$A$5:$A$882&lt;=EOMONTH(Z$3,0))*'PA Fees Actual'!$D$5:$D$882),Z$3&gt;=EOMONTH($X22,-1)+1,$Y22,TRUE,0)</f>
        <v>0</v>
      </c>
      <c r="AA22" s="202" cm="1">
        <f t="array" ref="AA22">_xlfn.IFS(AA$3&lt;$B$2,SUMPRODUCT(('PA Fees Actual'!$B$5:$B$882=$E22)*('PA Fees Actual'!$A$5:$A$882&gt;=AA$3)*('PA Fees Actual'!$A$5:$A$882&lt;=EOMONTH(AA$3,0))*'PA Fees Actual'!$D$5:$D$882),AA$3&gt;=EOMONTH($X22,-1)+1,$Y22,TRUE,0)</f>
        <v>0</v>
      </c>
      <c r="AB22" s="202" cm="1">
        <f t="array" ref="AB22">_xlfn.IFS(AB$3&lt;$B$2,SUMPRODUCT(('PA Fees Actual'!$B$5:$B$882=$E22)*('PA Fees Actual'!$A$5:$A$882&gt;=AB$3)*('PA Fees Actual'!$A$5:$A$882&lt;=EOMONTH(AB$3,0))*'PA Fees Actual'!$D$5:$D$882),AB$3&gt;=EOMONTH($X22,-1)+1,$Y22,TRUE,0)</f>
        <v>0</v>
      </c>
      <c r="AC22" s="202" cm="1">
        <f t="array" ref="AC22">_xlfn.IFS(AC$3&lt;$B$2,SUMPRODUCT(('PA Fees Actual'!$B$5:$B$882=$E22)*('PA Fees Actual'!$A$5:$A$882&gt;=AC$3)*('PA Fees Actual'!$A$5:$A$882&lt;=EOMONTH(AC$3,0))*'PA Fees Actual'!$D$5:$D$882),AC$3&gt;=EOMONTH($X22,-1)+1,$Y22,TRUE,0)</f>
        <v>0</v>
      </c>
      <c r="AD22" s="202" cm="1">
        <f t="array" ref="AD22">_xlfn.IFS(AD$3&lt;$B$2,SUMPRODUCT(('PA Fees Actual'!$B$5:$B$882=$E22)*('PA Fees Actual'!$A$5:$A$882&gt;=AD$3)*('PA Fees Actual'!$A$5:$A$882&lt;=EOMONTH(AD$3,0))*'PA Fees Actual'!$D$5:$D$882),AD$3&gt;=EOMONTH($X22,-1)+1,$Y22,TRUE,0)</f>
        <v>0</v>
      </c>
      <c r="AE22" s="202" cm="1">
        <f t="array" ref="AE22">_xlfn.IFS(AE$3&lt;$B$2,SUMPRODUCT(('PA Fees Actual'!$B$5:$B$882=$E22)*('PA Fees Actual'!$A$5:$A$882&gt;=AE$3)*('PA Fees Actual'!$A$5:$A$882&lt;=EOMONTH(AE$3,0))*'PA Fees Actual'!$D$5:$D$882),AE$3&gt;=EOMONTH($X22,-1)+1,$Y22,TRUE,0)</f>
        <v>0</v>
      </c>
      <c r="AF22" s="202" cm="1">
        <f t="array" ref="AF22">_xlfn.IFS(AF$3&lt;$B$2,SUMPRODUCT(('PA Fees Actual'!$B$5:$B$882=$E22)*('PA Fees Actual'!$A$5:$A$882&gt;=AF$3)*('PA Fees Actual'!$A$5:$A$882&lt;=EOMONTH(AF$3,0))*'PA Fees Actual'!$D$5:$D$882),AF$3&gt;=EOMONTH($X22,-1)+1,$Y22,TRUE,0)</f>
        <v>0</v>
      </c>
      <c r="AG22" s="202" cm="1">
        <f t="array" ref="AG22">_xlfn.IFS(AG$3&lt;$B$2,SUMPRODUCT(('PA Fees Actual'!$B$5:$B$882=$E22)*('PA Fees Actual'!$A$5:$A$882&gt;=AG$3)*('PA Fees Actual'!$A$5:$A$882&lt;=EOMONTH(AG$3,0))*'PA Fees Actual'!$D$5:$D$882),AG$3&gt;=EOMONTH($X22,-1)+1,$Y22,TRUE,0)</f>
        <v>0</v>
      </c>
      <c r="AH22" s="202" cm="1">
        <f t="array" ref="AH22">_xlfn.IFS(AH$3&lt;$B$2,SUMPRODUCT(('PA Fees Actual'!$B$5:$B$882=$E22)*('PA Fees Actual'!$A$5:$A$882&gt;=AH$3)*('PA Fees Actual'!$A$5:$A$882&lt;=EOMONTH(AH$3,0))*'PA Fees Actual'!$D$5:$D$882),AH$3&gt;=EOMONTH($X22,-1)+1,$Y22,TRUE,0)</f>
        <v>0</v>
      </c>
      <c r="AI22" s="202" cm="1">
        <f t="array" ref="AI22">_xlfn.IFS(AI$3&lt;$B$2,SUMPRODUCT(('PA Fees Actual'!$B$5:$B$882=$E22)*('PA Fees Actual'!$A$5:$A$882&gt;=AI$3)*('PA Fees Actual'!$A$5:$A$882&lt;=EOMONTH(AI$3,0))*'PA Fees Actual'!$D$5:$D$882),AI$3&gt;=EOMONTH($X22,-1)+1,$Y22,TRUE,0)</f>
        <v>0</v>
      </c>
      <c r="AJ22" s="202" cm="1">
        <f t="array" ref="AJ22">_xlfn.IFS(AJ$3&lt;$B$2,SUMPRODUCT(('PA Fees Actual'!$B$5:$B$882=$E22)*('PA Fees Actual'!$A$5:$A$882&gt;=AJ$3)*('PA Fees Actual'!$A$5:$A$882&lt;=EOMONTH(AJ$3,0))*'PA Fees Actual'!$D$5:$D$882),AJ$3&gt;=EOMONTH($X22,-1)+1,$Y22,TRUE,0)</f>
        <v>0</v>
      </c>
      <c r="AK22" s="202" cm="1">
        <f t="array" ref="AK22">_xlfn.IFS(AK$3&lt;$B$2,SUMPRODUCT(('PA Fees Actual'!$B$5:$B$882=$E22)*('PA Fees Actual'!$A$5:$A$882&gt;=AK$3)*('PA Fees Actual'!$A$5:$A$882&lt;=EOMONTH(AK$3,0))*'PA Fees Actual'!$D$5:$D$882),AK$3&gt;=EOMONTH($X22,-1)+1,$Y22,TRUE,0)</f>
        <v>0</v>
      </c>
      <c r="AL22" s="202" cm="1">
        <f t="array" ref="AL22">_xlfn.IFS(AL$3&lt;$B$2,SUMPRODUCT(('PA Fees Actual'!$B$5:$B$882=$E22)*('PA Fees Actual'!$A$5:$A$882&gt;=AL$3)*('PA Fees Actual'!$A$5:$A$882&lt;=EOMONTH(AL$3,0))*'PA Fees Actual'!$D$5:$D$882),AL$3&gt;=EOMONTH($X22,-1)+1,$Y22,TRUE,0)</f>
        <v>0</v>
      </c>
      <c r="AM22" s="202" cm="1">
        <f t="array" ref="AM22">_xlfn.IFS(AM$3&lt;$B$2,SUMPRODUCT(('PA Fees Actual'!$B$5:$B$882=$E22)*('PA Fees Actual'!$A$5:$A$882&gt;=AM$3)*('PA Fees Actual'!$A$5:$A$882&lt;=EOMONTH(AM$3,0))*'PA Fees Actual'!$D$5:$D$882),AM$3&gt;=EOMONTH($X22,-1)+1,$Y22,TRUE,0)</f>
        <v>0</v>
      </c>
      <c r="AN22" s="202" cm="1">
        <f t="array" ref="AN22">_xlfn.IFS(AN$3&lt;$B$2,SUMPRODUCT(('PA Fees Actual'!$B$5:$B$882=$E22)*('PA Fees Actual'!$A$5:$A$882&gt;=AN$3)*('PA Fees Actual'!$A$5:$A$882&lt;=EOMONTH(AN$3,0))*'PA Fees Actual'!$D$5:$D$882),AN$3&gt;=EOMONTH($X22,-1)+1,$Y22,TRUE,0)</f>
        <v>0</v>
      </c>
      <c r="AO22" s="202" cm="1">
        <f t="array" ref="AO22">_xlfn.IFS(AO$3&lt;$B$2,SUMPRODUCT(('PA Fees Actual'!$B$5:$B$882=$E22)*('PA Fees Actual'!$A$5:$A$882&gt;=AO$3)*('PA Fees Actual'!$A$5:$A$882&lt;=EOMONTH(AO$3,0))*'PA Fees Actual'!$D$5:$D$882),AO$3&gt;=EOMONTH($X22,-1)+1,$Y22,TRUE,0)</f>
        <v>0</v>
      </c>
      <c r="AP22" s="202" cm="1">
        <f t="array" ref="AP22">_xlfn.IFS(AP$3&lt;$B$2,SUMPRODUCT(('PA Fees Actual'!$B$5:$B$882=$E22)*('PA Fees Actual'!$A$5:$A$882&gt;=AP$3)*('PA Fees Actual'!$A$5:$A$882&lt;=EOMONTH(AP$3,0))*'PA Fees Actual'!$D$5:$D$882),AP$3&gt;=EOMONTH($X22,-1)+1,$Y22,TRUE,0)</f>
        <v>0</v>
      </c>
      <c r="AQ22" s="202" cm="1">
        <f t="array" ref="AQ22">_xlfn.IFS(AQ$3&lt;$B$2,SUMPRODUCT(('PA Fees Actual'!$B$5:$B$882=$E22)*('PA Fees Actual'!$A$5:$A$882&gt;=AQ$3)*('PA Fees Actual'!$A$5:$A$882&lt;=EOMONTH(AQ$3,0))*'PA Fees Actual'!$D$5:$D$882),AQ$3&gt;=EOMONTH($X22,-1)+1,$Y22,TRUE,0)</f>
        <v>0</v>
      </c>
      <c r="AR22" s="202" cm="1">
        <f t="array" ref="AR22">_xlfn.IFS(AR$3&lt;$B$2,SUMPRODUCT(('PA Fees Actual'!$B$5:$B$882=$E22)*('PA Fees Actual'!$A$5:$A$882&gt;=AR$3)*('PA Fees Actual'!$A$5:$A$882&lt;=EOMONTH(AR$3,0))*'PA Fees Actual'!$D$5:$D$882),AR$3&gt;=EOMONTH($X22,-1)+1,$Y22,TRUE,0)</f>
        <v>0</v>
      </c>
      <c r="AS22" s="202" cm="1">
        <f t="array" ref="AS22">_xlfn.IFS(AS$3&lt;$B$2,SUMPRODUCT(('PA Fees Actual'!$B$5:$B$882=$E22)*('PA Fees Actual'!$A$5:$A$882&gt;=AS$3)*('PA Fees Actual'!$A$5:$A$882&lt;=EOMONTH(AS$3,0))*'PA Fees Actual'!$D$5:$D$882),AS$3&gt;=EOMONTH($X22,-1)+1,$Y22,TRUE,0)</f>
        <v>0</v>
      </c>
      <c r="AT22" s="202" cm="1">
        <f t="array" ref="AT22">_xlfn.IFS(AT$3&lt;$B$2,SUMPRODUCT(('PA Fees Actual'!$B$5:$B$882=$E22)*('PA Fees Actual'!$A$5:$A$882&gt;=AT$3)*('PA Fees Actual'!$A$5:$A$882&lt;=EOMONTH(AT$3,0))*'PA Fees Actual'!$D$5:$D$882),AT$3&gt;=EOMONTH($X22,-1)+1,$Y22,TRUE,0)</f>
        <v>0</v>
      </c>
      <c r="AU22" s="202" cm="1">
        <f t="array" ref="AU22">_xlfn.IFS(AU$3&lt;$B$2,SUMPRODUCT(('PA Fees Actual'!$B$5:$B$882=$E22)*('PA Fees Actual'!$A$5:$A$882&gt;=AU$3)*('PA Fees Actual'!$A$5:$A$882&lt;=EOMONTH(AU$3,0))*'PA Fees Actual'!$D$5:$D$882),AU$3&gt;=EOMONTH($X22,-1)+1,$Y22,TRUE,0)</f>
        <v>0</v>
      </c>
      <c r="AV22" s="202" cm="1">
        <f t="array" ref="AV22">_xlfn.IFS(AV$3&lt;$B$2,SUMPRODUCT(('PA Fees Actual'!$B$5:$B$882=$E22)*('PA Fees Actual'!$A$5:$A$882&gt;=AV$3)*('PA Fees Actual'!$A$5:$A$882&lt;=EOMONTH(AV$3,0))*'PA Fees Actual'!$D$5:$D$882),AV$3&gt;=EOMONTH($X22,-1)+1,$Y22,TRUE,0)</f>
        <v>0</v>
      </c>
      <c r="AW22" s="202" cm="1">
        <f t="array" ref="AW22">_xlfn.IFS(AW$3&lt;$B$2,SUMPRODUCT(('PA Fees Actual'!$B$5:$B$882=$E22)*('PA Fees Actual'!$A$5:$A$882&gt;=AW$3)*('PA Fees Actual'!$A$5:$A$882&lt;=EOMONTH(AW$3,0))*'PA Fees Actual'!$D$5:$D$882),AW$3&gt;=EOMONTH($X22,-1)+1,$Y22,TRUE,0)</f>
        <v>0</v>
      </c>
      <c r="AX22" s="202" cm="1">
        <f t="array" ref="AX22">_xlfn.IFS(AX$3&lt;$B$2,SUMPRODUCT(('PA Fees Actual'!$B$5:$B$882=$E22)*('PA Fees Actual'!$A$5:$A$882&gt;=AX$3)*('PA Fees Actual'!$A$5:$A$882&lt;=EOMONTH(AX$3,0))*'PA Fees Actual'!$D$5:$D$882),AX$3&gt;=EOMONTH($X22,-1)+1,$Y22,TRUE,0)</f>
        <v>0</v>
      </c>
      <c r="AY22" s="202" cm="1">
        <f t="array" ref="AY22">_xlfn.IFS(AY$3&lt;$B$2,SUMPRODUCT(('PA Fees Actual'!$B$5:$B$882=$E22)*('PA Fees Actual'!$A$5:$A$882&gt;=AY$3)*('PA Fees Actual'!$A$5:$A$882&lt;=EOMONTH(AY$3,0))*'PA Fees Actual'!$D$5:$D$882),AY$3&gt;=EOMONTH($X22,-1)+1,$Y22,TRUE,0)</f>
        <v>0</v>
      </c>
      <c r="AZ22" s="202" cm="1">
        <f t="array" ref="AZ22">_xlfn.IFS(AZ$3&lt;$B$2,SUMPRODUCT(('PA Fees Actual'!$B$5:$B$882=$E22)*('PA Fees Actual'!$A$5:$A$882&gt;=AZ$3)*('PA Fees Actual'!$A$5:$A$882&lt;=EOMONTH(AZ$3,0))*'PA Fees Actual'!$D$5:$D$882),AZ$3&gt;=EOMONTH($X22,-1)+1,$Y22,TRUE,0)</f>
        <v>0</v>
      </c>
      <c r="BA22" s="202" cm="1">
        <f t="array" ref="BA22">_xlfn.IFS(BA$3&lt;$B$2,SUMPRODUCT(('PA Fees Actual'!$B$5:$B$882=$E22)*('PA Fees Actual'!$A$5:$A$882&gt;=BA$3)*('PA Fees Actual'!$A$5:$A$882&lt;=EOMONTH(BA$3,0))*'PA Fees Actual'!$D$5:$D$882),BA$3&gt;=EOMONTH($X22,-1)+1,$Y22,TRUE,0)</f>
        <v>0</v>
      </c>
      <c r="BB22" s="202" cm="1">
        <f t="array" ref="BB22">_xlfn.IFS(BB$3&lt;$B$2,SUMPRODUCT(('PA Fees Actual'!$B$5:$B$882=$E22)*('PA Fees Actual'!$A$5:$A$882&gt;=BB$3)*('PA Fees Actual'!$A$5:$A$882&lt;=EOMONTH(BB$3,0))*'PA Fees Actual'!$D$5:$D$882),BB$3&gt;=EOMONTH($X22,-1)+1,$Y22,TRUE,0)</f>
        <v>0</v>
      </c>
      <c r="BC22" s="202" cm="1">
        <f t="array" ref="BC22">_xlfn.IFS(BC$3&lt;$B$2,SUMPRODUCT(('PA Fees Actual'!$B$5:$B$882=$E22)*('PA Fees Actual'!$A$5:$A$882&gt;=BC$3)*('PA Fees Actual'!$A$5:$A$882&lt;=EOMONTH(BC$3,0))*'PA Fees Actual'!$D$5:$D$882),BC$3&gt;=EOMONTH($X22,-1)+1,$Y22,TRUE,0)</f>
        <v>0</v>
      </c>
      <c r="BD22" s="202" cm="1">
        <f t="array" ref="BD22">_xlfn.IFS(BD$3&lt;$B$2,SUMPRODUCT(('PA Fees Actual'!$B$5:$B$882=$E22)*('PA Fees Actual'!$A$5:$A$882&gt;=BD$3)*('PA Fees Actual'!$A$5:$A$882&lt;=EOMONTH(BD$3,0))*'PA Fees Actual'!$D$5:$D$882),BD$3&gt;=EOMONTH($X22,-1)+1,$Y22,TRUE,0)</f>
        <v>0</v>
      </c>
      <c r="BE22" s="202" cm="1">
        <f t="array" ref="BE22">_xlfn.IFS(BE$3&lt;$B$2,SUMPRODUCT(('PA Fees Actual'!$B$5:$B$882=$E22)*('PA Fees Actual'!$A$5:$A$882&gt;=BE$3)*('PA Fees Actual'!$A$5:$A$882&lt;=EOMONTH(BE$3,0))*'PA Fees Actual'!$D$5:$D$882),BE$3&gt;=EOMONTH($X22,-1)+1,$Y22,TRUE,0)</f>
        <v>0</v>
      </c>
      <c r="BF22" s="202" cm="1">
        <f t="array" ref="BF22">_xlfn.IFS(BF$3&lt;$B$2,SUMPRODUCT(('PA Fees Actual'!$B$5:$B$882=$E22)*('PA Fees Actual'!$A$5:$A$882&gt;=BF$3)*('PA Fees Actual'!$A$5:$A$882&lt;=EOMONTH(BF$3,0))*'PA Fees Actual'!$D$5:$D$882),BF$3&gt;=EOMONTH($X22,-1)+1,$Y22,TRUE,0)</f>
        <v>70.25</v>
      </c>
      <c r="BG22" s="202" cm="1">
        <f t="array" ref="BG22">_xlfn.IFS(BG$3&lt;$B$2,SUMPRODUCT(('PA Fees Actual'!$B$5:$B$882=$E22)*('PA Fees Actual'!$A$5:$A$882&gt;=BG$3)*('PA Fees Actual'!$A$5:$A$882&lt;=EOMONTH(BG$3,0))*'PA Fees Actual'!$D$5:$D$882),BG$3&gt;=EOMONTH($X22,-1)+1,$Y22,TRUE,0)</f>
        <v>70.25</v>
      </c>
      <c r="BH22" s="202" cm="1">
        <f t="array" ref="BH22">_xlfn.IFS(BH$3&lt;$B$2,SUMPRODUCT(('PA Fees Actual'!$B$5:$B$882=$E22)*('PA Fees Actual'!$A$5:$A$882&gt;=BH$3)*('PA Fees Actual'!$A$5:$A$882&lt;=EOMONTH(BH$3,0))*'PA Fees Actual'!$D$5:$D$882),BH$3&gt;=EOMONTH($X22,-1)+1,$Y22,TRUE,0)</f>
        <v>0</v>
      </c>
      <c r="BI22" s="202" cm="1">
        <f t="array" ref="BI22">_xlfn.IFS(BI$3&lt;$B$2,SUMPRODUCT(('PA Fees Actual'!$B$5:$B$882=$E22)*('PA Fees Actual'!$A$5:$A$882&gt;=BI$3)*('PA Fees Actual'!$A$5:$A$882&lt;=EOMONTH(BI$3,0))*'PA Fees Actual'!$D$5:$D$882),BI$3&gt;=EOMONTH($X22,-1)+1,$Y22,TRUE,0)</f>
        <v>0</v>
      </c>
      <c r="BJ22" s="202" cm="1">
        <f t="array" ref="BJ22">_xlfn.IFS(BJ$3&lt;$B$2,SUMPRODUCT(('PA Fees Actual'!$B$5:$B$882=$E22)*('PA Fees Actual'!$A$5:$A$882&gt;=BJ$3)*('PA Fees Actual'!$A$5:$A$882&lt;=EOMONTH(BJ$3,0))*'PA Fees Actual'!$D$5:$D$882),BJ$3&gt;=EOMONTH($X22,-1)+1,$Y22,TRUE,0)</f>
        <v>68.88</v>
      </c>
      <c r="BK22" s="202" cm="1">
        <f t="array" ref="BK22">_xlfn.IFS(BK$3&lt;$B$2,SUMPRODUCT(('PA Fees Actual'!$B$5:$B$882=$E22)*('PA Fees Actual'!$A$5:$A$882&gt;=BK$3)*('PA Fees Actual'!$A$5:$A$882&lt;=EOMONTH(BK$3,0))*'PA Fees Actual'!$D$5:$D$882),BK$3&gt;=EOMONTH($X22,-1)+1,$Y22,TRUE,0)</f>
        <v>0</v>
      </c>
      <c r="BL22" s="202" cm="1">
        <f t="array" ref="BL22">_xlfn.IFS(BL$3&lt;$B$2,SUMPRODUCT(('PA Fees Actual'!$B$5:$B$882=$E22)*('PA Fees Actual'!$A$5:$A$882&gt;=BL$3)*('PA Fees Actual'!$A$5:$A$882&lt;=EOMONTH(BL$3,0))*'PA Fees Actual'!$D$5:$D$882),BL$3&gt;=EOMONTH($X22,-1)+1,$Y22,TRUE,0)</f>
        <v>68.88</v>
      </c>
      <c r="BM22" s="202" cm="1">
        <f t="array" ref="BM22">_xlfn.IFS(BM$3&lt;$B$2,SUMPRODUCT(('PA Fees Actual'!$B$5:$B$882=$E22)*('PA Fees Actual'!$A$5:$A$882&gt;=BM$3)*('PA Fees Actual'!$A$5:$A$882&lt;=EOMONTH(BM$3,0))*'PA Fees Actual'!$D$5:$D$882),BM$3&gt;=EOMONTH($X22,-1)+1,$Y22,TRUE,0)</f>
        <v>0</v>
      </c>
      <c r="BN22" s="202" cm="1">
        <f t="array" ref="BN22">_xlfn.IFS(BN$3&lt;$B$2,SUMPRODUCT(('PA Fees Actual'!$B$5:$B$882=$E22)*('PA Fees Actual'!$A$5:$A$882&gt;=BN$3)*('PA Fees Actual'!$A$5:$A$882&lt;=EOMONTH(BN$3,0))*'PA Fees Actual'!$D$5:$D$882),BN$3&gt;=EOMONTH($X22,-1)+1,$Y22,TRUE,0)</f>
        <v>66.5</v>
      </c>
      <c r="BO22" s="202" cm="1">
        <f t="array" ref="BO22">_xlfn.IFS(BO$3&lt;$B$2,SUMPRODUCT(('PA Fees Actual'!$B$5:$B$882=$E22)*('PA Fees Actual'!$A$5:$A$882&gt;=BO$3)*('PA Fees Actual'!$A$5:$A$882&lt;=EOMONTH(BO$3,0))*'PA Fees Actual'!$D$5:$D$882),BO$3&gt;=EOMONTH($X22,-1)+1,$Y22,TRUE,0)</f>
        <v>0</v>
      </c>
      <c r="BP22" s="202" cm="1">
        <f t="array" ref="BP22">_xlfn.IFS(BP$3&lt;$B$2,SUMPRODUCT(('PA Fees Actual'!$B$5:$B$882=$E22)*('PA Fees Actual'!$A$5:$A$882&gt;=BP$3)*('PA Fees Actual'!$A$5:$A$882&lt;=EOMONTH(BP$3,0))*'PA Fees Actual'!$D$5:$D$882),BP$3&gt;=EOMONTH($X22,-1)+1,$Y22,TRUE,0)</f>
        <v>31.45</v>
      </c>
      <c r="BQ22" s="202" cm="1">
        <f t="array" ref="BQ22">_xlfn.IFS(BQ$3&lt;$B$2,SUMPRODUCT(('PA Fees Actual'!$B$5:$B$882=$E22)*('PA Fees Actual'!$A$5:$A$882&gt;=BQ$3)*('PA Fees Actual'!$A$5:$A$882&lt;=EOMONTH(BQ$3,0))*'PA Fees Actual'!$D$5:$D$882),BQ$3&gt;=EOMONTH($X22,-1)+1,$Y22,TRUE,0)</f>
        <v>136.79</v>
      </c>
      <c r="BR22" s="202" cm="1">
        <f t="array" ref="BR22">_xlfn.IFS(BR$3&lt;$B$2,SUMPRODUCT(('PA Fees Actual'!$B$5:$B$882=$E22)*('PA Fees Actual'!$A$5:$A$882&gt;=BR$3)*('PA Fees Actual'!$A$5:$A$882&lt;=EOMONTH(BR$3,0))*'PA Fees Actual'!$D$5:$D$882),BR$3&gt;=EOMONTH($X22,-1)+1,$Y22,TRUE,0)</f>
        <v>0</v>
      </c>
      <c r="BS22" s="202" cm="1">
        <f t="array" ref="BS22">_xlfn.IFS(BS$3&lt;$B$2,SUMPRODUCT(('PA Fees Actual'!$B$5:$B$882=$E22)*('PA Fees Actual'!$A$5:$A$882&gt;=BS$3)*('PA Fees Actual'!$A$5:$A$882&lt;=EOMONTH(BS$3,0))*'PA Fees Actual'!$D$5:$D$882),BS$3&gt;=EOMONTH($X22,-1)+1,$Y22,TRUE,0)</f>
        <v>140.16</v>
      </c>
      <c r="BT22" s="202" cm="1">
        <f t="array" ref="BT22">_xlfn.IFS(BT$3&lt;$B$2,SUMPRODUCT(('PA Fees Actual'!$B$5:$B$882=$E22)*('PA Fees Actual'!$A$5:$A$882&gt;=BT$3)*('PA Fees Actual'!$A$5:$A$882&lt;=EOMONTH(BT$3,0))*'PA Fees Actual'!$D$5:$D$882),BT$3&gt;=EOMONTH($X22,-1)+1,$Y22,TRUE,0)</f>
        <v>0</v>
      </c>
      <c r="BU22" s="202" cm="1">
        <f t="array" ref="BU22">_xlfn.IFS(BU$3&lt;$B$2,SUMPRODUCT(('PA Fees Actual'!$B$5:$B$882=$E22)*('PA Fees Actual'!$A$5:$A$882&gt;=BU$3)*('PA Fees Actual'!$A$5:$A$882&lt;=EOMONTH(BU$3,0))*'PA Fees Actual'!$D$5:$D$882),BU$3&gt;=EOMONTH($X22,-1)+1,$Y22,TRUE,0)</f>
        <v>70.08</v>
      </c>
      <c r="BV22" s="202" cm="1">
        <f t="array" ref="BV22">_xlfn.IFS(BV$3&lt;$B$2,SUMPRODUCT(('PA Fees Actual'!$B$5:$B$882=$E22)*('PA Fees Actual'!$A$5:$A$882&gt;=BV$3)*('PA Fees Actual'!$A$5:$A$882&lt;=EOMONTH(BV$3,0))*'PA Fees Actual'!$D$5:$D$882),BV$3&gt;=EOMONTH($X22,-1)+1,$Y22,TRUE,0)</f>
        <v>70.8</v>
      </c>
      <c r="BW22" s="202" cm="1">
        <f t="array" ref="BW22">_xlfn.IFS(BW$3&lt;$B$2,SUMPRODUCT(('PA Fees Actual'!$B$5:$B$882=$E22)*('PA Fees Actual'!$A$5:$A$882&gt;=BW$3)*('PA Fees Actual'!$A$5:$A$882&lt;=EOMONTH(BW$3,0))*'PA Fees Actual'!$D$5:$D$882),BW$3&gt;=EOMONTH($X22,-1)+1,$Y22,TRUE,0)</f>
        <v>68.64</v>
      </c>
      <c r="BX22" s="202" cm="1">
        <f t="array" ref="BX22">_xlfn.IFS(BX$3&lt;$B$2,SUMPRODUCT(('PA Fees Actual'!$B$5:$B$882=$E22)*('PA Fees Actual'!$A$5:$A$882&gt;=BX$3)*('PA Fees Actual'!$A$5:$A$882&lt;=EOMONTH(BX$3,0))*'PA Fees Actual'!$D$5:$D$882),BX$3&gt;=EOMONTH($X22,-1)+1,$Y22,TRUE,0)</f>
        <v>64.64</v>
      </c>
      <c r="BY22" s="202" cm="1">
        <f t="array" ref="BY22">_xlfn.IFS(BY$3&lt;$B$2,SUMPRODUCT(('PA Fees Actual'!$B$5:$B$882=$E22)*('PA Fees Actual'!$A$5:$A$882&gt;=BY$3)*('PA Fees Actual'!$A$5:$A$882&lt;=EOMONTH(BY$3,0))*'PA Fees Actual'!$D$5:$D$882),BY$3&gt;=EOMONTH($X22,-1)+1,$Y22,TRUE,0)</f>
        <v>64.430000000000007</v>
      </c>
      <c r="BZ22" s="202" cm="1">
        <f t="array" ref="BZ22">_xlfn.IFS(BZ$3&lt;$B$2,SUMPRODUCT(('PA Fees Actual'!$B$5:$B$882=$E22)*('PA Fees Actual'!$A$5:$A$882&gt;=BZ$3)*('PA Fees Actual'!$A$5:$A$882&lt;=EOMONTH(BZ$3,0))*'PA Fees Actual'!$D$5:$D$882),BZ$3&gt;=EOMONTH($X22,-1)+1,$Y22,TRUE,0)</f>
        <v>0</v>
      </c>
      <c r="CA22" s="202" cm="1">
        <f t="array" ref="CA22">_xlfn.IFS(CA$3&lt;$B$2,SUMPRODUCT(('PA Fees Actual'!$B$5:$B$882=$E22)*('PA Fees Actual'!$A$5:$A$882&gt;=CA$3)*('PA Fees Actual'!$A$5:$A$882&lt;=EOMONTH(CA$3,0))*'PA Fees Actual'!$D$5:$D$882),CA$3&gt;=EOMONTH($X22,-1)+1,$Y22,TRUE,0)</f>
        <v>0</v>
      </c>
      <c r="CB22" s="202" cm="1">
        <f t="array" ref="CB22">_xlfn.IFS(CB$3&lt;$B$2,SUMPRODUCT(('PA Fees Actual'!$B$5:$B$882=$E22)*('PA Fees Actual'!$A$5:$A$882&gt;=CB$3)*('PA Fees Actual'!$A$5:$A$882&lt;=EOMONTH(CB$3,0))*'PA Fees Actual'!$D$5:$D$882),CB$3&gt;=EOMONTH($X22,-1)+1,$Y22,TRUE,0)</f>
        <v>63.112500000000004</v>
      </c>
      <c r="CC22" s="202" cm="1">
        <f t="array" ref="CC22">_xlfn.IFS(CC$3&lt;$B$2,SUMPRODUCT(('PA Fees Actual'!$B$5:$B$882=$E22)*('PA Fees Actual'!$A$5:$A$882&gt;=CC$3)*('PA Fees Actual'!$A$5:$A$882&lt;=EOMONTH(CC$3,0))*'PA Fees Actual'!$D$5:$D$882),CC$3&gt;=EOMONTH($X22,-1)+1,$Y22,TRUE,0)</f>
        <v>63.112500000000004</v>
      </c>
      <c r="CD22" s="202" cm="1">
        <f t="array" ref="CD22">_xlfn.IFS(CD$3&lt;$B$2,SUMPRODUCT(('PA Fees Actual'!$B$5:$B$882=$E22)*('PA Fees Actual'!$A$5:$A$882&gt;=CD$3)*('PA Fees Actual'!$A$5:$A$882&lt;=EOMONTH(CD$3,0))*'PA Fees Actual'!$D$5:$D$882),CD$3&gt;=EOMONTH($X22,-1)+1,$Y22,TRUE,0)</f>
        <v>63.112500000000004</v>
      </c>
      <c r="CE22" s="202" cm="1">
        <f t="array" ref="CE22">_xlfn.IFS(CE$3&lt;$B$2,SUMPRODUCT(('PA Fees Actual'!$B$5:$B$882=$E22)*('PA Fees Actual'!$A$5:$A$882&gt;=CE$3)*('PA Fees Actual'!$A$5:$A$882&lt;=EOMONTH(CE$3,0))*'PA Fees Actual'!$D$5:$D$882),CE$3&gt;=EOMONTH($X22,-1)+1,$Y22,TRUE,0)</f>
        <v>63.112500000000004</v>
      </c>
      <c r="CF22" s="202" cm="1">
        <f t="array" ref="CF22">_xlfn.IFS(CF$3&lt;$B$2,SUMPRODUCT(('PA Fees Actual'!$B$5:$B$882=$E22)*('PA Fees Actual'!$A$5:$A$882&gt;=CF$3)*('PA Fees Actual'!$A$5:$A$882&lt;=EOMONTH(CF$3,0))*'PA Fees Actual'!$D$5:$D$882),CF$3&gt;=EOMONTH($X22,-1)+1,$Y22,TRUE,0)</f>
        <v>63.112500000000004</v>
      </c>
      <c r="CG22" s="202" cm="1">
        <f t="array" ref="CG22">_xlfn.IFS(CG$3&lt;$B$2,SUMPRODUCT(('PA Fees Actual'!$B$5:$B$882=$E22)*('PA Fees Actual'!$A$5:$A$882&gt;=CG$3)*('PA Fees Actual'!$A$5:$A$882&lt;=EOMONTH(CG$3,0))*'PA Fees Actual'!$D$5:$D$882),CG$3&gt;=EOMONTH($X22,-1)+1,$Y22,TRUE,0)</f>
        <v>63.112500000000004</v>
      </c>
      <c r="CI22" s="202" cm="1">
        <f t="array" ref="CI22">_xlfn.IFS(CI$3&lt;=YEAR($B$2),SUMPRODUCT(($E$4:$E$79=$E22)*($Z$2:$CG$2=CI$3)*($Z$2:$CG$2&lt;CJ$3)*$Z$4:$CG$79),CI$3&lt;YEAR($X22),0,CI$3=YEAR($X22),DATEDIF($X22,DATE(CI$3,12,31),"m")*$Y22,AND(CI$3&gt;YEAR($X22),CI$3-YEAR($X22)&lt;20),$Y22*12,CI$3-YEAR($X22)=20,DATEDIF(DATE(YEAR($X22),1,1),$X22,"m")*$Y22,CI$3-YEAR($X22)&gt;20,0)</f>
        <v>0</v>
      </c>
      <c r="CJ22" s="202" cm="1">
        <f t="array" ref="CJ22">_xlfn.IFS(CJ$3&lt;=YEAR($B$2),SUMPRODUCT(($E$4:$E$79=$E22)*($Z$2:$CG$2=CJ$3)*($Z$2:$CG$2&lt;CK$3)*$Z$4:$CG$79),CJ$3&lt;YEAR($X22),0,CJ$3=YEAR($X22),DATEDIF($X22,DATE(CJ$3,12,31),"m")*$Y22,AND(CJ$3&gt;YEAR($X22),CJ$3-YEAR($X22)&lt;20),$Y22*12,CJ$3-YEAR($X22)=20,DATEDIF(DATE(YEAR($X22),1,1),$X22,"m")*$Y22,CJ$3-YEAR($X22)&gt;20,0)</f>
        <v>0</v>
      </c>
      <c r="CK22" s="202" cm="1">
        <f t="array" ref="CK22">_xlfn.IFS(CK$3&lt;=YEAR($B$2),SUMPRODUCT(($E$4:$E$79=$E22)*($Z$2:$CG$2=CK$3)*($Z$2:$CG$2&lt;CL$3)*$Z$4:$CG$79),CK$3&lt;YEAR($X22),0,CK$3=YEAR($X22),DATEDIF($X22,DATE(CK$3,12,31),"m")*$Y22,AND(CK$3&gt;YEAR($X22),CK$3-YEAR($X22)&lt;20),$Y22*12,CK$3-YEAR($X22)=20,DATEDIF(DATE(YEAR($X22),1,1),$X22,"m")*$Y22,CK$3-YEAR($X22)&gt;20,0)</f>
        <v>140.5</v>
      </c>
      <c r="CL22" s="202" cm="1">
        <f t="array" ref="CL22">_xlfn.IFS(CL$3&lt;=YEAR($B$2),SUMPRODUCT(($E$4:$E$79=$E22)*($Z$2:$CG$2=CL$3)*($Z$2:$CG$2&lt;CM$3)*$Z$4:$CG$79),CL$3&lt;YEAR($X22),0,CL$3=YEAR($X22),DATEDIF($X22,DATE(CL$3,12,31),"m")*$Y22,AND(CL$3&gt;YEAR($X22),CL$3-YEAR($X22)&lt;20),$Y22*12,CL$3-YEAR($X22)=20,DATEDIF(DATE(YEAR($X22),1,1),$X22,"m")*$Y22,CL$3-YEAR($X22)&gt;20,0)</f>
        <v>582.74</v>
      </c>
      <c r="CM22" s="202" cm="1">
        <f t="array" ref="CM22">_xlfn.IFS(CM$3&lt;=YEAR($B$2),SUMPRODUCT(($E$4:$E$79=$E22)*($Z$2:$CG$2=CM$3)*($Z$2:$CG$2&lt;CN$3)*$Z$4:$CG$79),CM$3&lt;YEAR($X22),0,CM$3=YEAR($X22),DATEDIF($X22,DATE(CM$3,12,31),"m")*$Y22,AND(CM$3&gt;YEAR($X22),CM$3-YEAR($X22)&lt;20),$Y22*12,CM$3-YEAR($X22)=20,DATEDIF(DATE(YEAR($X22),1,1),$X22,"m")*$Y22,CM$3-YEAR($X22)&gt;20,0)</f>
        <v>647.18499999999995</v>
      </c>
      <c r="CN22" s="202" cm="1">
        <f t="array" ref="CN22">_xlfn.IFS(CN$3&lt;=YEAR($B$2),SUMPRODUCT(($E$4:$E$79=$E22)*($Z$2:$CG$2=CN$3)*($Z$2:$CG$2&lt;CO$3)*$Z$4:$CG$79),CN$3&lt;YEAR($X22),0,CN$3=YEAR($X22),DATEDIF($X22,DATE(CN$3,12,31),"m")*$Y22,AND(CN$3&gt;YEAR($X22),CN$3-YEAR($X22)&lt;20),$Y22*12,CN$3-YEAR($X22)=20,DATEDIF(DATE(YEAR($X22),1,1),$X22,"m")*$Y22,CN$3-YEAR($X22)&gt;20,0)</f>
        <v>757.35</v>
      </c>
      <c r="CO22" s="202" cm="1">
        <f t="array" ref="CO22">_xlfn.IFS(CO$3&lt;=YEAR($B$2),SUMPRODUCT(($E$4:$E$79=$E22)*($Z$2:$CG$2=CO$3)*($Z$2:$CG$2&lt;CP$3)*$Z$4:$CG$79),CO$3&lt;YEAR($X22),0,CO$3=YEAR($X22),DATEDIF($X22,DATE(CO$3,12,31),"m")*$Y22,AND(CO$3&gt;YEAR($X22),CO$3-YEAR($X22)&lt;20),$Y22*12,CO$3-YEAR($X22)=20,DATEDIF(DATE(YEAR($X22),1,1),$X22,"m")*$Y22,CO$3-YEAR($X22)&gt;20,0)</f>
        <v>757.35</v>
      </c>
      <c r="CP22" s="202" cm="1">
        <f t="array" ref="CP22">_xlfn.IFS(CP$3&lt;=YEAR($B$2),SUMPRODUCT(($E$4:$E$79=$E22)*($Z$2:$CG$2=CP$3)*($Z$2:$CG$2&lt;CQ$3)*$Z$4:$CG$79),CP$3&lt;YEAR($X22),0,CP$3=YEAR($X22),DATEDIF($X22,DATE(CP$3,12,31),"m")*$Y22,AND(CP$3&gt;YEAR($X22),CP$3-YEAR($X22)&lt;20),$Y22*12,CP$3-YEAR($X22)=20,DATEDIF(DATE(YEAR($X22),1,1),$X22,"m")*$Y22,CP$3-YEAR($X22)&gt;20,0)</f>
        <v>757.35</v>
      </c>
      <c r="CQ22" s="202" cm="1">
        <f t="array" ref="CQ22">_xlfn.IFS(CQ$3&lt;=YEAR($B$2),SUMPRODUCT(($E$4:$E$79=$E22)*($Z$2:$CG$2=CQ$3)*($Z$2:$CG$2&lt;CR$3)*$Z$4:$CG$79),CQ$3&lt;YEAR($X22),0,CQ$3=YEAR($X22),DATEDIF($X22,DATE(CQ$3,12,31),"m")*$Y22,AND(CQ$3&gt;YEAR($X22),CQ$3-YEAR($X22)&lt;20),$Y22*12,CQ$3-YEAR($X22)=20,DATEDIF(DATE(YEAR($X22),1,1),$X22,"m")*$Y22,CQ$3-YEAR($X22)&gt;20,0)</f>
        <v>757.35</v>
      </c>
      <c r="CR22" s="202" cm="1">
        <f t="array" ref="CR22">_xlfn.IFS(CR$3&lt;=YEAR($B$2),SUMPRODUCT(($E$4:$E$79=$E22)*($Z$2:$CG$2=CR$3)*($Z$2:$CG$2&lt;CS$3)*$Z$4:$CG$79),CR$3&lt;YEAR($X22),0,CR$3=YEAR($X22),DATEDIF($X22,DATE(CR$3,12,31),"m")*$Y22,AND(CR$3&gt;YEAR($X22),CR$3-YEAR($X22)&lt;20),$Y22*12,CR$3-YEAR($X22)=20,DATEDIF(DATE(YEAR($X22),1,1),$X22,"m")*$Y22,CR$3-YEAR($X22)&gt;20,0)</f>
        <v>757.35</v>
      </c>
      <c r="CS22" s="202" cm="1">
        <f t="array" ref="CS22">_xlfn.IFS(CS$3&lt;=YEAR($B$2),SUMPRODUCT(($E$4:$E$79=$E22)*($Z$2:$CG$2=CS$3)*($Z$2:$CG$2&lt;CT$3)*$Z$4:$CG$79),CS$3&lt;YEAR($X22),0,CS$3=YEAR($X22),DATEDIF($X22,DATE(CS$3,12,31),"m")*$Y22,AND(CS$3&gt;YEAR($X22),CS$3-YEAR($X22)&lt;20),$Y22*12,CS$3-YEAR($X22)=20,DATEDIF(DATE(YEAR($X22),1,1),$X22,"m")*$Y22,CS$3-YEAR($X22)&gt;20,0)</f>
        <v>757.35</v>
      </c>
      <c r="CT22" s="202" cm="1">
        <f t="array" ref="CT22">_xlfn.IFS(CT$3&lt;=YEAR($B$2),SUMPRODUCT(($E$4:$E$79=$E22)*($Z$2:$CG$2=CT$3)*($Z$2:$CG$2&lt;CU$3)*$Z$4:$CG$79),CT$3&lt;YEAR($X22),0,CT$3=YEAR($X22),DATEDIF($X22,DATE(CT$3,12,31),"m")*$Y22,AND(CT$3&gt;YEAR($X22),CT$3-YEAR($X22)&lt;20),$Y22*12,CT$3-YEAR($X22)=20,DATEDIF(DATE(YEAR($X22),1,1),$X22,"m")*$Y22,CT$3-YEAR($X22)&gt;20,0)</f>
        <v>757.35</v>
      </c>
      <c r="CU22" s="202" cm="1">
        <f t="array" ref="CU22">_xlfn.IFS(CU$3&lt;=YEAR($B$2),SUMPRODUCT(($E$4:$E$79=$E22)*($Z$2:$CG$2=CU$3)*($Z$2:$CG$2&lt;CV$3)*$Z$4:$CG$79),CU$3&lt;YEAR($X22),0,CU$3=YEAR($X22),DATEDIF($X22,DATE(CU$3,12,31),"m")*$Y22,AND(CU$3&gt;YEAR($X22),CU$3-YEAR($X22)&lt;20),$Y22*12,CU$3-YEAR($X22)=20,DATEDIF(DATE(YEAR($X22),1,1),$X22,"m")*$Y22,CU$3-YEAR($X22)&gt;20,0)</f>
        <v>757.35</v>
      </c>
      <c r="CV22" s="202" cm="1">
        <f t="array" ref="CV22">_xlfn.IFS(CV$3&lt;=YEAR($B$2),SUMPRODUCT(($E$4:$E$79=$E22)*($Z$2:$CG$2=CV$3)*($Z$2:$CG$2&lt;CW$3)*$Z$4:$CG$79),CV$3&lt;YEAR($X22),0,CV$3=YEAR($X22),DATEDIF($X22,DATE(CV$3,12,31),"m")*$Y22,AND(CV$3&gt;YEAR($X22),CV$3-YEAR($X22)&lt;20),$Y22*12,CV$3-YEAR($X22)=20,DATEDIF(DATE(YEAR($X22),1,1),$X22,"m")*$Y22,CV$3-YEAR($X22)&gt;20,0)</f>
        <v>757.35</v>
      </c>
      <c r="CW22" s="202" cm="1">
        <f t="array" ref="CW22">_xlfn.IFS(CW$3&lt;=YEAR($B$2),SUMPRODUCT(($E$4:$E$79=$E22)*($Z$2:$CG$2=CW$3)*($Z$2:$CG$2&lt;CX$3)*$Z$4:$CG$79),CW$3&lt;YEAR($X22),0,CW$3=YEAR($X22),DATEDIF($X22,DATE(CW$3,12,31),"m")*$Y22,AND(CW$3&gt;YEAR($X22),CW$3-YEAR($X22)&lt;20),$Y22*12,CW$3-YEAR($X22)=20,DATEDIF(DATE(YEAR($X22),1,1),$X22,"m")*$Y22,CW$3-YEAR($X22)&gt;20,0)</f>
        <v>757.35</v>
      </c>
      <c r="CX22" s="202" cm="1">
        <f t="array" ref="CX22">_xlfn.IFS(CX$3&lt;=YEAR($B$2),SUMPRODUCT(($E$4:$E$79=$E22)*($Z$2:$CG$2=CX$3)*($Z$2:$CG$2&lt;CY$3)*$Z$4:$CG$79),CX$3&lt;YEAR($X22),0,CX$3=YEAR($X22),DATEDIF($X22,DATE(CX$3,12,31),"m")*$Y22,AND(CX$3&gt;YEAR($X22),CX$3-YEAR($X22)&lt;20),$Y22*12,CX$3-YEAR($X22)=20,DATEDIF(DATE(YEAR($X22),1,1),$X22,"m")*$Y22,CX$3-YEAR($X22)&gt;20,0)</f>
        <v>757.35</v>
      </c>
      <c r="CY22" s="202" cm="1">
        <f t="array" ref="CY22">_xlfn.IFS(CY$3&lt;=YEAR($B$2),SUMPRODUCT(($E$4:$E$79=$E22)*($Z$2:$CG$2=CY$3)*($Z$2:$CG$2&lt;CZ$3)*$Z$4:$CG$79),CY$3&lt;YEAR($X22),0,CY$3=YEAR($X22),DATEDIF($X22,DATE(CY$3,12,31),"m")*$Y22,AND(CY$3&gt;YEAR($X22),CY$3-YEAR($X22)&lt;20),$Y22*12,CY$3-YEAR($X22)=20,DATEDIF(DATE(YEAR($X22),1,1),$X22,"m")*$Y22,CY$3-YEAR($X22)&gt;20,0)</f>
        <v>757.35</v>
      </c>
      <c r="CZ22" s="202" cm="1">
        <f t="array" ref="CZ22">_xlfn.IFS(CZ$3&lt;=YEAR($B$2),SUMPRODUCT(($E$4:$E$79=$E22)*($Z$2:$CG$2=CZ$3)*($Z$2:$CG$2&lt;DA$3)*$Z$4:$CG$79),CZ$3&lt;YEAR($X22),0,CZ$3=YEAR($X22),DATEDIF($X22,DATE(CZ$3,12,31),"m")*$Y22,AND(CZ$3&gt;YEAR($X22),CZ$3-YEAR($X22)&lt;20),$Y22*12,CZ$3-YEAR($X22)=20,DATEDIF(DATE(YEAR($X22),1,1),$X22,"m")*$Y22,CZ$3-YEAR($X22)&gt;20,0)</f>
        <v>757.35</v>
      </c>
      <c r="DA22" s="202" cm="1">
        <f t="array" ref="DA22">_xlfn.IFS(DA$3&lt;=YEAR($B$2),SUMPRODUCT(($E$4:$E$79=$E22)*($Z$2:$CG$2=DA$3)*($Z$2:$CG$2&lt;DB$3)*$Z$4:$CG$79),DA$3&lt;YEAR($X22),0,DA$3=YEAR($X22),DATEDIF($X22,DATE(DA$3,12,31),"m")*$Y22,AND(DA$3&gt;YEAR($X22),DA$3-YEAR($X22)&lt;20),$Y22*12,DA$3-YEAR($X22)=20,DATEDIF(DATE(YEAR($X22),1,1),$X22,"m")*$Y22,DA$3-YEAR($X22)&gt;20,0)</f>
        <v>757.35</v>
      </c>
      <c r="DB22" s="202" cm="1">
        <f t="array" ref="DB22">_xlfn.IFS(DB$3&lt;=YEAR($B$2),SUMPRODUCT(($E$4:$E$79=$E22)*($Z$2:$CG$2=DB$3)*($Z$2:$CG$2&lt;DC$3)*$Z$4:$CG$79),DB$3&lt;YEAR($X22),0,DB$3=YEAR($X22),DATEDIF($X22,DATE(DB$3,12,31),"m")*$Y22,AND(DB$3&gt;YEAR($X22),DB$3-YEAR($X22)&lt;20),$Y22*12,DB$3-YEAR($X22)=20,DATEDIF(DATE(YEAR($X22),1,1),$X22,"m")*$Y22,DB$3-YEAR($X22)&gt;20,0)</f>
        <v>757.35</v>
      </c>
      <c r="DC22" s="202" cm="1">
        <f t="array" ref="DC22">_xlfn.IFS(DC$3&lt;=YEAR($B$2),SUMPRODUCT(($E$4:$E$79=$E22)*($Z$2:$CG$2=DC$3)*($Z$2:$CG$2&lt;DD$3)*$Z$4:$CG$79),DC$3&lt;YEAR($X22),0,DC$3=YEAR($X22),DATEDIF($X22,DATE(DC$3,12,31),"m")*$Y22,AND(DC$3&gt;YEAR($X22),DC$3-YEAR($X22)&lt;20),$Y22*12,DC$3-YEAR($X22)=20,DATEDIF(DATE(YEAR($X22),1,1),$X22,"m")*$Y22,DC$3-YEAR($X22)&gt;20,0)</f>
        <v>757.35</v>
      </c>
      <c r="DD22" s="202" cm="1">
        <f t="array" ref="DD22">_xlfn.IFS(DD$3&lt;=YEAR($B$2),SUMPRODUCT(($E$4:$E$79=$E22)*($Z$2:$CG$2=DD$3)*($Z$2:$CG$2&lt;DE$3)*$Z$4:$CG$79),DD$3&lt;YEAR($X22),0,DD$3=YEAR($X22),DATEDIF($X22,DATE(DD$3,12,31),"m")*$Y22,AND(DD$3&gt;YEAR($X22),DD$3-YEAR($X22)&lt;20),$Y22*12,DD$3-YEAR($X22)=20,DATEDIF(DATE(YEAR($X22),1,1),$X22,"m")*$Y22,DD$3-YEAR($X22)&gt;20,0)</f>
        <v>757.35</v>
      </c>
      <c r="DE22" s="202" cm="1">
        <f t="array" ref="DE22">_xlfn.IFS(DE$3&lt;=YEAR($B$2),SUMPRODUCT(($E$4:$E$79=$E22)*($Z$2:$CG$2=DE$3)*($Z$2:$CG$2&lt;DF$3)*$Z$4:$CG$79),DE$3&lt;YEAR($X22),0,DE$3=YEAR($X22),DATEDIF($X22,DATE(DE$3,12,31),"m")*$Y22,AND(DE$3&gt;YEAR($X22),DE$3-YEAR($X22)&lt;20),$Y22*12,DE$3-YEAR($X22)=20,DATEDIF(DATE(YEAR($X22),1,1),$X22,"m")*$Y22,DE$3-YEAR($X22)&gt;20,0)</f>
        <v>504.90000000000003</v>
      </c>
      <c r="DF22" s="202" cm="1">
        <f t="array" ref="DF22">_xlfn.IFS(DF$3&lt;=YEAR($B$2),SUMPRODUCT(($E$4:$E$79=$E22)*($Z$2:$CG$2=DF$3)*($Z$2:$CG$2&lt;DG$3)*$Z$4:$CG$79),DF$3&lt;YEAR($X22),0,DF$3=YEAR($X22),DATEDIF($X22,DATE(DF$3,12,31),"m")*$Y22,AND(DF$3&gt;YEAR($X22),DF$3-YEAR($X22)&lt;20),$Y22*12,DF$3-YEAR($X22)=20,DATEDIF(DATE(YEAR($X22),1,1),$X22,"m")*$Y22,DF$3-YEAR($X22)&gt;20,0)</f>
        <v>0</v>
      </c>
      <c r="DG22" s="202" cm="1">
        <f t="array" ref="DG22">_xlfn.IFS(DG$3&lt;=YEAR($B$2),SUMPRODUCT(($E$4:$E$79=$E22)*($Z$2:$CG$2=DG$3)*($Z$2:$CG$2&lt;DH$3)*$Z$4:$CG$79),DG$3&lt;YEAR($X22),0,DG$3=YEAR($X22),DATEDIF($X22,DATE(DG$3,12,31),"m")*$Y22,AND(DG$3&gt;YEAR($X22),DG$3-YEAR($X22)&lt;20),$Y22*12,DG$3-YEAR($X22)=20,DATEDIF(DATE(YEAR($X22),1,1),$X22,"m")*$Y22,DG$3-YEAR($X22)&gt;20,0)</f>
        <v>0</v>
      </c>
      <c r="DH22" s="202" cm="1">
        <f t="array" ref="DH22">_xlfn.IFS(DH$3&lt;=YEAR($B$2),SUMPRODUCT(($E$4:$E$79=$E22)*($Z$2:$CG$2=DH$3)*($Z$2:$CG$2&lt;DI$3)*$Z$4:$CG$79),DH$3&lt;YEAR($X22),0,DH$3=YEAR($X22),DATEDIF($X22,DATE(DH$3,12,31),"m")*$Y22,AND(DH$3&gt;YEAR($X22),DH$3-YEAR($X22)&lt;20),$Y22*12,DH$3-YEAR($X22)=20,DATEDIF(DATE(YEAR($X22),1,1),$X22,"m")*$Y22,DH$3-YEAR($X22)&gt;20,0)</f>
        <v>0</v>
      </c>
      <c r="DI22" s="202" cm="1">
        <f t="array" ref="DI22">_xlfn.IFS(DI$3&lt;=YEAR($B$2),SUMPRODUCT(($E$4:$E$79=$E22)*($Z$2:$CG$2=DI$3)*($Z$2:$CG$2&lt;DJ$3)*$Z$4:$CG$79),DI$3&lt;YEAR($X22),0,DI$3=YEAR($X22),DATEDIF($X22,DATE(DI$3,12,31),"m")*$Y22,AND(DI$3&gt;YEAR($X22),DI$3-YEAR($X22)&lt;20),$Y22*12,DI$3-YEAR($X22)=20,DATEDIF(DATE(YEAR($X22),1,1),$X22,"m")*$Y22,DI$3-YEAR($X22)&gt;20,0)</f>
        <v>0</v>
      </c>
      <c r="DJ22" s="202" cm="1">
        <f t="array" ref="DJ22">_xlfn.IFS(DJ$3&lt;=YEAR($B$2),SUMPRODUCT(($E$4:$E$79=$E22)*($Z$2:$CG$2=DJ$3)*($Z$2:$CG$2&lt;DK$3)*$Z$4:$CG$79),DJ$3&lt;YEAR($X22),0,DJ$3=YEAR($X22),DATEDIF($X22,DATE(DJ$3,12,31),"m")*$Y22,AND(DJ$3&gt;YEAR($X22),DJ$3-YEAR($X22)&lt;20),$Y22*12,DJ$3-YEAR($X22)=20,DATEDIF(DATE(YEAR($X22),1,1),$X22,"m")*$Y22,DJ$3-YEAR($X22)&gt;20,0)</f>
        <v>0</v>
      </c>
      <c r="DK22" s="202" cm="1">
        <f t="array" ref="DK22">_xlfn.IFS(DK$3&lt;=YEAR($B$2),SUMPRODUCT(($E$4:$E$79=$E22)*($Z$2:$CG$2=DK$3)*($Z$2:$CG$2&lt;DL$3)*$Z$4:$CG$79),DK$3&lt;YEAR($X22),0,DK$3=YEAR($X22),DATEDIF($X22,DATE(DK$3,12,31),"m")*$Y22,AND(DK$3&gt;YEAR($X22),DK$3-YEAR($X22)&lt;20),$Y22*12,DK$3-YEAR($X22)=20,DATEDIF(DATE(YEAR($X22),1,1),$X22,"m")*$Y22,DK$3-YEAR($X22)&gt;20,0)</f>
        <v>0</v>
      </c>
      <c r="DL22" s="202" cm="1">
        <f t="array" ref="DL22">_xlfn.IFS(DL$3&lt;=YEAR($B$2),SUMPRODUCT(($E$4:$E$79=$E22)*($Z$2:$CG$2=DL$3)*($Z$2:$CG$2&lt;DM$3)*$Z$4:$CG$79),DL$3&lt;YEAR($X22),0,DL$3=YEAR($X22),DATEDIF($X22,DATE(DL$3,12,31),"m")*$Y22,AND(DL$3&gt;YEAR($X22),DL$3-YEAR($X22)&lt;20),$Y22*12,DL$3-YEAR($X22)=20,DATEDIF(DATE(YEAR($X22),1,1),$X22,"m")*$Y22,DL$3-YEAR($X22)&gt;20,0)</f>
        <v>0</v>
      </c>
      <c r="DO22" s="166">
        <f t="shared" si="26"/>
        <v>2031</v>
      </c>
      <c r="DP22" s="158">
        <v>660421.95000000019</v>
      </c>
      <c r="DQ22" s="158">
        <v>462971.99729999999</v>
      </c>
      <c r="DR22" s="158">
        <v>25576.5</v>
      </c>
      <c r="DS22" s="158">
        <f t="shared" si="27"/>
        <v>1148970.4473000001</v>
      </c>
    </row>
    <row r="23" spans="1:636">
      <c r="A23" s="155" t="str" cm="1">
        <f t="array" ref="A23">INDEX('Monthly Report July 2025'!C:C,MATCH(E23,'Monthly Report July 2025'!E:E,0),0)</f>
        <v>SPQ0166</v>
      </c>
      <c r="B23" s="155" t="str" cm="1">
        <f t="array" ref="B23">_xlfn.IFS(LEFT(E23,3)="PGE","PGE",LEFT(E23,2)="PP","PAC",TRUE,"IP")</f>
        <v>PGE</v>
      </c>
      <c r="C23" s="155" t="str">
        <f>IF(ISNA(MATCH(E23,'Monthly Report July 2025'!E:E,0)),"Missing","Present")</f>
        <v>Present</v>
      </c>
      <c r="D23" s="155" t="str">
        <f>IF(ISNA(MATCH(E23,'Project Operational Timelines'!C:C,0))=TRUE,"Missing","Present")</f>
        <v>Present</v>
      </c>
      <c r="E23" s="155" t="s">
        <v>131</v>
      </c>
      <c r="F23" s="155" t="str" cm="1">
        <f t="array" ref="F23">INDEX('Monthly Report July 2025'!F:F,MATCH(E23,'Monthly Report July 2025'!E:E,),0)</f>
        <v>Williams Acres</v>
      </c>
      <c r="G23" s="155" t="str" cm="1">
        <f t="array" ref="G23">_xlfn.IFS(INDEX('Monthly Report July 2025'!O:O,MATCH(E23,'Monthly Report July 2025'!E:E,0),0)="Operational","Operational",INDEX('Monthly Report July 2025'!O:O,MATCH(E23,'Monthly Report July 2025'!E:E,0),0)="Certified","Certified",TRUE,"Pre-Certified")</f>
        <v>Operational</v>
      </c>
      <c r="H23" s="155" t="str" cm="1">
        <f t="array" ref="H23">INDEX('Monthly Report July 2025'!H:H,MATCH($E23,'Monthly Report July 2025'!$E:$E,0),0)</f>
        <v>Neighborhood Power</v>
      </c>
      <c r="I23" s="155" t="str" cm="1">
        <f t="array" ref="I23">INDEX('Monthly Report July 2025'!I:I,MATCH($E23,'Monthly Report July 2025'!$E:$E,0),0)</f>
        <v>Neighborhood Power</v>
      </c>
      <c r="J23" s="174" cm="1">
        <f t="array" ref="J23">INDEX('Monthly Report July 2025'!J:J,MATCH($E23,'Monthly Report July 2025'!$E:$E,0),0)</f>
        <v>1</v>
      </c>
      <c r="K23" s="174" t="str" cm="1">
        <f t="array" ref="K23">INDEX('Monthly Report July 2025'!K:K,MATCH($E23,'Monthly Report July 2025'!$E:$E,0),0)</f>
        <v>No</v>
      </c>
      <c r="L23" s="174" t="b" cm="1">
        <f t="array" ref="L23">INDEX('Monthly Report July 2025'!L:L,MATCH(E23,'Monthly Report July 2025'!E:E,0),0)=M23</f>
        <v>1</v>
      </c>
      <c r="M23" s="273" cm="1">
        <f t="array" ref="M23">INDEX('Monthly Report July 2025'!L:L,MATCH($E23,'Monthly Report July 2025'!$E:$E,0),0)</f>
        <v>2502</v>
      </c>
      <c r="N23" s="175" cm="1">
        <f t="array" ref="N23">INDEX('Monthly Report July 2025'!M:M,MATCH($E23,'Monthly Report July 2025'!$E:$E,0),0)</f>
        <v>43958</v>
      </c>
      <c r="O23" s="175" t="str" cm="1">
        <f t="array" ref="O23">_xlfn.IFS(G23="Operational","Operational",G23="Certified","Certified",TRUE,INDEX('Monthly Report July 2025'!O:O,MATCH(E23,'Monthly Report July 2025'!E:E,0),0))</f>
        <v>Operational</v>
      </c>
      <c r="P23" s="175" t="b" cm="1">
        <f t="array" ref="P23">_xlfn.IFS(G23="Operational",O23="Operational",G23="Certified",O23="Certified",TRUE,G23="Pre-Certified")</f>
        <v>1</v>
      </c>
      <c r="Q23" s="175" cm="1">
        <f t="array" ref="Q23">IF(O23="Operational",INDEX('Monthly Report July 2025'!R:R,MATCH(E23,'Monthly Report July 2025'!E:E,0),0),"")</f>
        <v>44291</v>
      </c>
      <c r="R23" s="175" cm="1">
        <f t="array" ref="R23">INDEX('Monthly Report July 2025'!P:P,MATCH(E23,'Monthly Report July 2025'!E:E,0),0)</f>
        <v>44238</v>
      </c>
      <c r="S23" s="175" t="b">
        <f t="shared" si="5"/>
        <v>1</v>
      </c>
      <c r="T23" s="175" cm="1">
        <f t="array" ref="T23">INDEX('Monthly Report July 2025'!U:U,MATCH(E23,'Monthly Report July 2025'!E:E,0),0)</f>
        <v>44238</v>
      </c>
      <c r="U23" s="175" t="str">
        <f t="shared" si="6"/>
        <v>IGNORE</v>
      </c>
      <c r="V23" s="156">
        <f t="shared" si="7"/>
        <v>44238</v>
      </c>
      <c r="W23" s="156" cm="1">
        <f t="array" ref="W23">_xlfn.IFS(U23=TRUE,EDATE(O23,6),U23=FALSE,T23,O23="Operational",Q23,AND(O23="Certified",EDATE(R23,6)&gt;T23),EDATE(R23,6),TRUE,T23)</f>
        <v>44291</v>
      </c>
      <c r="X23" s="156">
        <f t="shared" si="8"/>
        <v>44352</v>
      </c>
      <c r="Y23" s="157">
        <f t="shared" si="9"/>
        <v>1807.6949999999997</v>
      </c>
      <c r="Z23" s="202" cm="1">
        <f t="array" ref="Z23">_xlfn.IFS(Z$3&lt;$B$2,SUMPRODUCT(('PA Fees Actual'!$B$5:$B$882=$E23)*('PA Fees Actual'!$A$5:$A$882&gt;=Z$3)*('PA Fees Actual'!$A$5:$A$882&lt;=EOMONTH(Z$3,0))*'PA Fees Actual'!$D$5:$D$882),Z$3&gt;=EOMONTH($X23,-1)+1,$Y23,TRUE,0)</f>
        <v>0</v>
      </c>
      <c r="AA23" s="202" cm="1">
        <f t="array" ref="AA23">_xlfn.IFS(AA$3&lt;$B$2,SUMPRODUCT(('PA Fees Actual'!$B$5:$B$882=$E23)*('PA Fees Actual'!$A$5:$A$882&gt;=AA$3)*('PA Fees Actual'!$A$5:$A$882&lt;=EOMONTH(AA$3,0))*'PA Fees Actual'!$D$5:$D$882),AA$3&gt;=EOMONTH($X23,-1)+1,$Y23,TRUE,0)</f>
        <v>0</v>
      </c>
      <c r="AB23" s="202" cm="1">
        <f t="array" ref="AB23">_xlfn.IFS(AB$3&lt;$B$2,SUMPRODUCT(('PA Fees Actual'!$B$5:$B$882=$E23)*('PA Fees Actual'!$A$5:$A$882&gt;=AB$3)*('PA Fees Actual'!$A$5:$A$882&lt;=EOMONTH(AB$3,0))*'PA Fees Actual'!$D$5:$D$882),AB$3&gt;=EOMONTH($X23,-1)+1,$Y23,TRUE,0)</f>
        <v>0</v>
      </c>
      <c r="AC23" s="202" cm="1">
        <f t="array" ref="AC23">_xlfn.IFS(AC$3&lt;$B$2,SUMPRODUCT(('PA Fees Actual'!$B$5:$B$882=$E23)*('PA Fees Actual'!$A$5:$A$882&gt;=AC$3)*('PA Fees Actual'!$A$5:$A$882&lt;=EOMONTH(AC$3,0))*'PA Fees Actual'!$D$5:$D$882),AC$3&gt;=EOMONTH($X23,-1)+1,$Y23,TRUE,0)</f>
        <v>0</v>
      </c>
      <c r="AD23" s="202" cm="1">
        <f t="array" ref="AD23">_xlfn.IFS(AD$3&lt;$B$2,SUMPRODUCT(('PA Fees Actual'!$B$5:$B$882=$E23)*('PA Fees Actual'!$A$5:$A$882&gt;=AD$3)*('PA Fees Actual'!$A$5:$A$882&lt;=EOMONTH(AD$3,0))*'PA Fees Actual'!$D$5:$D$882),AD$3&gt;=EOMONTH($X23,-1)+1,$Y23,TRUE,0)</f>
        <v>0</v>
      </c>
      <c r="AE23" s="202" cm="1">
        <f t="array" ref="AE23">_xlfn.IFS(AE$3&lt;$B$2,SUMPRODUCT(('PA Fees Actual'!$B$5:$B$882=$E23)*('PA Fees Actual'!$A$5:$A$882&gt;=AE$3)*('PA Fees Actual'!$A$5:$A$882&lt;=EOMONTH(AE$3,0))*'PA Fees Actual'!$D$5:$D$882),AE$3&gt;=EOMONTH($X23,-1)+1,$Y23,TRUE,0)</f>
        <v>0</v>
      </c>
      <c r="AF23" s="202" cm="1">
        <f t="array" ref="AF23">_xlfn.IFS(AF$3&lt;$B$2,SUMPRODUCT(('PA Fees Actual'!$B$5:$B$882=$E23)*('PA Fees Actual'!$A$5:$A$882&gt;=AF$3)*('PA Fees Actual'!$A$5:$A$882&lt;=EOMONTH(AF$3,0))*'PA Fees Actual'!$D$5:$D$882),AF$3&gt;=EOMONTH($X23,-1)+1,$Y23,TRUE,0)</f>
        <v>1577.6599999999999</v>
      </c>
      <c r="AG23" s="202" cm="1">
        <f t="array" ref="AG23">_xlfn.IFS(AG$3&lt;$B$2,SUMPRODUCT(('PA Fees Actual'!$B$5:$B$882=$E23)*('PA Fees Actual'!$A$5:$A$882&gt;=AG$3)*('PA Fees Actual'!$A$5:$A$882&lt;=EOMONTH(AG$3,0))*'PA Fees Actual'!$D$5:$D$882),AG$3&gt;=EOMONTH($X23,-1)+1,$Y23,TRUE,0)</f>
        <v>2467.44</v>
      </c>
      <c r="AH23" s="202" cm="1">
        <f t="array" ref="AH23">_xlfn.IFS(AH$3&lt;$B$2,SUMPRODUCT(('PA Fees Actual'!$B$5:$B$882=$E23)*('PA Fees Actual'!$A$5:$A$882&gt;=AH$3)*('PA Fees Actual'!$A$5:$A$882&lt;=EOMONTH(AH$3,0))*'PA Fees Actual'!$D$5:$D$882),AH$3&gt;=EOMONTH($X23,-1)+1,$Y23,TRUE,0)</f>
        <v>0</v>
      </c>
      <c r="AI23" s="202" cm="1">
        <f t="array" ref="AI23">_xlfn.IFS(AI$3&lt;$B$2,SUMPRODUCT(('PA Fees Actual'!$B$5:$B$882=$E23)*('PA Fees Actual'!$A$5:$A$882&gt;=AI$3)*('PA Fees Actual'!$A$5:$A$882&lt;=EOMONTH(AI$3,0))*'PA Fees Actual'!$D$5:$D$882),AI$3&gt;=EOMONTH($X23,-1)+1,$Y23,TRUE,0)</f>
        <v>3782.1799999999994</v>
      </c>
      <c r="AJ23" s="202" cm="1">
        <f t="array" ref="AJ23">_xlfn.IFS(AJ$3&lt;$B$2,SUMPRODUCT(('PA Fees Actual'!$B$5:$B$882=$E23)*('PA Fees Actual'!$A$5:$A$882&gt;=AJ$3)*('PA Fees Actual'!$A$5:$A$882&lt;=EOMONTH(AJ$3,0))*'PA Fees Actual'!$D$5:$D$882),AJ$3&gt;=EOMONTH($X23,-1)+1,$Y23,TRUE,0)</f>
        <v>1915.0799999999995</v>
      </c>
      <c r="AK23" s="202" cm="1">
        <f t="array" ref="AK23">_xlfn.IFS(AK$3&lt;$B$2,SUMPRODUCT(('PA Fees Actual'!$B$5:$B$882=$E23)*('PA Fees Actual'!$A$5:$A$882&gt;=AK$3)*('PA Fees Actual'!$A$5:$A$882&lt;=EOMONTH(AK$3,0))*'PA Fees Actual'!$D$5:$D$882),AK$3&gt;=EOMONTH($X23,-1)+1,$Y23,TRUE,0)</f>
        <v>922.05</v>
      </c>
      <c r="AL23" s="202" cm="1">
        <f t="array" ref="AL23">_xlfn.IFS(AL$3&lt;$B$2,SUMPRODUCT(('PA Fees Actual'!$B$5:$B$882=$E23)*('PA Fees Actual'!$A$5:$A$882&gt;=AL$3)*('PA Fees Actual'!$A$5:$A$882&lt;=EOMONTH(AL$3,0))*'PA Fees Actual'!$D$5:$D$882),AL$3&gt;=EOMONTH($X23,-1)+1,$Y23,TRUE,0)</f>
        <v>2867.25</v>
      </c>
      <c r="AM23" s="202" cm="1">
        <f t="array" ref="AM23">_xlfn.IFS(AM$3&lt;$B$2,SUMPRODUCT(('PA Fees Actual'!$B$5:$B$882=$E23)*('PA Fees Actual'!$A$5:$A$882&gt;=AM$3)*('PA Fees Actual'!$A$5:$A$882&lt;=EOMONTH(AM$3,0))*'PA Fees Actual'!$D$5:$D$882),AM$3&gt;=EOMONTH($X23,-1)+1,$Y23,TRUE,0)</f>
        <v>1876.48</v>
      </c>
      <c r="AN23" s="202" cm="1">
        <f t="array" ref="AN23">_xlfn.IFS(AN$3&lt;$B$2,SUMPRODUCT(('PA Fees Actual'!$B$5:$B$882=$E23)*('PA Fees Actual'!$A$5:$A$882&gt;=AN$3)*('PA Fees Actual'!$A$5:$A$882&lt;=EOMONTH(AN$3,0))*'PA Fees Actual'!$D$5:$D$882),AN$3&gt;=EOMONTH($X23,-1)+1,$Y23,TRUE,0)</f>
        <v>1404.65</v>
      </c>
      <c r="AO23" s="202" cm="1">
        <f t="array" ref="AO23">_xlfn.IFS(AO$3&lt;$B$2,SUMPRODUCT(('PA Fees Actual'!$B$5:$B$882=$E23)*('PA Fees Actual'!$A$5:$A$882&gt;=AO$3)*('PA Fees Actual'!$A$5:$A$882&lt;=EOMONTH(AO$3,0))*'PA Fees Actual'!$D$5:$D$882),AO$3&gt;=EOMONTH($X23,-1)+1,$Y23,TRUE,0)</f>
        <v>2386.309999999999</v>
      </c>
      <c r="AP23" s="202" cm="1">
        <f t="array" ref="AP23">_xlfn.IFS(AP$3&lt;$B$2,SUMPRODUCT(('PA Fees Actual'!$B$5:$B$882=$E23)*('PA Fees Actual'!$A$5:$A$882&gt;=AP$3)*('PA Fees Actual'!$A$5:$A$882&lt;=EOMONTH(AP$3,0))*'PA Fees Actual'!$D$5:$D$882),AP$3&gt;=EOMONTH($X23,-1)+1,$Y23,TRUE,0)</f>
        <v>1249.0299999999991</v>
      </c>
      <c r="AQ23" s="202" cm="1">
        <f t="array" ref="AQ23">_xlfn.IFS(AQ$3&lt;$B$2,SUMPRODUCT(('PA Fees Actual'!$B$5:$B$882=$E23)*('PA Fees Actual'!$A$5:$A$882&gt;=AQ$3)*('PA Fees Actual'!$A$5:$A$882&lt;=EOMONTH(AQ$3,0))*'PA Fees Actual'!$D$5:$D$882),AQ$3&gt;=EOMONTH($X23,-1)+1,$Y23,TRUE,0)</f>
        <v>2190.2799999999997</v>
      </c>
      <c r="AR23" s="202" cm="1">
        <f t="array" ref="AR23">_xlfn.IFS(AR$3&lt;$B$2,SUMPRODUCT(('PA Fees Actual'!$B$5:$B$882=$E23)*('PA Fees Actual'!$A$5:$A$882&gt;=AR$3)*('PA Fees Actual'!$A$5:$A$882&lt;=EOMONTH(AR$3,0))*'PA Fees Actual'!$D$5:$D$882),AR$3&gt;=EOMONTH($X23,-1)+1,$Y23,TRUE,0)</f>
        <v>2393.829999999999</v>
      </c>
      <c r="AS23" s="202" cm="1">
        <f t="array" ref="AS23">_xlfn.IFS(AS$3&lt;$B$2,SUMPRODUCT(('PA Fees Actual'!$B$5:$B$882=$E23)*('PA Fees Actual'!$A$5:$A$882&gt;=AS$3)*('PA Fees Actual'!$A$5:$A$882&lt;=EOMONTH(AS$3,0))*'PA Fees Actual'!$D$5:$D$882),AS$3&gt;=EOMONTH($X23,-1)+1,$Y23,TRUE,0)</f>
        <v>1889.6399999999999</v>
      </c>
      <c r="AT23" s="202" cm="1">
        <f t="array" ref="AT23">_xlfn.IFS(AT$3&lt;$B$2,SUMPRODUCT(('PA Fees Actual'!$B$5:$B$882=$E23)*('PA Fees Actual'!$A$5:$A$882&gt;=AT$3)*('PA Fees Actual'!$A$5:$A$882&lt;=EOMONTH(AT$3,0))*'PA Fees Actual'!$D$5:$D$882),AT$3&gt;=EOMONTH($X23,-1)+1,$Y23,TRUE,0)</f>
        <v>1260.1500000000003</v>
      </c>
      <c r="AU23" s="202" cm="1">
        <f t="array" ref="AU23">_xlfn.IFS(AU$3&lt;$B$2,SUMPRODUCT(('PA Fees Actual'!$B$5:$B$882=$E23)*('PA Fees Actual'!$A$5:$A$882&gt;=AU$3)*('PA Fees Actual'!$A$5:$A$882&lt;=EOMONTH(AU$3,0))*'PA Fees Actual'!$D$5:$D$882),AU$3&gt;=EOMONTH($X23,-1)+1,$Y23,TRUE,0)</f>
        <v>1423.6400000000003</v>
      </c>
      <c r="AV23" s="202" cm="1">
        <f t="array" ref="AV23">_xlfn.IFS(AV$3&lt;$B$2,SUMPRODUCT(('PA Fees Actual'!$B$5:$B$882=$E23)*('PA Fees Actual'!$A$5:$A$882&gt;=AV$3)*('PA Fees Actual'!$A$5:$A$882&lt;=EOMONTH(AV$3,0))*'PA Fees Actual'!$D$5:$D$882),AV$3&gt;=EOMONTH($X23,-1)+1,$Y23,TRUE,0)</f>
        <v>1979.83</v>
      </c>
      <c r="AW23" s="202" cm="1">
        <f t="array" ref="AW23">_xlfn.IFS(AW$3&lt;$B$2,SUMPRODUCT(('PA Fees Actual'!$B$5:$B$882=$E23)*('PA Fees Actual'!$A$5:$A$882&gt;=AW$3)*('PA Fees Actual'!$A$5:$A$882&lt;=EOMONTH(AW$3,0))*'PA Fees Actual'!$D$5:$D$882),AW$3&gt;=EOMONTH($X23,-1)+1,$Y23,TRUE,0)</f>
        <v>681.54</v>
      </c>
      <c r="AX23" s="202" cm="1">
        <f t="array" ref="AX23">_xlfn.IFS(AX$3&lt;$B$2,SUMPRODUCT(('PA Fees Actual'!$B$5:$B$882=$E23)*('PA Fees Actual'!$A$5:$A$882&gt;=AX$3)*('PA Fees Actual'!$A$5:$A$882&lt;=EOMONTH(AX$3,0))*'PA Fees Actual'!$D$5:$D$882),AX$3&gt;=EOMONTH($X23,-1)+1,$Y23,TRUE,0)</f>
        <v>3678.38</v>
      </c>
      <c r="AY23" s="202" cm="1">
        <f t="array" ref="AY23">_xlfn.IFS(AY$3&lt;$B$2,SUMPRODUCT(('PA Fees Actual'!$B$5:$B$882=$E23)*('PA Fees Actual'!$A$5:$A$882&gt;=AY$3)*('PA Fees Actual'!$A$5:$A$882&lt;=EOMONTH(AY$3,0))*'PA Fees Actual'!$D$5:$D$882),AY$3&gt;=EOMONTH($X23,-1)+1,$Y23,TRUE,0)</f>
        <v>1176.3999999999992</v>
      </c>
      <c r="AZ23" s="202" cm="1">
        <f t="array" ref="AZ23">_xlfn.IFS(AZ$3&lt;$B$2,SUMPRODUCT(('PA Fees Actual'!$B$5:$B$882=$E23)*('PA Fees Actual'!$A$5:$A$882&gt;=AZ$3)*('PA Fees Actual'!$A$5:$A$882&lt;=EOMONTH(AZ$3,0))*'PA Fees Actual'!$D$5:$D$882),AZ$3&gt;=EOMONTH($X23,-1)+1,$Y23,TRUE,0)</f>
        <v>2889.6100000000019</v>
      </c>
      <c r="BA23" s="202" cm="1">
        <f t="array" ref="BA23">_xlfn.IFS(BA$3&lt;$B$2,SUMPRODUCT(('PA Fees Actual'!$B$5:$B$882=$E23)*('PA Fees Actual'!$A$5:$A$882&gt;=BA$3)*('PA Fees Actual'!$A$5:$A$882&lt;=EOMONTH(BA$3,0))*'PA Fees Actual'!$D$5:$D$882),BA$3&gt;=EOMONTH($X23,-1)+1,$Y23,TRUE,0)</f>
        <v>1294.76</v>
      </c>
      <c r="BB23" s="202" cm="1">
        <f t="array" ref="BB23">_xlfn.IFS(BB$3&lt;$B$2,SUMPRODUCT(('PA Fees Actual'!$B$5:$B$882=$E23)*('PA Fees Actual'!$A$5:$A$882&gt;=BB$3)*('PA Fees Actual'!$A$5:$A$882&lt;=EOMONTH(BB$3,0))*'PA Fees Actual'!$D$5:$D$882),BB$3&gt;=EOMONTH($X23,-1)+1,$Y23,TRUE,0)</f>
        <v>433.8</v>
      </c>
      <c r="BC23" s="202" cm="1">
        <f t="array" ref="BC23">_xlfn.IFS(BC$3&lt;$B$2,SUMPRODUCT(('PA Fees Actual'!$B$5:$B$882=$E23)*('PA Fees Actual'!$A$5:$A$882&gt;=BC$3)*('PA Fees Actual'!$A$5:$A$882&lt;=EOMONTH(BC$3,0))*'PA Fees Actual'!$D$5:$D$882),BC$3&gt;=EOMONTH($X23,-1)+1,$Y23,TRUE,0)</f>
        <v>2102.0500000000006</v>
      </c>
      <c r="BD23" s="202" cm="1">
        <f t="array" ref="BD23">_xlfn.IFS(BD$3&lt;$B$2,SUMPRODUCT(('PA Fees Actual'!$B$5:$B$882=$E23)*('PA Fees Actual'!$A$5:$A$882&gt;=BD$3)*('PA Fees Actual'!$A$5:$A$882&lt;=EOMONTH(BD$3,0))*'PA Fees Actual'!$D$5:$D$882),BD$3&gt;=EOMONTH($X23,-1)+1,$Y23,TRUE,0)</f>
        <v>2895.6299999999997</v>
      </c>
      <c r="BE23" s="202" cm="1">
        <f t="array" ref="BE23">_xlfn.IFS(BE$3&lt;$B$2,SUMPRODUCT(('PA Fees Actual'!$B$5:$B$882=$E23)*('PA Fees Actual'!$A$5:$A$882&gt;=BE$3)*('PA Fees Actual'!$A$5:$A$882&lt;=EOMONTH(BE$3,0))*'PA Fees Actual'!$D$5:$D$882),BE$3&gt;=EOMONTH($X23,-1)+1,$Y23,TRUE,0)</f>
        <v>2372.13</v>
      </c>
      <c r="BF23" s="202" cm="1">
        <f t="array" ref="BF23">_xlfn.IFS(BF$3&lt;$B$2,SUMPRODUCT(('PA Fees Actual'!$B$5:$B$882=$E23)*('PA Fees Actual'!$A$5:$A$882&gt;=BF$3)*('PA Fees Actual'!$A$5:$A$882&lt;=EOMONTH(BF$3,0))*'PA Fees Actual'!$D$5:$D$882),BF$3&gt;=EOMONTH($X23,-1)+1,$Y23,TRUE,0)</f>
        <v>1885.6100000000004</v>
      </c>
      <c r="BG23" s="202" cm="1">
        <f t="array" ref="BG23">_xlfn.IFS(BG$3&lt;$B$2,SUMPRODUCT(('PA Fees Actual'!$B$5:$B$882=$E23)*('PA Fees Actual'!$A$5:$A$882&gt;=BG$3)*('PA Fees Actual'!$A$5:$A$882&lt;=EOMONTH(BG$3,0))*'PA Fees Actual'!$D$5:$D$882),BG$3&gt;=EOMONTH($X23,-1)+1,$Y23,TRUE,0)</f>
        <v>0</v>
      </c>
      <c r="BH23" s="202" cm="1">
        <f t="array" ref="BH23">_xlfn.IFS(BH$3&lt;$B$2,SUMPRODUCT(('PA Fees Actual'!$B$5:$B$882=$E23)*('PA Fees Actual'!$A$5:$A$882&gt;=BH$3)*('PA Fees Actual'!$A$5:$A$882&lt;=EOMONTH(BH$3,0))*'PA Fees Actual'!$D$5:$D$882),BH$3&gt;=EOMONTH($X23,-1)+1,$Y23,TRUE,0)</f>
        <v>1409.17</v>
      </c>
      <c r="BI23" s="202" cm="1">
        <f t="array" ref="BI23">_xlfn.IFS(BI$3&lt;$B$2,SUMPRODUCT(('PA Fees Actual'!$B$5:$B$882=$E23)*('PA Fees Actual'!$A$5:$A$882&gt;=BI$3)*('PA Fees Actual'!$A$5:$A$882&lt;=EOMONTH(BI$3,0))*'PA Fees Actual'!$D$5:$D$882),BI$3&gt;=EOMONTH($X23,-1)+1,$Y23,TRUE,0)</f>
        <v>1919.2399999999998</v>
      </c>
      <c r="BJ23" s="202" cm="1">
        <f t="array" ref="BJ23">_xlfn.IFS(BJ$3&lt;$B$2,SUMPRODUCT(('PA Fees Actual'!$B$5:$B$882=$E23)*('PA Fees Actual'!$A$5:$A$882&gt;=BJ$3)*('PA Fees Actual'!$A$5:$A$882&lt;=EOMONTH(BJ$3,0))*'PA Fees Actual'!$D$5:$D$882),BJ$3&gt;=EOMONTH($X23,-1)+1,$Y23,TRUE,0)</f>
        <v>2768.16</v>
      </c>
      <c r="BK23" s="202" cm="1">
        <f t="array" ref="BK23">_xlfn.IFS(BK$3&lt;$B$2,SUMPRODUCT(('PA Fees Actual'!$B$5:$B$882=$E23)*('PA Fees Actual'!$A$5:$A$882&gt;=BK$3)*('PA Fees Actual'!$A$5:$A$882&lt;=EOMONTH(BK$3,0))*'PA Fees Actual'!$D$5:$D$882),BK$3&gt;=EOMONTH($X23,-1)+1,$Y23,TRUE,0)</f>
        <v>463.32999999999976</v>
      </c>
      <c r="BL23" s="202" cm="1">
        <f t="array" ref="BL23">_xlfn.IFS(BL$3&lt;$B$2,SUMPRODUCT(('PA Fees Actual'!$B$5:$B$882=$E23)*('PA Fees Actual'!$A$5:$A$882&gt;=BL$3)*('PA Fees Actual'!$A$5:$A$882&lt;=EOMONTH(BL$3,0))*'PA Fees Actual'!$D$5:$D$882),BL$3&gt;=EOMONTH($X23,-1)+1,$Y23,TRUE,0)</f>
        <v>2443.9099999999994</v>
      </c>
      <c r="BM23" s="202" cm="1">
        <f t="array" ref="BM23">_xlfn.IFS(BM$3&lt;$B$2,SUMPRODUCT(('PA Fees Actual'!$B$5:$B$882=$E23)*('PA Fees Actual'!$A$5:$A$882&gt;=BM$3)*('PA Fees Actual'!$A$5:$A$882&lt;=EOMONTH(BM$3,0))*'PA Fees Actual'!$D$5:$D$882),BM$3&gt;=EOMONTH($X23,-1)+1,$Y23,TRUE,0)</f>
        <v>945.36</v>
      </c>
      <c r="BN23" s="202" cm="1">
        <f t="array" ref="BN23">_xlfn.IFS(BN$3&lt;$B$2,SUMPRODUCT(('PA Fees Actual'!$B$5:$B$882=$E23)*('PA Fees Actual'!$A$5:$A$882&gt;=BN$3)*('PA Fees Actual'!$A$5:$A$882&lt;=EOMONTH(BN$3,0))*'PA Fees Actual'!$D$5:$D$882),BN$3&gt;=EOMONTH($X23,-1)+1,$Y23,TRUE,0)</f>
        <v>4167.08</v>
      </c>
      <c r="BO23" s="202" cm="1">
        <f t="array" ref="BO23">_xlfn.IFS(BO$3&lt;$B$2,SUMPRODUCT(('PA Fees Actual'!$B$5:$B$882=$E23)*('PA Fees Actual'!$A$5:$A$882&gt;=BO$3)*('PA Fees Actual'!$A$5:$A$882&lt;=EOMONTH(BO$3,0))*'PA Fees Actual'!$D$5:$D$882),BO$3&gt;=EOMONTH($X23,-1)+1,$Y23,TRUE,0)</f>
        <v>351.65</v>
      </c>
      <c r="BP23" s="202" cm="1">
        <f t="array" ref="BP23">_xlfn.IFS(BP$3&lt;$B$2,SUMPRODUCT(('PA Fees Actual'!$B$5:$B$882=$E23)*('PA Fees Actual'!$A$5:$A$882&gt;=BP$3)*('PA Fees Actual'!$A$5:$A$882&lt;=EOMONTH(BP$3,0))*'PA Fees Actual'!$D$5:$D$882),BP$3&gt;=EOMONTH($X23,-1)+1,$Y23,TRUE,0)</f>
        <v>3143.35</v>
      </c>
      <c r="BQ23" s="202" cm="1">
        <f t="array" ref="BQ23">_xlfn.IFS(BQ$3&lt;$B$2,SUMPRODUCT(('PA Fees Actual'!$B$5:$B$882=$E23)*('PA Fees Actual'!$A$5:$A$882&gt;=BQ$3)*('PA Fees Actual'!$A$5:$A$882&lt;=EOMONTH(BQ$3,0))*'PA Fees Actual'!$D$5:$D$882),BQ$3&gt;=EOMONTH($X23,-1)+1,$Y23,TRUE,0)</f>
        <v>865.93</v>
      </c>
      <c r="BR23" s="202" cm="1">
        <f t="array" ref="BR23">_xlfn.IFS(BR$3&lt;$B$2,SUMPRODUCT(('PA Fees Actual'!$B$5:$B$882=$E23)*('PA Fees Actual'!$A$5:$A$882&gt;=BR$3)*('PA Fees Actual'!$A$5:$A$882&lt;=EOMONTH(BR$3,0))*'PA Fees Actual'!$D$5:$D$882),BR$3&gt;=EOMONTH($X23,-1)+1,$Y23,TRUE,0)</f>
        <v>3773.1900000000005</v>
      </c>
      <c r="BS23" s="202" cm="1">
        <f t="array" ref="BS23">_xlfn.IFS(BS$3&lt;$B$2,SUMPRODUCT(('PA Fees Actual'!$B$5:$B$882=$E23)*('PA Fees Actual'!$A$5:$A$882&gt;=BS$3)*('PA Fees Actual'!$A$5:$A$882&lt;=EOMONTH(BS$3,0))*'PA Fees Actual'!$D$5:$D$882),BS$3&gt;=EOMONTH($X23,-1)+1,$Y23,TRUE,0)</f>
        <v>1949.61</v>
      </c>
      <c r="BT23" s="202" cm="1">
        <f t="array" ref="BT23">_xlfn.IFS(BT$3&lt;$B$2,SUMPRODUCT(('PA Fees Actual'!$B$5:$B$882=$E23)*('PA Fees Actual'!$A$5:$A$882&gt;=BT$3)*('PA Fees Actual'!$A$5:$A$882&lt;=EOMONTH(BT$3,0))*'PA Fees Actual'!$D$5:$D$882),BT$3&gt;=EOMONTH($X23,-1)+1,$Y23,TRUE,0)</f>
        <v>1734.7600000000002</v>
      </c>
      <c r="BU23" s="202" cm="1">
        <f t="array" ref="BU23">_xlfn.IFS(BU$3&lt;$B$2,SUMPRODUCT(('PA Fees Actual'!$B$5:$B$882=$E23)*('PA Fees Actual'!$A$5:$A$882&gt;=BU$3)*('PA Fees Actual'!$A$5:$A$882&lt;=EOMONTH(BU$3,0))*'PA Fees Actual'!$D$5:$D$882),BU$3&gt;=EOMONTH($X23,-1)+1,$Y23,TRUE,0)</f>
        <v>1640.95</v>
      </c>
      <c r="BV23" s="202" cm="1">
        <f t="array" ref="BV23">_xlfn.IFS(BV$3&lt;$B$2,SUMPRODUCT(('PA Fees Actual'!$B$5:$B$882=$E23)*('PA Fees Actual'!$A$5:$A$882&gt;=BV$3)*('PA Fees Actual'!$A$5:$A$882&lt;=EOMONTH(BV$3,0))*'PA Fees Actual'!$D$5:$D$882),BV$3&gt;=EOMONTH($X23,-1)+1,$Y23,TRUE,0)</f>
        <v>2369.17</v>
      </c>
      <c r="BW23" s="202" cm="1">
        <f t="array" ref="BW23">_xlfn.IFS(BW$3&lt;$B$2,SUMPRODUCT(('PA Fees Actual'!$B$5:$B$882=$E23)*('PA Fees Actual'!$A$5:$A$882&gt;=BW$3)*('PA Fees Actual'!$A$5:$A$882&lt;=EOMONTH(BW$3,0))*'PA Fees Actual'!$D$5:$D$882),BW$3&gt;=EOMONTH($X23,-1)+1,$Y23,TRUE,0)</f>
        <v>1068.92</v>
      </c>
      <c r="BX23" s="202" cm="1">
        <f t="array" ref="BX23">_xlfn.IFS(BX$3&lt;$B$2,SUMPRODUCT(('PA Fees Actual'!$B$5:$B$882=$E23)*('PA Fees Actual'!$A$5:$A$882&gt;=BX$3)*('PA Fees Actual'!$A$5:$A$882&lt;=EOMONTH(BX$3,0))*'PA Fees Actual'!$D$5:$D$882),BX$3&gt;=EOMONTH($X23,-1)+1,$Y23,TRUE,0)</f>
        <v>1744.7799999999997</v>
      </c>
      <c r="BY23" s="202" cm="1">
        <f t="array" ref="BY23">_xlfn.IFS(BY$3&lt;$B$2,SUMPRODUCT(('PA Fees Actual'!$B$5:$B$882=$E23)*('PA Fees Actual'!$A$5:$A$882&gt;=BY$3)*('PA Fees Actual'!$A$5:$A$882&lt;=EOMONTH(BY$3,0))*'PA Fees Actual'!$D$5:$D$882),BY$3&gt;=EOMONTH($X23,-1)+1,$Y23,TRUE,0)</f>
        <v>2918.13</v>
      </c>
      <c r="BZ23" s="202" cm="1">
        <f t="array" ref="BZ23">_xlfn.IFS(BZ$3&lt;$B$2,SUMPRODUCT(('PA Fees Actual'!$B$5:$B$882=$E23)*('PA Fees Actual'!$A$5:$A$882&gt;=BZ$3)*('PA Fees Actual'!$A$5:$A$882&lt;=EOMONTH(BZ$3,0))*'PA Fees Actual'!$D$5:$D$882),BZ$3&gt;=EOMONTH($X23,-1)+1,$Y23,TRUE,0)</f>
        <v>1413.05</v>
      </c>
      <c r="CA23" s="202" cm="1">
        <f t="array" ref="CA23">_xlfn.IFS(CA$3&lt;$B$2,SUMPRODUCT(('PA Fees Actual'!$B$5:$B$882=$E23)*('PA Fees Actual'!$A$5:$A$882&gt;=CA$3)*('PA Fees Actual'!$A$5:$A$882&lt;=EOMONTH(CA$3,0))*'PA Fees Actual'!$D$5:$D$882),CA$3&gt;=EOMONTH($X23,-1)+1,$Y23,TRUE,0)</f>
        <v>1447.38</v>
      </c>
      <c r="CB23" s="202" cm="1">
        <f t="array" ref="CB23">_xlfn.IFS(CB$3&lt;$B$2,SUMPRODUCT(('PA Fees Actual'!$B$5:$B$882=$E23)*('PA Fees Actual'!$A$5:$A$882&gt;=CB$3)*('PA Fees Actual'!$A$5:$A$882&lt;=EOMONTH(CB$3,0))*'PA Fees Actual'!$D$5:$D$882),CB$3&gt;=EOMONTH($X23,-1)+1,$Y23,TRUE,0)</f>
        <v>1807.6949999999997</v>
      </c>
      <c r="CC23" s="202" cm="1">
        <f t="array" ref="CC23">_xlfn.IFS(CC$3&lt;$B$2,SUMPRODUCT(('PA Fees Actual'!$B$5:$B$882=$E23)*('PA Fees Actual'!$A$5:$A$882&gt;=CC$3)*('PA Fees Actual'!$A$5:$A$882&lt;=EOMONTH(CC$3,0))*'PA Fees Actual'!$D$5:$D$882),CC$3&gt;=EOMONTH($X23,-1)+1,$Y23,TRUE,0)</f>
        <v>1807.6949999999997</v>
      </c>
      <c r="CD23" s="202" cm="1">
        <f t="array" ref="CD23">_xlfn.IFS(CD$3&lt;$B$2,SUMPRODUCT(('PA Fees Actual'!$B$5:$B$882=$E23)*('PA Fees Actual'!$A$5:$A$882&gt;=CD$3)*('PA Fees Actual'!$A$5:$A$882&lt;=EOMONTH(CD$3,0))*'PA Fees Actual'!$D$5:$D$882),CD$3&gt;=EOMONTH($X23,-1)+1,$Y23,TRUE,0)</f>
        <v>1807.6949999999997</v>
      </c>
      <c r="CE23" s="202" cm="1">
        <f t="array" ref="CE23">_xlfn.IFS(CE$3&lt;$B$2,SUMPRODUCT(('PA Fees Actual'!$B$5:$B$882=$E23)*('PA Fees Actual'!$A$5:$A$882&gt;=CE$3)*('PA Fees Actual'!$A$5:$A$882&lt;=EOMONTH(CE$3,0))*'PA Fees Actual'!$D$5:$D$882),CE$3&gt;=EOMONTH($X23,-1)+1,$Y23,TRUE,0)</f>
        <v>1807.6949999999997</v>
      </c>
      <c r="CF23" s="202" cm="1">
        <f t="array" ref="CF23">_xlfn.IFS(CF$3&lt;$B$2,SUMPRODUCT(('PA Fees Actual'!$B$5:$B$882=$E23)*('PA Fees Actual'!$A$5:$A$882&gt;=CF$3)*('PA Fees Actual'!$A$5:$A$882&lt;=EOMONTH(CF$3,0))*'PA Fees Actual'!$D$5:$D$882),CF$3&gt;=EOMONTH($X23,-1)+1,$Y23,TRUE,0)</f>
        <v>1807.6949999999997</v>
      </c>
      <c r="CG23" s="202" cm="1">
        <f t="array" ref="CG23">_xlfn.IFS(CG$3&lt;$B$2,SUMPRODUCT(('PA Fees Actual'!$B$5:$B$882=$E23)*('PA Fees Actual'!$A$5:$A$882&gt;=CG$3)*('PA Fees Actual'!$A$5:$A$882&lt;=EOMONTH(CG$3,0))*'PA Fees Actual'!$D$5:$D$882),CG$3&gt;=EOMONTH($X23,-1)+1,$Y23,TRUE,0)</f>
        <v>1807.6949999999997</v>
      </c>
      <c r="CI23" s="202" cm="1">
        <f t="array" ref="CI23">_xlfn.IFS(CI$3&lt;=YEAR($B$2),SUMPRODUCT(($E$4:$E$79=$E23)*($Z$2:$CG$2=CI$3)*($Z$2:$CG$2&lt;CJ$3)*$Z$4:$CG$79),CI$3&lt;YEAR($X23),0,CI$3=YEAR($X23),DATEDIF($X23,DATE(CI$3,12,31),"m")*$Y23,AND(CI$3&gt;YEAR($X23),CI$3-YEAR($X23)&lt;20),$Y23*12,CI$3-YEAR($X23)=20,DATEDIF(DATE(YEAR($X23),1,1),$X23,"m")*$Y23,CI$3-YEAR($X23)&gt;20,0)</f>
        <v>10664.409999999998</v>
      </c>
      <c r="CJ23" s="202" cm="1">
        <f t="array" ref="CJ23">_xlfn.IFS(CJ$3&lt;=YEAR($B$2),SUMPRODUCT(($E$4:$E$79=$E23)*($Z$2:$CG$2=CJ$3)*($Z$2:$CG$2&lt;CK$3)*$Z$4:$CG$79),CJ$3&lt;YEAR($X23),0,CJ$3=YEAR($X23),DATEDIF($X23,DATE(CJ$3,12,31),"m")*$Y23,AND(CJ$3&gt;YEAR($X23),CJ$3-YEAR($X23)&lt;20),$Y23*12,CJ$3-YEAR($X23)=20,DATEDIF(DATE(YEAR($X23),1,1),$X23,"m")*$Y23,CJ$3-YEAR($X23)&gt;20,0)</f>
        <v>21602.629999999997</v>
      </c>
      <c r="CK23" s="202" cm="1">
        <f t="array" ref="CK23">_xlfn.IFS(CK$3&lt;=YEAR($B$2),SUMPRODUCT(($E$4:$E$79=$E23)*($Z$2:$CG$2=CK$3)*($Z$2:$CG$2&lt;CL$3)*$Z$4:$CG$79),CK$3&lt;YEAR($X23),0,CK$3=YEAR($X23),DATEDIF($X23,DATE(CK$3,12,31),"m")*$Y23,AND(CK$3&gt;YEAR($X23),CK$3-YEAR($X23)&lt;20),$Y23*12,CK$3-YEAR($X23)=20,DATEDIF(DATE(YEAR($X23),1,1),$X23,"m")*$Y23,CK$3-YEAR($X23)&gt;20,0)</f>
        <v>22056.78</v>
      </c>
      <c r="CL23" s="202" cm="1">
        <f t="array" ref="CL23">_xlfn.IFS(CL$3&lt;=YEAR($B$2),SUMPRODUCT(($E$4:$E$79=$E23)*($Z$2:$CG$2=CL$3)*($Z$2:$CG$2&lt;CM$3)*$Z$4:$CG$79),CL$3&lt;YEAR($X23),0,CL$3=YEAR($X23),DATEDIF($X23,DATE(CL$3,12,31),"m")*$Y23,AND(CL$3&gt;YEAR($X23),CL$3-YEAR($X23)&lt;20),$Y23*12,CL$3-YEAR($X23)=20,DATEDIF(DATE(YEAR($X23),1,1),$X23,"m")*$Y23,CL$3-YEAR($X23)&gt;20,0)</f>
        <v>24247.280000000002</v>
      </c>
      <c r="CM23" s="202" cm="1">
        <f t="array" ref="CM23">_xlfn.IFS(CM$3&lt;=YEAR($B$2),SUMPRODUCT(($E$4:$E$79=$E23)*($Z$2:$CG$2=CM$3)*($Z$2:$CG$2&lt;CN$3)*$Z$4:$CG$79),CM$3&lt;YEAR($X23),0,CM$3=YEAR($X23),DATEDIF($X23,DATE(CM$3,12,31),"m")*$Y23,AND(CM$3&gt;YEAR($X23),CM$3-YEAR($X23)&lt;20),$Y23*12,CM$3-YEAR($X23)=20,DATEDIF(DATE(YEAR($X23),1,1),$X23,"m")*$Y23,CM$3-YEAR($X23)&gt;20,0)</f>
        <v>21807.599999999999</v>
      </c>
      <c r="CN23" s="202" cm="1">
        <f t="array" ref="CN23">_xlfn.IFS(CN$3&lt;=YEAR($B$2),SUMPRODUCT(($E$4:$E$79=$E23)*($Z$2:$CG$2=CN$3)*($Z$2:$CG$2&lt;CO$3)*$Z$4:$CG$79),CN$3&lt;YEAR($X23),0,CN$3=YEAR($X23),DATEDIF($X23,DATE(CN$3,12,31),"m")*$Y23,AND(CN$3&gt;YEAR($X23),CN$3-YEAR($X23)&lt;20),$Y23*12,CN$3-YEAR($X23)=20,DATEDIF(DATE(YEAR($X23),1,1),$X23,"m")*$Y23,CN$3-YEAR($X23)&gt;20,0)</f>
        <v>21692.339999999997</v>
      </c>
      <c r="CO23" s="202" cm="1">
        <f t="array" ref="CO23">_xlfn.IFS(CO$3&lt;=YEAR($B$2),SUMPRODUCT(($E$4:$E$79=$E23)*($Z$2:$CG$2=CO$3)*($Z$2:$CG$2&lt;CP$3)*$Z$4:$CG$79),CO$3&lt;YEAR($X23),0,CO$3=YEAR($X23),DATEDIF($X23,DATE(CO$3,12,31),"m")*$Y23,AND(CO$3&gt;YEAR($X23),CO$3-YEAR($X23)&lt;20),$Y23*12,CO$3-YEAR($X23)=20,DATEDIF(DATE(YEAR($X23),1,1),$X23,"m")*$Y23,CO$3-YEAR($X23)&gt;20,0)</f>
        <v>21692.339999999997</v>
      </c>
      <c r="CP23" s="202" cm="1">
        <f t="array" ref="CP23">_xlfn.IFS(CP$3&lt;=YEAR($B$2),SUMPRODUCT(($E$4:$E$79=$E23)*($Z$2:$CG$2=CP$3)*($Z$2:$CG$2&lt;CQ$3)*$Z$4:$CG$79),CP$3&lt;YEAR($X23),0,CP$3=YEAR($X23),DATEDIF($X23,DATE(CP$3,12,31),"m")*$Y23,AND(CP$3&gt;YEAR($X23),CP$3-YEAR($X23)&lt;20),$Y23*12,CP$3-YEAR($X23)=20,DATEDIF(DATE(YEAR($X23),1,1),$X23,"m")*$Y23,CP$3-YEAR($X23)&gt;20,0)</f>
        <v>21692.339999999997</v>
      </c>
      <c r="CQ23" s="202" cm="1">
        <f t="array" ref="CQ23">_xlfn.IFS(CQ$3&lt;=YEAR($B$2),SUMPRODUCT(($E$4:$E$79=$E23)*($Z$2:$CG$2=CQ$3)*($Z$2:$CG$2&lt;CR$3)*$Z$4:$CG$79),CQ$3&lt;YEAR($X23),0,CQ$3=YEAR($X23),DATEDIF($X23,DATE(CQ$3,12,31),"m")*$Y23,AND(CQ$3&gt;YEAR($X23),CQ$3-YEAR($X23)&lt;20),$Y23*12,CQ$3-YEAR($X23)=20,DATEDIF(DATE(YEAR($X23),1,1),$X23,"m")*$Y23,CQ$3-YEAR($X23)&gt;20,0)</f>
        <v>21692.339999999997</v>
      </c>
      <c r="CR23" s="202" cm="1">
        <f t="array" ref="CR23">_xlfn.IFS(CR$3&lt;=YEAR($B$2),SUMPRODUCT(($E$4:$E$79=$E23)*($Z$2:$CG$2=CR$3)*($Z$2:$CG$2&lt;CS$3)*$Z$4:$CG$79),CR$3&lt;YEAR($X23),0,CR$3=YEAR($X23),DATEDIF($X23,DATE(CR$3,12,31),"m")*$Y23,AND(CR$3&gt;YEAR($X23),CR$3-YEAR($X23)&lt;20),$Y23*12,CR$3-YEAR($X23)=20,DATEDIF(DATE(YEAR($X23),1,1),$X23,"m")*$Y23,CR$3-YEAR($X23)&gt;20,0)</f>
        <v>21692.339999999997</v>
      </c>
      <c r="CS23" s="202" cm="1">
        <f t="array" ref="CS23">_xlfn.IFS(CS$3&lt;=YEAR($B$2),SUMPRODUCT(($E$4:$E$79=$E23)*($Z$2:$CG$2=CS$3)*($Z$2:$CG$2&lt;CT$3)*$Z$4:$CG$79),CS$3&lt;YEAR($X23),0,CS$3=YEAR($X23),DATEDIF($X23,DATE(CS$3,12,31),"m")*$Y23,AND(CS$3&gt;YEAR($X23),CS$3-YEAR($X23)&lt;20),$Y23*12,CS$3-YEAR($X23)=20,DATEDIF(DATE(YEAR($X23),1,1),$X23,"m")*$Y23,CS$3-YEAR($X23)&gt;20,0)</f>
        <v>21692.339999999997</v>
      </c>
      <c r="CT23" s="202" cm="1">
        <f t="array" ref="CT23">_xlfn.IFS(CT$3&lt;=YEAR($B$2),SUMPRODUCT(($E$4:$E$79=$E23)*($Z$2:$CG$2=CT$3)*($Z$2:$CG$2&lt;CU$3)*$Z$4:$CG$79),CT$3&lt;YEAR($X23),0,CT$3=YEAR($X23),DATEDIF($X23,DATE(CT$3,12,31),"m")*$Y23,AND(CT$3&gt;YEAR($X23),CT$3-YEAR($X23)&lt;20),$Y23*12,CT$3-YEAR($X23)=20,DATEDIF(DATE(YEAR($X23),1,1),$X23,"m")*$Y23,CT$3-YEAR($X23)&gt;20,0)</f>
        <v>21692.339999999997</v>
      </c>
      <c r="CU23" s="202" cm="1">
        <f t="array" ref="CU23">_xlfn.IFS(CU$3&lt;=YEAR($B$2),SUMPRODUCT(($E$4:$E$79=$E23)*($Z$2:$CG$2=CU$3)*($Z$2:$CG$2&lt;CV$3)*$Z$4:$CG$79),CU$3&lt;YEAR($X23),0,CU$3=YEAR($X23),DATEDIF($X23,DATE(CU$3,12,31),"m")*$Y23,AND(CU$3&gt;YEAR($X23),CU$3-YEAR($X23)&lt;20),$Y23*12,CU$3-YEAR($X23)=20,DATEDIF(DATE(YEAR($X23),1,1),$X23,"m")*$Y23,CU$3-YEAR($X23)&gt;20,0)</f>
        <v>21692.339999999997</v>
      </c>
      <c r="CV23" s="202" cm="1">
        <f t="array" ref="CV23">_xlfn.IFS(CV$3&lt;=YEAR($B$2),SUMPRODUCT(($E$4:$E$79=$E23)*($Z$2:$CG$2=CV$3)*($Z$2:$CG$2&lt;CW$3)*$Z$4:$CG$79),CV$3&lt;YEAR($X23),0,CV$3=YEAR($X23),DATEDIF($X23,DATE(CV$3,12,31),"m")*$Y23,AND(CV$3&gt;YEAR($X23),CV$3-YEAR($X23)&lt;20),$Y23*12,CV$3-YEAR($X23)=20,DATEDIF(DATE(YEAR($X23),1,1),$X23,"m")*$Y23,CV$3-YEAR($X23)&gt;20,0)</f>
        <v>21692.339999999997</v>
      </c>
      <c r="CW23" s="202" cm="1">
        <f t="array" ref="CW23">_xlfn.IFS(CW$3&lt;=YEAR($B$2),SUMPRODUCT(($E$4:$E$79=$E23)*($Z$2:$CG$2=CW$3)*($Z$2:$CG$2&lt;CX$3)*$Z$4:$CG$79),CW$3&lt;YEAR($X23),0,CW$3=YEAR($X23),DATEDIF($X23,DATE(CW$3,12,31),"m")*$Y23,AND(CW$3&gt;YEAR($X23),CW$3-YEAR($X23)&lt;20),$Y23*12,CW$3-YEAR($X23)=20,DATEDIF(DATE(YEAR($X23),1,1),$X23,"m")*$Y23,CW$3-YEAR($X23)&gt;20,0)</f>
        <v>21692.339999999997</v>
      </c>
      <c r="CX23" s="202" cm="1">
        <f t="array" ref="CX23">_xlfn.IFS(CX$3&lt;=YEAR($B$2),SUMPRODUCT(($E$4:$E$79=$E23)*($Z$2:$CG$2=CX$3)*($Z$2:$CG$2&lt;CY$3)*$Z$4:$CG$79),CX$3&lt;YEAR($X23),0,CX$3=YEAR($X23),DATEDIF($X23,DATE(CX$3,12,31),"m")*$Y23,AND(CX$3&gt;YEAR($X23),CX$3-YEAR($X23)&lt;20),$Y23*12,CX$3-YEAR($X23)=20,DATEDIF(DATE(YEAR($X23),1,1),$X23,"m")*$Y23,CX$3-YEAR($X23)&gt;20,0)</f>
        <v>21692.339999999997</v>
      </c>
      <c r="CY23" s="202" cm="1">
        <f t="array" ref="CY23">_xlfn.IFS(CY$3&lt;=YEAR($B$2),SUMPRODUCT(($E$4:$E$79=$E23)*($Z$2:$CG$2=CY$3)*($Z$2:$CG$2&lt;CZ$3)*$Z$4:$CG$79),CY$3&lt;YEAR($X23),0,CY$3=YEAR($X23),DATEDIF($X23,DATE(CY$3,12,31),"m")*$Y23,AND(CY$3&gt;YEAR($X23),CY$3-YEAR($X23)&lt;20),$Y23*12,CY$3-YEAR($X23)=20,DATEDIF(DATE(YEAR($X23),1,1),$X23,"m")*$Y23,CY$3-YEAR($X23)&gt;20,0)</f>
        <v>21692.339999999997</v>
      </c>
      <c r="CZ23" s="202" cm="1">
        <f t="array" ref="CZ23">_xlfn.IFS(CZ$3&lt;=YEAR($B$2),SUMPRODUCT(($E$4:$E$79=$E23)*($Z$2:$CG$2=CZ$3)*($Z$2:$CG$2&lt;DA$3)*$Z$4:$CG$79),CZ$3&lt;YEAR($X23),0,CZ$3=YEAR($X23),DATEDIF($X23,DATE(CZ$3,12,31),"m")*$Y23,AND(CZ$3&gt;YEAR($X23),CZ$3-YEAR($X23)&lt;20),$Y23*12,CZ$3-YEAR($X23)=20,DATEDIF(DATE(YEAR($X23),1,1),$X23,"m")*$Y23,CZ$3-YEAR($X23)&gt;20,0)</f>
        <v>21692.339999999997</v>
      </c>
      <c r="DA23" s="202" cm="1">
        <f t="array" ref="DA23">_xlfn.IFS(DA$3&lt;=YEAR($B$2),SUMPRODUCT(($E$4:$E$79=$E23)*($Z$2:$CG$2=DA$3)*($Z$2:$CG$2&lt;DB$3)*$Z$4:$CG$79),DA$3&lt;YEAR($X23),0,DA$3=YEAR($X23),DATEDIF($X23,DATE(DA$3,12,31),"m")*$Y23,AND(DA$3&gt;YEAR($X23),DA$3-YEAR($X23)&lt;20),$Y23*12,DA$3-YEAR($X23)=20,DATEDIF(DATE(YEAR($X23),1,1),$X23,"m")*$Y23,DA$3-YEAR($X23)&gt;20,0)</f>
        <v>21692.339999999997</v>
      </c>
      <c r="DB23" s="202" cm="1">
        <f t="array" ref="DB23">_xlfn.IFS(DB$3&lt;=YEAR($B$2),SUMPRODUCT(($E$4:$E$79=$E23)*($Z$2:$CG$2=DB$3)*($Z$2:$CG$2&lt;DC$3)*$Z$4:$CG$79),DB$3&lt;YEAR($X23),0,DB$3=YEAR($X23),DATEDIF($X23,DATE(DB$3,12,31),"m")*$Y23,AND(DB$3&gt;YEAR($X23),DB$3-YEAR($X23)&lt;20),$Y23*12,DB$3-YEAR($X23)=20,DATEDIF(DATE(YEAR($X23),1,1),$X23,"m")*$Y23,DB$3-YEAR($X23)&gt;20,0)</f>
        <v>21692.339999999997</v>
      </c>
      <c r="DC23" s="202" cm="1">
        <f t="array" ref="DC23">_xlfn.IFS(DC$3&lt;=YEAR($B$2),SUMPRODUCT(($E$4:$E$79=$E23)*($Z$2:$CG$2=DC$3)*($Z$2:$CG$2&lt;DD$3)*$Z$4:$CG$79),DC$3&lt;YEAR($X23),0,DC$3=YEAR($X23),DATEDIF($X23,DATE(DC$3,12,31),"m")*$Y23,AND(DC$3&gt;YEAR($X23),DC$3-YEAR($X23)&lt;20),$Y23*12,DC$3-YEAR($X23)=20,DATEDIF(DATE(YEAR($X23),1,1),$X23,"m")*$Y23,DC$3-YEAR($X23)&gt;20,0)</f>
        <v>9038.4749999999985</v>
      </c>
      <c r="DD23" s="202" cm="1">
        <f t="array" ref="DD23">_xlfn.IFS(DD$3&lt;=YEAR($B$2),SUMPRODUCT(($E$4:$E$79=$E23)*($Z$2:$CG$2=DD$3)*($Z$2:$CG$2&lt;DE$3)*$Z$4:$CG$79),DD$3&lt;YEAR($X23),0,DD$3=YEAR($X23),DATEDIF($X23,DATE(DD$3,12,31),"m")*$Y23,AND(DD$3&gt;YEAR($X23),DD$3-YEAR($X23)&lt;20),$Y23*12,DD$3-YEAR($X23)=20,DATEDIF(DATE(YEAR($X23),1,1),$X23,"m")*$Y23,DD$3-YEAR($X23)&gt;20,0)</f>
        <v>0</v>
      </c>
      <c r="DE23" s="202" cm="1">
        <f t="array" ref="DE23">_xlfn.IFS(DE$3&lt;=YEAR($B$2),SUMPRODUCT(($E$4:$E$79=$E23)*($Z$2:$CG$2=DE$3)*($Z$2:$CG$2&lt;DF$3)*$Z$4:$CG$79),DE$3&lt;YEAR($X23),0,DE$3=YEAR($X23),DATEDIF($X23,DATE(DE$3,12,31),"m")*$Y23,AND(DE$3&gt;YEAR($X23),DE$3-YEAR($X23)&lt;20),$Y23*12,DE$3-YEAR($X23)=20,DATEDIF(DATE(YEAR($X23),1,1),$X23,"m")*$Y23,DE$3-YEAR($X23)&gt;20,0)</f>
        <v>0</v>
      </c>
      <c r="DF23" s="202" cm="1">
        <f t="array" ref="DF23">_xlfn.IFS(DF$3&lt;=YEAR($B$2),SUMPRODUCT(($E$4:$E$79=$E23)*($Z$2:$CG$2=DF$3)*($Z$2:$CG$2&lt;DG$3)*$Z$4:$CG$79),DF$3&lt;YEAR($X23),0,DF$3=YEAR($X23),DATEDIF($X23,DATE(DF$3,12,31),"m")*$Y23,AND(DF$3&gt;YEAR($X23),DF$3-YEAR($X23)&lt;20),$Y23*12,DF$3-YEAR($X23)=20,DATEDIF(DATE(YEAR($X23),1,1),$X23,"m")*$Y23,DF$3-YEAR($X23)&gt;20,0)</f>
        <v>0</v>
      </c>
      <c r="DG23" s="202" cm="1">
        <f t="array" ref="DG23">_xlfn.IFS(DG$3&lt;=YEAR($B$2),SUMPRODUCT(($E$4:$E$79=$E23)*($Z$2:$CG$2=DG$3)*($Z$2:$CG$2&lt;DH$3)*$Z$4:$CG$79),DG$3&lt;YEAR($X23),0,DG$3=YEAR($X23),DATEDIF($X23,DATE(DG$3,12,31),"m")*$Y23,AND(DG$3&gt;YEAR($X23),DG$3-YEAR($X23)&lt;20),$Y23*12,DG$3-YEAR($X23)=20,DATEDIF(DATE(YEAR($X23),1,1),$X23,"m")*$Y23,DG$3-YEAR($X23)&gt;20,0)</f>
        <v>0</v>
      </c>
      <c r="DH23" s="202" cm="1">
        <f t="array" ref="DH23">_xlfn.IFS(DH$3&lt;=YEAR($B$2),SUMPRODUCT(($E$4:$E$79=$E23)*($Z$2:$CG$2=DH$3)*($Z$2:$CG$2&lt;DI$3)*$Z$4:$CG$79),DH$3&lt;YEAR($X23),0,DH$3=YEAR($X23),DATEDIF($X23,DATE(DH$3,12,31),"m")*$Y23,AND(DH$3&gt;YEAR($X23),DH$3-YEAR($X23)&lt;20),$Y23*12,DH$3-YEAR($X23)=20,DATEDIF(DATE(YEAR($X23),1,1),$X23,"m")*$Y23,DH$3-YEAR($X23)&gt;20,0)</f>
        <v>0</v>
      </c>
      <c r="DI23" s="202" cm="1">
        <f t="array" ref="DI23">_xlfn.IFS(DI$3&lt;=YEAR($B$2),SUMPRODUCT(($E$4:$E$79=$E23)*($Z$2:$CG$2=DI$3)*($Z$2:$CG$2&lt;DJ$3)*$Z$4:$CG$79),DI$3&lt;YEAR($X23),0,DI$3=YEAR($X23),DATEDIF($X23,DATE(DI$3,12,31),"m")*$Y23,AND(DI$3&gt;YEAR($X23),DI$3-YEAR($X23)&lt;20),$Y23*12,DI$3-YEAR($X23)=20,DATEDIF(DATE(YEAR($X23),1,1),$X23,"m")*$Y23,DI$3-YEAR($X23)&gt;20,0)</f>
        <v>0</v>
      </c>
      <c r="DJ23" s="202" cm="1">
        <f t="array" ref="DJ23">_xlfn.IFS(DJ$3&lt;=YEAR($B$2),SUMPRODUCT(($E$4:$E$79=$E23)*($Z$2:$CG$2=DJ$3)*($Z$2:$CG$2&lt;DK$3)*$Z$4:$CG$79),DJ$3&lt;YEAR($X23),0,DJ$3=YEAR($X23),DATEDIF($X23,DATE(DJ$3,12,31),"m")*$Y23,AND(DJ$3&gt;YEAR($X23),DJ$3-YEAR($X23)&lt;20),$Y23*12,DJ$3-YEAR($X23)=20,DATEDIF(DATE(YEAR($X23),1,1),$X23,"m")*$Y23,DJ$3-YEAR($X23)&gt;20,0)</f>
        <v>0</v>
      </c>
      <c r="DK23" s="202" cm="1">
        <f t="array" ref="DK23">_xlfn.IFS(DK$3&lt;=YEAR($B$2),SUMPRODUCT(($E$4:$E$79=$E23)*($Z$2:$CG$2=DK$3)*($Z$2:$CG$2&lt;DL$3)*$Z$4:$CG$79),DK$3&lt;YEAR($X23),0,DK$3=YEAR($X23),DATEDIF($X23,DATE(DK$3,12,31),"m")*$Y23,AND(DK$3&gt;YEAR($X23),DK$3-YEAR($X23)&lt;20),$Y23*12,DK$3-YEAR($X23)=20,DATEDIF(DATE(YEAR($X23),1,1),$X23,"m")*$Y23,DK$3-YEAR($X23)&gt;20,0)</f>
        <v>0</v>
      </c>
      <c r="DL23" s="202" cm="1">
        <f t="array" ref="DL23">_xlfn.IFS(DL$3&lt;=YEAR($B$2),SUMPRODUCT(($E$4:$E$79=$E23)*($Z$2:$CG$2=DL$3)*($Z$2:$CG$2&lt;DM$3)*$Z$4:$CG$79),DL$3&lt;YEAR($X23),0,DL$3=YEAR($X23),DATEDIF($X23,DATE(DL$3,12,31),"m")*$Y23,AND(DL$3&gt;YEAR($X23),DL$3-YEAR($X23)&lt;20),$Y23*12,DL$3-YEAR($X23)=20,DATEDIF(DATE(YEAR($X23),1,1),$X23,"m")*$Y23,DL$3-YEAR($X23)&gt;20,0)</f>
        <v>0</v>
      </c>
      <c r="DO23" s="166">
        <f t="shared" si="26"/>
        <v>2032</v>
      </c>
      <c r="DP23" s="158">
        <v>660421.95000000019</v>
      </c>
      <c r="DQ23" s="158">
        <v>462971.99729999999</v>
      </c>
      <c r="DR23" s="158">
        <v>25576.5</v>
      </c>
      <c r="DS23" s="158">
        <f t="shared" si="27"/>
        <v>1148970.4473000001</v>
      </c>
    </row>
    <row r="24" spans="1:636">
      <c r="A24" s="155" t="str" cm="1">
        <f t="array" ref="A24">INDEX('Monthly Report July 2025'!C:C,MATCH(E24,'Monthly Report July 2025'!E:E,0),0)</f>
        <v>OCS019</v>
      </c>
      <c r="B24" s="155" t="str" cm="1">
        <f t="array" ref="B24">_xlfn.IFS(LEFT(E24,3)="PGE","PGE",LEFT(E24,2)="PP","PAC",TRUE,"IP")</f>
        <v>PAC</v>
      </c>
      <c r="C24" s="155" t="str">
        <f>IF(ISNA(MATCH(E24,'Monthly Report July 2025'!E:E,0)),"Missing","Present")</f>
        <v>Present</v>
      </c>
      <c r="D24" s="155" t="str">
        <f>IF(ISNA(MATCH(E24,'Project Operational Timelines'!C:C,0))=TRUE,"Missing","Present")</f>
        <v>Present</v>
      </c>
      <c r="E24" s="155" t="s">
        <v>132</v>
      </c>
      <c r="F24" s="155" t="str" cm="1">
        <f t="array" ref="F24">INDEX('Monthly Report July 2025'!F:F,MATCH(E24,'Monthly Report July 2025'!E:E,),0)</f>
        <v>Wocus Marsh Solar</v>
      </c>
      <c r="G24" s="155" t="str" cm="1">
        <f t="array" ref="G24">_xlfn.IFS(INDEX('Monthly Report July 2025'!O:O,MATCH(E24,'Monthly Report July 2025'!E:E,0),0)="Operational","Operational",INDEX('Monthly Report July 2025'!O:O,MATCH(E24,'Monthly Report July 2025'!E:E,0),0)="Certified","Certified",TRUE,"Pre-Certified")</f>
        <v>Operational</v>
      </c>
      <c r="H24" s="155" t="str" cm="1">
        <f t="array" ref="H24">INDEX('Monthly Report July 2025'!H:H,MATCH($E24,'Monthly Report July 2025'!$E:$E,0),0)</f>
        <v>TLS Capital</v>
      </c>
      <c r="I24" s="155" t="str" cm="1">
        <f t="array" ref="I24">INDEX('Monthly Report July 2025'!I:I,MATCH($E24,'Monthly Report July 2025'!$E:$E,0),0)</f>
        <v>TLS Capital</v>
      </c>
      <c r="J24" s="174" cm="1">
        <f t="array" ref="J24">INDEX('Monthly Report July 2025'!J:J,MATCH($E24,'Monthly Report July 2025'!$E:$E,0),0)</f>
        <v>1</v>
      </c>
      <c r="K24" s="174" t="str" cm="1">
        <f t="array" ref="K24">INDEX('Monthly Report July 2025'!K:K,MATCH($E24,'Monthly Report July 2025'!$E:$E,0),0)</f>
        <v>No</v>
      </c>
      <c r="L24" s="174" t="b" cm="1">
        <f t="array" ref="L24">INDEX('Monthly Report July 2025'!L:L,MATCH(E24,'Monthly Report July 2025'!E:E,0),0)=M24</f>
        <v>1</v>
      </c>
      <c r="M24" s="273" cm="1">
        <f t="array" ref="M24">INDEX('Monthly Report July 2025'!L:L,MATCH($E24,'Monthly Report July 2025'!$E:$E,0),0)</f>
        <v>882</v>
      </c>
      <c r="N24" s="175" cm="1">
        <f t="array" ref="N24">INDEX('Monthly Report July 2025'!M:M,MATCH($E24,'Monthly Report July 2025'!$E:$E,0),0)</f>
        <v>44306</v>
      </c>
      <c r="O24" s="175" t="str" cm="1">
        <f t="array" ref="O24">_xlfn.IFS(G24="Operational","Operational",G24="Certified","Certified",TRUE,INDEX('Monthly Report July 2025'!O:O,MATCH(E24,'Monthly Report July 2025'!E:E,0),0))</f>
        <v>Operational</v>
      </c>
      <c r="P24" s="175" t="b" cm="1">
        <f t="array" ref="P24">_xlfn.IFS(G24="Operational",O24="Operational",G24="Certified",O24="Certified",TRUE,G24="Pre-Certified")</f>
        <v>1</v>
      </c>
      <c r="Q24" s="175" cm="1">
        <f t="array" ref="Q24">IF(O24="Operational",INDEX('Monthly Report July 2025'!R:R,MATCH(E24,'Monthly Report July 2025'!E:E,0),0),"")</f>
        <v>45139</v>
      </c>
      <c r="R24" s="175" cm="1">
        <f t="array" ref="R24">INDEX('Monthly Report July 2025'!P:P,MATCH(E24,'Monthly Report July 2025'!E:E,0),0)</f>
        <v>44909</v>
      </c>
      <c r="S24" s="175" t="b">
        <f t="shared" si="5"/>
        <v>1</v>
      </c>
      <c r="T24" s="175" cm="1">
        <f t="array" ref="T24">INDEX('Monthly Report July 2025'!U:U,MATCH(E24,'Monthly Report July 2025'!E:E,0),0)</f>
        <v>44788</v>
      </c>
      <c r="U24" s="175" t="str">
        <f t="shared" si="6"/>
        <v>IGNORE</v>
      </c>
      <c r="V24" s="156">
        <f t="shared" si="7"/>
        <v>44909</v>
      </c>
      <c r="W24" s="156" cm="1">
        <f t="array" ref="W24">_xlfn.IFS(U24=TRUE,EDATE(O24,6),U24=FALSE,T24,O24="Operational",Q24,AND(O24="Certified",EDATE(R24,6)&gt;T24),EDATE(R24,6),TRUE,T24)</f>
        <v>45139</v>
      </c>
      <c r="X24" s="156">
        <f t="shared" si="8"/>
        <v>45200</v>
      </c>
      <c r="Y24" s="157">
        <f t="shared" si="9"/>
        <v>637.24499999999989</v>
      </c>
      <c r="Z24" s="202" cm="1">
        <f t="array" ref="Z24">_xlfn.IFS(Z$3&lt;$B$2,SUMPRODUCT(('PA Fees Actual'!$B$5:$B$882=$E24)*('PA Fees Actual'!$A$5:$A$882&gt;=Z$3)*('PA Fees Actual'!$A$5:$A$882&lt;=EOMONTH(Z$3,0))*'PA Fees Actual'!$D$5:$D$882),Z$3&gt;=EOMONTH($X24,-1)+1,$Y24,TRUE,0)</f>
        <v>0</v>
      </c>
      <c r="AA24" s="202" cm="1">
        <f t="array" ref="AA24">_xlfn.IFS(AA$3&lt;$B$2,SUMPRODUCT(('PA Fees Actual'!$B$5:$B$882=$E24)*('PA Fees Actual'!$A$5:$A$882&gt;=AA$3)*('PA Fees Actual'!$A$5:$A$882&lt;=EOMONTH(AA$3,0))*'PA Fees Actual'!$D$5:$D$882),AA$3&gt;=EOMONTH($X24,-1)+1,$Y24,TRUE,0)</f>
        <v>0</v>
      </c>
      <c r="AB24" s="202" cm="1">
        <f t="array" ref="AB24">_xlfn.IFS(AB$3&lt;$B$2,SUMPRODUCT(('PA Fees Actual'!$B$5:$B$882=$E24)*('PA Fees Actual'!$A$5:$A$882&gt;=AB$3)*('PA Fees Actual'!$A$5:$A$882&lt;=EOMONTH(AB$3,0))*'PA Fees Actual'!$D$5:$D$882),AB$3&gt;=EOMONTH($X24,-1)+1,$Y24,TRUE,0)</f>
        <v>0</v>
      </c>
      <c r="AC24" s="202" cm="1">
        <f t="array" ref="AC24">_xlfn.IFS(AC$3&lt;$B$2,SUMPRODUCT(('PA Fees Actual'!$B$5:$B$882=$E24)*('PA Fees Actual'!$A$5:$A$882&gt;=AC$3)*('PA Fees Actual'!$A$5:$A$882&lt;=EOMONTH(AC$3,0))*'PA Fees Actual'!$D$5:$D$882),AC$3&gt;=EOMONTH($X24,-1)+1,$Y24,TRUE,0)</f>
        <v>0</v>
      </c>
      <c r="AD24" s="202" cm="1">
        <f t="array" ref="AD24">_xlfn.IFS(AD$3&lt;$B$2,SUMPRODUCT(('PA Fees Actual'!$B$5:$B$882=$E24)*('PA Fees Actual'!$A$5:$A$882&gt;=AD$3)*('PA Fees Actual'!$A$5:$A$882&lt;=EOMONTH(AD$3,0))*'PA Fees Actual'!$D$5:$D$882),AD$3&gt;=EOMONTH($X24,-1)+1,$Y24,TRUE,0)</f>
        <v>0</v>
      </c>
      <c r="AE24" s="202" cm="1">
        <f t="array" ref="AE24">_xlfn.IFS(AE$3&lt;$B$2,SUMPRODUCT(('PA Fees Actual'!$B$5:$B$882=$E24)*('PA Fees Actual'!$A$5:$A$882&gt;=AE$3)*('PA Fees Actual'!$A$5:$A$882&lt;=EOMONTH(AE$3,0))*'PA Fees Actual'!$D$5:$D$882),AE$3&gt;=EOMONTH($X24,-1)+1,$Y24,TRUE,0)</f>
        <v>0</v>
      </c>
      <c r="AF24" s="202" cm="1">
        <f t="array" ref="AF24">_xlfn.IFS(AF$3&lt;$B$2,SUMPRODUCT(('PA Fees Actual'!$B$5:$B$882=$E24)*('PA Fees Actual'!$A$5:$A$882&gt;=AF$3)*('PA Fees Actual'!$A$5:$A$882&lt;=EOMONTH(AF$3,0))*'PA Fees Actual'!$D$5:$D$882),AF$3&gt;=EOMONTH($X24,-1)+1,$Y24,TRUE,0)</f>
        <v>0</v>
      </c>
      <c r="AG24" s="202" cm="1">
        <f t="array" ref="AG24">_xlfn.IFS(AG$3&lt;$B$2,SUMPRODUCT(('PA Fees Actual'!$B$5:$B$882=$E24)*('PA Fees Actual'!$A$5:$A$882&gt;=AG$3)*('PA Fees Actual'!$A$5:$A$882&lt;=EOMONTH(AG$3,0))*'PA Fees Actual'!$D$5:$D$882),AG$3&gt;=EOMONTH($X24,-1)+1,$Y24,TRUE,0)</f>
        <v>0</v>
      </c>
      <c r="AH24" s="202" cm="1">
        <f t="array" ref="AH24">_xlfn.IFS(AH$3&lt;$B$2,SUMPRODUCT(('PA Fees Actual'!$B$5:$B$882=$E24)*('PA Fees Actual'!$A$5:$A$882&gt;=AH$3)*('PA Fees Actual'!$A$5:$A$882&lt;=EOMONTH(AH$3,0))*'PA Fees Actual'!$D$5:$D$882),AH$3&gt;=EOMONTH($X24,-1)+1,$Y24,TRUE,0)</f>
        <v>0</v>
      </c>
      <c r="AI24" s="202" cm="1">
        <f t="array" ref="AI24">_xlfn.IFS(AI$3&lt;$B$2,SUMPRODUCT(('PA Fees Actual'!$B$5:$B$882=$E24)*('PA Fees Actual'!$A$5:$A$882&gt;=AI$3)*('PA Fees Actual'!$A$5:$A$882&lt;=EOMONTH(AI$3,0))*'PA Fees Actual'!$D$5:$D$882),AI$3&gt;=EOMONTH($X24,-1)+1,$Y24,TRUE,0)</f>
        <v>0</v>
      </c>
      <c r="AJ24" s="202" cm="1">
        <f t="array" ref="AJ24">_xlfn.IFS(AJ$3&lt;$B$2,SUMPRODUCT(('PA Fees Actual'!$B$5:$B$882=$E24)*('PA Fees Actual'!$A$5:$A$882&gt;=AJ$3)*('PA Fees Actual'!$A$5:$A$882&lt;=EOMONTH(AJ$3,0))*'PA Fees Actual'!$D$5:$D$882),AJ$3&gt;=EOMONTH($X24,-1)+1,$Y24,TRUE,0)</f>
        <v>0</v>
      </c>
      <c r="AK24" s="202" cm="1">
        <f t="array" ref="AK24">_xlfn.IFS(AK$3&lt;$B$2,SUMPRODUCT(('PA Fees Actual'!$B$5:$B$882=$E24)*('PA Fees Actual'!$A$5:$A$882&gt;=AK$3)*('PA Fees Actual'!$A$5:$A$882&lt;=EOMONTH(AK$3,0))*'PA Fees Actual'!$D$5:$D$882),AK$3&gt;=EOMONTH($X24,-1)+1,$Y24,TRUE,0)</f>
        <v>0</v>
      </c>
      <c r="AL24" s="202" cm="1">
        <f t="array" ref="AL24">_xlfn.IFS(AL$3&lt;$B$2,SUMPRODUCT(('PA Fees Actual'!$B$5:$B$882=$E24)*('PA Fees Actual'!$A$5:$A$882&gt;=AL$3)*('PA Fees Actual'!$A$5:$A$882&lt;=EOMONTH(AL$3,0))*'PA Fees Actual'!$D$5:$D$882),AL$3&gt;=EOMONTH($X24,-1)+1,$Y24,TRUE,0)</f>
        <v>0</v>
      </c>
      <c r="AM24" s="202" cm="1">
        <f t="array" ref="AM24">_xlfn.IFS(AM$3&lt;$B$2,SUMPRODUCT(('PA Fees Actual'!$B$5:$B$882=$E24)*('PA Fees Actual'!$A$5:$A$882&gt;=AM$3)*('PA Fees Actual'!$A$5:$A$882&lt;=EOMONTH(AM$3,0))*'PA Fees Actual'!$D$5:$D$882),AM$3&gt;=EOMONTH($X24,-1)+1,$Y24,TRUE,0)</f>
        <v>0</v>
      </c>
      <c r="AN24" s="202" cm="1">
        <f t="array" ref="AN24">_xlfn.IFS(AN$3&lt;$B$2,SUMPRODUCT(('PA Fees Actual'!$B$5:$B$882=$E24)*('PA Fees Actual'!$A$5:$A$882&gt;=AN$3)*('PA Fees Actual'!$A$5:$A$882&lt;=EOMONTH(AN$3,0))*'PA Fees Actual'!$D$5:$D$882),AN$3&gt;=EOMONTH($X24,-1)+1,$Y24,TRUE,0)</f>
        <v>0</v>
      </c>
      <c r="AO24" s="202" cm="1">
        <f t="array" ref="AO24">_xlfn.IFS(AO$3&lt;$B$2,SUMPRODUCT(('PA Fees Actual'!$B$5:$B$882=$E24)*('PA Fees Actual'!$A$5:$A$882&gt;=AO$3)*('PA Fees Actual'!$A$5:$A$882&lt;=EOMONTH(AO$3,0))*'PA Fees Actual'!$D$5:$D$882),AO$3&gt;=EOMONTH($X24,-1)+1,$Y24,TRUE,0)</f>
        <v>0</v>
      </c>
      <c r="AP24" s="202" cm="1">
        <f t="array" ref="AP24">_xlfn.IFS(AP$3&lt;$B$2,SUMPRODUCT(('PA Fees Actual'!$B$5:$B$882=$E24)*('PA Fees Actual'!$A$5:$A$882&gt;=AP$3)*('PA Fees Actual'!$A$5:$A$882&lt;=EOMONTH(AP$3,0))*'PA Fees Actual'!$D$5:$D$882),AP$3&gt;=EOMONTH($X24,-1)+1,$Y24,TRUE,0)</f>
        <v>0</v>
      </c>
      <c r="AQ24" s="202" cm="1">
        <f t="array" ref="AQ24">_xlfn.IFS(AQ$3&lt;$B$2,SUMPRODUCT(('PA Fees Actual'!$B$5:$B$882=$E24)*('PA Fees Actual'!$A$5:$A$882&gt;=AQ$3)*('PA Fees Actual'!$A$5:$A$882&lt;=EOMONTH(AQ$3,0))*'PA Fees Actual'!$D$5:$D$882),AQ$3&gt;=EOMONTH($X24,-1)+1,$Y24,TRUE,0)</f>
        <v>0</v>
      </c>
      <c r="AR24" s="202" cm="1">
        <f t="array" ref="AR24">_xlfn.IFS(AR$3&lt;$B$2,SUMPRODUCT(('PA Fees Actual'!$B$5:$B$882=$E24)*('PA Fees Actual'!$A$5:$A$882&gt;=AR$3)*('PA Fees Actual'!$A$5:$A$882&lt;=EOMONTH(AR$3,0))*'PA Fees Actual'!$D$5:$D$882),AR$3&gt;=EOMONTH($X24,-1)+1,$Y24,TRUE,0)</f>
        <v>0</v>
      </c>
      <c r="AS24" s="202" cm="1">
        <f t="array" ref="AS24">_xlfn.IFS(AS$3&lt;$B$2,SUMPRODUCT(('PA Fees Actual'!$B$5:$B$882=$E24)*('PA Fees Actual'!$A$5:$A$882&gt;=AS$3)*('PA Fees Actual'!$A$5:$A$882&lt;=EOMONTH(AS$3,0))*'PA Fees Actual'!$D$5:$D$882),AS$3&gt;=EOMONTH($X24,-1)+1,$Y24,TRUE,0)</f>
        <v>0</v>
      </c>
      <c r="AT24" s="202" cm="1">
        <f t="array" ref="AT24">_xlfn.IFS(AT$3&lt;$B$2,SUMPRODUCT(('PA Fees Actual'!$B$5:$B$882=$E24)*('PA Fees Actual'!$A$5:$A$882&gt;=AT$3)*('PA Fees Actual'!$A$5:$A$882&lt;=EOMONTH(AT$3,0))*'PA Fees Actual'!$D$5:$D$882),AT$3&gt;=EOMONTH($X24,-1)+1,$Y24,TRUE,0)</f>
        <v>0</v>
      </c>
      <c r="AU24" s="202" cm="1">
        <f t="array" ref="AU24">_xlfn.IFS(AU$3&lt;$B$2,SUMPRODUCT(('PA Fees Actual'!$B$5:$B$882=$E24)*('PA Fees Actual'!$A$5:$A$882&gt;=AU$3)*('PA Fees Actual'!$A$5:$A$882&lt;=EOMONTH(AU$3,0))*'PA Fees Actual'!$D$5:$D$882),AU$3&gt;=EOMONTH($X24,-1)+1,$Y24,TRUE,0)</f>
        <v>0</v>
      </c>
      <c r="AV24" s="202" cm="1">
        <f t="array" ref="AV24">_xlfn.IFS(AV$3&lt;$B$2,SUMPRODUCT(('PA Fees Actual'!$B$5:$B$882=$E24)*('PA Fees Actual'!$A$5:$A$882&gt;=AV$3)*('PA Fees Actual'!$A$5:$A$882&lt;=EOMONTH(AV$3,0))*'PA Fees Actual'!$D$5:$D$882),AV$3&gt;=EOMONTH($X24,-1)+1,$Y24,TRUE,0)</f>
        <v>0</v>
      </c>
      <c r="AW24" s="202" cm="1">
        <f t="array" ref="AW24">_xlfn.IFS(AW$3&lt;$B$2,SUMPRODUCT(('PA Fees Actual'!$B$5:$B$882=$E24)*('PA Fees Actual'!$A$5:$A$882&gt;=AW$3)*('PA Fees Actual'!$A$5:$A$882&lt;=EOMONTH(AW$3,0))*'PA Fees Actual'!$D$5:$D$882),AW$3&gt;=EOMONTH($X24,-1)+1,$Y24,TRUE,0)</f>
        <v>0</v>
      </c>
      <c r="AX24" s="202" cm="1">
        <f t="array" ref="AX24">_xlfn.IFS(AX$3&lt;$B$2,SUMPRODUCT(('PA Fees Actual'!$B$5:$B$882=$E24)*('PA Fees Actual'!$A$5:$A$882&gt;=AX$3)*('PA Fees Actual'!$A$5:$A$882&lt;=EOMONTH(AX$3,0))*'PA Fees Actual'!$D$5:$D$882),AX$3&gt;=EOMONTH($X24,-1)+1,$Y24,TRUE,0)</f>
        <v>0</v>
      </c>
      <c r="AY24" s="202" cm="1">
        <f t="array" ref="AY24">_xlfn.IFS(AY$3&lt;$B$2,SUMPRODUCT(('PA Fees Actual'!$B$5:$B$882=$E24)*('PA Fees Actual'!$A$5:$A$882&gt;=AY$3)*('PA Fees Actual'!$A$5:$A$882&lt;=EOMONTH(AY$3,0))*'PA Fees Actual'!$D$5:$D$882),AY$3&gt;=EOMONTH($X24,-1)+1,$Y24,TRUE,0)</f>
        <v>0</v>
      </c>
      <c r="AZ24" s="202" cm="1">
        <f t="array" ref="AZ24">_xlfn.IFS(AZ$3&lt;$B$2,SUMPRODUCT(('PA Fees Actual'!$B$5:$B$882=$E24)*('PA Fees Actual'!$A$5:$A$882&gt;=AZ$3)*('PA Fees Actual'!$A$5:$A$882&lt;=EOMONTH(AZ$3,0))*'PA Fees Actual'!$D$5:$D$882),AZ$3&gt;=EOMONTH($X24,-1)+1,$Y24,TRUE,0)</f>
        <v>0</v>
      </c>
      <c r="BA24" s="202" cm="1">
        <f t="array" ref="BA24">_xlfn.IFS(BA$3&lt;$B$2,SUMPRODUCT(('PA Fees Actual'!$B$5:$B$882=$E24)*('PA Fees Actual'!$A$5:$A$882&gt;=BA$3)*('PA Fees Actual'!$A$5:$A$882&lt;=EOMONTH(BA$3,0))*'PA Fees Actual'!$D$5:$D$882),BA$3&gt;=EOMONTH($X24,-1)+1,$Y24,TRUE,0)</f>
        <v>0</v>
      </c>
      <c r="BB24" s="202" cm="1">
        <f t="array" ref="BB24">_xlfn.IFS(BB$3&lt;$B$2,SUMPRODUCT(('PA Fees Actual'!$B$5:$B$882=$E24)*('PA Fees Actual'!$A$5:$A$882&gt;=BB$3)*('PA Fees Actual'!$A$5:$A$882&lt;=EOMONTH(BB$3,0))*'PA Fees Actual'!$D$5:$D$882),BB$3&gt;=EOMONTH($X24,-1)+1,$Y24,TRUE,0)</f>
        <v>0</v>
      </c>
      <c r="BC24" s="202" cm="1">
        <f t="array" ref="BC24">_xlfn.IFS(BC$3&lt;$B$2,SUMPRODUCT(('PA Fees Actual'!$B$5:$B$882=$E24)*('PA Fees Actual'!$A$5:$A$882&gt;=BC$3)*('PA Fees Actual'!$A$5:$A$882&lt;=EOMONTH(BC$3,0))*'PA Fees Actual'!$D$5:$D$882),BC$3&gt;=EOMONTH($X24,-1)+1,$Y24,TRUE,0)</f>
        <v>0</v>
      </c>
      <c r="BD24" s="202" cm="1">
        <f t="array" ref="BD24">_xlfn.IFS(BD$3&lt;$B$2,SUMPRODUCT(('PA Fees Actual'!$B$5:$B$882=$E24)*('PA Fees Actual'!$A$5:$A$882&gt;=BD$3)*('PA Fees Actual'!$A$5:$A$882&lt;=EOMONTH(BD$3,0))*'PA Fees Actual'!$D$5:$D$882),BD$3&gt;=EOMONTH($X24,-1)+1,$Y24,TRUE,0)</f>
        <v>0</v>
      </c>
      <c r="BE24" s="202" cm="1">
        <f t="array" ref="BE24">_xlfn.IFS(BE$3&lt;$B$2,SUMPRODUCT(('PA Fees Actual'!$B$5:$B$882=$E24)*('PA Fees Actual'!$A$5:$A$882&gt;=BE$3)*('PA Fees Actual'!$A$5:$A$882&lt;=EOMONTH(BE$3,0))*'PA Fees Actual'!$D$5:$D$882),BE$3&gt;=EOMONTH($X24,-1)+1,$Y24,TRUE,0)</f>
        <v>0</v>
      </c>
      <c r="BF24" s="202" cm="1">
        <f t="array" ref="BF24">_xlfn.IFS(BF$3&lt;$B$2,SUMPRODUCT(('PA Fees Actual'!$B$5:$B$882=$E24)*('PA Fees Actual'!$A$5:$A$882&gt;=BF$3)*('PA Fees Actual'!$A$5:$A$882&lt;=EOMONTH(BF$3,0))*'PA Fees Actual'!$D$5:$D$882),BF$3&gt;=EOMONTH($X24,-1)+1,$Y24,TRUE,0)</f>
        <v>0</v>
      </c>
      <c r="BG24" s="202" cm="1">
        <f t="array" ref="BG24">_xlfn.IFS(BG$3&lt;$B$2,SUMPRODUCT(('PA Fees Actual'!$B$5:$B$882=$E24)*('PA Fees Actual'!$A$5:$A$882&gt;=BG$3)*('PA Fees Actual'!$A$5:$A$882&lt;=EOMONTH(BG$3,0))*'PA Fees Actual'!$D$5:$D$882),BG$3&gt;=EOMONTH($X24,-1)+1,$Y24,TRUE,0)</f>
        <v>654.29</v>
      </c>
      <c r="BH24" s="202" cm="1">
        <f t="array" ref="BH24">_xlfn.IFS(BH$3&lt;$B$2,SUMPRODUCT(('PA Fees Actual'!$B$5:$B$882=$E24)*('PA Fees Actual'!$A$5:$A$882&gt;=BH$3)*('PA Fees Actual'!$A$5:$A$882&lt;=EOMONTH(BH$3,0))*'PA Fees Actual'!$D$5:$D$882),BH$3&gt;=EOMONTH($X24,-1)+1,$Y24,TRUE,0)</f>
        <v>0</v>
      </c>
      <c r="BI24" s="202" cm="1">
        <f t="array" ref="BI24">_xlfn.IFS(BI$3&lt;$B$2,SUMPRODUCT(('PA Fees Actual'!$B$5:$B$882=$E24)*('PA Fees Actual'!$A$5:$A$882&gt;=BI$3)*('PA Fees Actual'!$A$5:$A$882&lt;=EOMONTH(BI$3,0))*'PA Fees Actual'!$D$5:$D$882),BI$3&gt;=EOMONTH($X24,-1)+1,$Y24,TRUE,0)</f>
        <v>0</v>
      </c>
      <c r="BJ24" s="202" cm="1">
        <f t="array" ref="BJ24">_xlfn.IFS(BJ$3&lt;$B$2,SUMPRODUCT(('PA Fees Actual'!$B$5:$B$882=$E24)*('PA Fees Actual'!$A$5:$A$882&gt;=BJ$3)*('PA Fees Actual'!$A$5:$A$882&lt;=EOMONTH(BJ$3,0))*'PA Fees Actual'!$D$5:$D$882),BJ$3&gt;=EOMONTH($X24,-1)+1,$Y24,TRUE,0)</f>
        <v>637.11</v>
      </c>
      <c r="BK24" s="202" cm="1">
        <f t="array" ref="BK24">_xlfn.IFS(BK$3&lt;$B$2,SUMPRODUCT(('PA Fees Actual'!$B$5:$B$882=$E24)*('PA Fees Actual'!$A$5:$A$882&gt;=BK$3)*('PA Fees Actual'!$A$5:$A$882&lt;=EOMONTH(BK$3,0))*'PA Fees Actual'!$D$5:$D$882),BK$3&gt;=EOMONTH($X24,-1)+1,$Y24,TRUE,0)</f>
        <v>0</v>
      </c>
      <c r="BL24" s="202" cm="1">
        <f t="array" ref="BL24">_xlfn.IFS(BL$3&lt;$B$2,SUMPRODUCT(('PA Fees Actual'!$B$5:$B$882=$E24)*('PA Fees Actual'!$A$5:$A$882&gt;=BL$3)*('PA Fees Actual'!$A$5:$A$882&lt;=EOMONTH(BL$3,0))*'PA Fees Actual'!$D$5:$D$882),BL$3&gt;=EOMONTH($X24,-1)+1,$Y24,TRUE,0)</f>
        <v>637.11</v>
      </c>
      <c r="BM24" s="202" cm="1">
        <f t="array" ref="BM24">_xlfn.IFS(BM$3&lt;$B$2,SUMPRODUCT(('PA Fees Actual'!$B$5:$B$882=$E24)*('PA Fees Actual'!$A$5:$A$882&gt;=BM$3)*('PA Fees Actual'!$A$5:$A$882&lt;=EOMONTH(BM$3,0))*'PA Fees Actual'!$D$5:$D$882),BM$3&gt;=EOMONTH($X24,-1)+1,$Y24,TRUE,0)</f>
        <v>637.11</v>
      </c>
      <c r="BN24" s="202" cm="1">
        <f t="array" ref="BN24">_xlfn.IFS(BN$3&lt;$B$2,SUMPRODUCT(('PA Fees Actual'!$B$5:$B$882=$E24)*('PA Fees Actual'!$A$5:$A$882&gt;=BN$3)*('PA Fees Actual'!$A$5:$A$882&lt;=EOMONTH(BN$3,0))*'PA Fees Actual'!$D$5:$D$882),BN$3&gt;=EOMONTH($X24,-1)+1,$Y24,TRUE,0)</f>
        <v>636.51</v>
      </c>
      <c r="BO24" s="202" cm="1">
        <f t="array" ref="BO24">_xlfn.IFS(BO$3&lt;$B$2,SUMPRODUCT(('PA Fees Actual'!$B$5:$B$882=$E24)*('PA Fees Actual'!$A$5:$A$882&gt;=BO$3)*('PA Fees Actual'!$A$5:$A$882&lt;=EOMONTH(BO$3,0))*'PA Fees Actual'!$D$5:$D$882),BO$3&gt;=EOMONTH($X24,-1)+1,$Y24,TRUE,0)</f>
        <v>0</v>
      </c>
      <c r="BP24" s="202" cm="1">
        <f t="array" ref="BP24">_xlfn.IFS(BP$3&lt;$B$2,SUMPRODUCT(('PA Fees Actual'!$B$5:$B$882=$E24)*('PA Fees Actual'!$A$5:$A$882&gt;=BP$3)*('PA Fees Actual'!$A$5:$A$882&lt;=EOMONTH(BP$3,0))*'PA Fees Actual'!$D$5:$D$882),BP$3&gt;=EOMONTH($X24,-1)+1,$Y24,TRUE,0)</f>
        <v>1273.32</v>
      </c>
      <c r="BQ24" s="202" cm="1">
        <f t="array" ref="BQ24">_xlfn.IFS(BQ$3&lt;$B$2,SUMPRODUCT(('PA Fees Actual'!$B$5:$B$882=$E24)*('PA Fees Actual'!$A$5:$A$882&gt;=BQ$3)*('PA Fees Actual'!$A$5:$A$882&lt;=EOMONTH(BQ$3,0))*'PA Fees Actual'!$D$5:$D$882),BQ$3&gt;=EOMONTH($X24,-1)+1,$Y24,TRUE,0)</f>
        <v>1295.8800000000001</v>
      </c>
      <c r="BR24" s="202" cm="1">
        <f t="array" ref="BR24">_xlfn.IFS(BR$3&lt;$B$2,SUMPRODUCT(('PA Fees Actual'!$B$5:$B$882=$E24)*('PA Fees Actual'!$A$5:$A$882&gt;=BR$3)*('PA Fees Actual'!$A$5:$A$882&lt;=EOMONTH(BR$3,0))*'PA Fees Actual'!$D$5:$D$882),BR$3&gt;=EOMONTH($X24,-1)+1,$Y24,TRUE,0)</f>
        <v>0</v>
      </c>
      <c r="BS24" s="202" cm="1">
        <f t="array" ref="BS24">_xlfn.IFS(BS$3&lt;$B$2,SUMPRODUCT(('PA Fees Actual'!$B$5:$B$882=$E24)*('PA Fees Actual'!$A$5:$A$882&gt;=BS$3)*('PA Fees Actual'!$A$5:$A$882&lt;=EOMONTH(BS$3,0))*'PA Fees Actual'!$D$5:$D$882),BS$3&gt;=EOMONTH($X24,-1)+1,$Y24,TRUE,0)</f>
        <v>675.09</v>
      </c>
      <c r="BT24" s="202" cm="1">
        <f t="array" ref="BT24">_xlfn.IFS(BT$3&lt;$B$2,SUMPRODUCT(('PA Fees Actual'!$B$5:$B$882=$E24)*('PA Fees Actual'!$A$5:$A$882&gt;=BT$3)*('PA Fees Actual'!$A$5:$A$882&lt;=EOMONTH(BT$3,0))*'PA Fees Actual'!$D$5:$D$882),BT$3&gt;=EOMONTH($X24,-1)+1,$Y24,TRUE,0)</f>
        <v>668.35</v>
      </c>
      <c r="BU24" s="202" cm="1">
        <f t="array" ref="BU24">_xlfn.IFS(BU$3&lt;$B$2,SUMPRODUCT(('PA Fees Actual'!$B$5:$B$882=$E24)*('PA Fees Actual'!$A$5:$A$882&gt;=BU$3)*('PA Fees Actual'!$A$5:$A$882&lt;=EOMONTH(BU$3,0))*'PA Fees Actual'!$D$5:$D$882),BU$3&gt;=EOMONTH($X24,-1)+1,$Y24,TRUE,0)</f>
        <v>668.35</v>
      </c>
      <c r="BV24" s="202" cm="1">
        <f t="array" ref="BV24">_xlfn.IFS(BV$3&lt;$B$2,SUMPRODUCT(('PA Fees Actual'!$B$5:$B$882=$E24)*('PA Fees Actual'!$A$5:$A$882&gt;=BV$3)*('PA Fees Actual'!$A$5:$A$882&lt;=EOMONTH(BV$3,0))*'PA Fees Actual'!$D$5:$D$882),BV$3&gt;=EOMONTH($X24,-1)+1,$Y24,TRUE,0)</f>
        <v>662.91</v>
      </c>
      <c r="BW24" s="202" cm="1">
        <f t="array" ref="BW24">_xlfn.IFS(BW$3&lt;$B$2,SUMPRODUCT(('PA Fees Actual'!$B$5:$B$882=$E24)*('PA Fees Actual'!$A$5:$A$882&gt;=BW$3)*('PA Fees Actual'!$A$5:$A$882&lt;=EOMONTH(BW$3,0))*'PA Fees Actual'!$D$5:$D$882),BW$3&gt;=EOMONTH($X24,-1)+1,$Y24,TRUE,0)</f>
        <v>659.66</v>
      </c>
      <c r="BX24" s="202" cm="1">
        <f t="array" ref="BX24">_xlfn.IFS(BX$3&lt;$B$2,SUMPRODUCT(('PA Fees Actual'!$B$5:$B$882=$E24)*('PA Fees Actual'!$A$5:$A$882&gt;=BX$3)*('PA Fees Actual'!$A$5:$A$882&lt;=EOMONTH(BX$3,0))*'PA Fees Actual'!$D$5:$D$882),BX$3&gt;=EOMONTH($X24,-1)+1,$Y24,TRUE,0)</f>
        <v>662.09</v>
      </c>
      <c r="BY24" s="202" cm="1">
        <f t="array" ref="BY24">_xlfn.IFS(BY$3&lt;$B$2,SUMPRODUCT(('PA Fees Actual'!$B$5:$B$882=$E24)*('PA Fees Actual'!$A$5:$A$882&gt;=BY$3)*('PA Fees Actual'!$A$5:$A$882&lt;=EOMONTH(BY$3,0))*'PA Fees Actual'!$D$5:$D$882),BY$3&gt;=EOMONTH($X24,-1)+1,$Y24,TRUE,0)</f>
        <v>641.46</v>
      </c>
      <c r="BZ24" s="202" cm="1">
        <f t="array" ref="BZ24">_xlfn.IFS(BZ$3&lt;$B$2,SUMPRODUCT(('PA Fees Actual'!$B$5:$B$882=$E24)*('PA Fees Actual'!$A$5:$A$882&gt;=BZ$3)*('PA Fees Actual'!$A$5:$A$882&lt;=EOMONTH(BZ$3,0))*'PA Fees Actual'!$D$5:$D$882),BZ$3&gt;=EOMONTH($X24,-1)+1,$Y24,TRUE,0)</f>
        <v>0</v>
      </c>
      <c r="CA24" s="202" cm="1">
        <f t="array" ref="CA24">_xlfn.IFS(CA$3&lt;$B$2,SUMPRODUCT(('PA Fees Actual'!$B$5:$B$882=$E24)*('PA Fees Actual'!$A$5:$A$882&gt;=CA$3)*('PA Fees Actual'!$A$5:$A$882&lt;=EOMONTH(CA$3,0))*'PA Fees Actual'!$D$5:$D$882),CA$3&gt;=EOMONTH($X24,-1)+1,$Y24,TRUE,0)</f>
        <v>0</v>
      </c>
      <c r="CB24" s="202" cm="1">
        <f t="array" ref="CB24">_xlfn.IFS(CB$3&lt;$B$2,SUMPRODUCT(('PA Fees Actual'!$B$5:$B$882=$E24)*('PA Fees Actual'!$A$5:$A$882&gt;=CB$3)*('PA Fees Actual'!$A$5:$A$882&lt;=EOMONTH(CB$3,0))*'PA Fees Actual'!$D$5:$D$882),CB$3&gt;=EOMONTH($X24,-1)+1,$Y24,TRUE,0)</f>
        <v>637.24499999999989</v>
      </c>
      <c r="CC24" s="202" cm="1">
        <f t="array" ref="CC24">_xlfn.IFS(CC$3&lt;$B$2,SUMPRODUCT(('PA Fees Actual'!$B$5:$B$882=$E24)*('PA Fees Actual'!$A$5:$A$882&gt;=CC$3)*('PA Fees Actual'!$A$5:$A$882&lt;=EOMONTH(CC$3,0))*'PA Fees Actual'!$D$5:$D$882),CC$3&gt;=EOMONTH($X24,-1)+1,$Y24,TRUE,0)</f>
        <v>637.24499999999989</v>
      </c>
      <c r="CD24" s="202" cm="1">
        <f t="array" ref="CD24">_xlfn.IFS(CD$3&lt;$B$2,SUMPRODUCT(('PA Fees Actual'!$B$5:$B$882=$E24)*('PA Fees Actual'!$A$5:$A$882&gt;=CD$3)*('PA Fees Actual'!$A$5:$A$882&lt;=EOMONTH(CD$3,0))*'PA Fees Actual'!$D$5:$D$882),CD$3&gt;=EOMONTH($X24,-1)+1,$Y24,TRUE,0)</f>
        <v>637.24499999999989</v>
      </c>
      <c r="CE24" s="202" cm="1">
        <f t="array" ref="CE24">_xlfn.IFS(CE$3&lt;$B$2,SUMPRODUCT(('PA Fees Actual'!$B$5:$B$882=$E24)*('PA Fees Actual'!$A$5:$A$882&gt;=CE$3)*('PA Fees Actual'!$A$5:$A$882&lt;=EOMONTH(CE$3,0))*'PA Fees Actual'!$D$5:$D$882),CE$3&gt;=EOMONTH($X24,-1)+1,$Y24,TRUE,0)</f>
        <v>637.24499999999989</v>
      </c>
      <c r="CF24" s="202" cm="1">
        <f t="array" ref="CF24">_xlfn.IFS(CF$3&lt;$B$2,SUMPRODUCT(('PA Fees Actual'!$B$5:$B$882=$E24)*('PA Fees Actual'!$A$5:$A$882&gt;=CF$3)*('PA Fees Actual'!$A$5:$A$882&lt;=EOMONTH(CF$3,0))*'PA Fees Actual'!$D$5:$D$882),CF$3&gt;=EOMONTH($X24,-1)+1,$Y24,TRUE,0)</f>
        <v>637.24499999999989</v>
      </c>
      <c r="CG24" s="202" cm="1">
        <f t="array" ref="CG24">_xlfn.IFS(CG$3&lt;$B$2,SUMPRODUCT(('PA Fees Actual'!$B$5:$B$882=$E24)*('PA Fees Actual'!$A$5:$A$882&gt;=CG$3)*('PA Fees Actual'!$A$5:$A$882&lt;=EOMONTH(CG$3,0))*'PA Fees Actual'!$D$5:$D$882),CG$3&gt;=EOMONTH($X24,-1)+1,$Y24,TRUE,0)</f>
        <v>637.24499999999989</v>
      </c>
      <c r="CI24" s="202" cm="1">
        <f t="array" ref="CI24">_xlfn.IFS(CI$3&lt;=YEAR($B$2),SUMPRODUCT(($E$4:$E$79=$E24)*($Z$2:$CG$2=CI$3)*($Z$2:$CG$2&lt;CJ$3)*$Z$4:$CG$79),CI$3&lt;YEAR($X24),0,CI$3=YEAR($X24),DATEDIF($X24,DATE(CI$3,12,31),"m")*$Y24,AND(CI$3&gt;YEAR($X24),CI$3-YEAR($X24)&lt;20),$Y24*12,CI$3-YEAR($X24)=20,DATEDIF(DATE(YEAR($X24),1,1),$X24,"m")*$Y24,CI$3-YEAR($X24)&gt;20,0)</f>
        <v>0</v>
      </c>
      <c r="CJ24" s="202" cm="1">
        <f t="array" ref="CJ24">_xlfn.IFS(CJ$3&lt;=YEAR($B$2),SUMPRODUCT(($E$4:$E$79=$E24)*($Z$2:$CG$2=CJ$3)*($Z$2:$CG$2&lt;CK$3)*$Z$4:$CG$79),CJ$3&lt;YEAR($X24),0,CJ$3=YEAR($X24),DATEDIF($X24,DATE(CJ$3,12,31),"m")*$Y24,AND(CJ$3&gt;YEAR($X24),CJ$3-YEAR($X24)&lt;20),$Y24*12,CJ$3-YEAR($X24)=20,DATEDIF(DATE(YEAR($X24),1,1),$X24,"m")*$Y24,CJ$3-YEAR($X24)&gt;20,0)</f>
        <v>0</v>
      </c>
      <c r="CK24" s="202" cm="1">
        <f t="array" ref="CK24">_xlfn.IFS(CK$3&lt;=YEAR($B$2),SUMPRODUCT(($E$4:$E$79=$E24)*($Z$2:$CG$2=CK$3)*($Z$2:$CG$2&lt;CL$3)*$Z$4:$CG$79),CK$3&lt;YEAR($X24),0,CK$3=YEAR($X24),DATEDIF($X24,DATE(CK$3,12,31),"m")*$Y24,AND(CK$3&gt;YEAR($X24),CK$3-YEAR($X24)&lt;20),$Y24*12,CK$3-YEAR($X24)=20,DATEDIF(DATE(YEAR($X24),1,1),$X24,"m")*$Y24,CK$3-YEAR($X24)&gt;20,0)</f>
        <v>654.29</v>
      </c>
      <c r="CL24" s="202" cm="1">
        <f t="array" ref="CL24">_xlfn.IFS(CL$3&lt;=YEAR($B$2),SUMPRODUCT(($E$4:$E$79=$E24)*($Z$2:$CG$2=CL$3)*($Z$2:$CG$2&lt;CM$3)*$Z$4:$CG$79),CL$3&lt;YEAR($X24),0,CL$3=YEAR($X24),DATEDIF($X24,DATE(CL$3,12,31),"m")*$Y24,AND(CL$3&gt;YEAR($X24),CL$3-YEAR($X24)&lt;20),$Y24*12,CL$3-YEAR($X24)=20,DATEDIF(DATE(YEAR($X24),1,1),$X24,"m")*$Y24,CL$3-YEAR($X24)&gt;20,0)</f>
        <v>7128.8300000000008</v>
      </c>
      <c r="CM24" s="202" cm="1">
        <f t="array" ref="CM24">_xlfn.IFS(CM$3&lt;=YEAR($B$2),SUMPRODUCT(($E$4:$E$79=$E24)*($Z$2:$CG$2=CM$3)*($Z$2:$CG$2&lt;CN$3)*$Z$4:$CG$79),CM$3&lt;YEAR($X24),0,CM$3=YEAR($X24),DATEDIF($X24,DATE(CM$3,12,31),"m")*$Y24,AND(CM$3&gt;YEAR($X24),CM$3-YEAR($X24)&lt;20),$Y24*12,CM$3-YEAR($X24)=20,DATEDIF(DATE(YEAR($X24),1,1),$X24,"m")*$Y24,CM$3-YEAR($X24)&gt;20,0)</f>
        <v>6449.5899999999992</v>
      </c>
      <c r="CN24" s="202" cm="1">
        <f t="array" ref="CN24">_xlfn.IFS(CN$3&lt;=YEAR($B$2),SUMPRODUCT(($E$4:$E$79=$E24)*($Z$2:$CG$2=CN$3)*($Z$2:$CG$2&lt;CO$3)*$Z$4:$CG$79),CN$3&lt;YEAR($X24),0,CN$3=YEAR($X24),DATEDIF($X24,DATE(CN$3,12,31),"m")*$Y24,AND(CN$3&gt;YEAR($X24),CN$3-YEAR($X24)&lt;20),$Y24*12,CN$3-YEAR($X24)=20,DATEDIF(DATE(YEAR($X24),1,1),$X24,"m")*$Y24,CN$3-YEAR($X24)&gt;20,0)</f>
        <v>7646.9399999999987</v>
      </c>
      <c r="CO24" s="202" cm="1">
        <f t="array" ref="CO24">_xlfn.IFS(CO$3&lt;=YEAR($B$2),SUMPRODUCT(($E$4:$E$79=$E24)*($Z$2:$CG$2=CO$3)*($Z$2:$CG$2&lt;CP$3)*$Z$4:$CG$79),CO$3&lt;YEAR($X24),0,CO$3=YEAR($X24),DATEDIF($X24,DATE(CO$3,12,31),"m")*$Y24,AND(CO$3&gt;YEAR($X24),CO$3-YEAR($X24)&lt;20),$Y24*12,CO$3-YEAR($X24)=20,DATEDIF(DATE(YEAR($X24),1,1),$X24,"m")*$Y24,CO$3-YEAR($X24)&gt;20,0)</f>
        <v>7646.9399999999987</v>
      </c>
      <c r="CP24" s="202" cm="1">
        <f t="array" ref="CP24">_xlfn.IFS(CP$3&lt;=YEAR($B$2),SUMPRODUCT(($E$4:$E$79=$E24)*($Z$2:$CG$2=CP$3)*($Z$2:$CG$2&lt;CQ$3)*$Z$4:$CG$79),CP$3&lt;YEAR($X24),0,CP$3=YEAR($X24),DATEDIF($X24,DATE(CP$3,12,31),"m")*$Y24,AND(CP$3&gt;YEAR($X24),CP$3-YEAR($X24)&lt;20),$Y24*12,CP$3-YEAR($X24)=20,DATEDIF(DATE(YEAR($X24),1,1),$X24,"m")*$Y24,CP$3-YEAR($X24)&gt;20,0)</f>
        <v>7646.9399999999987</v>
      </c>
      <c r="CQ24" s="202" cm="1">
        <f t="array" ref="CQ24">_xlfn.IFS(CQ$3&lt;=YEAR($B$2),SUMPRODUCT(($E$4:$E$79=$E24)*($Z$2:$CG$2=CQ$3)*($Z$2:$CG$2&lt;CR$3)*$Z$4:$CG$79),CQ$3&lt;YEAR($X24),0,CQ$3=YEAR($X24),DATEDIF($X24,DATE(CQ$3,12,31),"m")*$Y24,AND(CQ$3&gt;YEAR($X24),CQ$3-YEAR($X24)&lt;20),$Y24*12,CQ$3-YEAR($X24)=20,DATEDIF(DATE(YEAR($X24),1,1),$X24,"m")*$Y24,CQ$3-YEAR($X24)&gt;20,0)</f>
        <v>7646.9399999999987</v>
      </c>
      <c r="CR24" s="202" cm="1">
        <f t="array" ref="CR24">_xlfn.IFS(CR$3&lt;=YEAR($B$2),SUMPRODUCT(($E$4:$E$79=$E24)*($Z$2:$CG$2=CR$3)*($Z$2:$CG$2&lt;CS$3)*$Z$4:$CG$79),CR$3&lt;YEAR($X24),0,CR$3=YEAR($X24),DATEDIF($X24,DATE(CR$3,12,31),"m")*$Y24,AND(CR$3&gt;YEAR($X24),CR$3-YEAR($X24)&lt;20),$Y24*12,CR$3-YEAR($X24)=20,DATEDIF(DATE(YEAR($X24),1,1),$X24,"m")*$Y24,CR$3-YEAR($X24)&gt;20,0)</f>
        <v>7646.9399999999987</v>
      </c>
      <c r="CS24" s="202" cm="1">
        <f t="array" ref="CS24">_xlfn.IFS(CS$3&lt;=YEAR($B$2),SUMPRODUCT(($E$4:$E$79=$E24)*($Z$2:$CG$2=CS$3)*($Z$2:$CG$2&lt;CT$3)*$Z$4:$CG$79),CS$3&lt;YEAR($X24),0,CS$3=YEAR($X24),DATEDIF($X24,DATE(CS$3,12,31),"m")*$Y24,AND(CS$3&gt;YEAR($X24),CS$3-YEAR($X24)&lt;20),$Y24*12,CS$3-YEAR($X24)=20,DATEDIF(DATE(YEAR($X24),1,1),$X24,"m")*$Y24,CS$3-YEAR($X24)&gt;20,0)</f>
        <v>7646.9399999999987</v>
      </c>
      <c r="CT24" s="202" cm="1">
        <f t="array" ref="CT24">_xlfn.IFS(CT$3&lt;=YEAR($B$2),SUMPRODUCT(($E$4:$E$79=$E24)*($Z$2:$CG$2=CT$3)*($Z$2:$CG$2&lt;CU$3)*$Z$4:$CG$79),CT$3&lt;YEAR($X24),0,CT$3=YEAR($X24),DATEDIF($X24,DATE(CT$3,12,31),"m")*$Y24,AND(CT$3&gt;YEAR($X24),CT$3-YEAR($X24)&lt;20),$Y24*12,CT$3-YEAR($X24)=20,DATEDIF(DATE(YEAR($X24),1,1),$X24,"m")*$Y24,CT$3-YEAR($X24)&gt;20,0)</f>
        <v>7646.9399999999987</v>
      </c>
      <c r="CU24" s="202" cm="1">
        <f t="array" ref="CU24">_xlfn.IFS(CU$3&lt;=YEAR($B$2),SUMPRODUCT(($E$4:$E$79=$E24)*($Z$2:$CG$2=CU$3)*($Z$2:$CG$2&lt;CV$3)*$Z$4:$CG$79),CU$3&lt;YEAR($X24),0,CU$3=YEAR($X24),DATEDIF($X24,DATE(CU$3,12,31),"m")*$Y24,AND(CU$3&gt;YEAR($X24),CU$3-YEAR($X24)&lt;20),$Y24*12,CU$3-YEAR($X24)=20,DATEDIF(DATE(YEAR($X24),1,1),$X24,"m")*$Y24,CU$3-YEAR($X24)&gt;20,0)</f>
        <v>7646.9399999999987</v>
      </c>
      <c r="CV24" s="202" cm="1">
        <f t="array" ref="CV24">_xlfn.IFS(CV$3&lt;=YEAR($B$2),SUMPRODUCT(($E$4:$E$79=$E24)*($Z$2:$CG$2=CV$3)*($Z$2:$CG$2&lt;CW$3)*$Z$4:$CG$79),CV$3&lt;YEAR($X24),0,CV$3=YEAR($X24),DATEDIF($X24,DATE(CV$3,12,31),"m")*$Y24,AND(CV$3&gt;YEAR($X24),CV$3-YEAR($X24)&lt;20),$Y24*12,CV$3-YEAR($X24)=20,DATEDIF(DATE(YEAR($X24),1,1),$X24,"m")*$Y24,CV$3-YEAR($X24)&gt;20,0)</f>
        <v>7646.9399999999987</v>
      </c>
      <c r="CW24" s="202" cm="1">
        <f t="array" ref="CW24">_xlfn.IFS(CW$3&lt;=YEAR($B$2),SUMPRODUCT(($E$4:$E$79=$E24)*($Z$2:$CG$2=CW$3)*($Z$2:$CG$2&lt;CX$3)*$Z$4:$CG$79),CW$3&lt;YEAR($X24),0,CW$3=YEAR($X24),DATEDIF($X24,DATE(CW$3,12,31),"m")*$Y24,AND(CW$3&gt;YEAR($X24),CW$3-YEAR($X24)&lt;20),$Y24*12,CW$3-YEAR($X24)=20,DATEDIF(DATE(YEAR($X24),1,1),$X24,"m")*$Y24,CW$3-YEAR($X24)&gt;20,0)</f>
        <v>7646.9399999999987</v>
      </c>
      <c r="CX24" s="202" cm="1">
        <f t="array" ref="CX24">_xlfn.IFS(CX$3&lt;=YEAR($B$2),SUMPRODUCT(($E$4:$E$79=$E24)*($Z$2:$CG$2=CX$3)*($Z$2:$CG$2&lt;CY$3)*$Z$4:$CG$79),CX$3&lt;YEAR($X24),0,CX$3=YEAR($X24),DATEDIF($X24,DATE(CX$3,12,31),"m")*$Y24,AND(CX$3&gt;YEAR($X24),CX$3-YEAR($X24)&lt;20),$Y24*12,CX$3-YEAR($X24)=20,DATEDIF(DATE(YEAR($X24),1,1),$X24,"m")*$Y24,CX$3-YEAR($X24)&gt;20,0)</f>
        <v>7646.9399999999987</v>
      </c>
      <c r="CY24" s="202" cm="1">
        <f t="array" ref="CY24">_xlfn.IFS(CY$3&lt;=YEAR($B$2),SUMPRODUCT(($E$4:$E$79=$E24)*($Z$2:$CG$2=CY$3)*($Z$2:$CG$2&lt;CZ$3)*$Z$4:$CG$79),CY$3&lt;YEAR($X24),0,CY$3=YEAR($X24),DATEDIF($X24,DATE(CY$3,12,31),"m")*$Y24,AND(CY$3&gt;YEAR($X24),CY$3-YEAR($X24)&lt;20),$Y24*12,CY$3-YEAR($X24)=20,DATEDIF(DATE(YEAR($X24),1,1),$X24,"m")*$Y24,CY$3-YEAR($X24)&gt;20,0)</f>
        <v>7646.9399999999987</v>
      </c>
      <c r="CZ24" s="202" cm="1">
        <f t="array" ref="CZ24">_xlfn.IFS(CZ$3&lt;=YEAR($B$2),SUMPRODUCT(($E$4:$E$79=$E24)*($Z$2:$CG$2=CZ$3)*($Z$2:$CG$2&lt;DA$3)*$Z$4:$CG$79),CZ$3&lt;YEAR($X24),0,CZ$3=YEAR($X24),DATEDIF($X24,DATE(CZ$3,12,31),"m")*$Y24,AND(CZ$3&gt;YEAR($X24),CZ$3-YEAR($X24)&lt;20),$Y24*12,CZ$3-YEAR($X24)=20,DATEDIF(DATE(YEAR($X24),1,1),$X24,"m")*$Y24,CZ$3-YEAR($X24)&gt;20,0)</f>
        <v>7646.9399999999987</v>
      </c>
      <c r="DA24" s="202" cm="1">
        <f t="array" ref="DA24">_xlfn.IFS(DA$3&lt;=YEAR($B$2),SUMPRODUCT(($E$4:$E$79=$E24)*($Z$2:$CG$2=DA$3)*($Z$2:$CG$2&lt;DB$3)*$Z$4:$CG$79),DA$3&lt;YEAR($X24),0,DA$3=YEAR($X24),DATEDIF($X24,DATE(DA$3,12,31),"m")*$Y24,AND(DA$3&gt;YEAR($X24),DA$3-YEAR($X24)&lt;20),$Y24*12,DA$3-YEAR($X24)=20,DATEDIF(DATE(YEAR($X24),1,1),$X24,"m")*$Y24,DA$3-YEAR($X24)&gt;20,0)</f>
        <v>7646.9399999999987</v>
      </c>
      <c r="DB24" s="202" cm="1">
        <f t="array" ref="DB24">_xlfn.IFS(DB$3&lt;=YEAR($B$2),SUMPRODUCT(($E$4:$E$79=$E24)*($Z$2:$CG$2=DB$3)*($Z$2:$CG$2&lt;DC$3)*$Z$4:$CG$79),DB$3&lt;YEAR($X24),0,DB$3=YEAR($X24),DATEDIF($X24,DATE(DB$3,12,31),"m")*$Y24,AND(DB$3&gt;YEAR($X24),DB$3-YEAR($X24)&lt;20),$Y24*12,DB$3-YEAR($X24)=20,DATEDIF(DATE(YEAR($X24),1,1),$X24,"m")*$Y24,DB$3-YEAR($X24)&gt;20,0)</f>
        <v>7646.9399999999987</v>
      </c>
      <c r="DC24" s="202" cm="1">
        <f t="array" ref="DC24">_xlfn.IFS(DC$3&lt;=YEAR($B$2),SUMPRODUCT(($E$4:$E$79=$E24)*($Z$2:$CG$2=DC$3)*($Z$2:$CG$2&lt;DD$3)*$Z$4:$CG$79),DC$3&lt;YEAR($X24),0,DC$3=YEAR($X24),DATEDIF($X24,DATE(DC$3,12,31),"m")*$Y24,AND(DC$3&gt;YEAR($X24),DC$3-YEAR($X24)&lt;20),$Y24*12,DC$3-YEAR($X24)=20,DATEDIF(DATE(YEAR($X24),1,1),$X24,"m")*$Y24,DC$3-YEAR($X24)&gt;20,0)</f>
        <v>7646.9399999999987</v>
      </c>
      <c r="DD24" s="202" cm="1">
        <f t="array" ref="DD24">_xlfn.IFS(DD$3&lt;=YEAR($B$2),SUMPRODUCT(($E$4:$E$79=$E24)*($Z$2:$CG$2=DD$3)*($Z$2:$CG$2&lt;DE$3)*$Z$4:$CG$79),DD$3&lt;YEAR($X24),0,DD$3=YEAR($X24),DATEDIF($X24,DATE(DD$3,12,31),"m")*$Y24,AND(DD$3&gt;YEAR($X24),DD$3-YEAR($X24)&lt;20),$Y24*12,DD$3-YEAR($X24)=20,DATEDIF(DATE(YEAR($X24),1,1),$X24,"m")*$Y24,DD$3-YEAR($X24)&gt;20,0)</f>
        <v>7646.9399999999987</v>
      </c>
      <c r="DE24" s="202" cm="1">
        <f t="array" ref="DE24">_xlfn.IFS(DE$3&lt;=YEAR($B$2),SUMPRODUCT(($E$4:$E$79=$E24)*($Z$2:$CG$2=DE$3)*($Z$2:$CG$2&lt;DF$3)*$Z$4:$CG$79),DE$3&lt;YEAR($X24),0,DE$3=YEAR($X24),DATEDIF($X24,DATE(DE$3,12,31),"m")*$Y24,AND(DE$3&gt;YEAR($X24),DE$3-YEAR($X24)&lt;20),$Y24*12,DE$3-YEAR($X24)=20,DATEDIF(DATE(YEAR($X24),1,1),$X24,"m")*$Y24,DE$3-YEAR($X24)&gt;20,0)</f>
        <v>5735.204999999999</v>
      </c>
      <c r="DF24" s="202" cm="1">
        <f t="array" ref="DF24">_xlfn.IFS(DF$3&lt;=YEAR($B$2),SUMPRODUCT(($E$4:$E$79=$E24)*($Z$2:$CG$2=DF$3)*($Z$2:$CG$2&lt;DG$3)*$Z$4:$CG$79),DF$3&lt;YEAR($X24),0,DF$3=YEAR($X24),DATEDIF($X24,DATE(DF$3,12,31),"m")*$Y24,AND(DF$3&gt;YEAR($X24),DF$3-YEAR($X24)&lt;20),$Y24*12,DF$3-YEAR($X24)=20,DATEDIF(DATE(YEAR($X24),1,1),$X24,"m")*$Y24,DF$3-YEAR($X24)&gt;20,0)</f>
        <v>0</v>
      </c>
      <c r="DG24" s="202" cm="1">
        <f t="array" ref="DG24">_xlfn.IFS(DG$3&lt;=YEAR($B$2),SUMPRODUCT(($E$4:$E$79=$E24)*($Z$2:$CG$2=DG$3)*($Z$2:$CG$2&lt;DH$3)*$Z$4:$CG$79),DG$3&lt;YEAR($X24),0,DG$3=YEAR($X24),DATEDIF($X24,DATE(DG$3,12,31),"m")*$Y24,AND(DG$3&gt;YEAR($X24),DG$3-YEAR($X24)&lt;20),$Y24*12,DG$3-YEAR($X24)=20,DATEDIF(DATE(YEAR($X24),1,1),$X24,"m")*$Y24,DG$3-YEAR($X24)&gt;20,0)</f>
        <v>0</v>
      </c>
      <c r="DH24" s="202" cm="1">
        <f t="array" ref="DH24">_xlfn.IFS(DH$3&lt;=YEAR($B$2),SUMPRODUCT(($E$4:$E$79=$E24)*($Z$2:$CG$2=DH$3)*($Z$2:$CG$2&lt;DI$3)*$Z$4:$CG$79),DH$3&lt;YEAR($X24),0,DH$3=YEAR($X24),DATEDIF($X24,DATE(DH$3,12,31),"m")*$Y24,AND(DH$3&gt;YEAR($X24),DH$3-YEAR($X24)&lt;20),$Y24*12,DH$3-YEAR($X24)=20,DATEDIF(DATE(YEAR($X24),1,1),$X24,"m")*$Y24,DH$3-YEAR($X24)&gt;20,0)</f>
        <v>0</v>
      </c>
      <c r="DI24" s="202" cm="1">
        <f t="array" ref="DI24">_xlfn.IFS(DI$3&lt;=YEAR($B$2),SUMPRODUCT(($E$4:$E$79=$E24)*($Z$2:$CG$2=DI$3)*($Z$2:$CG$2&lt;DJ$3)*$Z$4:$CG$79),DI$3&lt;YEAR($X24),0,DI$3=YEAR($X24),DATEDIF($X24,DATE(DI$3,12,31),"m")*$Y24,AND(DI$3&gt;YEAR($X24),DI$3-YEAR($X24)&lt;20),$Y24*12,DI$3-YEAR($X24)=20,DATEDIF(DATE(YEAR($X24),1,1),$X24,"m")*$Y24,DI$3-YEAR($X24)&gt;20,0)</f>
        <v>0</v>
      </c>
      <c r="DJ24" s="202" cm="1">
        <f t="array" ref="DJ24">_xlfn.IFS(DJ$3&lt;=YEAR($B$2),SUMPRODUCT(($E$4:$E$79=$E24)*($Z$2:$CG$2=DJ$3)*($Z$2:$CG$2&lt;DK$3)*$Z$4:$CG$79),DJ$3&lt;YEAR($X24),0,DJ$3=YEAR($X24),DATEDIF($X24,DATE(DJ$3,12,31),"m")*$Y24,AND(DJ$3&gt;YEAR($X24),DJ$3-YEAR($X24)&lt;20),$Y24*12,DJ$3-YEAR($X24)=20,DATEDIF(DATE(YEAR($X24),1,1),$X24,"m")*$Y24,DJ$3-YEAR($X24)&gt;20,0)</f>
        <v>0</v>
      </c>
      <c r="DK24" s="202" cm="1">
        <f t="array" ref="DK24">_xlfn.IFS(DK$3&lt;=YEAR($B$2),SUMPRODUCT(($E$4:$E$79=$E24)*($Z$2:$CG$2=DK$3)*($Z$2:$CG$2&lt;DL$3)*$Z$4:$CG$79),DK$3&lt;YEAR($X24),0,DK$3=YEAR($X24),DATEDIF($X24,DATE(DK$3,12,31),"m")*$Y24,AND(DK$3&gt;YEAR($X24),DK$3-YEAR($X24)&lt;20),$Y24*12,DK$3-YEAR($X24)=20,DATEDIF(DATE(YEAR($X24),1,1),$X24,"m")*$Y24,DK$3-YEAR($X24)&gt;20,0)</f>
        <v>0</v>
      </c>
      <c r="DL24" s="202" cm="1">
        <f t="array" ref="DL24">_xlfn.IFS(DL$3&lt;=YEAR($B$2),SUMPRODUCT(($E$4:$E$79=$E24)*($Z$2:$CG$2=DL$3)*($Z$2:$CG$2&lt;DM$3)*$Z$4:$CG$79),DL$3&lt;YEAR($X24),0,DL$3=YEAR($X24),DATEDIF($X24,DATE(DL$3,12,31),"m")*$Y24,AND(DL$3&gt;YEAR($X24),DL$3-YEAR($X24)&lt;20),$Y24*12,DL$3-YEAR($X24)=20,DATEDIF(DATE(YEAR($X24),1,1),$X24,"m")*$Y24,DL$3-YEAR($X24)&gt;20,0)</f>
        <v>0</v>
      </c>
      <c r="DO24" s="166">
        <f t="shared" si="26"/>
        <v>2033</v>
      </c>
      <c r="DP24" s="158">
        <v>660421.95000000019</v>
      </c>
      <c r="DQ24" s="158">
        <v>462971.99729999999</v>
      </c>
      <c r="DR24" s="158">
        <v>25576.5</v>
      </c>
      <c r="DS24" s="158">
        <f t="shared" si="27"/>
        <v>1148970.4473000001</v>
      </c>
    </row>
    <row r="25" spans="1:636">
      <c r="A25" s="155" t="str" cm="1">
        <f t="array" ref="A25">INDEX('Monthly Report July 2025'!C:C,MATCH(E25,'Monthly Report July 2025'!E:E,0),0)</f>
        <v>OCS046</v>
      </c>
      <c r="B25" s="155" t="str" cm="1">
        <f t="array" ref="B25">_xlfn.IFS(LEFT(E25,3)="PGE","PGE",LEFT(E25,2)="PP","PAC",TRUE,"IP")</f>
        <v>PAC</v>
      </c>
      <c r="C25" s="155" t="str">
        <f>IF(ISNA(MATCH(E25,'Monthly Report July 2025'!E:E,0)),"Missing","Present")</f>
        <v>Present</v>
      </c>
      <c r="D25" s="155" t="str">
        <f>IF(ISNA(MATCH(E25,'Project Operational Timelines'!C:C,0))=TRUE,"Missing","Present")</f>
        <v>Present</v>
      </c>
      <c r="E25" s="155" t="s">
        <v>133</v>
      </c>
      <c r="F25" s="155" t="str" cm="1">
        <f t="array" ref="F25">INDEX('Monthly Report July 2025'!F:F,MATCH(E25,'Monthly Report July 2025'!E:E,),0)</f>
        <v>Antelope Creek Solar</v>
      </c>
      <c r="G25" s="155" t="str" cm="1">
        <f t="array" ref="G25">_xlfn.IFS(INDEX('Monthly Report July 2025'!O:O,MATCH(E25,'Monthly Report July 2025'!E:E,0),0)="Operational","Operational",INDEX('Monthly Report July 2025'!O:O,MATCH(E25,'Monthly Report July 2025'!E:E,0),0)="Certified","Certified",TRUE,"Pre-Certified")</f>
        <v>Operational</v>
      </c>
      <c r="H25" s="155" t="str" cm="1">
        <f t="array" ref="H25">INDEX('Monthly Report July 2025'!H:H,MATCH($E25,'Monthly Report July 2025'!$E:$E,0),0)</f>
        <v>TLS Capital</v>
      </c>
      <c r="I25" s="155" t="str" cm="1">
        <f t="array" ref="I25">INDEX('Monthly Report July 2025'!I:I,MATCH($E25,'Monthly Report July 2025'!$E:$E,0),0)</f>
        <v>Luminace</v>
      </c>
      <c r="J25" s="174" cm="1">
        <f t="array" ref="J25">INDEX('Monthly Report July 2025'!J:J,MATCH($E25,'Monthly Report July 2025'!$E:$E,0),0)</f>
        <v>2</v>
      </c>
      <c r="K25" s="174" t="str" cm="1">
        <f t="array" ref="K25">INDEX('Monthly Report July 2025'!K:K,MATCH($E25,'Monthly Report July 2025'!$E:$E,0),0)</f>
        <v>No</v>
      </c>
      <c r="L25" s="174" t="b" cm="1">
        <f t="array" ref="L25">INDEX('Monthly Report July 2025'!L:L,MATCH(E25,'Monthly Report July 2025'!E:E,0),0)=M25</f>
        <v>1</v>
      </c>
      <c r="M25" s="273" cm="1">
        <f t="array" ref="M25">INDEX('Monthly Report July 2025'!L:L,MATCH($E25,'Monthly Report July 2025'!$E:$E,0),0)</f>
        <v>2250</v>
      </c>
      <c r="N25" s="175" cm="1">
        <f t="array" ref="N25">INDEX('Monthly Report July 2025'!M:M,MATCH($E25,'Monthly Report July 2025'!$E:$E,0),0)</f>
        <v>44666</v>
      </c>
      <c r="O25" s="175" t="str" cm="1">
        <f t="array" ref="O25">_xlfn.IFS(G25="Operational","Operational",G25="Certified","Certified",TRUE,INDEX('Monthly Report July 2025'!O:O,MATCH(E25,'Monthly Report July 2025'!E:E,0),0))</f>
        <v>Operational</v>
      </c>
      <c r="P25" s="175" t="b" cm="1">
        <f t="array" ref="P25">_xlfn.IFS(G25="Operational",O25="Operational",G25="Certified",O25="Certified",TRUE,G25="Pre-Certified")</f>
        <v>1</v>
      </c>
      <c r="Q25" s="175" cm="1">
        <f t="array" ref="Q25">IF(O25="Operational",INDEX('Monthly Report July 2025'!R:R,MATCH(E25,'Monthly Report July 2025'!E:E,0),0),"")</f>
        <v>45555</v>
      </c>
      <c r="R25" s="175" cm="1">
        <f t="array" ref="R25">INDEX('Monthly Report July 2025'!P:P,MATCH(E25,'Monthly Report July 2025'!E:E,0),0)</f>
        <v>45455</v>
      </c>
      <c r="S25" s="175" t="b">
        <f t="shared" si="5"/>
        <v>1</v>
      </c>
      <c r="T25" s="175" cm="1">
        <f t="array" ref="T25">INDEX('Monthly Report July 2025'!U:U,MATCH(E25,'Monthly Report July 2025'!E:E,0),0)</f>
        <v>45464</v>
      </c>
      <c r="U25" s="175" t="str">
        <f t="shared" si="6"/>
        <v>IGNORE</v>
      </c>
      <c r="V25" s="156">
        <f t="shared" si="7"/>
        <v>45455</v>
      </c>
      <c r="W25" s="156" cm="1">
        <f t="array" ref="W25">_xlfn.IFS(U25=TRUE,EDATE(O25,6),U25=FALSE,T25,O25="Operational",Q25,AND(O25="Certified",EDATE(R25,6)&gt;T25),EDATE(R25,6),TRUE,T25)</f>
        <v>45555</v>
      </c>
      <c r="X25" s="156">
        <f t="shared" si="8"/>
        <v>45616</v>
      </c>
      <c r="Y25" s="157">
        <f t="shared" si="9"/>
        <v>1625.625</v>
      </c>
      <c r="Z25" s="202" cm="1">
        <f t="array" ref="Z25">_xlfn.IFS(Z$3&lt;$B$2,SUMPRODUCT(('PA Fees Actual'!$B$5:$B$882=$E25)*('PA Fees Actual'!$A$5:$A$882&gt;=Z$3)*('PA Fees Actual'!$A$5:$A$882&lt;=EOMONTH(Z$3,0))*'PA Fees Actual'!$D$5:$D$882),Z$3&gt;=EOMONTH($X25,-1)+1,$Y25,TRUE,0)</f>
        <v>0</v>
      </c>
      <c r="AA25" s="202" cm="1">
        <f t="array" ref="AA25">_xlfn.IFS(AA$3&lt;$B$2,SUMPRODUCT(('PA Fees Actual'!$B$5:$B$882=$E25)*('PA Fees Actual'!$A$5:$A$882&gt;=AA$3)*('PA Fees Actual'!$A$5:$A$882&lt;=EOMONTH(AA$3,0))*'PA Fees Actual'!$D$5:$D$882),AA$3&gt;=EOMONTH($X25,-1)+1,$Y25,TRUE,0)</f>
        <v>0</v>
      </c>
      <c r="AB25" s="202" cm="1">
        <f t="array" ref="AB25">_xlfn.IFS(AB$3&lt;$B$2,SUMPRODUCT(('PA Fees Actual'!$B$5:$B$882=$E25)*('PA Fees Actual'!$A$5:$A$882&gt;=AB$3)*('PA Fees Actual'!$A$5:$A$882&lt;=EOMONTH(AB$3,0))*'PA Fees Actual'!$D$5:$D$882),AB$3&gt;=EOMONTH($X25,-1)+1,$Y25,TRUE,0)</f>
        <v>0</v>
      </c>
      <c r="AC25" s="202" cm="1">
        <f t="array" ref="AC25">_xlfn.IFS(AC$3&lt;$B$2,SUMPRODUCT(('PA Fees Actual'!$B$5:$B$882=$E25)*('PA Fees Actual'!$A$5:$A$882&gt;=AC$3)*('PA Fees Actual'!$A$5:$A$882&lt;=EOMONTH(AC$3,0))*'PA Fees Actual'!$D$5:$D$882),AC$3&gt;=EOMONTH($X25,-1)+1,$Y25,TRUE,0)</f>
        <v>0</v>
      </c>
      <c r="AD25" s="202" cm="1">
        <f t="array" ref="AD25">_xlfn.IFS(AD$3&lt;$B$2,SUMPRODUCT(('PA Fees Actual'!$B$5:$B$882=$E25)*('PA Fees Actual'!$A$5:$A$882&gt;=AD$3)*('PA Fees Actual'!$A$5:$A$882&lt;=EOMONTH(AD$3,0))*'PA Fees Actual'!$D$5:$D$882),AD$3&gt;=EOMONTH($X25,-1)+1,$Y25,TRUE,0)</f>
        <v>0</v>
      </c>
      <c r="AE25" s="202" cm="1">
        <f t="array" ref="AE25">_xlfn.IFS(AE$3&lt;$B$2,SUMPRODUCT(('PA Fees Actual'!$B$5:$B$882=$E25)*('PA Fees Actual'!$A$5:$A$882&gt;=AE$3)*('PA Fees Actual'!$A$5:$A$882&lt;=EOMONTH(AE$3,0))*'PA Fees Actual'!$D$5:$D$882),AE$3&gt;=EOMONTH($X25,-1)+1,$Y25,TRUE,0)</f>
        <v>0</v>
      </c>
      <c r="AF25" s="202" cm="1">
        <f t="array" ref="AF25">_xlfn.IFS(AF$3&lt;$B$2,SUMPRODUCT(('PA Fees Actual'!$B$5:$B$882=$E25)*('PA Fees Actual'!$A$5:$A$882&gt;=AF$3)*('PA Fees Actual'!$A$5:$A$882&lt;=EOMONTH(AF$3,0))*'PA Fees Actual'!$D$5:$D$882),AF$3&gt;=EOMONTH($X25,-1)+1,$Y25,TRUE,0)</f>
        <v>0</v>
      </c>
      <c r="AG25" s="202" cm="1">
        <f t="array" ref="AG25">_xlfn.IFS(AG$3&lt;$B$2,SUMPRODUCT(('PA Fees Actual'!$B$5:$B$882=$E25)*('PA Fees Actual'!$A$5:$A$882&gt;=AG$3)*('PA Fees Actual'!$A$5:$A$882&lt;=EOMONTH(AG$3,0))*'PA Fees Actual'!$D$5:$D$882),AG$3&gt;=EOMONTH($X25,-1)+1,$Y25,TRUE,0)</f>
        <v>0</v>
      </c>
      <c r="AH25" s="202" cm="1">
        <f t="array" ref="AH25">_xlfn.IFS(AH$3&lt;$B$2,SUMPRODUCT(('PA Fees Actual'!$B$5:$B$882=$E25)*('PA Fees Actual'!$A$5:$A$882&gt;=AH$3)*('PA Fees Actual'!$A$5:$A$882&lt;=EOMONTH(AH$3,0))*'PA Fees Actual'!$D$5:$D$882),AH$3&gt;=EOMONTH($X25,-1)+1,$Y25,TRUE,0)</f>
        <v>0</v>
      </c>
      <c r="AI25" s="202" cm="1">
        <f t="array" ref="AI25">_xlfn.IFS(AI$3&lt;$B$2,SUMPRODUCT(('PA Fees Actual'!$B$5:$B$882=$E25)*('PA Fees Actual'!$A$5:$A$882&gt;=AI$3)*('PA Fees Actual'!$A$5:$A$882&lt;=EOMONTH(AI$3,0))*'PA Fees Actual'!$D$5:$D$882),AI$3&gt;=EOMONTH($X25,-1)+1,$Y25,TRUE,0)</f>
        <v>0</v>
      </c>
      <c r="AJ25" s="202" cm="1">
        <f t="array" ref="AJ25">_xlfn.IFS(AJ$3&lt;$B$2,SUMPRODUCT(('PA Fees Actual'!$B$5:$B$882=$E25)*('PA Fees Actual'!$A$5:$A$882&gt;=AJ$3)*('PA Fees Actual'!$A$5:$A$882&lt;=EOMONTH(AJ$3,0))*'PA Fees Actual'!$D$5:$D$882),AJ$3&gt;=EOMONTH($X25,-1)+1,$Y25,TRUE,0)</f>
        <v>0</v>
      </c>
      <c r="AK25" s="202" cm="1">
        <f t="array" ref="AK25">_xlfn.IFS(AK$3&lt;$B$2,SUMPRODUCT(('PA Fees Actual'!$B$5:$B$882=$E25)*('PA Fees Actual'!$A$5:$A$882&gt;=AK$3)*('PA Fees Actual'!$A$5:$A$882&lt;=EOMONTH(AK$3,0))*'PA Fees Actual'!$D$5:$D$882),AK$3&gt;=EOMONTH($X25,-1)+1,$Y25,TRUE,0)</f>
        <v>0</v>
      </c>
      <c r="AL25" s="202" cm="1">
        <f t="array" ref="AL25">_xlfn.IFS(AL$3&lt;$B$2,SUMPRODUCT(('PA Fees Actual'!$B$5:$B$882=$E25)*('PA Fees Actual'!$A$5:$A$882&gt;=AL$3)*('PA Fees Actual'!$A$5:$A$882&lt;=EOMONTH(AL$3,0))*'PA Fees Actual'!$D$5:$D$882),AL$3&gt;=EOMONTH($X25,-1)+1,$Y25,TRUE,0)</f>
        <v>0</v>
      </c>
      <c r="AM25" s="202" cm="1">
        <f t="array" ref="AM25">_xlfn.IFS(AM$3&lt;$B$2,SUMPRODUCT(('PA Fees Actual'!$B$5:$B$882=$E25)*('PA Fees Actual'!$A$5:$A$882&gt;=AM$3)*('PA Fees Actual'!$A$5:$A$882&lt;=EOMONTH(AM$3,0))*'PA Fees Actual'!$D$5:$D$882),AM$3&gt;=EOMONTH($X25,-1)+1,$Y25,TRUE,0)</f>
        <v>0</v>
      </c>
      <c r="AN25" s="202" cm="1">
        <f t="array" ref="AN25">_xlfn.IFS(AN$3&lt;$B$2,SUMPRODUCT(('PA Fees Actual'!$B$5:$B$882=$E25)*('PA Fees Actual'!$A$5:$A$882&gt;=AN$3)*('PA Fees Actual'!$A$5:$A$882&lt;=EOMONTH(AN$3,0))*'PA Fees Actual'!$D$5:$D$882),AN$3&gt;=EOMONTH($X25,-1)+1,$Y25,TRUE,0)</f>
        <v>0</v>
      </c>
      <c r="AO25" s="202" cm="1">
        <f t="array" ref="AO25">_xlfn.IFS(AO$3&lt;$B$2,SUMPRODUCT(('PA Fees Actual'!$B$5:$B$882=$E25)*('PA Fees Actual'!$A$5:$A$882&gt;=AO$3)*('PA Fees Actual'!$A$5:$A$882&lt;=EOMONTH(AO$3,0))*'PA Fees Actual'!$D$5:$D$882),AO$3&gt;=EOMONTH($X25,-1)+1,$Y25,TRUE,0)</f>
        <v>0</v>
      </c>
      <c r="AP25" s="202" cm="1">
        <f t="array" ref="AP25">_xlfn.IFS(AP$3&lt;$B$2,SUMPRODUCT(('PA Fees Actual'!$B$5:$B$882=$E25)*('PA Fees Actual'!$A$5:$A$882&gt;=AP$3)*('PA Fees Actual'!$A$5:$A$882&lt;=EOMONTH(AP$3,0))*'PA Fees Actual'!$D$5:$D$882),AP$3&gt;=EOMONTH($X25,-1)+1,$Y25,TRUE,0)</f>
        <v>0</v>
      </c>
      <c r="AQ25" s="202" cm="1">
        <f t="array" ref="AQ25">_xlfn.IFS(AQ$3&lt;$B$2,SUMPRODUCT(('PA Fees Actual'!$B$5:$B$882=$E25)*('PA Fees Actual'!$A$5:$A$882&gt;=AQ$3)*('PA Fees Actual'!$A$5:$A$882&lt;=EOMONTH(AQ$3,0))*'PA Fees Actual'!$D$5:$D$882),AQ$3&gt;=EOMONTH($X25,-1)+1,$Y25,TRUE,0)</f>
        <v>0</v>
      </c>
      <c r="AR25" s="202" cm="1">
        <f t="array" ref="AR25">_xlfn.IFS(AR$3&lt;$B$2,SUMPRODUCT(('PA Fees Actual'!$B$5:$B$882=$E25)*('PA Fees Actual'!$A$5:$A$882&gt;=AR$3)*('PA Fees Actual'!$A$5:$A$882&lt;=EOMONTH(AR$3,0))*'PA Fees Actual'!$D$5:$D$882),AR$3&gt;=EOMONTH($X25,-1)+1,$Y25,TRUE,0)</f>
        <v>0</v>
      </c>
      <c r="AS25" s="202" cm="1">
        <f t="array" ref="AS25">_xlfn.IFS(AS$3&lt;$B$2,SUMPRODUCT(('PA Fees Actual'!$B$5:$B$882=$E25)*('PA Fees Actual'!$A$5:$A$882&gt;=AS$3)*('PA Fees Actual'!$A$5:$A$882&lt;=EOMONTH(AS$3,0))*'PA Fees Actual'!$D$5:$D$882),AS$3&gt;=EOMONTH($X25,-1)+1,$Y25,TRUE,0)</f>
        <v>0</v>
      </c>
      <c r="AT25" s="202" cm="1">
        <f t="array" ref="AT25">_xlfn.IFS(AT$3&lt;$B$2,SUMPRODUCT(('PA Fees Actual'!$B$5:$B$882=$E25)*('PA Fees Actual'!$A$5:$A$882&gt;=AT$3)*('PA Fees Actual'!$A$5:$A$882&lt;=EOMONTH(AT$3,0))*'PA Fees Actual'!$D$5:$D$882),AT$3&gt;=EOMONTH($X25,-1)+1,$Y25,TRUE,0)</f>
        <v>0</v>
      </c>
      <c r="AU25" s="202" cm="1">
        <f t="array" ref="AU25">_xlfn.IFS(AU$3&lt;$B$2,SUMPRODUCT(('PA Fees Actual'!$B$5:$B$882=$E25)*('PA Fees Actual'!$A$5:$A$882&gt;=AU$3)*('PA Fees Actual'!$A$5:$A$882&lt;=EOMONTH(AU$3,0))*'PA Fees Actual'!$D$5:$D$882),AU$3&gt;=EOMONTH($X25,-1)+1,$Y25,TRUE,0)</f>
        <v>0</v>
      </c>
      <c r="AV25" s="202" cm="1">
        <f t="array" ref="AV25">_xlfn.IFS(AV$3&lt;$B$2,SUMPRODUCT(('PA Fees Actual'!$B$5:$B$882=$E25)*('PA Fees Actual'!$A$5:$A$882&gt;=AV$3)*('PA Fees Actual'!$A$5:$A$882&lt;=EOMONTH(AV$3,0))*'PA Fees Actual'!$D$5:$D$882),AV$3&gt;=EOMONTH($X25,-1)+1,$Y25,TRUE,0)</f>
        <v>0</v>
      </c>
      <c r="AW25" s="202" cm="1">
        <f t="array" ref="AW25">_xlfn.IFS(AW$3&lt;$B$2,SUMPRODUCT(('PA Fees Actual'!$B$5:$B$882=$E25)*('PA Fees Actual'!$A$5:$A$882&gt;=AW$3)*('PA Fees Actual'!$A$5:$A$882&lt;=EOMONTH(AW$3,0))*'PA Fees Actual'!$D$5:$D$882),AW$3&gt;=EOMONTH($X25,-1)+1,$Y25,TRUE,0)</f>
        <v>0</v>
      </c>
      <c r="AX25" s="202" cm="1">
        <f t="array" ref="AX25">_xlfn.IFS(AX$3&lt;$B$2,SUMPRODUCT(('PA Fees Actual'!$B$5:$B$882=$E25)*('PA Fees Actual'!$A$5:$A$882&gt;=AX$3)*('PA Fees Actual'!$A$5:$A$882&lt;=EOMONTH(AX$3,0))*'PA Fees Actual'!$D$5:$D$882),AX$3&gt;=EOMONTH($X25,-1)+1,$Y25,TRUE,0)</f>
        <v>0</v>
      </c>
      <c r="AY25" s="202" cm="1">
        <f t="array" ref="AY25">_xlfn.IFS(AY$3&lt;$B$2,SUMPRODUCT(('PA Fees Actual'!$B$5:$B$882=$E25)*('PA Fees Actual'!$A$5:$A$882&gt;=AY$3)*('PA Fees Actual'!$A$5:$A$882&lt;=EOMONTH(AY$3,0))*'PA Fees Actual'!$D$5:$D$882),AY$3&gt;=EOMONTH($X25,-1)+1,$Y25,TRUE,0)</f>
        <v>0</v>
      </c>
      <c r="AZ25" s="202" cm="1">
        <f t="array" ref="AZ25">_xlfn.IFS(AZ$3&lt;$B$2,SUMPRODUCT(('PA Fees Actual'!$B$5:$B$882=$E25)*('PA Fees Actual'!$A$5:$A$882&gt;=AZ$3)*('PA Fees Actual'!$A$5:$A$882&lt;=EOMONTH(AZ$3,0))*'PA Fees Actual'!$D$5:$D$882),AZ$3&gt;=EOMONTH($X25,-1)+1,$Y25,TRUE,0)</f>
        <v>0</v>
      </c>
      <c r="BA25" s="202" cm="1">
        <f t="array" ref="BA25">_xlfn.IFS(BA$3&lt;$B$2,SUMPRODUCT(('PA Fees Actual'!$B$5:$B$882=$E25)*('PA Fees Actual'!$A$5:$A$882&gt;=BA$3)*('PA Fees Actual'!$A$5:$A$882&lt;=EOMONTH(BA$3,0))*'PA Fees Actual'!$D$5:$D$882),BA$3&gt;=EOMONTH($X25,-1)+1,$Y25,TRUE,0)</f>
        <v>0</v>
      </c>
      <c r="BB25" s="202" cm="1">
        <f t="array" ref="BB25">_xlfn.IFS(BB$3&lt;$B$2,SUMPRODUCT(('PA Fees Actual'!$B$5:$B$882=$E25)*('PA Fees Actual'!$A$5:$A$882&gt;=BB$3)*('PA Fees Actual'!$A$5:$A$882&lt;=EOMONTH(BB$3,0))*'PA Fees Actual'!$D$5:$D$882),BB$3&gt;=EOMONTH($X25,-1)+1,$Y25,TRUE,0)</f>
        <v>0</v>
      </c>
      <c r="BC25" s="202" cm="1">
        <f t="array" ref="BC25">_xlfn.IFS(BC$3&lt;$B$2,SUMPRODUCT(('PA Fees Actual'!$B$5:$B$882=$E25)*('PA Fees Actual'!$A$5:$A$882&gt;=BC$3)*('PA Fees Actual'!$A$5:$A$882&lt;=EOMONTH(BC$3,0))*'PA Fees Actual'!$D$5:$D$882),BC$3&gt;=EOMONTH($X25,-1)+1,$Y25,TRUE,0)</f>
        <v>0</v>
      </c>
      <c r="BD25" s="202" cm="1">
        <f t="array" ref="BD25">_xlfn.IFS(BD$3&lt;$B$2,SUMPRODUCT(('PA Fees Actual'!$B$5:$B$882=$E25)*('PA Fees Actual'!$A$5:$A$882&gt;=BD$3)*('PA Fees Actual'!$A$5:$A$882&lt;=EOMONTH(BD$3,0))*'PA Fees Actual'!$D$5:$D$882),BD$3&gt;=EOMONTH($X25,-1)+1,$Y25,TRUE,0)</f>
        <v>0</v>
      </c>
      <c r="BE25" s="202" cm="1">
        <f t="array" ref="BE25">_xlfn.IFS(BE$3&lt;$B$2,SUMPRODUCT(('PA Fees Actual'!$B$5:$B$882=$E25)*('PA Fees Actual'!$A$5:$A$882&gt;=BE$3)*('PA Fees Actual'!$A$5:$A$882&lt;=EOMONTH(BE$3,0))*'PA Fees Actual'!$D$5:$D$882),BE$3&gt;=EOMONTH($X25,-1)+1,$Y25,TRUE,0)</f>
        <v>0</v>
      </c>
      <c r="BF25" s="202" cm="1">
        <f t="array" ref="BF25">_xlfn.IFS(BF$3&lt;$B$2,SUMPRODUCT(('PA Fees Actual'!$B$5:$B$882=$E25)*('PA Fees Actual'!$A$5:$A$882&gt;=BF$3)*('PA Fees Actual'!$A$5:$A$882&lt;=EOMONTH(BF$3,0))*'PA Fees Actual'!$D$5:$D$882),BF$3&gt;=EOMONTH($X25,-1)+1,$Y25,TRUE,0)</f>
        <v>0</v>
      </c>
      <c r="BG25" s="202" cm="1">
        <f t="array" ref="BG25">_xlfn.IFS(BG$3&lt;$B$2,SUMPRODUCT(('PA Fees Actual'!$B$5:$B$882=$E25)*('PA Fees Actual'!$A$5:$A$882&gt;=BG$3)*('PA Fees Actual'!$A$5:$A$882&lt;=EOMONTH(BG$3,0))*'PA Fees Actual'!$D$5:$D$882),BG$3&gt;=EOMONTH($X25,-1)+1,$Y25,TRUE,0)</f>
        <v>0</v>
      </c>
      <c r="BH25" s="202" cm="1">
        <f t="array" ref="BH25">_xlfn.IFS(BH$3&lt;$B$2,SUMPRODUCT(('PA Fees Actual'!$B$5:$B$882=$E25)*('PA Fees Actual'!$A$5:$A$882&gt;=BH$3)*('PA Fees Actual'!$A$5:$A$882&lt;=EOMONTH(BH$3,0))*'PA Fees Actual'!$D$5:$D$882),BH$3&gt;=EOMONTH($X25,-1)+1,$Y25,TRUE,0)</f>
        <v>0</v>
      </c>
      <c r="BI25" s="202" cm="1">
        <f t="array" ref="BI25">_xlfn.IFS(BI$3&lt;$B$2,SUMPRODUCT(('PA Fees Actual'!$B$5:$B$882=$E25)*('PA Fees Actual'!$A$5:$A$882&gt;=BI$3)*('PA Fees Actual'!$A$5:$A$882&lt;=EOMONTH(BI$3,0))*'PA Fees Actual'!$D$5:$D$882),BI$3&gt;=EOMONTH($X25,-1)+1,$Y25,TRUE,0)</f>
        <v>0</v>
      </c>
      <c r="BJ25" s="202" cm="1">
        <f t="array" ref="BJ25">_xlfn.IFS(BJ$3&lt;$B$2,SUMPRODUCT(('PA Fees Actual'!$B$5:$B$882=$E25)*('PA Fees Actual'!$A$5:$A$882&gt;=BJ$3)*('PA Fees Actual'!$A$5:$A$882&lt;=EOMONTH(BJ$3,0))*'PA Fees Actual'!$D$5:$D$882),BJ$3&gt;=EOMONTH($X25,-1)+1,$Y25,TRUE,0)</f>
        <v>0</v>
      </c>
      <c r="BK25" s="202" cm="1">
        <f t="array" ref="BK25">_xlfn.IFS(BK$3&lt;$B$2,SUMPRODUCT(('PA Fees Actual'!$B$5:$B$882=$E25)*('PA Fees Actual'!$A$5:$A$882&gt;=BK$3)*('PA Fees Actual'!$A$5:$A$882&lt;=EOMONTH(BK$3,0))*'PA Fees Actual'!$D$5:$D$882),BK$3&gt;=EOMONTH($X25,-1)+1,$Y25,TRUE,0)</f>
        <v>0</v>
      </c>
      <c r="BL25" s="202" cm="1">
        <f t="array" ref="BL25">_xlfn.IFS(BL$3&lt;$B$2,SUMPRODUCT(('PA Fees Actual'!$B$5:$B$882=$E25)*('PA Fees Actual'!$A$5:$A$882&gt;=BL$3)*('PA Fees Actual'!$A$5:$A$882&lt;=EOMONTH(BL$3,0))*'PA Fees Actual'!$D$5:$D$882),BL$3&gt;=EOMONTH($X25,-1)+1,$Y25,TRUE,0)</f>
        <v>0</v>
      </c>
      <c r="BM25" s="202" cm="1">
        <f t="array" ref="BM25">_xlfn.IFS(BM$3&lt;$B$2,SUMPRODUCT(('PA Fees Actual'!$B$5:$B$882=$E25)*('PA Fees Actual'!$A$5:$A$882&gt;=BM$3)*('PA Fees Actual'!$A$5:$A$882&lt;=EOMONTH(BM$3,0))*'PA Fees Actual'!$D$5:$D$882),BM$3&gt;=EOMONTH($X25,-1)+1,$Y25,TRUE,0)</f>
        <v>0</v>
      </c>
      <c r="BN25" s="202" cm="1">
        <f t="array" ref="BN25">_xlfn.IFS(BN$3&lt;$B$2,SUMPRODUCT(('PA Fees Actual'!$B$5:$B$882=$E25)*('PA Fees Actual'!$A$5:$A$882&gt;=BN$3)*('PA Fees Actual'!$A$5:$A$882&lt;=EOMONTH(BN$3,0))*'PA Fees Actual'!$D$5:$D$882),BN$3&gt;=EOMONTH($X25,-1)+1,$Y25,TRUE,0)</f>
        <v>0</v>
      </c>
      <c r="BO25" s="202" cm="1">
        <f t="array" ref="BO25">_xlfn.IFS(BO$3&lt;$B$2,SUMPRODUCT(('PA Fees Actual'!$B$5:$B$882=$E25)*('PA Fees Actual'!$A$5:$A$882&gt;=BO$3)*('PA Fees Actual'!$A$5:$A$882&lt;=EOMONTH(BO$3,0))*'PA Fees Actual'!$D$5:$D$882),BO$3&gt;=EOMONTH($X25,-1)+1,$Y25,TRUE,0)</f>
        <v>0</v>
      </c>
      <c r="BP25" s="202" cm="1">
        <f t="array" ref="BP25">_xlfn.IFS(BP$3&lt;$B$2,SUMPRODUCT(('PA Fees Actual'!$B$5:$B$882=$E25)*('PA Fees Actual'!$A$5:$A$882&gt;=BP$3)*('PA Fees Actual'!$A$5:$A$882&lt;=EOMONTH(BP$3,0))*'PA Fees Actual'!$D$5:$D$882),BP$3&gt;=EOMONTH($X25,-1)+1,$Y25,TRUE,0)</f>
        <v>0</v>
      </c>
      <c r="BQ25" s="202" cm="1">
        <f t="array" ref="BQ25">_xlfn.IFS(BQ$3&lt;$B$2,SUMPRODUCT(('PA Fees Actual'!$B$5:$B$882=$E25)*('PA Fees Actual'!$A$5:$A$882&gt;=BQ$3)*('PA Fees Actual'!$A$5:$A$882&lt;=EOMONTH(BQ$3,0))*'PA Fees Actual'!$D$5:$D$882),BQ$3&gt;=EOMONTH($X25,-1)+1,$Y25,TRUE,0)</f>
        <v>0</v>
      </c>
      <c r="BR25" s="202" cm="1">
        <f t="array" ref="BR25">_xlfn.IFS(BR$3&lt;$B$2,SUMPRODUCT(('PA Fees Actual'!$B$5:$B$882=$E25)*('PA Fees Actual'!$A$5:$A$882&gt;=BR$3)*('PA Fees Actual'!$A$5:$A$882&lt;=EOMONTH(BR$3,0))*'PA Fees Actual'!$D$5:$D$882),BR$3&gt;=EOMONTH($X25,-1)+1,$Y25,TRUE,0)</f>
        <v>0</v>
      </c>
      <c r="BS25" s="202" cm="1">
        <f t="array" ref="BS25">_xlfn.IFS(BS$3&lt;$B$2,SUMPRODUCT(('PA Fees Actual'!$B$5:$B$882=$E25)*('PA Fees Actual'!$A$5:$A$882&gt;=BS$3)*('PA Fees Actual'!$A$5:$A$882&lt;=EOMONTH(BS$3,0))*'PA Fees Actual'!$D$5:$D$882),BS$3&gt;=EOMONTH($X25,-1)+1,$Y25,TRUE,0)</f>
        <v>0</v>
      </c>
      <c r="BT25" s="202" cm="1">
        <f t="array" ref="BT25">_xlfn.IFS(BT$3&lt;$B$2,SUMPRODUCT(('PA Fees Actual'!$B$5:$B$882=$E25)*('PA Fees Actual'!$A$5:$A$882&gt;=BT$3)*('PA Fees Actual'!$A$5:$A$882&lt;=EOMONTH(BT$3,0))*'PA Fees Actual'!$D$5:$D$882),BT$3&gt;=EOMONTH($X25,-1)+1,$Y25,TRUE,0)</f>
        <v>0</v>
      </c>
      <c r="BU25" s="202" cm="1">
        <f t="array" ref="BU25">_xlfn.IFS(BU$3&lt;$B$2,SUMPRODUCT(('PA Fees Actual'!$B$5:$B$882=$E25)*('PA Fees Actual'!$A$5:$A$882&gt;=BU$3)*('PA Fees Actual'!$A$5:$A$882&lt;=EOMONTH(BU$3,0))*'PA Fees Actual'!$D$5:$D$882),BU$3&gt;=EOMONTH($X25,-1)+1,$Y25,TRUE,0)</f>
        <v>0</v>
      </c>
      <c r="BV25" s="202" cm="1">
        <f t="array" ref="BV25">_xlfn.IFS(BV$3&lt;$B$2,SUMPRODUCT(('PA Fees Actual'!$B$5:$B$882=$E25)*('PA Fees Actual'!$A$5:$A$882&gt;=BV$3)*('PA Fees Actual'!$A$5:$A$882&lt;=EOMONTH(BV$3,0))*'PA Fees Actual'!$D$5:$D$882),BV$3&gt;=EOMONTH($X25,-1)+1,$Y25,TRUE,0)</f>
        <v>1711.91</v>
      </c>
      <c r="BW25" s="202" cm="1">
        <f t="array" ref="BW25">_xlfn.IFS(BW$3&lt;$B$2,SUMPRODUCT(('PA Fees Actual'!$B$5:$B$882=$E25)*('PA Fees Actual'!$A$5:$A$882&gt;=BW$3)*('PA Fees Actual'!$A$5:$A$882&lt;=EOMONTH(BW$3,0))*'PA Fees Actual'!$D$5:$D$882),BW$3&gt;=EOMONTH($X25,-1)+1,$Y25,TRUE,0)</f>
        <v>0</v>
      </c>
      <c r="BX25" s="202" cm="1">
        <f t="array" ref="BX25">_xlfn.IFS(BX$3&lt;$B$2,SUMPRODUCT(('PA Fees Actual'!$B$5:$B$882=$E25)*('PA Fees Actual'!$A$5:$A$882&gt;=BX$3)*('PA Fees Actual'!$A$5:$A$882&lt;=EOMONTH(BX$3,0))*'PA Fees Actual'!$D$5:$D$882),BX$3&gt;=EOMONTH($X25,-1)+1,$Y25,TRUE,0)</f>
        <v>5140.05</v>
      </c>
      <c r="BY25" s="202" cm="1">
        <f t="array" ref="BY25">_xlfn.IFS(BY$3&lt;$B$2,SUMPRODUCT(('PA Fees Actual'!$B$5:$B$882=$E25)*('PA Fees Actual'!$A$5:$A$882&gt;=BY$3)*('PA Fees Actual'!$A$5:$A$882&lt;=EOMONTH(BY$3,0))*'PA Fees Actual'!$D$5:$D$882),BY$3&gt;=EOMONTH($X25,-1)+1,$Y25,TRUE,0)</f>
        <v>0</v>
      </c>
      <c r="BZ25" s="202" cm="1">
        <f t="array" ref="BZ25">_xlfn.IFS(BZ$3&lt;$B$2,SUMPRODUCT(('PA Fees Actual'!$B$5:$B$882=$E25)*('PA Fees Actual'!$A$5:$A$882&gt;=BZ$3)*('PA Fees Actual'!$A$5:$A$882&lt;=EOMONTH(BZ$3,0))*'PA Fees Actual'!$D$5:$D$882),BZ$3&gt;=EOMONTH($X25,-1)+1,$Y25,TRUE,0)</f>
        <v>0</v>
      </c>
      <c r="CA25" s="202" cm="1">
        <f t="array" ref="CA25">_xlfn.IFS(CA$3&lt;$B$2,SUMPRODUCT(('PA Fees Actual'!$B$5:$B$882=$E25)*('PA Fees Actual'!$A$5:$A$882&gt;=CA$3)*('PA Fees Actual'!$A$5:$A$882&lt;=EOMONTH(CA$3,0))*'PA Fees Actual'!$D$5:$D$882),CA$3&gt;=EOMONTH($X25,-1)+1,$Y25,TRUE,0)</f>
        <v>1706.32</v>
      </c>
      <c r="CB25" s="202" cm="1">
        <f t="array" ref="CB25">_xlfn.IFS(CB$3&lt;$B$2,SUMPRODUCT(('PA Fees Actual'!$B$5:$B$882=$E25)*('PA Fees Actual'!$A$5:$A$882&gt;=CB$3)*('PA Fees Actual'!$A$5:$A$882&lt;=EOMONTH(CB$3,0))*'PA Fees Actual'!$D$5:$D$882),CB$3&gt;=EOMONTH($X25,-1)+1,$Y25,TRUE,0)</f>
        <v>1625.625</v>
      </c>
      <c r="CC25" s="202" cm="1">
        <f t="array" ref="CC25">_xlfn.IFS(CC$3&lt;$B$2,SUMPRODUCT(('PA Fees Actual'!$B$5:$B$882=$E25)*('PA Fees Actual'!$A$5:$A$882&gt;=CC$3)*('PA Fees Actual'!$A$5:$A$882&lt;=EOMONTH(CC$3,0))*'PA Fees Actual'!$D$5:$D$882),CC$3&gt;=EOMONTH($X25,-1)+1,$Y25,TRUE,0)</f>
        <v>1625.625</v>
      </c>
      <c r="CD25" s="202" cm="1">
        <f t="array" ref="CD25">_xlfn.IFS(CD$3&lt;$B$2,SUMPRODUCT(('PA Fees Actual'!$B$5:$B$882=$E25)*('PA Fees Actual'!$A$5:$A$882&gt;=CD$3)*('PA Fees Actual'!$A$5:$A$882&lt;=EOMONTH(CD$3,0))*'PA Fees Actual'!$D$5:$D$882),CD$3&gt;=EOMONTH($X25,-1)+1,$Y25,TRUE,0)</f>
        <v>1625.625</v>
      </c>
      <c r="CE25" s="202" cm="1">
        <f t="array" ref="CE25">_xlfn.IFS(CE$3&lt;$B$2,SUMPRODUCT(('PA Fees Actual'!$B$5:$B$882=$E25)*('PA Fees Actual'!$A$5:$A$882&gt;=CE$3)*('PA Fees Actual'!$A$5:$A$882&lt;=EOMONTH(CE$3,0))*'PA Fees Actual'!$D$5:$D$882),CE$3&gt;=EOMONTH($X25,-1)+1,$Y25,TRUE,0)</f>
        <v>1625.625</v>
      </c>
      <c r="CF25" s="202" cm="1">
        <f t="array" ref="CF25">_xlfn.IFS(CF$3&lt;$B$2,SUMPRODUCT(('PA Fees Actual'!$B$5:$B$882=$E25)*('PA Fees Actual'!$A$5:$A$882&gt;=CF$3)*('PA Fees Actual'!$A$5:$A$882&lt;=EOMONTH(CF$3,0))*'PA Fees Actual'!$D$5:$D$882),CF$3&gt;=EOMONTH($X25,-1)+1,$Y25,TRUE,0)</f>
        <v>1625.625</v>
      </c>
      <c r="CG25" s="202" cm="1">
        <f t="array" ref="CG25">_xlfn.IFS(CG$3&lt;$B$2,SUMPRODUCT(('PA Fees Actual'!$B$5:$B$882=$E25)*('PA Fees Actual'!$A$5:$A$882&gt;=CG$3)*('PA Fees Actual'!$A$5:$A$882&lt;=EOMONTH(CG$3,0))*'PA Fees Actual'!$D$5:$D$882),CG$3&gt;=EOMONTH($X25,-1)+1,$Y25,TRUE,0)</f>
        <v>1625.625</v>
      </c>
      <c r="CI25" s="202" cm="1">
        <f t="array" ref="CI25">_xlfn.IFS(CI$3&lt;=YEAR($B$2),SUMPRODUCT(($E$4:$E$79=$E25)*($Z$2:$CG$2=CI$3)*($Z$2:$CG$2&lt;CJ$3)*$Z$4:$CG$79),CI$3&lt;YEAR($X25),0,CI$3=YEAR($X25),DATEDIF($X25,DATE(CI$3,12,31),"m")*$Y25,AND(CI$3&gt;YEAR($X25),CI$3-YEAR($X25)&lt;20),$Y25*12,CI$3-YEAR($X25)=20,DATEDIF(DATE(YEAR($X25),1,1),$X25,"m")*$Y25,CI$3-YEAR($X25)&gt;20,0)</f>
        <v>0</v>
      </c>
      <c r="CJ25" s="202" cm="1">
        <f t="array" ref="CJ25">_xlfn.IFS(CJ$3&lt;=YEAR($B$2),SUMPRODUCT(($E$4:$E$79=$E25)*($Z$2:$CG$2=CJ$3)*($Z$2:$CG$2&lt;CK$3)*$Z$4:$CG$79),CJ$3&lt;YEAR($X25),0,CJ$3=YEAR($X25),DATEDIF($X25,DATE(CJ$3,12,31),"m")*$Y25,AND(CJ$3&gt;YEAR($X25),CJ$3-YEAR($X25)&lt;20),$Y25*12,CJ$3-YEAR($X25)=20,DATEDIF(DATE(YEAR($X25),1,1),$X25,"m")*$Y25,CJ$3-YEAR($X25)&gt;20,0)</f>
        <v>0</v>
      </c>
      <c r="CK25" s="202" cm="1">
        <f t="array" ref="CK25">_xlfn.IFS(CK$3&lt;=YEAR($B$2),SUMPRODUCT(($E$4:$E$79=$E25)*($Z$2:$CG$2=CK$3)*($Z$2:$CG$2&lt;CL$3)*$Z$4:$CG$79),CK$3&lt;YEAR($X25),0,CK$3=YEAR($X25),DATEDIF($X25,DATE(CK$3,12,31),"m")*$Y25,AND(CK$3&gt;YEAR($X25),CK$3-YEAR($X25)&lt;20),$Y25*12,CK$3-YEAR($X25)=20,DATEDIF(DATE(YEAR($X25),1,1),$X25,"m")*$Y25,CK$3-YEAR($X25)&gt;20,0)</f>
        <v>0</v>
      </c>
      <c r="CL25" s="202" cm="1">
        <f t="array" ref="CL25">_xlfn.IFS(CL$3&lt;=YEAR($B$2),SUMPRODUCT(($E$4:$E$79=$E25)*($Z$2:$CG$2=CL$3)*($Z$2:$CG$2&lt;CM$3)*$Z$4:$CG$79),CL$3&lt;YEAR($X25),0,CL$3=YEAR($X25),DATEDIF($X25,DATE(CL$3,12,31),"m")*$Y25,AND(CL$3&gt;YEAR($X25),CL$3-YEAR($X25)&lt;20),$Y25*12,CL$3-YEAR($X25)=20,DATEDIF(DATE(YEAR($X25),1,1),$X25,"m")*$Y25,CL$3-YEAR($X25)&gt;20,0)</f>
        <v>0</v>
      </c>
      <c r="CM25" s="202" cm="1">
        <f t="array" ref="CM25">_xlfn.IFS(CM$3&lt;=YEAR($B$2),SUMPRODUCT(($E$4:$E$79=$E25)*($Z$2:$CG$2=CM$3)*($Z$2:$CG$2&lt;CN$3)*$Z$4:$CG$79),CM$3&lt;YEAR($X25),0,CM$3=YEAR($X25),DATEDIF($X25,DATE(CM$3,12,31),"m")*$Y25,AND(CM$3&gt;YEAR($X25),CM$3-YEAR($X25)&lt;20),$Y25*12,CM$3-YEAR($X25)=20,DATEDIF(DATE(YEAR($X25),1,1),$X25,"m")*$Y25,CM$3-YEAR($X25)&gt;20,0)</f>
        <v>18312.03</v>
      </c>
      <c r="CN25" s="202" cm="1">
        <f t="array" ref="CN25">_xlfn.IFS(CN$3&lt;=YEAR($B$2),SUMPRODUCT(($E$4:$E$79=$E25)*($Z$2:$CG$2=CN$3)*($Z$2:$CG$2&lt;CO$3)*$Z$4:$CG$79),CN$3&lt;YEAR($X25),0,CN$3=YEAR($X25),DATEDIF($X25,DATE(CN$3,12,31),"m")*$Y25,AND(CN$3&gt;YEAR($X25),CN$3-YEAR($X25)&lt;20),$Y25*12,CN$3-YEAR($X25)=20,DATEDIF(DATE(YEAR($X25),1,1),$X25,"m")*$Y25,CN$3-YEAR($X25)&gt;20,0)</f>
        <v>19507.5</v>
      </c>
      <c r="CO25" s="202" cm="1">
        <f t="array" ref="CO25">_xlfn.IFS(CO$3&lt;=YEAR($B$2),SUMPRODUCT(($E$4:$E$79=$E25)*($Z$2:$CG$2=CO$3)*($Z$2:$CG$2&lt;CP$3)*$Z$4:$CG$79),CO$3&lt;YEAR($X25),0,CO$3=YEAR($X25),DATEDIF($X25,DATE(CO$3,12,31),"m")*$Y25,AND(CO$3&gt;YEAR($X25),CO$3-YEAR($X25)&lt;20),$Y25*12,CO$3-YEAR($X25)=20,DATEDIF(DATE(YEAR($X25),1,1),$X25,"m")*$Y25,CO$3-YEAR($X25)&gt;20,0)</f>
        <v>19507.5</v>
      </c>
      <c r="CP25" s="202" cm="1">
        <f t="array" ref="CP25">_xlfn.IFS(CP$3&lt;=YEAR($B$2),SUMPRODUCT(($E$4:$E$79=$E25)*($Z$2:$CG$2=CP$3)*($Z$2:$CG$2&lt;CQ$3)*$Z$4:$CG$79),CP$3&lt;YEAR($X25),0,CP$3=YEAR($X25),DATEDIF($X25,DATE(CP$3,12,31),"m")*$Y25,AND(CP$3&gt;YEAR($X25),CP$3-YEAR($X25)&lt;20),$Y25*12,CP$3-YEAR($X25)=20,DATEDIF(DATE(YEAR($X25),1,1),$X25,"m")*$Y25,CP$3-YEAR($X25)&gt;20,0)</f>
        <v>19507.5</v>
      </c>
      <c r="CQ25" s="202" cm="1">
        <f t="array" ref="CQ25">_xlfn.IFS(CQ$3&lt;=YEAR($B$2),SUMPRODUCT(($E$4:$E$79=$E25)*($Z$2:$CG$2=CQ$3)*($Z$2:$CG$2&lt;CR$3)*$Z$4:$CG$79),CQ$3&lt;YEAR($X25),0,CQ$3=YEAR($X25),DATEDIF($X25,DATE(CQ$3,12,31),"m")*$Y25,AND(CQ$3&gt;YEAR($X25),CQ$3-YEAR($X25)&lt;20),$Y25*12,CQ$3-YEAR($X25)=20,DATEDIF(DATE(YEAR($X25),1,1),$X25,"m")*$Y25,CQ$3-YEAR($X25)&gt;20,0)</f>
        <v>19507.5</v>
      </c>
      <c r="CR25" s="202" cm="1">
        <f t="array" ref="CR25">_xlfn.IFS(CR$3&lt;=YEAR($B$2),SUMPRODUCT(($E$4:$E$79=$E25)*($Z$2:$CG$2=CR$3)*($Z$2:$CG$2&lt;CS$3)*$Z$4:$CG$79),CR$3&lt;YEAR($X25),0,CR$3=YEAR($X25),DATEDIF($X25,DATE(CR$3,12,31),"m")*$Y25,AND(CR$3&gt;YEAR($X25),CR$3-YEAR($X25)&lt;20),$Y25*12,CR$3-YEAR($X25)=20,DATEDIF(DATE(YEAR($X25),1,1),$X25,"m")*$Y25,CR$3-YEAR($X25)&gt;20,0)</f>
        <v>19507.5</v>
      </c>
      <c r="CS25" s="202" cm="1">
        <f t="array" ref="CS25">_xlfn.IFS(CS$3&lt;=YEAR($B$2),SUMPRODUCT(($E$4:$E$79=$E25)*($Z$2:$CG$2=CS$3)*($Z$2:$CG$2&lt;CT$3)*$Z$4:$CG$79),CS$3&lt;YEAR($X25),0,CS$3=YEAR($X25),DATEDIF($X25,DATE(CS$3,12,31),"m")*$Y25,AND(CS$3&gt;YEAR($X25),CS$3-YEAR($X25)&lt;20),$Y25*12,CS$3-YEAR($X25)=20,DATEDIF(DATE(YEAR($X25),1,1),$X25,"m")*$Y25,CS$3-YEAR($X25)&gt;20,0)</f>
        <v>19507.5</v>
      </c>
      <c r="CT25" s="202" cm="1">
        <f t="array" ref="CT25">_xlfn.IFS(CT$3&lt;=YEAR($B$2),SUMPRODUCT(($E$4:$E$79=$E25)*($Z$2:$CG$2=CT$3)*($Z$2:$CG$2&lt;CU$3)*$Z$4:$CG$79),CT$3&lt;YEAR($X25),0,CT$3=YEAR($X25),DATEDIF($X25,DATE(CT$3,12,31),"m")*$Y25,AND(CT$3&gt;YEAR($X25),CT$3-YEAR($X25)&lt;20),$Y25*12,CT$3-YEAR($X25)=20,DATEDIF(DATE(YEAR($X25),1,1),$X25,"m")*$Y25,CT$3-YEAR($X25)&gt;20,0)</f>
        <v>19507.5</v>
      </c>
      <c r="CU25" s="202" cm="1">
        <f t="array" ref="CU25">_xlfn.IFS(CU$3&lt;=YEAR($B$2),SUMPRODUCT(($E$4:$E$79=$E25)*($Z$2:$CG$2=CU$3)*($Z$2:$CG$2&lt;CV$3)*$Z$4:$CG$79),CU$3&lt;YEAR($X25),0,CU$3=YEAR($X25),DATEDIF($X25,DATE(CU$3,12,31),"m")*$Y25,AND(CU$3&gt;YEAR($X25),CU$3-YEAR($X25)&lt;20),$Y25*12,CU$3-YEAR($X25)=20,DATEDIF(DATE(YEAR($X25),1,1),$X25,"m")*$Y25,CU$3-YEAR($X25)&gt;20,0)</f>
        <v>19507.5</v>
      </c>
      <c r="CV25" s="202" cm="1">
        <f t="array" ref="CV25">_xlfn.IFS(CV$3&lt;=YEAR($B$2),SUMPRODUCT(($E$4:$E$79=$E25)*($Z$2:$CG$2=CV$3)*($Z$2:$CG$2&lt;CW$3)*$Z$4:$CG$79),CV$3&lt;YEAR($X25),0,CV$3=YEAR($X25),DATEDIF($X25,DATE(CV$3,12,31),"m")*$Y25,AND(CV$3&gt;YEAR($X25),CV$3-YEAR($X25)&lt;20),$Y25*12,CV$3-YEAR($X25)=20,DATEDIF(DATE(YEAR($X25),1,1),$X25,"m")*$Y25,CV$3-YEAR($X25)&gt;20,0)</f>
        <v>19507.5</v>
      </c>
      <c r="CW25" s="202" cm="1">
        <f t="array" ref="CW25">_xlfn.IFS(CW$3&lt;=YEAR($B$2),SUMPRODUCT(($E$4:$E$79=$E25)*($Z$2:$CG$2=CW$3)*($Z$2:$CG$2&lt;CX$3)*$Z$4:$CG$79),CW$3&lt;YEAR($X25),0,CW$3=YEAR($X25),DATEDIF($X25,DATE(CW$3,12,31),"m")*$Y25,AND(CW$3&gt;YEAR($X25),CW$3-YEAR($X25)&lt;20),$Y25*12,CW$3-YEAR($X25)=20,DATEDIF(DATE(YEAR($X25),1,1),$X25,"m")*$Y25,CW$3-YEAR($X25)&gt;20,0)</f>
        <v>19507.5</v>
      </c>
      <c r="CX25" s="202" cm="1">
        <f t="array" ref="CX25">_xlfn.IFS(CX$3&lt;=YEAR($B$2),SUMPRODUCT(($E$4:$E$79=$E25)*($Z$2:$CG$2=CX$3)*($Z$2:$CG$2&lt;CY$3)*$Z$4:$CG$79),CX$3&lt;YEAR($X25),0,CX$3=YEAR($X25),DATEDIF($X25,DATE(CX$3,12,31),"m")*$Y25,AND(CX$3&gt;YEAR($X25),CX$3-YEAR($X25)&lt;20),$Y25*12,CX$3-YEAR($X25)=20,DATEDIF(DATE(YEAR($X25),1,1),$X25,"m")*$Y25,CX$3-YEAR($X25)&gt;20,0)</f>
        <v>19507.5</v>
      </c>
      <c r="CY25" s="202" cm="1">
        <f t="array" ref="CY25">_xlfn.IFS(CY$3&lt;=YEAR($B$2),SUMPRODUCT(($E$4:$E$79=$E25)*($Z$2:$CG$2=CY$3)*($Z$2:$CG$2&lt;CZ$3)*$Z$4:$CG$79),CY$3&lt;YEAR($X25),0,CY$3=YEAR($X25),DATEDIF($X25,DATE(CY$3,12,31),"m")*$Y25,AND(CY$3&gt;YEAR($X25),CY$3-YEAR($X25)&lt;20),$Y25*12,CY$3-YEAR($X25)=20,DATEDIF(DATE(YEAR($X25),1,1),$X25,"m")*$Y25,CY$3-YEAR($X25)&gt;20,0)</f>
        <v>19507.5</v>
      </c>
      <c r="CZ25" s="202" cm="1">
        <f t="array" ref="CZ25">_xlfn.IFS(CZ$3&lt;=YEAR($B$2),SUMPRODUCT(($E$4:$E$79=$E25)*($Z$2:$CG$2=CZ$3)*($Z$2:$CG$2&lt;DA$3)*$Z$4:$CG$79),CZ$3&lt;YEAR($X25),0,CZ$3=YEAR($X25),DATEDIF($X25,DATE(CZ$3,12,31),"m")*$Y25,AND(CZ$3&gt;YEAR($X25),CZ$3-YEAR($X25)&lt;20),$Y25*12,CZ$3-YEAR($X25)=20,DATEDIF(DATE(YEAR($X25),1,1),$X25,"m")*$Y25,CZ$3-YEAR($X25)&gt;20,0)</f>
        <v>19507.5</v>
      </c>
      <c r="DA25" s="202" cm="1">
        <f t="array" ref="DA25">_xlfn.IFS(DA$3&lt;=YEAR($B$2),SUMPRODUCT(($E$4:$E$79=$E25)*($Z$2:$CG$2=DA$3)*($Z$2:$CG$2&lt;DB$3)*$Z$4:$CG$79),DA$3&lt;YEAR($X25),0,DA$3=YEAR($X25),DATEDIF($X25,DATE(DA$3,12,31),"m")*$Y25,AND(DA$3&gt;YEAR($X25),DA$3-YEAR($X25)&lt;20),$Y25*12,DA$3-YEAR($X25)=20,DATEDIF(DATE(YEAR($X25),1,1),$X25,"m")*$Y25,DA$3-YEAR($X25)&gt;20,0)</f>
        <v>19507.5</v>
      </c>
      <c r="DB25" s="202" cm="1">
        <f t="array" ref="DB25">_xlfn.IFS(DB$3&lt;=YEAR($B$2),SUMPRODUCT(($E$4:$E$79=$E25)*($Z$2:$CG$2=DB$3)*($Z$2:$CG$2&lt;DC$3)*$Z$4:$CG$79),DB$3&lt;YEAR($X25),0,DB$3=YEAR($X25),DATEDIF($X25,DATE(DB$3,12,31),"m")*$Y25,AND(DB$3&gt;YEAR($X25),DB$3-YEAR($X25)&lt;20),$Y25*12,DB$3-YEAR($X25)=20,DATEDIF(DATE(YEAR($X25),1,1),$X25,"m")*$Y25,DB$3-YEAR($X25)&gt;20,0)</f>
        <v>19507.5</v>
      </c>
      <c r="DC25" s="202" cm="1">
        <f t="array" ref="DC25">_xlfn.IFS(DC$3&lt;=YEAR($B$2),SUMPRODUCT(($E$4:$E$79=$E25)*($Z$2:$CG$2=DC$3)*($Z$2:$CG$2&lt;DD$3)*$Z$4:$CG$79),DC$3&lt;YEAR($X25),0,DC$3=YEAR($X25),DATEDIF($X25,DATE(DC$3,12,31),"m")*$Y25,AND(DC$3&gt;YEAR($X25),DC$3-YEAR($X25)&lt;20),$Y25*12,DC$3-YEAR($X25)=20,DATEDIF(DATE(YEAR($X25),1,1),$X25,"m")*$Y25,DC$3-YEAR($X25)&gt;20,0)</f>
        <v>19507.5</v>
      </c>
      <c r="DD25" s="202" cm="1">
        <f t="array" ref="DD25">_xlfn.IFS(DD$3&lt;=YEAR($B$2),SUMPRODUCT(($E$4:$E$79=$E25)*($Z$2:$CG$2=DD$3)*($Z$2:$CG$2&lt;DE$3)*$Z$4:$CG$79),DD$3&lt;YEAR($X25),0,DD$3=YEAR($X25),DATEDIF($X25,DATE(DD$3,12,31),"m")*$Y25,AND(DD$3&gt;YEAR($X25),DD$3-YEAR($X25)&lt;20),$Y25*12,DD$3-YEAR($X25)=20,DATEDIF(DATE(YEAR($X25),1,1),$X25,"m")*$Y25,DD$3-YEAR($X25)&gt;20,0)</f>
        <v>19507.5</v>
      </c>
      <c r="DE25" s="202" cm="1">
        <f t="array" ref="DE25">_xlfn.IFS(DE$3&lt;=YEAR($B$2),SUMPRODUCT(($E$4:$E$79=$E25)*($Z$2:$CG$2=DE$3)*($Z$2:$CG$2&lt;DF$3)*$Z$4:$CG$79),DE$3&lt;YEAR($X25),0,DE$3=YEAR($X25),DATEDIF($X25,DATE(DE$3,12,31),"m")*$Y25,AND(DE$3&gt;YEAR($X25),DE$3-YEAR($X25)&lt;20),$Y25*12,DE$3-YEAR($X25)=20,DATEDIF(DATE(YEAR($X25),1,1),$X25,"m")*$Y25,DE$3-YEAR($X25)&gt;20,0)</f>
        <v>19507.5</v>
      </c>
      <c r="DF25" s="202" cm="1">
        <f t="array" ref="DF25">_xlfn.IFS(DF$3&lt;=YEAR($B$2),SUMPRODUCT(($E$4:$E$79=$E25)*($Z$2:$CG$2=DF$3)*($Z$2:$CG$2&lt;DG$3)*$Z$4:$CG$79),DF$3&lt;YEAR($X25),0,DF$3=YEAR($X25),DATEDIF($X25,DATE(DF$3,12,31),"m")*$Y25,AND(DF$3&gt;YEAR($X25),DF$3-YEAR($X25)&lt;20),$Y25*12,DF$3-YEAR($X25)=20,DATEDIF(DATE(YEAR($X25),1,1),$X25,"m")*$Y25,DF$3-YEAR($X25)&gt;20,0)</f>
        <v>16256.25</v>
      </c>
      <c r="DG25" s="202" cm="1">
        <f t="array" ref="DG25">_xlfn.IFS(DG$3&lt;=YEAR($B$2),SUMPRODUCT(($E$4:$E$79=$E25)*($Z$2:$CG$2=DG$3)*($Z$2:$CG$2&lt;DH$3)*$Z$4:$CG$79),DG$3&lt;YEAR($X25),0,DG$3=YEAR($X25),DATEDIF($X25,DATE(DG$3,12,31),"m")*$Y25,AND(DG$3&gt;YEAR($X25),DG$3-YEAR($X25)&lt;20),$Y25*12,DG$3-YEAR($X25)=20,DATEDIF(DATE(YEAR($X25),1,1),$X25,"m")*$Y25,DG$3-YEAR($X25)&gt;20,0)</f>
        <v>0</v>
      </c>
      <c r="DH25" s="202" cm="1">
        <f t="array" ref="DH25">_xlfn.IFS(DH$3&lt;=YEAR($B$2),SUMPRODUCT(($E$4:$E$79=$E25)*($Z$2:$CG$2=DH$3)*($Z$2:$CG$2&lt;DI$3)*$Z$4:$CG$79),DH$3&lt;YEAR($X25),0,DH$3=YEAR($X25),DATEDIF($X25,DATE(DH$3,12,31),"m")*$Y25,AND(DH$3&gt;YEAR($X25),DH$3-YEAR($X25)&lt;20),$Y25*12,DH$3-YEAR($X25)=20,DATEDIF(DATE(YEAR($X25),1,1),$X25,"m")*$Y25,DH$3-YEAR($X25)&gt;20,0)</f>
        <v>0</v>
      </c>
      <c r="DI25" s="202" cm="1">
        <f t="array" ref="DI25">_xlfn.IFS(DI$3&lt;=YEAR($B$2),SUMPRODUCT(($E$4:$E$79=$E25)*($Z$2:$CG$2=DI$3)*($Z$2:$CG$2&lt;DJ$3)*$Z$4:$CG$79),DI$3&lt;YEAR($X25),0,DI$3=YEAR($X25),DATEDIF($X25,DATE(DI$3,12,31),"m")*$Y25,AND(DI$3&gt;YEAR($X25),DI$3-YEAR($X25)&lt;20),$Y25*12,DI$3-YEAR($X25)=20,DATEDIF(DATE(YEAR($X25),1,1),$X25,"m")*$Y25,DI$3-YEAR($X25)&gt;20,0)</f>
        <v>0</v>
      </c>
      <c r="DJ25" s="202" cm="1">
        <f t="array" ref="DJ25">_xlfn.IFS(DJ$3&lt;=YEAR($B$2),SUMPRODUCT(($E$4:$E$79=$E25)*($Z$2:$CG$2=DJ$3)*($Z$2:$CG$2&lt;DK$3)*$Z$4:$CG$79),DJ$3&lt;YEAR($X25),0,DJ$3=YEAR($X25),DATEDIF($X25,DATE(DJ$3,12,31),"m")*$Y25,AND(DJ$3&gt;YEAR($X25),DJ$3-YEAR($X25)&lt;20),$Y25*12,DJ$3-YEAR($X25)=20,DATEDIF(DATE(YEAR($X25),1,1),$X25,"m")*$Y25,DJ$3-YEAR($X25)&gt;20,0)</f>
        <v>0</v>
      </c>
      <c r="DK25" s="202" cm="1">
        <f t="array" ref="DK25">_xlfn.IFS(DK$3&lt;=YEAR($B$2),SUMPRODUCT(($E$4:$E$79=$E25)*($Z$2:$CG$2=DK$3)*($Z$2:$CG$2&lt;DL$3)*$Z$4:$CG$79),DK$3&lt;YEAR($X25),0,DK$3=YEAR($X25),DATEDIF($X25,DATE(DK$3,12,31),"m")*$Y25,AND(DK$3&gt;YEAR($X25),DK$3-YEAR($X25)&lt;20),$Y25*12,DK$3-YEAR($X25)=20,DATEDIF(DATE(YEAR($X25),1,1),$X25,"m")*$Y25,DK$3-YEAR($X25)&gt;20,0)</f>
        <v>0</v>
      </c>
      <c r="DL25" s="202" cm="1">
        <f t="array" ref="DL25">_xlfn.IFS(DL$3&lt;=YEAR($B$2),SUMPRODUCT(($E$4:$E$79=$E25)*($Z$2:$CG$2=DL$3)*($Z$2:$CG$2&lt;DM$3)*$Z$4:$CG$79),DL$3&lt;YEAR($X25),0,DL$3=YEAR($X25),DATEDIF($X25,DATE(DL$3,12,31),"m")*$Y25,AND(DL$3&gt;YEAR($X25),DL$3-YEAR($X25)&lt;20),$Y25*12,DL$3-YEAR($X25)=20,DATEDIF(DATE(YEAR($X25),1,1),$X25,"m")*$Y25,DL$3-YEAR($X25)&gt;20,0)</f>
        <v>0</v>
      </c>
      <c r="DO25" s="166">
        <f t="shared" si="26"/>
        <v>2034</v>
      </c>
      <c r="DP25" s="158">
        <v>660421.95000000019</v>
      </c>
      <c r="DQ25" s="158">
        <v>462971.99729999999</v>
      </c>
      <c r="DR25" s="158">
        <v>25576.5</v>
      </c>
      <c r="DS25" s="158">
        <f t="shared" si="27"/>
        <v>1148970.4473000001</v>
      </c>
    </row>
    <row r="26" spans="1:636">
      <c r="A26" s="155" t="str" cm="1">
        <f t="array" ref="A26">INDEX('Monthly Report July 2025'!C:C,MATCH(E26,'Monthly Report July 2025'!E:E,0),0)</f>
        <v>OCS036</v>
      </c>
      <c r="B26" s="155" t="str" cm="1">
        <f t="array" ref="B26">_xlfn.IFS(LEFT(E26,3)="PGE","PGE",LEFT(E26,2)="PP","PAC",TRUE,"IP")</f>
        <v>PAC</v>
      </c>
      <c r="C26" s="155" t="str">
        <f>IF(ISNA(MATCH(E26,'Monthly Report July 2025'!E:E,0)),"Missing","Present")</f>
        <v>Present</v>
      </c>
      <c r="D26" s="155" t="str">
        <f>IF(ISNA(MATCH(E26,'Project Operational Timelines'!C:C,0))=TRUE,"Missing","Present")</f>
        <v>Present</v>
      </c>
      <c r="E26" s="155" t="s">
        <v>134</v>
      </c>
      <c r="F26" s="155" t="str" cm="1">
        <f t="array" ref="F26">INDEX('Monthly Report July 2025'!F:F,MATCH(E26,'Monthly Report July 2025'!E:E,),0)</f>
        <v>Pine Grove Solar</v>
      </c>
      <c r="G26" s="155" t="str" cm="1">
        <f t="array" ref="G26">_xlfn.IFS(INDEX('Monthly Report July 2025'!O:O,MATCH(E26,'Monthly Report July 2025'!E:E,0),0)="Operational","Operational",INDEX('Monthly Report July 2025'!O:O,MATCH(E26,'Monthly Report July 2025'!E:E,0),0)="Certified","Certified",TRUE,"Pre-Certified")</f>
        <v>Operational</v>
      </c>
      <c r="H26" s="155" t="str" cm="1">
        <f t="array" ref="H26">INDEX('Monthly Report July 2025'!H:H,MATCH($E26,'Monthly Report July 2025'!$E:$E,0),0)</f>
        <v>TLS Capital</v>
      </c>
      <c r="I26" s="155" t="str" cm="1">
        <f t="array" ref="I26">INDEX('Monthly Report July 2025'!I:I,MATCH($E26,'Monthly Report July 2025'!$E:$E,0),0)</f>
        <v>Luminace</v>
      </c>
      <c r="J26" s="174" cm="1">
        <f t="array" ref="J26">INDEX('Monthly Report July 2025'!J:J,MATCH($E26,'Monthly Report July 2025'!$E:$E,0),0)</f>
        <v>1</v>
      </c>
      <c r="K26" s="174" t="str" cm="1">
        <f t="array" ref="K26">INDEX('Monthly Report July 2025'!K:K,MATCH($E26,'Monthly Report July 2025'!$E:$E,0),0)</f>
        <v>No</v>
      </c>
      <c r="L26" s="174" t="b" cm="1">
        <f t="array" ref="L26">INDEX('Monthly Report July 2025'!L:L,MATCH(E26,'Monthly Report July 2025'!E:E,0),0)=M26</f>
        <v>1</v>
      </c>
      <c r="M26" s="273" cm="1">
        <f t="array" ref="M26">INDEX('Monthly Report July 2025'!L:L,MATCH($E26,'Monthly Report July 2025'!$E:$E,0),0)</f>
        <v>1400</v>
      </c>
      <c r="N26" s="175" cm="1">
        <f t="array" ref="N26">INDEX('Monthly Report July 2025'!M:M,MATCH($E26,'Monthly Report July 2025'!$E:$E,0),0)</f>
        <v>44194</v>
      </c>
      <c r="O26" s="175" t="str" cm="1">
        <f t="array" ref="O26">_xlfn.IFS(G26="Operational","Operational",G26="Certified","Certified",TRUE,INDEX('Monthly Report July 2025'!O:O,MATCH(E26,'Monthly Report July 2025'!E:E,0),0))</f>
        <v>Operational</v>
      </c>
      <c r="P26" s="175" t="b" cm="1">
        <f t="array" ref="P26">_xlfn.IFS(G26="Operational",O26="Operational",G26="Certified",O26="Certified",TRUE,G26="Pre-Certified")</f>
        <v>1</v>
      </c>
      <c r="Q26" s="175" cm="1">
        <f t="array" ref="Q26">IF(O26="Operational",INDEX('Monthly Report July 2025'!R:R,MATCH(E26,'Monthly Report July 2025'!E:E,0),0),"")</f>
        <v>45678</v>
      </c>
      <c r="R26" s="175" cm="1">
        <f t="array" ref="R26">INDEX('Monthly Report July 2025'!P:P,MATCH(E26,'Monthly Report July 2025'!E:E,0),0)</f>
        <v>45217</v>
      </c>
      <c r="S26" s="175" t="b">
        <f t="shared" si="5"/>
        <v>1</v>
      </c>
      <c r="T26" s="175" cm="1">
        <f t="array" ref="T26">INDEX('Monthly Report July 2025'!U:U,MATCH(E26,'Monthly Report July 2025'!E:E,0),0)</f>
        <v>45476</v>
      </c>
      <c r="U26" s="175" t="str">
        <f t="shared" si="6"/>
        <v>IGNORE</v>
      </c>
      <c r="V26" s="156">
        <f t="shared" si="7"/>
        <v>45217</v>
      </c>
      <c r="W26" s="156" cm="1">
        <f t="array" ref="W26">_xlfn.IFS(U26=TRUE,EDATE(O26,6),U26=FALSE,T26,O26="Operational",Q26,AND(O26="Certified",EDATE(R26,6)&gt;T26),EDATE(R26,6),TRUE,T26)</f>
        <v>45678</v>
      </c>
      <c r="X26" s="156">
        <f t="shared" si="8"/>
        <v>45737</v>
      </c>
      <c r="Y26" s="157">
        <f t="shared" si="9"/>
        <v>1011.5</v>
      </c>
      <c r="Z26" s="202" cm="1">
        <f t="array" ref="Z26">_xlfn.IFS(Z$3&lt;$B$2,SUMPRODUCT(('PA Fees Actual'!$B$5:$B$882=$E26)*('PA Fees Actual'!$A$5:$A$882&gt;=Z$3)*('PA Fees Actual'!$A$5:$A$882&lt;=EOMONTH(Z$3,0))*'PA Fees Actual'!$D$5:$D$882),Z$3&gt;=EOMONTH($X26,-1)+1,$Y26,TRUE,0)</f>
        <v>0</v>
      </c>
      <c r="AA26" s="202" cm="1">
        <f t="array" ref="AA26">_xlfn.IFS(AA$3&lt;$B$2,SUMPRODUCT(('PA Fees Actual'!$B$5:$B$882=$E26)*('PA Fees Actual'!$A$5:$A$882&gt;=AA$3)*('PA Fees Actual'!$A$5:$A$882&lt;=EOMONTH(AA$3,0))*'PA Fees Actual'!$D$5:$D$882),AA$3&gt;=EOMONTH($X26,-1)+1,$Y26,TRUE,0)</f>
        <v>0</v>
      </c>
      <c r="AB26" s="202" cm="1">
        <f t="array" ref="AB26">_xlfn.IFS(AB$3&lt;$B$2,SUMPRODUCT(('PA Fees Actual'!$B$5:$B$882=$E26)*('PA Fees Actual'!$A$5:$A$882&gt;=AB$3)*('PA Fees Actual'!$A$5:$A$882&lt;=EOMONTH(AB$3,0))*'PA Fees Actual'!$D$5:$D$882),AB$3&gt;=EOMONTH($X26,-1)+1,$Y26,TRUE,0)</f>
        <v>0</v>
      </c>
      <c r="AC26" s="202" cm="1">
        <f t="array" ref="AC26">_xlfn.IFS(AC$3&lt;$B$2,SUMPRODUCT(('PA Fees Actual'!$B$5:$B$882=$E26)*('PA Fees Actual'!$A$5:$A$882&gt;=AC$3)*('PA Fees Actual'!$A$5:$A$882&lt;=EOMONTH(AC$3,0))*'PA Fees Actual'!$D$5:$D$882),AC$3&gt;=EOMONTH($X26,-1)+1,$Y26,TRUE,0)</f>
        <v>0</v>
      </c>
      <c r="AD26" s="202" cm="1">
        <f t="array" ref="AD26">_xlfn.IFS(AD$3&lt;$B$2,SUMPRODUCT(('PA Fees Actual'!$B$5:$B$882=$E26)*('PA Fees Actual'!$A$5:$A$882&gt;=AD$3)*('PA Fees Actual'!$A$5:$A$882&lt;=EOMONTH(AD$3,0))*'PA Fees Actual'!$D$5:$D$882),AD$3&gt;=EOMONTH($X26,-1)+1,$Y26,TRUE,0)</f>
        <v>0</v>
      </c>
      <c r="AE26" s="202" cm="1">
        <f t="array" ref="AE26">_xlfn.IFS(AE$3&lt;$B$2,SUMPRODUCT(('PA Fees Actual'!$B$5:$B$882=$E26)*('PA Fees Actual'!$A$5:$A$882&gt;=AE$3)*('PA Fees Actual'!$A$5:$A$882&lt;=EOMONTH(AE$3,0))*'PA Fees Actual'!$D$5:$D$882),AE$3&gt;=EOMONTH($X26,-1)+1,$Y26,TRUE,0)</f>
        <v>0</v>
      </c>
      <c r="AF26" s="202" cm="1">
        <f t="array" ref="AF26">_xlfn.IFS(AF$3&lt;$B$2,SUMPRODUCT(('PA Fees Actual'!$B$5:$B$882=$E26)*('PA Fees Actual'!$A$5:$A$882&gt;=AF$3)*('PA Fees Actual'!$A$5:$A$882&lt;=EOMONTH(AF$3,0))*'PA Fees Actual'!$D$5:$D$882),AF$3&gt;=EOMONTH($X26,-1)+1,$Y26,TRUE,0)</f>
        <v>0</v>
      </c>
      <c r="AG26" s="202" cm="1">
        <f t="array" ref="AG26">_xlfn.IFS(AG$3&lt;$B$2,SUMPRODUCT(('PA Fees Actual'!$B$5:$B$882=$E26)*('PA Fees Actual'!$A$5:$A$882&gt;=AG$3)*('PA Fees Actual'!$A$5:$A$882&lt;=EOMONTH(AG$3,0))*'PA Fees Actual'!$D$5:$D$882),AG$3&gt;=EOMONTH($X26,-1)+1,$Y26,TRUE,0)</f>
        <v>0</v>
      </c>
      <c r="AH26" s="202" cm="1">
        <f t="array" ref="AH26">_xlfn.IFS(AH$3&lt;$B$2,SUMPRODUCT(('PA Fees Actual'!$B$5:$B$882=$E26)*('PA Fees Actual'!$A$5:$A$882&gt;=AH$3)*('PA Fees Actual'!$A$5:$A$882&lt;=EOMONTH(AH$3,0))*'PA Fees Actual'!$D$5:$D$882),AH$3&gt;=EOMONTH($X26,-1)+1,$Y26,TRUE,0)</f>
        <v>0</v>
      </c>
      <c r="AI26" s="202" cm="1">
        <f t="array" ref="AI26">_xlfn.IFS(AI$3&lt;$B$2,SUMPRODUCT(('PA Fees Actual'!$B$5:$B$882=$E26)*('PA Fees Actual'!$A$5:$A$882&gt;=AI$3)*('PA Fees Actual'!$A$5:$A$882&lt;=EOMONTH(AI$3,0))*'PA Fees Actual'!$D$5:$D$882),AI$3&gt;=EOMONTH($X26,-1)+1,$Y26,TRUE,0)</f>
        <v>0</v>
      </c>
      <c r="AJ26" s="202" cm="1">
        <f t="array" ref="AJ26">_xlfn.IFS(AJ$3&lt;$B$2,SUMPRODUCT(('PA Fees Actual'!$B$5:$B$882=$E26)*('PA Fees Actual'!$A$5:$A$882&gt;=AJ$3)*('PA Fees Actual'!$A$5:$A$882&lt;=EOMONTH(AJ$3,0))*'PA Fees Actual'!$D$5:$D$882),AJ$3&gt;=EOMONTH($X26,-1)+1,$Y26,TRUE,0)</f>
        <v>0</v>
      </c>
      <c r="AK26" s="202" cm="1">
        <f t="array" ref="AK26">_xlfn.IFS(AK$3&lt;$B$2,SUMPRODUCT(('PA Fees Actual'!$B$5:$B$882=$E26)*('PA Fees Actual'!$A$5:$A$882&gt;=AK$3)*('PA Fees Actual'!$A$5:$A$882&lt;=EOMONTH(AK$3,0))*'PA Fees Actual'!$D$5:$D$882),AK$3&gt;=EOMONTH($X26,-1)+1,$Y26,TRUE,0)</f>
        <v>0</v>
      </c>
      <c r="AL26" s="202" cm="1">
        <f t="array" ref="AL26">_xlfn.IFS(AL$3&lt;$B$2,SUMPRODUCT(('PA Fees Actual'!$B$5:$B$882=$E26)*('PA Fees Actual'!$A$5:$A$882&gt;=AL$3)*('PA Fees Actual'!$A$5:$A$882&lt;=EOMONTH(AL$3,0))*'PA Fees Actual'!$D$5:$D$882),AL$3&gt;=EOMONTH($X26,-1)+1,$Y26,TRUE,0)</f>
        <v>0</v>
      </c>
      <c r="AM26" s="202" cm="1">
        <f t="array" ref="AM26">_xlfn.IFS(AM$3&lt;$B$2,SUMPRODUCT(('PA Fees Actual'!$B$5:$B$882=$E26)*('PA Fees Actual'!$A$5:$A$882&gt;=AM$3)*('PA Fees Actual'!$A$5:$A$882&lt;=EOMONTH(AM$3,0))*'PA Fees Actual'!$D$5:$D$882),AM$3&gt;=EOMONTH($X26,-1)+1,$Y26,TRUE,0)</f>
        <v>0</v>
      </c>
      <c r="AN26" s="202" cm="1">
        <f t="array" ref="AN26">_xlfn.IFS(AN$3&lt;$B$2,SUMPRODUCT(('PA Fees Actual'!$B$5:$B$882=$E26)*('PA Fees Actual'!$A$5:$A$882&gt;=AN$3)*('PA Fees Actual'!$A$5:$A$882&lt;=EOMONTH(AN$3,0))*'PA Fees Actual'!$D$5:$D$882),AN$3&gt;=EOMONTH($X26,-1)+1,$Y26,TRUE,0)</f>
        <v>0</v>
      </c>
      <c r="AO26" s="202" cm="1">
        <f t="array" ref="AO26">_xlfn.IFS(AO$3&lt;$B$2,SUMPRODUCT(('PA Fees Actual'!$B$5:$B$882=$E26)*('PA Fees Actual'!$A$5:$A$882&gt;=AO$3)*('PA Fees Actual'!$A$5:$A$882&lt;=EOMONTH(AO$3,0))*'PA Fees Actual'!$D$5:$D$882),AO$3&gt;=EOMONTH($X26,-1)+1,$Y26,TRUE,0)</f>
        <v>0</v>
      </c>
      <c r="AP26" s="202" cm="1">
        <f t="array" ref="AP26">_xlfn.IFS(AP$3&lt;$B$2,SUMPRODUCT(('PA Fees Actual'!$B$5:$B$882=$E26)*('PA Fees Actual'!$A$5:$A$882&gt;=AP$3)*('PA Fees Actual'!$A$5:$A$882&lt;=EOMONTH(AP$3,0))*'PA Fees Actual'!$D$5:$D$882),AP$3&gt;=EOMONTH($X26,-1)+1,$Y26,TRUE,0)</f>
        <v>0</v>
      </c>
      <c r="AQ26" s="202" cm="1">
        <f t="array" ref="AQ26">_xlfn.IFS(AQ$3&lt;$B$2,SUMPRODUCT(('PA Fees Actual'!$B$5:$B$882=$E26)*('PA Fees Actual'!$A$5:$A$882&gt;=AQ$3)*('PA Fees Actual'!$A$5:$A$882&lt;=EOMONTH(AQ$3,0))*'PA Fees Actual'!$D$5:$D$882),AQ$3&gt;=EOMONTH($X26,-1)+1,$Y26,TRUE,0)</f>
        <v>0</v>
      </c>
      <c r="AR26" s="202" cm="1">
        <f t="array" ref="AR26">_xlfn.IFS(AR$3&lt;$B$2,SUMPRODUCT(('PA Fees Actual'!$B$5:$B$882=$E26)*('PA Fees Actual'!$A$5:$A$882&gt;=AR$3)*('PA Fees Actual'!$A$5:$A$882&lt;=EOMONTH(AR$3,0))*'PA Fees Actual'!$D$5:$D$882),AR$3&gt;=EOMONTH($X26,-1)+1,$Y26,TRUE,0)</f>
        <v>0</v>
      </c>
      <c r="AS26" s="202" cm="1">
        <f t="array" ref="AS26">_xlfn.IFS(AS$3&lt;$B$2,SUMPRODUCT(('PA Fees Actual'!$B$5:$B$882=$E26)*('PA Fees Actual'!$A$5:$A$882&gt;=AS$3)*('PA Fees Actual'!$A$5:$A$882&lt;=EOMONTH(AS$3,0))*'PA Fees Actual'!$D$5:$D$882),AS$3&gt;=EOMONTH($X26,-1)+1,$Y26,TRUE,0)</f>
        <v>0</v>
      </c>
      <c r="AT26" s="202" cm="1">
        <f t="array" ref="AT26">_xlfn.IFS(AT$3&lt;$B$2,SUMPRODUCT(('PA Fees Actual'!$B$5:$B$882=$E26)*('PA Fees Actual'!$A$5:$A$882&gt;=AT$3)*('PA Fees Actual'!$A$5:$A$882&lt;=EOMONTH(AT$3,0))*'PA Fees Actual'!$D$5:$D$882),AT$3&gt;=EOMONTH($X26,-1)+1,$Y26,TRUE,0)</f>
        <v>0</v>
      </c>
      <c r="AU26" s="202" cm="1">
        <f t="array" ref="AU26">_xlfn.IFS(AU$3&lt;$B$2,SUMPRODUCT(('PA Fees Actual'!$B$5:$B$882=$E26)*('PA Fees Actual'!$A$5:$A$882&gt;=AU$3)*('PA Fees Actual'!$A$5:$A$882&lt;=EOMONTH(AU$3,0))*'PA Fees Actual'!$D$5:$D$882),AU$3&gt;=EOMONTH($X26,-1)+1,$Y26,TRUE,0)</f>
        <v>0</v>
      </c>
      <c r="AV26" s="202" cm="1">
        <f t="array" ref="AV26">_xlfn.IFS(AV$3&lt;$B$2,SUMPRODUCT(('PA Fees Actual'!$B$5:$B$882=$E26)*('PA Fees Actual'!$A$5:$A$882&gt;=AV$3)*('PA Fees Actual'!$A$5:$A$882&lt;=EOMONTH(AV$3,0))*'PA Fees Actual'!$D$5:$D$882),AV$3&gt;=EOMONTH($X26,-1)+1,$Y26,TRUE,0)</f>
        <v>0</v>
      </c>
      <c r="AW26" s="202" cm="1">
        <f t="array" ref="AW26">_xlfn.IFS(AW$3&lt;$B$2,SUMPRODUCT(('PA Fees Actual'!$B$5:$B$882=$E26)*('PA Fees Actual'!$A$5:$A$882&gt;=AW$3)*('PA Fees Actual'!$A$5:$A$882&lt;=EOMONTH(AW$3,0))*'PA Fees Actual'!$D$5:$D$882),AW$3&gt;=EOMONTH($X26,-1)+1,$Y26,TRUE,0)</f>
        <v>0</v>
      </c>
      <c r="AX26" s="202" cm="1">
        <f t="array" ref="AX26">_xlfn.IFS(AX$3&lt;$B$2,SUMPRODUCT(('PA Fees Actual'!$B$5:$B$882=$E26)*('PA Fees Actual'!$A$5:$A$882&gt;=AX$3)*('PA Fees Actual'!$A$5:$A$882&lt;=EOMONTH(AX$3,0))*'PA Fees Actual'!$D$5:$D$882),AX$3&gt;=EOMONTH($X26,-1)+1,$Y26,TRUE,0)</f>
        <v>0</v>
      </c>
      <c r="AY26" s="202" cm="1">
        <f t="array" ref="AY26">_xlfn.IFS(AY$3&lt;$B$2,SUMPRODUCT(('PA Fees Actual'!$B$5:$B$882=$E26)*('PA Fees Actual'!$A$5:$A$882&gt;=AY$3)*('PA Fees Actual'!$A$5:$A$882&lt;=EOMONTH(AY$3,0))*'PA Fees Actual'!$D$5:$D$882),AY$3&gt;=EOMONTH($X26,-1)+1,$Y26,TRUE,0)</f>
        <v>0</v>
      </c>
      <c r="AZ26" s="202" cm="1">
        <f t="array" ref="AZ26">_xlfn.IFS(AZ$3&lt;$B$2,SUMPRODUCT(('PA Fees Actual'!$B$5:$B$882=$E26)*('PA Fees Actual'!$A$5:$A$882&gt;=AZ$3)*('PA Fees Actual'!$A$5:$A$882&lt;=EOMONTH(AZ$3,0))*'PA Fees Actual'!$D$5:$D$882),AZ$3&gt;=EOMONTH($X26,-1)+1,$Y26,TRUE,0)</f>
        <v>0</v>
      </c>
      <c r="BA26" s="202" cm="1">
        <f t="array" ref="BA26">_xlfn.IFS(BA$3&lt;$B$2,SUMPRODUCT(('PA Fees Actual'!$B$5:$B$882=$E26)*('PA Fees Actual'!$A$5:$A$882&gt;=BA$3)*('PA Fees Actual'!$A$5:$A$882&lt;=EOMONTH(BA$3,0))*'PA Fees Actual'!$D$5:$D$882),BA$3&gt;=EOMONTH($X26,-1)+1,$Y26,TRUE,0)</f>
        <v>0</v>
      </c>
      <c r="BB26" s="202" cm="1">
        <f t="array" ref="BB26">_xlfn.IFS(BB$3&lt;$B$2,SUMPRODUCT(('PA Fees Actual'!$B$5:$B$882=$E26)*('PA Fees Actual'!$A$5:$A$882&gt;=BB$3)*('PA Fees Actual'!$A$5:$A$882&lt;=EOMONTH(BB$3,0))*'PA Fees Actual'!$D$5:$D$882),BB$3&gt;=EOMONTH($X26,-1)+1,$Y26,TRUE,0)</f>
        <v>0</v>
      </c>
      <c r="BC26" s="202" cm="1">
        <f t="array" ref="BC26">_xlfn.IFS(BC$3&lt;$B$2,SUMPRODUCT(('PA Fees Actual'!$B$5:$B$882=$E26)*('PA Fees Actual'!$A$5:$A$882&gt;=BC$3)*('PA Fees Actual'!$A$5:$A$882&lt;=EOMONTH(BC$3,0))*'PA Fees Actual'!$D$5:$D$882),BC$3&gt;=EOMONTH($X26,-1)+1,$Y26,TRUE,0)</f>
        <v>0</v>
      </c>
      <c r="BD26" s="202" cm="1">
        <f t="array" ref="BD26">_xlfn.IFS(BD$3&lt;$B$2,SUMPRODUCT(('PA Fees Actual'!$B$5:$B$882=$E26)*('PA Fees Actual'!$A$5:$A$882&gt;=BD$3)*('PA Fees Actual'!$A$5:$A$882&lt;=EOMONTH(BD$3,0))*'PA Fees Actual'!$D$5:$D$882),BD$3&gt;=EOMONTH($X26,-1)+1,$Y26,TRUE,0)</f>
        <v>0</v>
      </c>
      <c r="BE26" s="202" cm="1">
        <f t="array" ref="BE26">_xlfn.IFS(BE$3&lt;$B$2,SUMPRODUCT(('PA Fees Actual'!$B$5:$B$882=$E26)*('PA Fees Actual'!$A$5:$A$882&gt;=BE$3)*('PA Fees Actual'!$A$5:$A$882&lt;=EOMONTH(BE$3,0))*'PA Fees Actual'!$D$5:$D$882),BE$3&gt;=EOMONTH($X26,-1)+1,$Y26,TRUE,0)</f>
        <v>0</v>
      </c>
      <c r="BF26" s="202" cm="1">
        <f t="array" ref="BF26">_xlfn.IFS(BF$3&lt;$B$2,SUMPRODUCT(('PA Fees Actual'!$B$5:$B$882=$E26)*('PA Fees Actual'!$A$5:$A$882&gt;=BF$3)*('PA Fees Actual'!$A$5:$A$882&lt;=EOMONTH(BF$3,0))*'PA Fees Actual'!$D$5:$D$882),BF$3&gt;=EOMONTH($X26,-1)+1,$Y26,TRUE,0)</f>
        <v>0</v>
      </c>
      <c r="BG26" s="202" cm="1">
        <f t="array" ref="BG26">_xlfn.IFS(BG$3&lt;$B$2,SUMPRODUCT(('PA Fees Actual'!$B$5:$B$882=$E26)*('PA Fees Actual'!$A$5:$A$882&gt;=BG$3)*('PA Fees Actual'!$A$5:$A$882&lt;=EOMONTH(BG$3,0))*'PA Fees Actual'!$D$5:$D$882),BG$3&gt;=EOMONTH($X26,-1)+1,$Y26,TRUE,0)</f>
        <v>0</v>
      </c>
      <c r="BH26" s="202" cm="1">
        <f t="array" ref="BH26">_xlfn.IFS(BH$3&lt;$B$2,SUMPRODUCT(('PA Fees Actual'!$B$5:$B$882=$E26)*('PA Fees Actual'!$A$5:$A$882&gt;=BH$3)*('PA Fees Actual'!$A$5:$A$882&lt;=EOMONTH(BH$3,0))*'PA Fees Actual'!$D$5:$D$882),BH$3&gt;=EOMONTH($X26,-1)+1,$Y26,TRUE,0)</f>
        <v>0</v>
      </c>
      <c r="BI26" s="202" cm="1">
        <f t="array" ref="BI26">_xlfn.IFS(BI$3&lt;$B$2,SUMPRODUCT(('PA Fees Actual'!$B$5:$B$882=$E26)*('PA Fees Actual'!$A$5:$A$882&gt;=BI$3)*('PA Fees Actual'!$A$5:$A$882&lt;=EOMONTH(BI$3,0))*'PA Fees Actual'!$D$5:$D$882),BI$3&gt;=EOMONTH($X26,-1)+1,$Y26,TRUE,0)</f>
        <v>0</v>
      </c>
      <c r="BJ26" s="202" cm="1">
        <f t="array" ref="BJ26">_xlfn.IFS(BJ$3&lt;$B$2,SUMPRODUCT(('PA Fees Actual'!$B$5:$B$882=$E26)*('PA Fees Actual'!$A$5:$A$882&gt;=BJ$3)*('PA Fees Actual'!$A$5:$A$882&lt;=EOMONTH(BJ$3,0))*'PA Fees Actual'!$D$5:$D$882),BJ$3&gt;=EOMONTH($X26,-1)+1,$Y26,TRUE,0)</f>
        <v>0</v>
      </c>
      <c r="BK26" s="202" cm="1">
        <f t="array" ref="BK26">_xlfn.IFS(BK$3&lt;$B$2,SUMPRODUCT(('PA Fees Actual'!$B$5:$B$882=$E26)*('PA Fees Actual'!$A$5:$A$882&gt;=BK$3)*('PA Fees Actual'!$A$5:$A$882&lt;=EOMONTH(BK$3,0))*'PA Fees Actual'!$D$5:$D$882),BK$3&gt;=EOMONTH($X26,-1)+1,$Y26,TRUE,0)</f>
        <v>0</v>
      </c>
      <c r="BL26" s="202" cm="1">
        <f t="array" ref="BL26">_xlfn.IFS(BL$3&lt;$B$2,SUMPRODUCT(('PA Fees Actual'!$B$5:$B$882=$E26)*('PA Fees Actual'!$A$5:$A$882&gt;=BL$3)*('PA Fees Actual'!$A$5:$A$882&lt;=EOMONTH(BL$3,0))*'PA Fees Actual'!$D$5:$D$882),BL$3&gt;=EOMONTH($X26,-1)+1,$Y26,TRUE,0)</f>
        <v>0</v>
      </c>
      <c r="BM26" s="202" cm="1">
        <f t="array" ref="BM26">_xlfn.IFS(BM$3&lt;$B$2,SUMPRODUCT(('PA Fees Actual'!$B$5:$B$882=$E26)*('PA Fees Actual'!$A$5:$A$882&gt;=BM$3)*('PA Fees Actual'!$A$5:$A$882&lt;=EOMONTH(BM$3,0))*'PA Fees Actual'!$D$5:$D$882),BM$3&gt;=EOMONTH($X26,-1)+1,$Y26,TRUE,0)</f>
        <v>0</v>
      </c>
      <c r="BN26" s="202" cm="1">
        <f t="array" ref="BN26">_xlfn.IFS(BN$3&lt;$B$2,SUMPRODUCT(('PA Fees Actual'!$B$5:$B$882=$E26)*('PA Fees Actual'!$A$5:$A$882&gt;=BN$3)*('PA Fees Actual'!$A$5:$A$882&lt;=EOMONTH(BN$3,0))*'PA Fees Actual'!$D$5:$D$882),BN$3&gt;=EOMONTH($X26,-1)+1,$Y26,TRUE,0)</f>
        <v>0</v>
      </c>
      <c r="BO26" s="202" cm="1">
        <f t="array" ref="BO26">_xlfn.IFS(BO$3&lt;$B$2,SUMPRODUCT(('PA Fees Actual'!$B$5:$B$882=$E26)*('PA Fees Actual'!$A$5:$A$882&gt;=BO$3)*('PA Fees Actual'!$A$5:$A$882&lt;=EOMONTH(BO$3,0))*'PA Fees Actual'!$D$5:$D$882),BO$3&gt;=EOMONTH($X26,-1)+1,$Y26,TRUE,0)</f>
        <v>0</v>
      </c>
      <c r="BP26" s="202" cm="1">
        <f t="array" ref="BP26">_xlfn.IFS(BP$3&lt;$B$2,SUMPRODUCT(('PA Fees Actual'!$B$5:$B$882=$E26)*('PA Fees Actual'!$A$5:$A$882&gt;=BP$3)*('PA Fees Actual'!$A$5:$A$882&lt;=EOMONTH(BP$3,0))*'PA Fees Actual'!$D$5:$D$882),BP$3&gt;=EOMONTH($X26,-1)+1,$Y26,TRUE,0)</f>
        <v>0</v>
      </c>
      <c r="BQ26" s="202" cm="1">
        <f t="array" ref="BQ26">_xlfn.IFS(BQ$3&lt;$B$2,SUMPRODUCT(('PA Fees Actual'!$B$5:$B$882=$E26)*('PA Fees Actual'!$A$5:$A$882&gt;=BQ$3)*('PA Fees Actual'!$A$5:$A$882&lt;=EOMONTH(BQ$3,0))*'PA Fees Actual'!$D$5:$D$882),BQ$3&gt;=EOMONTH($X26,-1)+1,$Y26,TRUE,0)</f>
        <v>0</v>
      </c>
      <c r="BR26" s="202" cm="1">
        <f t="array" ref="BR26">_xlfn.IFS(BR$3&lt;$B$2,SUMPRODUCT(('PA Fees Actual'!$B$5:$B$882=$E26)*('PA Fees Actual'!$A$5:$A$882&gt;=BR$3)*('PA Fees Actual'!$A$5:$A$882&lt;=EOMONTH(BR$3,0))*'PA Fees Actual'!$D$5:$D$882),BR$3&gt;=EOMONTH($X26,-1)+1,$Y26,TRUE,0)</f>
        <v>0</v>
      </c>
      <c r="BS26" s="202" cm="1">
        <f t="array" ref="BS26">_xlfn.IFS(BS$3&lt;$B$2,SUMPRODUCT(('PA Fees Actual'!$B$5:$B$882=$E26)*('PA Fees Actual'!$A$5:$A$882&gt;=BS$3)*('PA Fees Actual'!$A$5:$A$882&lt;=EOMONTH(BS$3,0))*'PA Fees Actual'!$D$5:$D$882),BS$3&gt;=EOMONTH($X26,-1)+1,$Y26,TRUE,0)</f>
        <v>0</v>
      </c>
      <c r="BT26" s="202" cm="1">
        <f t="array" ref="BT26">_xlfn.IFS(BT$3&lt;$B$2,SUMPRODUCT(('PA Fees Actual'!$B$5:$B$882=$E26)*('PA Fees Actual'!$A$5:$A$882&gt;=BT$3)*('PA Fees Actual'!$A$5:$A$882&lt;=EOMONTH(BT$3,0))*'PA Fees Actual'!$D$5:$D$882),BT$3&gt;=EOMONTH($X26,-1)+1,$Y26,TRUE,0)</f>
        <v>0</v>
      </c>
      <c r="BU26" s="202" cm="1">
        <f t="array" ref="BU26">_xlfn.IFS(BU$3&lt;$B$2,SUMPRODUCT(('PA Fees Actual'!$B$5:$B$882=$E26)*('PA Fees Actual'!$A$5:$A$882&gt;=BU$3)*('PA Fees Actual'!$A$5:$A$882&lt;=EOMONTH(BU$3,0))*'PA Fees Actual'!$D$5:$D$882),BU$3&gt;=EOMONTH($X26,-1)+1,$Y26,TRUE,0)</f>
        <v>0</v>
      </c>
      <c r="BV26" s="202" cm="1">
        <f t="array" ref="BV26">_xlfn.IFS(BV$3&lt;$B$2,SUMPRODUCT(('PA Fees Actual'!$B$5:$B$882=$E26)*('PA Fees Actual'!$A$5:$A$882&gt;=BV$3)*('PA Fees Actual'!$A$5:$A$882&lt;=EOMONTH(BV$3,0))*'PA Fees Actual'!$D$5:$D$882),BV$3&gt;=EOMONTH($X26,-1)+1,$Y26,TRUE,0)</f>
        <v>0</v>
      </c>
      <c r="BW26" s="202" cm="1">
        <f t="array" ref="BW26">_xlfn.IFS(BW$3&lt;$B$2,SUMPRODUCT(('PA Fees Actual'!$B$5:$B$882=$E26)*('PA Fees Actual'!$A$5:$A$882&gt;=BW$3)*('PA Fees Actual'!$A$5:$A$882&lt;=EOMONTH(BW$3,0))*'PA Fees Actual'!$D$5:$D$882),BW$3&gt;=EOMONTH($X26,-1)+1,$Y26,TRUE,0)</f>
        <v>0</v>
      </c>
      <c r="BX26" s="202" cm="1">
        <f t="array" ref="BX26">_xlfn.IFS(BX$3&lt;$B$2,SUMPRODUCT(('PA Fees Actual'!$B$5:$B$882=$E26)*('PA Fees Actual'!$A$5:$A$882&gt;=BX$3)*('PA Fees Actual'!$A$5:$A$882&lt;=EOMONTH(BX$3,0))*'PA Fees Actual'!$D$5:$D$882),BX$3&gt;=EOMONTH($X26,-1)+1,$Y26,TRUE,0)</f>
        <v>0</v>
      </c>
      <c r="BY26" s="202" cm="1">
        <f t="array" ref="BY26">_xlfn.IFS(BY$3&lt;$B$2,SUMPRODUCT(('PA Fees Actual'!$B$5:$B$882=$E26)*('PA Fees Actual'!$A$5:$A$882&gt;=BY$3)*('PA Fees Actual'!$A$5:$A$882&lt;=EOMONTH(BY$3,0))*'PA Fees Actual'!$D$5:$D$882),BY$3&gt;=EOMONTH($X26,-1)+1,$Y26,TRUE,0)</f>
        <v>0</v>
      </c>
      <c r="BZ26" s="202" cm="1">
        <f t="array" ref="BZ26">_xlfn.IFS(BZ$3&lt;$B$2,SUMPRODUCT(('PA Fees Actual'!$B$5:$B$882=$E26)*('PA Fees Actual'!$A$5:$A$882&gt;=BZ$3)*('PA Fees Actual'!$A$5:$A$882&lt;=EOMONTH(BZ$3,0))*'PA Fees Actual'!$D$5:$D$882),BZ$3&gt;=EOMONTH($X26,-1)+1,$Y26,TRUE,0)</f>
        <v>1006.51</v>
      </c>
      <c r="CA26" s="202" cm="1">
        <f t="array" ref="CA26">_xlfn.IFS(CA$3&lt;$B$2,SUMPRODUCT(('PA Fees Actual'!$B$5:$B$882=$E26)*('PA Fees Actual'!$A$5:$A$882&gt;=CA$3)*('PA Fees Actual'!$A$5:$A$882&lt;=EOMONTH(CA$3,0))*'PA Fees Actual'!$D$5:$D$882),CA$3&gt;=EOMONTH($X26,-1)+1,$Y26,TRUE,0)</f>
        <v>0</v>
      </c>
      <c r="CB26" s="202" cm="1">
        <f t="array" ref="CB26">_xlfn.IFS(CB$3&lt;$B$2,SUMPRODUCT(('PA Fees Actual'!$B$5:$B$882=$E26)*('PA Fees Actual'!$A$5:$A$882&gt;=CB$3)*('PA Fees Actual'!$A$5:$A$882&lt;=EOMONTH(CB$3,0))*'PA Fees Actual'!$D$5:$D$882),CB$3&gt;=EOMONTH($X26,-1)+1,$Y26,TRUE,0)</f>
        <v>1011.5</v>
      </c>
      <c r="CC26" s="202" cm="1">
        <f t="array" ref="CC26">_xlfn.IFS(CC$3&lt;$B$2,SUMPRODUCT(('PA Fees Actual'!$B$5:$B$882=$E26)*('PA Fees Actual'!$A$5:$A$882&gt;=CC$3)*('PA Fees Actual'!$A$5:$A$882&lt;=EOMONTH(CC$3,0))*'PA Fees Actual'!$D$5:$D$882),CC$3&gt;=EOMONTH($X26,-1)+1,$Y26,TRUE,0)</f>
        <v>1011.5</v>
      </c>
      <c r="CD26" s="202" cm="1">
        <f t="array" ref="CD26">_xlfn.IFS(CD$3&lt;$B$2,SUMPRODUCT(('PA Fees Actual'!$B$5:$B$882=$E26)*('PA Fees Actual'!$A$5:$A$882&gt;=CD$3)*('PA Fees Actual'!$A$5:$A$882&lt;=EOMONTH(CD$3,0))*'PA Fees Actual'!$D$5:$D$882),CD$3&gt;=EOMONTH($X26,-1)+1,$Y26,TRUE,0)</f>
        <v>1011.5</v>
      </c>
      <c r="CE26" s="202" cm="1">
        <f t="array" ref="CE26">_xlfn.IFS(CE$3&lt;$B$2,SUMPRODUCT(('PA Fees Actual'!$B$5:$B$882=$E26)*('PA Fees Actual'!$A$5:$A$882&gt;=CE$3)*('PA Fees Actual'!$A$5:$A$882&lt;=EOMONTH(CE$3,0))*'PA Fees Actual'!$D$5:$D$882),CE$3&gt;=EOMONTH($X26,-1)+1,$Y26,TRUE,0)</f>
        <v>1011.5</v>
      </c>
      <c r="CF26" s="202" cm="1">
        <f t="array" ref="CF26">_xlfn.IFS(CF$3&lt;$B$2,SUMPRODUCT(('PA Fees Actual'!$B$5:$B$882=$E26)*('PA Fees Actual'!$A$5:$A$882&gt;=CF$3)*('PA Fees Actual'!$A$5:$A$882&lt;=EOMONTH(CF$3,0))*'PA Fees Actual'!$D$5:$D$882),CF$3&gt;=EOMONTH($X26,-1)+1,$Y26,TRUE,0)</f>
        <v>1011.5</v>
      </c>
      <c r="CG26" s="202" cm="1">
        <f t="array" ref="CG26">_xlfn.IFS(CG$3&lt;$B$2,SUMPRODUCT(('PA Fees Actual'!$B$5:$B$882=$E26)*('PA Fees Actual'!$A$5:$A$882&gt;=CG$3)*('PA Fees Actual'!$A$5:$A$882&lt;=EOMONTH(CG$3,0))*'PA Fees Actual'!$D$5:$D$882),CG$3&gt;=EOMONTH($X26,-1)+1,$Y26,TRUE,0)</f>
        <v>1011.5</v>
      </c>
      <c r="CI26" s="202" cm="1">
        <f t="array" ref="CI26">_xlfn.IFS(CI$3&lt;=YEAR($B$2),SUMPRODUCT(($E$4:$E$79=$E26)*($Z$2:$CG$2=CI$3)*($Z$2:$CG$2&lt;CJ$3)*$Z$4:$CG$79),CI$3&lt;YEAR($X26),0,CI$3=YEAR($X26),DATEDIF($X26,DATE(CI$3,12,31),"m")*$Y26,AND(CI$3&gt;YEAR($X26),CI$3-YEAR($X26)&lt;20),$Y26*12,CI$3-YEAR($X26)=20,DATEDIF(DATE(YEAR($X26),1,1),$X26,"m")*$Y26,CI$3-YEAR($X26)&gt;20,0)</f>
        <v>0</v>
      </c>
      <c r="CJ26" s="202" cm="1">
        <f t="array" ref="CJ26">_xlfn.IFS(CJ$3&lt;=YEAR($B$2),SUMPRODUCT(($E$4:$E$79=$E26)*($Z$2:$CG$2=CJ$3)*($Z$2:$CG$2&lt;CK$3)*$Z$4:$CG$79),CJ$3&lt;YEAR($X26),0,CJ$3=YEAR($X26),DATEDIF($X26,DATE(CJ$3,12,31),"m")*$Y26,AND(CJ$3&gt;YEAR($X26),CJ$3-YEAR($X26)&lt;20),$Y26*12,CJ$3-YEAR($X26)=20,DATEDIF(DATE(YEAR($X26),1,1),$X26,"m")*$Y26,CJ$3-YEAR($X26)&gt;20,0)</f>
        <v>0</v>
      </c>
      <c r="CK26" s="202" cm="1">
        <f t="array" ref="CK26">_xlfn.IFS(CK$3&lt;=YEAR($B$2),SUMPRODUCT(($E$4:$E$79=$E26)*($Z$2:$CG$2=CK$3)*($Z$2:$CG$2&lt;CL$3)*$Z$4:$CG$79),CK$3&lt;YEAR($X26),0,CK$3=YEAR($X26),DATEDIF($X26,DATE(CK$3,12,31),"m")*$Y26,AND(CK$3&gt;YEAR($X26),CK$3-YEAR($X26)&lt;20),$Y26*12,CK$3-YEAR($X26)=20,DATEDIF(DATE(YEAR($X26),1,1),$X26,"m")*$Y26,CK$3-YEAR($X26)&gt;20,0)</f>
        <v>0</v>
      </c>
      <c r="CL26" s="202" cm="1">
        <f t="array" ref="CL26">_xlfn.IFS(CL$3&lt;=YEAR($B$2),SUMPRODUCT(($E$4:$E$79=$E26)*($Z$2:$CG$2=CL$3)*($Z$2:$CG$2&lt;CM$3)*$Z$4:$CG$79),CL$3&lt;YEAR($X26),0,CL$3=YEAR($X26),DATEDIF($X26,DATE(CL$3,12,31),"m")*$Y26,AND(CL$3&gt;YEAR($X26),CL$3-YEAR($X26)&lt;20),$Y26*12,CL$3-YEAR($X26)=20,DATEDIF(DATE(YEAR($X26),1,1),$X26,"m")*$Y26,CL$3-YEAR($X26)&gt;20,0)</f>
        <v>0</v>
      </c>
      <c r="CM26" s="202" cm="1">
        <f t="array" ref="CM26">_xlfn.IFS(CM$3&lt;=YEAR($B$2),SUMPRODUCT(($E$4:$E$79=$E26)*($Z$2:$CG$2=CM$3)*($Z$2:$CG$2&lt;CN$3)*$Z$4:$CG$79),CM$3&lt;YEAR($X26),0,CM$3=YEAR($X26),DATEDIF($X26,DATE(CM$3,12,31),"m")*$Y26,AND(CM$3&gt;YEAR($X26),CM$3-YEAR($X26)&lt;20),$Y26*12,CM$3-YEAR($X26)=20,DATEDIF(DATE(YEAR($X26),1,1),$X26,"m")*$Y26,CM$3-YEAR($X26)&gt;20,0)</f>
        <v>7075.51</v>
      </c>
      <c r="CN26" s="202" cm="1">
        <f t="array" ref="CN26">_xlfn.IFS(CN$3&lt;=YEAR($B$2),SUMPRODUCT(($E$4:$E$79=$E26)*($Z$2:$CG$2=CN$3)*($Z$2:$CG$2&lt;CO$3)*$Z$4:$CG$79),CN$3&lt;YEAR($X26),0,CN$3=YEAR($X26),DATEDIF($X26,DATE(CN$3,12,31),"m")*$Y26,AND(CN$3&gt;YEAR($X26),CN$3-YEAR($X26)&lt;20),$Y26*12,CN$3-YEAR($X26)=20,DATEDIF(DATE(YEAR($X26),1,1),$X26,"m")*$Y26,CN$3-YEAR($X26)&gt;20,0)</f>
        <v>12138</v>
      </c>
      <c r="CO26" s="202" cm="1">
        <f t="array" ref="CO26">_xlfn.IFS(CO$3&lt;=YEAR($B$2),SUMPRODUCT(($E$4:$E$79=$E26)*($Z$2:$CG$2=CO$3)*($Z$2:$CG$2&lt;CP$3)*$Z$4:$CG$79),CO$3&lt;YEAR($X26),0,CO$3=YEAR($X26),DATEDIF($X26,DATE(CO$3,12,31),"m")*$Y26,AND(CO$3&gt;YEAR($X26),CO$3-YEAR($X26)&lt;20),$Y26*12,CO$3-YEAR($X26)=20,DATEDIF(DATE(YEAR($X26),1,1),$X26,"m")*$Y26,CO$3-YEAR($X26)&gt;20,0)</f>
        <v>12138</v>
      </c>
      <c r="CP26" s="202" cm="1">
        <f t="array" ref="CP26">_xlfn.IFS(CP$3&lt;=YEAR($B$2),SUMPRODUCT(($E$4:$E$79=$E26)*($Z$2:$CG$2=CP$3)*($Z$2:$CG$2&lt;CQ$3)*$Z$4:$CG$79),CP$3&lt;YEAR($X26),0,CP$3=YEAR($X26),DATEDIF($X26,DATE(CP$3,12,31),"m")*$Y26,AND(CP$3&gt;YEAR($X26),CP$3-YEAR($X26)&lt;20),$Y26*12,CP$3-YEAR($X26)=20,DATEDIF(DATE(YEAR($X26),1,1),$X26,"m")*$Y26,CP$3-YEAR($X26)&gt;20,0)</f>
        <v>12138</v>
      </c>
      <c r="CQ26" s="202" cm="1">
        <f t="array" ref="CQ26">_xlfn.IFS(CQ$3&lt;=YEAR($B$2),SUMPRODUCT(($E$4:$E$79=$E26)*($Z$2:$CG$2=CQ$3)*($Z$2:$CG$2&lt;CR$3)*$Z$4:$CG$79),CQ$3&lt;YEAR($X26),0,CQ$3=YEAR($X26),DATEDIF($X26,DATE(CQ$3,12,31),"m")*$Y26,AND(CQ$3&gt;YEAR($X26),CQ$3-YEAR($X26)&lt;20),$Y26*12,CQ$3-YEAR($X26)=20,DATEDIF(DATE(YEAR($X26),1,1),$X26,"m")*$Y26,CQ$3-YEAR($X26)&gt;20,0)</f>
        <v>12138</v>
      </c>
      <c r="CR26" s="202" cm="1">
        <f t="array" ref="CR26">_xlfn.IFS(CR$3&lt;=YEAR($B$2),SUMPRODUCT(($E$4:$E$79=$E26)*($Z$2:$CG$2=CR$3)*($Z$2:$CG$2&lt;CS$3)*$Z$4:$CG$79),CR$3&lt;YEAR($X26),0,CR$3=YEAR($X26),DATEDIF($X26,DATE(CR$3,12,31),"m")*$Y26,AND(CR$3&gt;YEAR($X26),CR$3-YEAR($X26)&lt;20),$Y26*12,CR$3-YEAR($X26)=20,DATEDIF(DATE(YEAR($X26),1,1),$X26,"m")*$Y26,CR$3-YEAR($X26)&gt;20,0)</f>
        <v>12138</v>
      </c>
      <c r="CS26" s="202" cm="1">
        <f t="array" ref="CS26">_xlfn.IFS(CS$3&lt;=YEAR($B$2),SUMPRODUCT(($E$4:$E$79=$E26)*($Z$2:$CG$2=CS$3)*($Z$2:$CG$2&lt;CT$3)*$Z$4:$CG$79),CS$3&lt;YEAR($X26),0,CS$3=YEAR($X26),DATEDIF($X26,DATE(CS$3,12,31),"m")*$Y26,AND(CS$3&gt;YEAR($X26),CS$3-YEAR($X26)&lt;20),$Y26*12,CS$3-YEAR($X26)=20,DATEDIF(DATE(YEAR($X26),1,1),$X26,"m")*$Y26,CS$3-YEAR($X26)&gt;20,0)</f>
        <v>12138</v>
      </c>
      <c r="CT26" s="202" cm="1">
        <f t="array" ref="CT26">_xlfn.IFS(CT$3&lt;=YEAR($B$2),SUMPRODUCT(($E$4:$E$79=$E26)*($Z$2:$CG$2=CT$3)*($Z$2:$CG$2&lt;CU$3)*$Z$4:$CG$79),CT$3&lt;YEAR($X26),0,CT$3=YEAR($X26),DATEDIF($X26,DATE(CT$3,12,31),"m")*$Y26,AND(CT$3&gt;YEAR($X26),CT$3-YEAR($X26)&lt;20),$Y26*12,CT$3-YEAR($X26)=20,DATEDIF(DATE(YEAR($X26),1,1),$X26,"m")*$Y26,CT$3-YEAR($X26)&gt;20,0)</f>
        <v>12138</v>
      </c>
      <c r="CU26" s="202" cm="1">
        <f t="array" ref="CU26">_xlfn.IFS(CU$3&lt;=YEAR($B$2),SUMPRODUCT(($E$4:$E$79=$E26)*($Z$2:$CG$2=CU$3)*($Z$2:$CG$2&lt;CV$3)*$Z$4:$CG$79),CU$3&lt;YEAR($X26),0,CU$3=YEAR($X26),DATEDIF($X26,DATE(CU$3,12,31),"m")*$Y26,AND(CU$3&gt;YEAR($X26),CU$3-YEAR($X26)&lt;20),$Y26*12,CU$3-YEAR($X26)=20,DATEDIF(DATE(YEAR($X26),1,1),$X26,"m")*$Y26,CU$3-YEAR($X26)&gt;20,0)</f>
        <v>12138</v>
      </c>
      <c r="CV26" s="202" cm="1">
        <f t="array" ref="CV26">_xlfn.IFS(CV$3&lt;=YEAR($B$2),SUMPRODUCT(($E$4:$E$79=$E26)*($Z$2:$CG$2=CV$3)*($Z$2:$CG$2&lt;CW$3)*$Z$4:$CG$79),CV$3&lt;YEAR($X26),0,CV$3=YEAR($X26),DATEDIF($X26,DATE(CV$3,12,31),"m")*$Y26,AND(CV$3&gt;YEAR($X26),CV$3-YEAR($X26)&lt;20),$Y26*12,CV$3-YEAR($X26)=20,DATEDIF(DATE(YEAR($X26),1,1),$X26,"m")*$Y26,CV$3-YEAR($X26)&gt;20,0)</f>
        <v>12138</v>
      </c>
      <c r="CW26" s="202" cm="1">
        <f t="array" ref="CW26">_xlfn.IFS(CW$3&lt;=YEAR($B$2),SUMPRODUCT(($E$4:$E$79=$E26)*($Z$2:$CG$2=CW$3)*($Z$2:$CG$2&lt;CX$3)*$Z$4:$CG$79),CW$3&lt;YEAR($X26),0,CW$3=YEAR($X26),DATEDIF($X26,DATE(CW$3,12,31),"m")*$Y26,AND(CW$3&gt;YEAR($X26),CW$3-YEAR($X26)&lt;20),$Y26*12,CW$3-YEAR($X26)=20,DATEDIF(DATE(YEAR($X26),1,1),$X26,"m")*$Y26,CW$3-YEAR($X26)&gt;20,0)</f>
        <v>12138</v>
      </c>
      <c r="CX26" s="202" cm="1">
        <f t="array" ref="CX26">_xlfn.IFS(CX$3&lt;=YEAR($B$2),SUMPRODUCT(($E$4:$E$79=$E26)*($Z$2:$CG$2=CX$3)*($Z$2:$CG$2&lt;CY$3)*$Z$4:$CG$79),CX$3&lt;YEAR($X26),0,CX$3=YEAR($X26),DATEDIF($X26,DATE(CX$3,12,31),"m")*$Y26,AND(CX$3&gt;YEAR($X26),CX$3-YEAR($X26)&lt;20),$Y26*12,CX$3-YEAR($X26)=20,DATEDIF(DATE(YEAR($X26),1,1),$X26,"m")*$Y26,CX$3-YEAR($X26)&gt;20,0)</f>
        <v>12138</v>
      </c>
      <c r="CY26" s="202" cm="1">
        <f t="array" ref="CY26">_xlfn.IFS(CY$3&lt;=YEAR($B$2),SUMPRODUCT(($E$4:$E$79=$E26)*($Z$2:$CG$2=CY$3)*($Z$2:$CG$2&lt;CZ$3)*$Z$4:$CG$79),CY$3&lt;YEAR($X26),0,CY$3=YEAR($X26),DATEDIF($X26,DATE(CY$3,12,31),"m")*$Y26,AND(CY$3&gt;YEAR($X26),CY$3-YEAR($X26)&lt;20),$Y26*12,CY$3-YEAR($X26)=20,DATEDIF(DATE(YEAR($X26),1,1),$X26,"m")*$Y26,CY$3-YEAR($X26)&gt;20,0)</f>
        <v>12138</v>
      </c>
      <c r="CZ26" s="202" cm="1">
        <f t="array" ref="CZ26">_xlfn.IFS(CZ$3&lt;=YEAR($B$2),SUMPRODUCT(($E$4:$E$79=$E26)*($Z$2:$CG$2=CZ$3)*($Z$2:$CG$2&lt;DA$3)*$Z$4:$CG$79),CZ$3&lt;YEAR($X26),0,CZ$3=YEAR($X26),DATEDIF($X26,DATE(CZ$3,12,31),"m")*$Y26,AND(CZ$3&gt;YEAR($X26),CZ$3-YEAR($X26)&lt;20),$Y26*12,CZ$3-YEAR($X26)=20,DATEDIF(DATE(YEAR($X26),1,1),$X26,"m")*$Y26,CZ$3-YEAR($X26)&gt;20,0)</f>
        <v>12138</v>
      </c>
      <c r="DA26" s="202" cm="1">
        <f t="array" ref="DA26">_xlfn.IFS(DA$3&lt;=YEAR($B$2),SUMPRODUCT(($E$4:$E$79=$E26)*($Z$2:$CG$2=DA$3)*($Z$2:$CG$2&lt;DB$3)*$Z$4:$CG$79),DA$3&lt;YEAR($X26),0,DA$3=YEAR($X26),DATEDIF($X26,DATE(DA$3,12,31),"m")*$Y26,AND(DA$3&gt;YEAR($X26),DA$3-YEAR($X26)&lt;20),$Y26*12,DA$3-YEAR($X26)=20,DATEDIF(DATE(YEAR($X26),1,1),$X26,"m")*$Y26,DA$3-YEAR($X26)&gt;20,0)</f>
        <v>12138</v>
      </c>
      <c r="DB26" s="202" cm="1">
        <f t="array" ref="DB26">_xlfn.IFS(DB$3&lt;=YEAR($B$2),SUMPRODUCT(($E$4:$E$79=$E26)*($Z$2:$CG$2=DB$3)*($Z$2:$CG$2&lt;DC$3)*$Z$4:$CG$79),DB$3&lt;YEAR($X26),0,DB$3=YEAR($X26),DATEDIF($X26,DATE(DB$3,12,31),"m")*$Y26,AND(DB$3&gt;YEAR($X26),DB$3-YEAR($X26)&lt;20),$Y26*12,DB$3-YEAR($X26)=20,DATEDIF(DATE(YEAR($X26),1,1),$X26,"m")*$Y26,DB$3-YEAR($X26)&gt;20,0)</f>
        <v>12138</v>
      </c>
      <c r="DC26" s="202" cm="1">
        <f t="array" ref="DC26">_xlfn.IFS(DC$3&lt;=YEAR($B$2),SUMPRODUCT(($E$4:$E$79=$E26)*($Z$2:$CG$2=DC$3)*($Z$2:$CG$2&lt;DD$3)*$Z$4:$CG$79),DC$3&lt;YEAR($X26),0,DC$3=YEAR($X26),DATEDIF($X26,DATE(DC$3,12,31),"m")*$Y26,AND(DC$3&gt;YEAR($X26),DC$3-YEAR($X26)&lt;20),$Y26*12,DC$3-YEAR($X26)=20,DATEDIF(DATE(YEAR($X26),1,1),$X26,"m")*$Y26,DC$3-YEAR($X26)&gt;20,0)</f>
        <v>12138</v>
      </c>
      <c r="DD26" s="202" cm="1">
        <f t="array" ref="DD26">_xlfn.IFS(DD$3&lt;=YEAR($B$2),SUMPRODUCT(($E$4:$E$79=$E26)*($Z$2:$CG$2=DD$3)*($Z$2:$CG$2&lt;DE$3)*$Z$4:$CG$79),DD$3&lt;YEAR($X26),0,DD$3=YEAR($X26),DATEDIF($X26,DATE(DD$3,12,31),"m")*$Y26,AND(DD$3&gt;YEAR($X26),DD$3-YEAR($X26)&lt;20),$Y26*12,DD$3-YEAR($X26)=20,DATEDIF(DATE(YEAR($X26),1,1),$X26,"m")*$Y26,DD$3-YEAR($X26)&gt;20,0)</f>
        <v>12138</v>
      </c>
      <c r="DE26" s="202" cm="1">
        <f t="array" ref="DE26">_xlfn.IFS(DE$3&lt;=YEAR($B$2),SUMPRODUCT(($E$4:$E$79=$E26)*($Z$2:$CG$2=DE$3)*($Z$2:$CG$2&lt;DF$3)*$Z$4:$CG$79),DE$3&lt;YEAR($X26),0,DE$3=YEAR($X26),DATEDIF($X26,DATE(DE$3,12,31),"m")*$Y26,AND(DE$3&gt;YEAR($X26),DE$3-YEAR($X26)&lt;20),$Y26*12,DE$3-YEAR($X26)=20,DATEDIF(DATE(YEAR($X26),1,1),$X26,"m")*$Y26,DE$3-YEAR($X26)&gt;20,0)</f>
        <v>12138</v>
      </c>
      <c r="DF26" s="202" cm="1">
        <f t="array" ref="DF26">_xlfn.IFS(DF$3&lt;=YEAR($B$2),SUMPRODUCT(($E$4:$E$79=$E26)*($Z$2:$CG$2=DF$3)*($Z$2:$CG$2&lt;DG$3)*$Z$4:$CG$79),DF$3&lt;YEAR($X26),0,DF$3=YEAR($X26),DATEDIF($X26,DATE(DF$3,12,31),"m")*$Y26,AND(DF$3&gt;YEAR($X26),DF$3-YEAR($X26)&lt;20),$Y26*12,DF$3-YEAR($X26)=20,DATEDIF(DATE(YEAR($X26),1,1),$X26,"m")*$Y26,DF$3-YEAR($X26)&gt;20,0)</f>
        <v>12138</v>
      </c>
      <c r="DG26" s="202" cm="1">
        <f t="array" ref="DG26">_xlfn.IFS(DG$3&lt;=YEAR($B$2),SUMPRODUCT(($E$4:$E$79=$E26)*($Z$2:$CG$2=DG$3)*($Z$2:$CG$2&lt;DH$3)*$Z$4:$CG$79),DG$3&lt;YEAR($X26),0,DG$3=YEAR($X26),DATEDIF($X26,DATE(DG$3,12,31),"m")*$Y26,AND(DG$3&gt;YEAR($X26),DG$3-YEAR($X26)&lt;20),$Y26*12,DG$3-YEAR($X26)=20,DATEDIF(DATE(YEAR($X26),1,1),$X26,"m")*$Y26,DG$3-YEAR($X26)&gt;20,0)</f>
        <v>2023</v>
      </c>
      <c r="DH26" s="202" cm="1">
        <f t="array" ref="DH26">_xlfn.IFS(DH$3&lt;=YEAR($B$2),SUMPRODUCT(($E$4:$E$79=$E26)*($Z$2:$CG$2=DH$3)*($Z$2:$CG$2&lt;DI$3)*$Z$4:$CG$79),DH$3&lt;YEAR($X26),0,DH$3=YEAR($X26),DATEDIF($X26,DATE(DH$3,12,31),"m")*$Y26,AND(DH$3&gt;YEAR($X26),DH$3-YEAR($X26)&lt;20),$Y26*12,DH$3-YEAR($X26)=20,DATEDIF(DATE(YEAR($X26),1,1),$X26,"m")*$Y26,DH$3-YEAR($X26)&gt;20,0)</f>
        <v>0</v>
      </c>
      <c r="DI26" s="202" cm="1">
        <f t="array" ref="DI26">_xlfn.IFS(DI$3&lt;=YEAR($B$2),SUMPRODUCT(($E$4:$E$79=$E26)*($Z$2:$CG$2=DI$3)*($Z$2:$CG$2&lt;DJ$3)*$Z$4:$CG$79),DI$3&lt;YEAR($X26),0,DI$3=YEAR($X26),DATEDIF($X26,DATE(DI$3,12,31),"m")*$Y26,AND(DI$3&gt;YEAR($X26),DI$3-YEAR($X26)&lt;20),$Y26*12,DI$3-YEAR($X26)=20,DATEDIF(DATE(YEAR($X26),1,1),$X26,"m")*$Y26,DI$3-YEAR($X26)&gt;20,0)</f>
        <v>0</v>
      </c>
      <c r="DJ26" s="202" cm="1">
        <f t="array" ref="DJ26">_xlfn.IFS(DJ$3&lt;=YEAR($B$2),SUMPRODUCT(($E$4:$E$79=$E26)*($Z$2:$CG$2=DJ$3)*($Z$2:$CG$2&lt;DK$3)*$Z$4:$CG$79),DJ$3&lt;YEAR($X26),0,DJ$3=YEAR($X26),DATEDIF($X26,DATE(DJ$3,12,31),"m")*$Y26,AND(DJ$3&gt;YEAR($X26),DJ$3-YEAR($X26)&lt;20),$Y26*12,DJ$3-YEAR($X26)=20,DATEDIF(DATE(YEAR($X26),1,1),$X26,"m")*$Y26,DJ$3-YEAR($X26)&gt;20,0)</f>
        <v>0</v>
      </c>
      <c r="DK26" s="202" cm="1">
        <f t="array" ref="DK26">_xlfn.IFS(DK$3&lt;=YEAR($B$2),SUMPRODUCT(($E$4:$E$79=$E26)*($Z$2:$CG$2=DK$3)*($Z$2:$CG$2&lt;DL$3)*$Z$4:$CG$79),DK$3&lt;YEAR($X26),0,DK$3=YEAR($X26),DATEDIF($X26,DATE(DK$3,12,31),"m")*$Y26,AND(DK$3&gt;YEAR($X26),DK$3-YEAR($X26)&lt;20),$Y26*12,DK$3-YEAR($X26)=20,DATEDIF(DATE(YEAR($X26),1,1),$X26,"m")*$Y26,DK$3-YEAR($X26)&gt;20,0)</f>
        <v>0</v>
      </c>
      <c r="DL26" s="202" cm="1">
        <f t="array" ref="DL26">_xlfn.IFS(DL$3&lt;=YEAR($B$2),SUMPRODUCT(($E$4:$E$79=$E26)*($Z$2:$CG$2=DL$3)*($Z$2:$CG$2&lt;DM$3)*$Z$4:$CG$79),DL$3&lt;YEAR($X26),0,DL$3=YEAR($X26),DATEDIF($X26,DATE(DL$3,12,31),"m")*$Y26,AND(DL$3&gt;YEAR($X26),DL$3-YEAR($X26)&lt;20),$Y26*12,DL$3-YEAR($X26)=20,DATEDIF(DATE(YEAR($X26),1,1),$X26,"m")*$Y26,DL$3-YEAR($X26)&gt;20,0)</f>
        <v>0</v>
      </c>
      <c r="DO26" s="166">
        <f t="shared" si="26"/>
        <v>2035</v>
      </c>
      <c r="DP26" s="158">
        <v>660421.95000000019</v>
      </c>
      <c r="DQ26" s="158">
        <v>462971.99729999999</v>
      </c>
      <c r="DR26" s="158">
        <v>25576.5</v>
      </c>
      <c r="DS26" s="158">
        <f t="shared" si="27"/>
        <v>1148970.4473000001</v>
      </c>
    </row>
    <row r="27" spans="1:636">
      <c r="A27" s="155" t="str" cm="1">
        <f t="array" ref="A27">INDEX('Monthly Report July 2025'!C:C,MATCH(E27,'Monthly Report July 2025'!E:E,0),0)</f>
        <v>OCS034</v>
      </c>
      <c r="B27" s="155" t="str" cm="1">
        <f t="array" ref="B27">_xlfn.IFS(LEFT(E27,3)="PGE","PGE",LEFT(E27,2)="PP","PAC",TRUE,"IP")</f>
        <v>PAC</v>
      </c>
      <c r="C27" s="155" t="str">
        <f>IF(ISNA(MATCH(E27,'Monthly Report July 2025'!E:E,0)),"Missing","Present")</f>
        <v>Present</v>
      </c>
      <c r="D27" s="155" t="str">
        <f>IF(ISNA(MATCH(E27,'Project Operational Timelines'!C:C,0))=TRUE,"Missing","Present")</f>
        <v>Present</v>
      </c>
      <c r="E27" s="155" t="s">
        <v>135</v>
      </c>
      <c r="F27" s="155" t="str" cm="1">
        <f t="array" ref="F27">INDEX('Monthly Report July 2025'!F:F,MATCH(E27,'Monthly Report July 2025'!E:E,),0)</f>
        <v>Round Lake Solar</v>
      </c>
      <c r="G27" s="155" t="str" cm="1">
        <f t="array" ref="G27">_xlfn.IFS(INDEX('Monthly Report July 2025'!O:O,MATCH(E27,'Monthly Report July 2025'!E:E,0),0)="Operational","Operational",INDEX('Monthly Report July 2025'!O:O,MATCH(E27,'Monthly Report July 2025'!E:E,0),0)="Certified","Certified",TRUE,"Pre-Certified")</f>
        <v>Operational</v>
      </c>
      <c r="H27" s="155" t="str" cm="1">
        <f t="array" ref="H27">INDEX('Monthly Report July 2025'!H:H,MATCH($E27,'Monthly Report July 2025'!$E:$E,0),0)</f>
        <v>TLS Capital</v>
      </c>
      <c r="I27" s="155" t="str" cm="1">
        <f t="array" ref="I27">INDEX('Monthly Report July 2025'!I:I,MATCH($E27,'Monthly Report July 2025'!$E:$E,0),0)</f>
        <v>Luminace</v>
      </c>
      <c r="J27" s="174" cm="1">
        <f t="array" ref="J27">INDEX('Monthly Report July 2025'!J:J,MATCH($E27,'Monthly Report July 2025'!$E:$E,0),0)</f>
        <v>1</v>
      </c>
      <c r="K27" s="174" t="str" cm="1">
        <f t="array" ref="K27">INDEX('Monthly Report July 2025'!K:K,MATCH($E27,'Monthly Report July 2025'!$E:$E,0),0)</f>
        <v>No</v>
      </c>
      <c r="L27" s="174" t="b" cm="1">
        <f t="array" ref="L27">INDEX('Monthly Report July 2025'!L:L,MATCH(E27,'Monthly Report July 2025'!E:E,0),0)=M27</f>
        <v>1</v>
      </c>
      <c r="M27" s="273" cm="1">
        <f t="array" ref="M27">INDEX('Monthly Report July 2025'!L:L,MATCH($E27,'Monthly Report July 2025'!$E:$E,0),0)</f>
        <v>978</v>
      </c>
      <c r="N27" s="175" cm="1">
        <f t="array" ref="N27">INDEX('Monthly Report July 2025'!M:M,MATCH($E27,'Monthly Report July 2025'!$E:$E,0),0)</f>
        <v>44194</v>
      </c>
      <c r="O27" s="175" t="str" cm="1">
        <f t="array" ref="O27">_xlfn.IFS(G27="Operational","Operational",G27="Certified","Certified",TRUE,INDEX('Monthly Report July 2025'!O:O,MATCH(E27,'Monthly Report July 2025'!E:E,0),0))</f>
        <v>Operational</v>
      </c>
      <c r="P27" s="175" t="b" cm="1">
        <f t="array" ref="P27">_xlfn.IFS(G27="Operational",O27="Operational",G27="Certified",O27="Certified",TRUE,G27="Pre-Certified")</f>
        <v>1</v>
      </c>
      <c r="Q27" s="175" cm="1">
        <f t="array" ref="Q27">IF(O27="Operational",INDEX('Monthly Report July 2025'!R:R,MATCH(E27,'Monthly Report July 2025'!E:E,0),0),"")</f>
        <v>45645</v>
      </c>
      <c r="R27" s="175" cm="1">
        <f t="array" ref="R27">INDEX('Monthly Report July 2025'!P:P,MATCH(E27,'Monthly Report July 2025'!E:E,0),0)</f>
        <v>45217</v>
      </c>
      <c r="S27" s="175" t="b">
        <f t="shared" si="5"/>
        <v>1</v>
      </c>
      <c r="T27" s="175" cm="1">
        <f t="array" ref="T27">INDEX('Monthly Report July 2025'!U:U,MATCH(E27,'Monthly Report July 2025'!E:E,0),0)</f>
        <v>45532</v>
      </c>
      <c r="U27" s="175" t="str">
        <f t="shared" si="6"/>
        <v>IGNORE</v>
      </c>
      <c r="V27" s="156">
        <f t="shared" si="7"/>
        <v>45217</v>
      </c>
      <c r="W27" s="156" cm="1">
        <f t="array" ref="W27">_xlfn.IFS(U27=TRUE,EDATE(O27,6),U27=FALSE,T27,O27="Operational",Q27,AND(O27="Certified",EDATE(R27,6)&gt;T27),EDATE(R27,6),TRUE,T27)</f>
        <v>45645</v>
      </c>
      <c r="X27" s="156">
        <f t="shared" si="8"/>
        <v>45707</v>
      </c>
      <c r="Y27" s="157">
        <f t="shared" si="9"/>
        <v>706.6049999999999</v>
      </c>
      <c r="Z27" s="202" cm="1">
        <f t="array" ref="Z27">_xlfn.IFS(Z$3&lt;$B$2,SUMPRODUCT(('PA Fees Actual'!$B$5:$B$882=$E27)*('PA Fees Actual'!$A$5:$A$882&gt;=Z$3)*('PA Fees Actual'!$A$5:$A$882&lt;=EOMONTH(Z$3,0))*'PA Fees Actual'!$D$5:$D$882),Z$3&gt;=EOMONTH($X27,-1)+1,$Y27,TRUE,0)</f>
        <v>0</v>
      </c>
      <c r="AA27" s="202" cm="1">
        <f t="array" ref="AA27">_xlfn.IFS(AA$3&lt;$B$2,SUMPRODUCT(('PA Fees Actual'!$B$5:$B$882=$E27)*('PA Fees Actual'!$A$5:$A$882&gt;=AA$3)*('PA Fees Actual'!$A$5:$A$882&lt;=EOMONTH(AA$3,0))*'PA Fees Actual'!$D$5:$D$882),AA$3&gt;=EOMONTH($X27,-1)+1,$Y27,TRUE,0)</f>
        <v>0</v>
      </c>
      <c r="AB27" s="202" cm="1">
        <f t="array" ref="AB27">_xlfn.IFS(AB$3&lt;$B$2,SUMPRODUCT(('PA Fees Actual'!$B$5:$B$882=$E27)*('PA Fees Actual'!$A$5:$A$882&gt;=AB$3)*('PA Fees Actual'!$A$5:$A$882&lt;=EOMONTH(AB$3,0))*'PA Fees Actual'!$D$5:$D$882),AB$3&gt;=EOMONTH($X27,-1)+1,$Y27,TRUE,0)</f>
        <v>0</v>
      </c>
      <c r="AC27" s="202" cm="1">
        <f t="array" ref="AC27">_xlfn.IFS(AC$3&lt;$B$2,SUMPRODUCT(('PA Fees Actual'!$B$5:$B$882=$E27)*('PA Fees Actual'!$A$5:$A$882&gt;=AC$3)*('PA Fees Actual'!$A$5:$A$882&lt;=EOMONTH(AC$3,0))*'PA Fees Actual'!$D$5:$D$882),AC$3&gt;=EOMONTH($X27,-1)+1,$Y27,TRUE,0)</f>
        <v>0</v>
      </c>
      <c r="AD27" s="202" cm="1">
        <f t="array" ref="AD27">_xlfn.IFS(AD$3&lt;$B$2,SUMPRODUCT(('PA Fees Actual'!$B$5:$B$882=$E27)*('PA Fees Actual'!$A$5:$A$882&gt;=AD$3)*('PA Fees Actual'!$A$5:$A$882&lt;=EOMONTH(AD$3,0))*'PA Fees Actual'!$D$5:$D$882),AD$3&gt;=EOMONTH($X27,-1)+1,$Y27,TRUE,0)</f>
        <v>0</v>
      </c>
      <c r="AE27" s="202" cm="1">
        <f t="array" ref="AE27">_xlfn.IFS(AE$3&lt;$B$2,SUMPRODUCT(('PA Fees Actual'!$B$5:$B$882=$E27)*('PA Fees Actual'!$A$5:$A$882&gt;=AE$3)*('PA Fees Actual'!$A$5:$A$882&lt;=EOMONTH(AE$3,0))*'PA Fees Actual'!$D$5:$D$882),AE$3&gt;=EOMONTH($X27,-1)+1,$Y27,TRUE,0)</f>
        <v>0</v>
      </c>
      <c r="AF27" s="202" cm="1">
        <f t="array" ref="AF27">_xlfn.IFS(AF$3&lt;$B$2,SUMPRODUCT(('PA Fees Actual'!$B$5:$B$882=$E27)*('PA Fees Actual'!$A$5:$A$882&gt;=AF$3)*('PA Fees Actual'!$A$5:$A$882&lt;=EOMONTH(AF$3,0))*'PA Fees Actual'!$D$5:$D$882),AF$3&gt;=EOMONTH($X27,-1)+1,$Y27,TRUE,0)</f>
        <v>0</v>
      </c>
      <c r="AG27" s="202" cm="1">
        <f t="array" ref="AG27">_xlfn.IFS(AG$3&lt;$B$2,SUMPRODUCT(('PA Fees Actual'!$B$5:$B$882=$E27)*('PA Fees Actual'!$A$5:$A$882&gt;=AG$3)*('PA Fees Actual'!$A$5:$A$882&lt;=EOMONTH(AG$3,0))*'PA Fees Actual'!$D$5:$D$882),AG$3&gt;=EOMONTH($X27,-1)+1,$Y27,TRUE,0)</f>
        <v>0</v>
      </c>
      <c r="AH27" s="202" cm="1">
        <f t="array" ref="AH27">_xlfn.IFS(AH$3&lt;$B$2,SUMPRODUCT(('PA Fees Actual'!$B$5:$B$882=$E27)*('PA Fees Actual'!$A$5:$A$882&gt;=AH$3)*('PA Fees Actual'!$A$5:$A$882&lt;=EOMONTH(AH$3,0))*'PA Fees Actual'!$D$5:$D$882),AH$3&gt;=EOMONTH($X27,-1)+1,$Y27,TRUE,0)</f>
        <v>0</v>
      </c>
      <c r="AI27" s="202" cm="1">
        <f t="array" ref="AI27">_xlfn.IFS(AI$3&lt;$B$2,SUMPRODUCT(('PA Fees Actual'!$B$5:$B$882=$E27)*('PA Fees Actual'!$A$5:$A$882&gt;=AI$3)*('PA Fees Actual'!$A$5:$A$882&lt;=EOMONTH(AI$3,0))*'PA Fees Actual'!$D$5:$D$882),AI$3&gt;=EOMONTH($X27,-1)+1,$Y27,TRUE,0)</f>
        <v>0</v>
      </c>
      <c r="AJ27" s="202" cm="1">
        <f t="array" ref="AJ27">_xlfn.IFS(AJ$3&lt;$B$2,SUMPRODUCT(('PA Fees Actual'!$B$5:$B$882=$E27)*('PA Fees Actual'!$A$5:$A$882&gt;=AJ$3)*('PA Fees Actual'!$A$5:$A$882&lt;=EOMONTH(AJ$3,0))*'PA Fees Actual'!$D$5:$D$882),AJ$3&gt;=EOMONTH($X27,-1)+1,$Y27,TRUE,0)</f>
        <v>0</v>
      </c>
      <c r="AK27" s="202" cm="1">
        <f t="array" ref="AK27">_xlfn.IFS(AK$3&lt;$B$2,SUMPRODUCT(('PA Fees Actual'!$B$5:$B$882=$E27)*('PA Fees Actual'!$A$5:$A$882&gt;=AK$3)*('PA Fees Actual'!$A$5:$A$882&lt;=EOMONTH(AK$3,0))*'PA Fees Actual'!$D$5:$D$882),AK$3&gt;=EOMONTH($X27,-1)+1,$Y27,TRUE,0)</f>
        <v>0</v>
      </c>
      <c r="AL27" s="202" cm="1">
        <f t="array" ref="AL27">_xlfn.IFS(AL$3&lt;$B$2,SUMPRODUCT(('PA Fees Actual'!$B$5:$B$882=$E27)*('PA Fees Actual'!$A$5:$A$882&gt;=AL$3)*('PA Fees Actual'!$A$5:$A$882&lt;=EOMONTH(AL$3,0))*'PA Fees Actual'!$D$5:$D$882),AL$3&gt;=EOMONTH($X27,-1)+1,$Y27,TRUE,0)</f>
        <v>0</v>
      </c>
      <c r="AM27" s="202" cm="1">
        <f t="array" ref="AM27">_xlfn.IFS(AM$3&lt;$B$2,SUMPRODUCT(('PA Fees Actual'!$B$5:$B$882=$E27)*('PA Fees Actual'!$A$5:$A$882&gt;=AM$3)*('PA Fees Actual'!$A$5:$A$882&lt;=EOMONTH(AM$3,0))*'PA Fees Actual'!$D$5:$D$882),AM$3&gt;=EOMONTH($X27,-1)+1,$Y27,TRUE,0)</f>
        <v>0</v>
      </c>
      <c r="AN27" s="202" cm="1">
        <f t="array" ref="AN27">_xlfn.IFS(AN$3&lt;$B$2,SUMPRODUCT(('PA Fees Actual'!$B$5:$B$882=$E27)*('PA Fees Actual'!$A$5:$A$882&gt;=AN$3)*('PA Fees Actual'!$A$5:$A$882&lt;=EOMONTH(AN$3,0))*'PA Fees Actual'!$D$5:$D$882),AN$3&gt;=EOMONTH($X27,-1)+1,$Y27,TRUE,0)</f>
        <v>0</v>
      </c>
      <c r="AO27" s="202" cm="1">
        <f t="array" ref="AO27">_xlfn.IFS(AO$3&lt;$B$2,SUMPRODUCT(('PA Fees Actual'!$B$5:$B$882=$E27)*('PA Fees Actual'!$A$5:$A$882&gt;=AO$3)*('PA Fees Actual'!$A$5:$A$882&lt;=EOMONTH(AO$3,0))*'PA Fees Actual'!$D$5:$D$882),AO$3&gt;=EOMONTH($X27,-1)+1,$Y27,TRUE,0)</f>
        <v>0</v>
      </c>
      <c r="AP27" s="202" cm="1">
        <f t="array" ref="AP27">_xlfn.IFS(AP$3&lt;$B$2,SUMPRODUCT(('PA Fees Actual'!$B$5:$B$882=$E27)*('PA Fees Actual'!$A$5:$A$882&gt;=AP$3)*('PA Fees Actual'!$A$5:$A$882&lt;=EOMONTH(AP$3,0))*'PA Fees Actual'!$D$5:$D$882),AP$3&gt;=EOMONTH($X27,-1)+1,$Y27,TRUE,0)</f>
        <v>0</v>
      </c>
      <c r="AQ27" s="202" cm="1">
        <f t="array" ref="AQ27">_xlfn.IFS(AQ$3&lt;$B$2,SUMPRODUCT(('PA Fees Actual'!$B$5:$B$882=$E27)*('PA Fees Actual'!$A$5:$A$882&gt;=AQ$3)*('PA Fees Actual'!$A$5:$A$882&lt;=EOMONTH(AQ$3,0))*'PA Fees Actual'!$D$5:$D$882),AQ$3&gt;=EOMONTH($X27,-1)+1,$Y27,TRUE,0)</f>
        <v>0</v>
      </c>
      <c r="AR27" s="202" cm="1">
        <f t="array" ref="AR27">_xlfn.IFS(AR$3&lt;$B$2,SUMPRODUCT(('PA Fees Actual'!$B$5:$B$882=$E27)*('PA Fees Actual'!$A$5:$A$882&gt;=AR$3)*('PA Fees Actual'!$A$5:$A$882&lt;=EOMONTH(AR$3,0))*'PA Fees Actual'!$D$5:$D$882),AR$3&gt;=EOMONTH($X27,-1)+1,$Y27,TRUE,0)</f>
        <v>0</v>
      </c>
      <c r="AS27" s="202" cm="1">
        <f t="array" ref="AS27">_xlfn.IFS(AS$3&lt;$B$2,SUMPRODUCT(('PA Fees Actual'!$B$5:$B$882=$E27)*('PA Fees Actual'!$A$5:$A$882&gt;=AS$3)*('PA Fees Actual'!$A$5:$A$882&lt;=EOMONTH(AS$3,0))*'PA Fees Actual'!$D$5:$D$882),AS$3&gt;=EOMONTH($X27,-1)+1,$Y27,TRUE,0)</f>
        <v>0</v>
      </c>
      <c r="AT27" s="202" cm="1">
        <f t="array" ref="AT27">_xlfn.IFS(AT$3&lt;$B$2,SUMPRODUCT(('PA Fees Actual'!$B$5:$B$882=$E27)*('PA Fees Actual'!$A$5:$A$882&gt;=AT$3)*('PA Fees Actual'!$A$5:$A$882&lt;=EOMONTH(AT$3,0))*'PA Fees Actual'!$D$5:$D$882),AT$3&gt;=EOMONTH($X27,-1)+1,$Y27,TRUE,0)</f>
        <v>0</v>
      </c>
      <c r="AU27" s="202" cm="1">
        <f t="array" ref="AU27">_xlfn.IFS(AU$3&lt;$B$2,SUMPRODUCT(('PA Fees Actual'!$B$5:$B$882=$E27)*('PA Fees Actual'!$A$5:$A$882&gt;=AU$3)*('PA Fees Actual'!$A$5:$A$882&lt;=EOMONTH(AU$3,0))*'PA Fees Actual'!$D$5:$D$882),AU$3&gt;=EOMONTH($X27,-1)+1,$Y27,TRUE,0)</f>
        <v>0</v>
      </c>
      <c r="AV27" s="202" cm="1">
        <f t="array" ref="AV27">_xlfn.IFS(AV$3&lt;$B$2,SUMPRODUCT(('PA Fees Actual'!$B$5:$B$882=$E27)*('PA Fees Actual'!$A$5:$A$882&gt;=AV$3)*('PA Fees Actual'!$A$5:$A$882&lt;=EOMONTH(AV$3,0))*'PA Fees Actual'!$D$5:$D$882),AV$3&gt;=EOMONTH($X27,-1)+1,$Y27,TRUE,0)</f>
        <v>0</v>
      </c>
      <c r="AW27" s="202" cm="1">
        <f t="array" ref="AW27">_xlfn.IFS(AW$3&lt;$B$2,SUMPRODUCT(('PA Fees Actual'!$B$5:$B$882=$E27)*('PA Fees Actual'!$A$5:$A$882&gt;=AW$3)*('PA Fees Actual'!$A$5:$A$882&lt;=EOMONTH(AW$3,0))*'PA Fees Actual'!$D$5:$D$882),AW$3&gt;=EOMONTH($X27,-1)+1,$Y27,TRUE,0)</f>
        <v>0</v>
      </c>
      <c r="AX27" s="202" cm="1">
        <f t="array" ref="AX27">_xlfn.IFS(AX$3&lt;$B$2,SUMPRODUCT(('PA Fees Actual'!$B$5:$B$882=$E27)*('PA Fees Actual'!$A$5:$A$882&gt;=AX$3)*('PA Fees Actual'!$A$5:$A$882&lt;=EOMONTH(AX$3,0))*'PA Fees Actual'!$D$5:$D$882),AX$3&gt;=EOMONTH($X27,-1)+1,$Y27,TRUE,0)</f>
        <v>0</v>
      </c>
      <c r="AY27" s="202" cm="1">
        <f t="array" ref="AY27">_xlfn.IFS(AY$3&lt;$B$2,SUMPRODUCT(('PA Fees Actual'!$B$5:$B$882=$E27)*('PA Fees Actual'!$A$5:$A$882&gt;=AY$3)*('PA Fees Actual'!$A$5:$A$882&lt;=EOMONTH(AY$3,0))*'PA Fees Actual'!$D$5:$D$882),AY$3&gt;=EOMONTH($X27,-1)+1,$Y27,TRUE,0)</f>
        <v>0</v>
      </c>
      <c r="AZ27" s="202" cm="1">
        <f t="array" ref="AZ27">_xlfn.IFS(AZ$3&lt;$B$2,SUMPRODUCT(('PA Fees Actual'!$B$5:$B$882=$E27)*('PA Fees Actual'!$A$5:$A$882&gt;=AZ$3)*('PA Fees Actual'!$A$5:$A$882&lt;=EOMONTH(AZ$3,0))*'PA Fees Actual'!$D$5:$D$882),AZ$3&gt;=EOMONTH($X27,-1)+1,$Y27,TRUE,0)</f>
        <v>0</v>
      </c>
      <c r="BA27" s="202" cm="1">
        <f t="array" ref="BA27">_xlfn.IFS(BA$3&lt;$B$2,SUMPRODUCT(('PA Fees Actual'!$B$5:$B$882=$E27)*('PA Fees Actual'!$A$5:$A$882&gt;=BA$3)*('PA Fees Actual'!$A$5:$A$882&lt;=EOMONTH(BA$3,0))*'PA Fees Actual'!$D$5:$D$882),BA$3&gt;=EOMONTH($X27,-1)+1,$Y27,TRUE,0)</f>
        <v>0</v>
      </c>
      <c r="BB27" s="202" cm="1">
        <f t="array" ref="BB27">_xlfn.IFS(BB$3&lt;$B$2,SUMPRODUCT(('PA Fees Actual'!$B$5:$B$882=$E27)*('PA Fees Actual'!$A$5:$A$882&gt;=BB$3)*('PA Fees Actual'!$A$5:$A$882&lt;=EOMONTH(BB$3,0))*'PA Fees Actual'!$D$5:$D$882),BB$3&gt;=EOMONTH($X27,-1)+1,$Y27,TRUE,0)</f>
        <v>0</v>
      </c>
      <c r="BC27" s="202" cm="1">
        <f t="array" ref="BC27">_xlfn.IFS(BC$3&lt;$B$2,SUMPRODUCT(('PA Fees Actual'!$B$5:$B$882=$E27)*('PA Fees Actual'!$A$5:$A$882&gt;=BC$3)*('PA Fees Actual'!$A$5:$A$882&lt;=EOMONTH(BC$3,0))*'PA Fees Actual'!$D$5:$D$882),BC$3&gt;=EOMONTH($X27,-1)+1,$Y27,TRUE,0)</f>
        <v>0</v>
      </c>
      <c r="BD27" s="202" cm="1">
        <f t="array" ref="BD27">_xlfn.IFS(BD$3&lt;$B$2,SUMPRODUCT(('PA Fees Actual'!$B$5:$B$882=$E27)*('PA Fees Actual'!$A$5:$A$882&gt;=BD$3)*('PA Fees Actual'!$A$5:$A$882&lt;=EOMONTH(BD$3,0))*'PA Fees Actual'!$D$5:$D$882),BD$3&gt;=EOMONTH($X27,-1)+1,$Y27,TRUE,0)</f>
        <v>0</v>
      </c>
      <c r="BE27" s="202" cm="1">
        <f t="array" ref="BE27">_xlfn.IFS(BE$3&lt;$B$2,SUMPRODUCT(('PA Fees Actual'!$B$5:$B$882=$E27)*('PA Fees Actual'!$A$5:$A$882&gt;=BE$3)*('PA Fees Actual'!$A$5:$A$882&lt;=EOMONTH(BE$3,0))*'PA Fees Actual'!$D$5:$D$882),BE$3&gt;=EOMONTH($X27,-1)+1,$Y27,TRUE,0)</f>
        <v>0</v>
      </c>
      <c r="BF27" s="202" cm="1">
        <f t="array" ref="BF27">_xlfn.IFS(BF$3&lt;$B$2,SUMPRODUCT(('PA Fees Actual'!$B$5:$B$882=$E27)*('PA Fees Actual'!$A$5:$A$882&gt;=BF$3)*('PA Fees Actual'!$A$5:$A$882&lt;=EOMONTH(BF$3,0))*'PA Fees Actual'!$D$5:$D$882),BF$3&gt;=EOMONTH($X27,-1)+1,$Y27,TRUE,0)</f>
        <v>0</v>
      </c>
      <c r="BG27" s="202" cm="1">
        <f t="array" ref="BG27">_xlfn.IFS(BG$3&lt;$B$2,SUMPRODUCT(('PA Fees Actual'!$B$5:$B$882=$E27)*('PA Fees Actual'!$A$5:$A$882&gt;=BG$3)*('PA Fees Actual'!$A$5:$A$882&lt;=EOMONTH(BG$3,0))*'PA Fees Actual'!$D$5:$D$882),BG$3&gt;=EOMONTH($X27,-1)+1,$Y27,TRUE,0)</f>
        <v>0</v>
      </c>
      <c r="BH27" s="202" cm="1">
        <f t="array" ref="BH27">_xlfn.IFS(BH$3&lt;$B$2,SUMPRODUCT(('PA Fees Actual'!$B$5:$B$882=$E27)*('PA Fees Actual'!$A$5:$A$882&gt;=BH$3)*('PA Fees Actual'!$A$5:$A$882&lt;=EOMONTH(BH$3,0))*'PA Fees Actual'!$D$5:$D$882),BH$3&gt;=EOMONTH($X27,-1)+1,$Y27,TRUE,0)</f>
        <v>0</v>
      </c>
      <c r="BI27" s="202" cm="1">
        <f t="array" ref="BI27">_xlfn.IFS(BI$3&lt;$B$2,SUMPRODUCT(('PA Fees Actual'!$B$5:$B$882=$E27)*('PA Fees Actual'!$A$5:$A$882&gt;=BI$3)*('PA Fees Actual'!$A$5:$A$882&lt;=EOMONTH(BI$3,0))*'PA Fees Actual'!$D$5:$D$882),BI$3&gt;=EOMONTH($X27,-1)+1,$Y27,TRUE,0)</f>
        <v>0</v>
      </c>
      <c r="BJ27" s="202" cm="1">
        <f t="array" ref="BJ27">_xlfn.IFS(BJ$3&lt;$B$2,SUMPRODUCT(('PA Fees Actual'!$B$5:$B$882=$E27)*('PA Fees Actual'!$A$5:$A$882&gt;=BJ$3)*('PA Fees Actual'!$A$5:$A$882&lt;=EOMONTH(BJ$3,0))*'PA Fees Actual'!$D$5:$D$882),BJ$3&gt;=EOMONTH($X27,-1)+1,$Y27,TRUE,0)</f>
        <v>0</v>
      </c>
      <c r="BK27" s="202" cm="1">
        <f t="array" ref="BK27">_xlfn.IFS(BK$3&lt;$B$2,SUMPRODUCT(('PA Fees Actual'!$B$5:$B$882=$E27)*('PA Fees Actual'!$A$5:$A$882&gt;=BK$3)*('PA Fees Actual'!$A$5:$A$882&lt;=EOMONTH(BK$3,0))*'PA Fees Actual'!$D$5:$D$882),BK$3&gt;=EOMONTH($X27,-1)+1,$Y27,TRUE,0)</f>
        <v>0</v>
      </c>
      <c r="BL27" s="202" cm="1">
        <f t="array" ref="BL27">_xlfn.IFS(BL$3&lt;$B$2,SUMPRODUCT(('PA Fees Actual'!$B$5:$B$882=$E27)*('PA Fees Actual'!$A$5:$A$882&gt;=BL$3)*('PA Fees Actual'!$A$5:$A$882&lt;=EOMONTH(BL$3,0))*'PA Fees Actual'!$D$5:$D$882),BL$3&gt;=EOMONTH($X27,-1)+1,$Y27,TRUE,0)</f>
        <v>0</v>
      </c>
      <c r="BM27" s="202" cm="1">
        <f t="array" ref="BM27">_xlfn.IFS(BM$3&lt;$B$2,SUMPRODUCT(('PA Fees Actual'!$B$5:$B$882=$E27)*('PA Fees Actual'!$A$5:$A$882&gt;=BM$3)*('PA Fees Actual'!$A$5:$A$882&lt;=EOMONTH(BM$3,0))*'PA Fees Actual'!$D$5:$D$882),BM$3&gt;=EOMONTH($X27,-1)+1,$Y27,TRUE,0)</f>
        <v>0</v>
      </c>
      <c r="BN27" s="202" cm="1">
        <f t="array" ref="BN27">_xlfn.IFS(BN$3&lt;$B$2,SUMPRODUCT(('PA Fees Actual'!$B$5:$B$882=$E27)*('PA Fees Actual'!$A$5:$A$882&gt;=BN$3)*('PA Fees Actual'!$A$5:$A$882&lt;=EOMONTH(BN$3,0))*'PA Fees Actual'!$D$5:$D$882),BN$3&gt;=EOMONTH($X27,-1)+1,$Y27,TRUE,0)</f>
        <v>0</v>
      </c>
      <c r="BO27" s="202" cm="1">
        <f t="array" ref="BO27">_xlfn.IFS(BO$3&lt;$B$2,SUMPRODUCT(('PA Fees Actual'!$B$5:$B$882=$E27)*('PA Fees Actual'!$A$5:$A$882&gt;=BO$3)*('PA Fees Actual'!$A$5:$A$882&lt;=EOMONTH(BO$3,0))*'PA Fees Actual'!$D$5:$D$882),BO$3&gt;=EOMONTH($X27,-1)+1,$Y27,TRUE,0)</f>
        <v>0</v>
      </c>
      <c r="BP27" s="202" cm="1">
        <f t="array" ref="BP27">_xlfn.IFS(BP$3&lt;$B$2,SUMPRODUCT(('PA Fees Actual'!$B$5:$B$882=$E27)*('PA Fees Actual'!$A$5:$A$882&gt;=BP$3)*('PA Fees Actual'!$A$5:$A$882&lt;=EOMONTH(BP$3,0))*'PA Fees Actual'!$D$5:$D$882),BP$3&gt;=EOMONTH($X27,-1)+1,$Y27,TRUE,0)</f>
        <v>0</v>
      </c>
      <c r="BQ27" s="202" cm="1">
        <f t="array" ref="BQ27">_xlfn.IFS(BQ$3&lt;$B$2,SUMPRODUCT(('PA Fees Actual'!$B$5:$B$882=$E27)*('PA Fees Actual'!$A$5:$A$882&gt;=BQ$3)*('PA Fees Actual'!$A$5:$A$882&lt;=EOMONTH(BQ$3,0))*'PA Fees Actual'!$D$5:$D$882),BQ$3&gt;=EOMONTH($X27,-1)+1,$Y27,TRUE,0)</f>
        <v>0</v>
      </c>
      <c r="BR27" s="202" cm="1">
        <f t="array" ref="BR27">_xlfn.IFS(BR$3&lt;$B$2,SUMPRODUCT(('PA Fees Actual'!$B$5:$B$882=$E27)*('PA Fees Actual'!$A$5:$A$882&gt;=BR$3)*('PA Fees Actual'!$A$5:$A$882&lt;=EOMONTH(BR$3,0))*'PA Fees Actual'!$D$5:$D$882),BR$3&gt;=EOMONTH($X27,-1)+1,$Y27,TRUE,0)</f>
        <v>0</v>
      </c>
      <c r="BS27" s="202" cm="1">
        <f t="array" ref="BS27">_xlfn.IFS(BS$3&lt;$B$2,SUMPRODUCT(('PA Fees Actual'!$B$5:$B$882=$E27)*('PA Fees Actual'!$A$5:$A$882&gt;=BS$3)*('PA Fees Actual'!$A$5:$A$882&lt;=EOMONTH(BS$3,0))*'PA Fees Actual'!$D$5:$D$882),BS$3&gt;=EOMONTH($X27,-1)+1,$Y27,TRUE,0)</f>
        <v>0</v>
      </c>
      <c r="BT27" s="202" cm="1">
        <f t="array" ref="BT27">_xlfn.IFS(BT$3&lt;$B$2,SUMPRODUCT(('PA Fees Actual'!$B$5:$B$882=$E27)*('PA Fees Actual'!$A$5:$A$882&gt;=BT$3)*('PA Fees Actual'!$A$5:$A$882&lt;=EOMONTH(BT$3,0))*'PA Fees Actual'!$D$5:$D$882),BT$3&gt;=EOMONTH($X27,-1)+1,$Y27,TRUE,0)</f>
        <v>0</v>
      </c>
      <c r="BU27" s="202" cm="1">
        <f t="array" ref="BU27">_xlfn.IFS(BU$3&lt;$B$2,SUMPRODUCT(('PA Fees Actual'!$B$5:$B$882=$E27)*('PA Fees Actual'!$A$5:$A$882&gt;=BU$3)*('PA Fees Actual'!$A$5:$A$882&lt;=EOMONTH(BU$3,0))*'PA Fees Actual'!$D$5:$D$882),BU$3&gt;=EOMONTH($X27,-1)+1,$Y27,TRUE,0)</f>
        <v>0</v>
      </c>
      <c r="BV27" s="202" cm="1">
        <f t="array" ref="BV27">_xlfn.IFS(BV$3&lt;$B$2,SUMPRODUCT(('PA Fees Actual'!$B$5:$B$882=$E27)*('PA Fees Actual'!$A$5:$A$882&gt;=BV$3)*('PA Fees Actual'!$A$5:$A$882&lt;=EOMONTH(BV$3,0))*'PA Fees Actual'!$D$5:$D$882),BV$3&gt;=EOMONTH($X27,-1)+1,$Y27,TRUE,0)</f>
        <v>0</v>
      </c>
      <c r="BW27" s="202" cm="1">
        <f t="array" ref="BW27">_xlfn.IFS(BW$3&lt;$B$2,SUMPRODUCT(('PA Fees Actual'!$B$5:$B$882=$E27)*('PA Fees Actual'!$A$5:$A$882&gt;=BW$3)*('PA Fees Actual'!$A$5:$A$882&lt;=EOMONTH(BW$3,0))*'PA Fees Actual'!$D$5:$D$882),BW$3&gt;=EOMONTH($X27,-1)+1,$Y27,TRUE,0)</f>
        <v>1.19</v>
      </c>
      <c r="BX27" s="202" cm="1">
        <f t="array" ref="BX27">_xlfn.IFS(BX$3&lt;$B$2,SUMPRODUCT(('PA Fees Actual'!$B$5:$B$882=$E27)*('PA Fees Actual'!$A$5:$A$882&gt;=BX$3)*('PA Fees Actual'!$A$5:$A$882&lt;=EOMONTH(BX$3,0))*'PA Fees Actual'!$D$5:$D$882),BX$3&gt;=EOMONTH($X27,-1)+1,$Y27,TRUE,0)</f>
        <v>0</v>
      </c>
      <c r="BY27" s="202" cm="1">
        <f t="array" ref="BY27">_xlfn.IFS(BY$3&lt;$B$2,SUMPRODUCT(('PA Fees Actual'!$B$5:$B$882=$E27)*('PA Fees Actual'!$A$5:$A$882&gt;=BY$3)*('PA Fees Actual'!$A$5:$A$882&lt;=EOMONTH(BY$3,0))*'PA Fees Actual'!$D$5:$D$882),BY$3&gt;=EOMONTH($X27,-1)+1,$Y27,TRUE,0)</f>
        <v>1363.27</v>
      </c>
      <c r="BZ27" s="202" cm="1">
        <f t="array" ref="BZ27">_xlfn.IFS(BZ$3&lt;$B$2,SUMPRODUCT(('PA Fees Actual'!$B$5:$B$882=$E27)*('PA Fees Actual'!$A$5:$A$882&gt;=BZ$3)*('PA Fees Actual'!$A$5:$A$882&lt;=EOMONTH(BZ$3,0))*'PA Fees Actual'!$D$5:$D$882),BZ$3&gt;=EOMONTH($X27,-1)+1,$Y27,TRUE,0)</f>
        <v>0</v>
      </c>
      <c r="CA27" s="202" cm="1">
        <f t="array" ref="CA27">_xlfn.IFS(CA$3&lt;$B$2,SUMPRODUCT(('PA Fees Actual'!$B$5:$B$882=$E27)*('PA Fees Actual'!$A$5:$A$882&gt;=CA$3)*('PA Fees Actual'!$A$5:$A$882&lt;=EOMONTH(CA$3,0))*'PA Fees Actual'!$D$5:$D$882),CA$3&gt;=EOMONTH($X27,-1)+1,$Y27,TRUE,0)</f>
        <v>0</v>
      </c>
      <c r="CB27" s="202" cm="1">
        <f t="array" ref="CB27">_xlfn.IFS(CB$3&lt;$B$2,SUMPRODUCT(('PA Fees Actual'!$B$5:$B$882=$E27)*('PA Fees Actual'!$A$5:$A$882&gt;=CB$3)*('PA Fees Actual'!$A$5:$A$882&lt;=EOMONTH(CB$3,0))*'PA Fees Actual'!$D$5:$D$882),CB$3&gt;=EOMONTH($X27,-1)+1,$Y27,TRUE,0)</f>
        <v>706.6049999999999</v>
      </c>
      <c r="CC27" s="202" cm="1">
        <f t="array" ref="CC27">_xlfn.IFS(CC$3&lt;$B$2,SUMPRODUCT(('PA Fees Actual'!$B$5:$B$882=$E27)*('PA Fees Actual'!$A$5:$A$882&gt;=CC$3)*('PA Fees Actual'!$A$5:$A$882&lt;=EOMONTH(CC$3,0))*'PA Fees Actual'!$D$5:$D$882),CC$3&gt;=EOMONTH($X27,-1)+1,$Y27,TRUE,0)</f>
        <v>706.6049999999999</v>
      </c>
      <c r="CD27" s="202" cm="1">
        <f t="array" ref="CD27">_xlfn.IFS(CD$3&lt;$B$2,SUMPRODUCT(('PA Fees Actual'!$B$5:$B$882=$E27)*('PA Fees Actual'!$A$5:$A$882&gt;=CD$3)*('PA Fees Actual'!$A$5:$A$882&lt;=EOMONTH(CD$3,0))*'PA Fees Actual'!$D$5:$D$882),CD$3&gt;=EOMONTH($X27,-1)+1,$Y27,TRUE,0)</f>
        <v>706.6049999999999</v>
      </c>
      <c r="CE27" s="202" cm="1">
        <f t="array" ref="CE27">_xlfn.IFS(CE$3&lt;$B$2,SUMPRODUCT(('PA Fees Actual'!$B$5:$B$882=$E27)*('PA Fees Actual'!$A$5:$A$882&gt;=CE$3)*('PA Fees Actual'!$A$5:$A$882&lt;=EOMONTH(CE$3,0))*'PA Fees Actual'!$D$5:$D$882),CE$3&gt;=EOMONTH($X27,-1)+1,$Y27,TRUE,0)</f>
        <v>706.6049999999999</v>
      </c>
      <c r="CF27" s="202" cm="1">
        <f t="array" ref="CF27">_xlfn.IFS(CF$3&lt;$B$2,SUMPRODUCT(('PA Fees Actual'!$B$5:$B$882=$E27)*('PA Fees Actual'!$A$5:$A$882&gt;=CF$3)*('PA Fees Actual'!$A$5:$A$882&lt;=EOMONTH(CF$3,0))*'PA Fees Actual'!$D$5:$D$882),CF$3&gt;=EOMONTH($X27,-1)+1,$Y27,TRUE,0)</f>
        <v>706.6049999999999</v>
      </c>
      <c r="CG27" s="202" cm="1">
        <f t="array" ref="CG27">_xlfn.IFS(CG$3&lt;$B$2,SUMPRODUCT(('PA Fees Actual'!$B$5:$B$882=$E27)*('PA Fees Actual'!$A$5:$A$882&gt;=CG$3)*('PA Fees Actual'!$A$5:$A$882&lt;=EOMONTH(CG$3,0))*'PA Fees Actual'!$D$5:$D$882),CG$3&gt;=EOMONTH($X27,-1)+1,$Y27,TRUE,0)</f>
        <v>706.6049999999999</v>
      </c>
      <c r="CI27" s="202" cm="1">
        <f t="array" ref="CI27">_xlfn.IFS(CI$3&lt;=YEAR($B$2),SUMPRODUCT(($E$4:$E$79=$E27)*($Z$2:$CG$2=CI$3)*($Z$2:$CG$2&lt;CJ$3)*$Z$4:$CG$79),CI$3&lt;YEAR($X27),0,CI$3=YEAR($X27),DATEDIF($X27,DATE(CI$3,12,31),"m")*$Y27,AND(CI$3&gt;YEAR($X27),CI$3-YEAR($X27)&lt;20),$Y27*12,CI$3-YEAR($X27)=20,DATEDIF(DATE(YEAR($X27),1,1),$X27,"m")*$Y27,CI$3-YEAR($X27)&gt;20,0)</f>
        <v>0</v>
      </c>
      <c r="CJ27" s="202" cm="1">
        <f t="array" ref="CJ27">_xlfn.IFS(CJ$3&lt;=YEAR($B$2),SUMPRODUCT(($E$4:$E$79=$E27)*($Z$2:$CG$2=CJ$3)*($Z$2:$CG$2&lt;CK$3)*$Z$4:$CG$79),CJ$3&lt;YEAR($X27),0,CJ$3=YEAR($X27),DATEDIF($X27,DATE(CJ$3,12,31),"m")*$Y27,AND(CJ$3&gt;YEAR($X27),CJ$3-YEAR($X27)&lt;20),$Y27*12,CJ$3-YEAR($X27)=20,DATEDIF(DATE(YEAR($X27),1,1),$X27,"m")*$Y27,CJ$3-YEAR($X27)&gt;20,0)</f>
        <v>0</v>
      </c>
      <c r="CK27" s="202" cm="1">
        <f t="array" ref="CK27">_xlfn.IFS(CK$3&lt;=YEAR($B$2),SUMPRODUCT(($E$4:$E$79=$E27)*($Z$2:$CG$2=CK$3)*($Z$2:$CG$2&lt;CL$3)*$Z$4:$CG$79),CK$3&lt;YEAR($X27),0,CK$3=YEAR($X27),DATEDIF($X27,DATE(CK$3,12,31),"m")*$Y27,AND(CK$3&gt;YEAR($X27),CK$3-YEAR($X27)&lt;20),$Y27*12,CK$3-YEAR($X27)=20,DATEDIF(DATE(YEAR($X27),1,1),$X27,"m")*$Y27,CK$3-YEAR($X27)&gt;20,0)</f>
        <v>0</v>
      </c>
      <c r="CL27" s="202" cm="1">
        <f t="array" ref="CL27">_xlfn.IFS(CL$3&lt;=YEAR($B$2),SUMPRODUCT(($E$4:$E$79=$E27)*($Z$2:$CG$2=CL$3)*($Z$2:$CG$2&lt;CM$3)*$Z$4:$CG$79),CL$3&lt;YEAR($X27),0,CL$3=YEAR($X27),DATEDIF($X27,DATE(CL$3,12,31),"m")*$Y27,AND(CL$3&gt;YEAR($X27),CL$3-YEAR($X27)&lt;20),$Y27*12,CL$3-YEAR($X27)=20,DATEDIF(DATE(YEAR($X27),1,1),$X27,"m")*$Y27,CL$3-YEAR($X27)&gt;20,0)</f>
        <v>0</v>
      </c>
      <c r="CM27" s="202" cm="1">
        <f t="array" ref="CM27">_xlfn.IFS(CM$3&lt;=YEAR($B$2),SUMPRODUCT(($E$4:$E$79=$E27)*($Z$2:$CG$2=CM$3)*($Z$2:$CG$2&lt;CN$3)*$Z$4:$CG$79),CM$3&lt;YEAR($X27),0,CM$3=YEAR($X27),DATEDIF($X27,DATE(CM$3,12,31),"m")*$Y27,AND(CM$3&gt;YEAR($X27),CM$3-YEAR($X27)&lt;20),$Y27*12,CM$3-YEAR($X27)=20,DATEDIF(DATE(YEAR($X27),1,1),$X27,"m")*$Y27,CM$3-YEAR($X27)&gt;20,0)</f>
        <v>5604.0899999999992</v>
      </c>
      <c r="CN27" s="202" cm="1">
        <f t="array" ref="CN27">_xlfn.IFS(CN$3&lt;=YEAR($B$2),SUMPRODUCT(($E$4:$E$79=$E27)*($Z$2:$CG$2=CN$3)*($Z$2:$CG$2&lt;CO$3)*$Z$4:$CG$79),CN$3&lt;YEAR($X27),0,CN$3=YEAR($X27),DATEDIF($X27,DATE(CN$3,12,31),"m")*$Y27,AND(CN$3&gt;YEAR($X27),CN$3-YEAR($X27)&lt;20),$Y27*12,CN$3-YEAR($X27)=20,DATEDIF(DATE(YEAR($X27),1,1),$X27,"m")*$Y27,CN$3-YEAR($X27)&gt;20,0)</f>
        <v>8479.2599999999984</v>
      </c>
      <c r="CO27" s="202" cm="1">
        <f t="array" ref="CO27">_xlfn.IFS(CO$3&lt;=YEAR($B$2),SUMPRODUCT(($E$4:$E$79=$E27)*($Z$2:$CG$2=CO$3)*($Z$2:$CG$2&lt;CP$3)*$Z$4:$CG$79),CO$3&lt;YEAR($X27),0,CO$3=YEAR($X27),DATEDIF($X27,DATE(CO$3,12,31),"m")*$Y27,AND(CO$3&gt;YEAR($X27),CO$3-YEAR($X27)&lt;20),$Y27*12,CO$3-YEAR($X27)=20,DATEDIF(DATE(YEAR($X27),1,1),$X27,"m")*$Y27,CO$3-YEAR($X27)&gt;20,0)</f>
        <v>8479.2599999999984</v>
      </c>
      <c r="CP27" s="202" cm="1">
        <f t="array" ref="CP27">_xlfn.IFS(CP$3&lt;=YEAR($B$2),SUMPRODUCT(($E$4:$E$79=$E27)*($Z$2:$CG$2=CP$3)*($Z$2:$CG$2&lt;CQ$3)*$Z$4:$CG$79),CP$3&lt;YEAR($X27),0,CP$3=YEAR($X27),DATEDIF($X27,DATE(CP$3,12,31),"m")*$Y27,AND(CP$3&gt;YEAR($X27),CP$3-YEAR($X27)&lt;20),$Y27*12,CP$3-YEAR($X27)=20,DATEDIF(DATE(YEAR($X27),1,1),$X27,"m")*$Y27,CP$3-YEAR($X27)&gt;20,0)</f>
        <v>8479.2599999999984</v>
      </c>
      <c r="CQ27" s="202" cm="1">
        <f t="array" ref="CQ27">_xlfn.IFS(CQ$3&lt;=YEAR($B$2),SUMPRODUCT(($E$4:$E$79=$E27)*($Z$2:$CG$2=CQ$3)*($Z$2:$CG$2&lt;CR$3)*$Z$4:$CG$79),CQ$3&lt;YEAR($X27),0,CQ$3=YEAR($X27),DATEDIF($X27,DATE(CQ$3,12,31),"m")*$Y27,AND(CQ$3&gt;YEAR($X27),CQ$3-YEAR($X27)&lt;20),$Y27*12,CQ$3-YEAR($X27)=20,DATEDIF(DATE(YEAR($X27),1,1),$X27,"m")*$Y27,CQ$3-YEAR($X27)&gt;20,0)</f>
        <v>8479.2599999999984</v>
      </c>
      <c r="CR27" s="202" cm="1">
        <f t="array" ref="CR27">_xlfn.IFS(CR$3&lt;=YEAR($B$2),SUMPRODUCT(($E$4:$E$79=$E27)*($Z$2:$CG$2=CR$3)*($Z$2:$CG$2&lt;CS$3)*$Z$4:$CG$79),CR$3&lt;YEAR($X27),0,CR$3=YEAR($X27),DATEDIF($X27,DATE(CR$3,12,31),"m")*$Y27,AND(CR$3&gt;YEAR($X27),CR$3-YEAR($X27)&lt;20),$Y27*12,CR$3-YEAR($X27)=20,DATEDIF(DATE(YEAR($X27),1,1),$X27,"m")*$Y27,CR$3-YEAR($X27)&gt;20,0)</f>
        <v>8479.2599999999984</v>
      </c>
      <c r="CS27" s="202" cm="1">
        <f t="array" ref="CS27">_xlfn.IFS(CS$3&lt;=YEAR($B$2),SUMPRODUCT(($E$4:$E$79=$E27)*($Z$2:$CG$2=CS$3)*($Z$2:$CG$2&lt;CT$3)*$Z$4:$CG$79),CS$3&lt;YEAR($X27),0,CS$3=YEAR($X27),DATEDIF($X27,DATE(CS$3,12,31),"m")*$Y27,AND(CS$3&gt;YEAR($X27),CS$3-YEAR($X27)&lt;20),$Y27*12,CS$3-YEAR($X27)=20,DATEDIF(DATE(YEAR($X27),1,1),$X27,"m")*$Y27,CS$3-YEAR($X27)&gt;20,0)</f>
        <v>8479.2599999999984</v>
      </c>
      <c r="CT27" s="202" cm="1">
        <f t="array" ref="CT27">_xlfn.IFS(CT$3&lt;=YEAR($B$2),SUMPRODUCT(($E$4:$E$79=$E27)*($Z$2:$CG$2=CT$3)*($Z$2:$CG$2&lt;CU$3)*$Z$4:$CG$79),CT$3&lt;YEAR($X27),0,CT$3=YEAR($X27),DATEDIF($X27,DATE(CT$3,12,31),"m")*$Y27,AND(CT$3&gt;YEAR($X27),CT$3-YEAR($X27)&lt;20),$Y27*12,CT$3-YEAR($X27)=20,DATEDIF(DATE(YEAR($X27),1,1),$X27,"m")*$Y27,CT$3-YEAR($X27)&gt;20,0)</f>
        <v>8479.2599999999984</v>
      </c>
      <c r="CU27" s="202" cm="1">
        <f t="array" ref="CU27">_xlfn.IFS(CU$3&lt;=YEAR($B$2),SUMPRODUCT(($E$4:$E$79=$E27)*($Z$2:$CG$2=CU$3)*($Z$2:$CG$2&lt;CV$3)*$Z$4:$CG$79),CU$3&lt;YEAR($X27),0,CU$3=YEAR($X27),DATEDIF($X27,DATE(CU$3,12,31),"m")*$Y27,AND(CU$3&gt;YEAR($X27),CU$3-YEAR($X27)&lt;20),$Y27*12,CU$3-YEAR($X27)=20,DATEDIF(DATE(YEAR($X27),1,1),$X27,"m")*$Y27,CU$3-YEAR($X27)&gt;20,0)</f>
        <v>8479.2599999999984</v>
      </c>
      <c r="CV27" s="202" cm="1">
        <f t="array" ref="CV27">_xlfn.IFS(CV$3&lt;=YEAR($B$2),SUMPRODUCT(($E$4:$E$79=$E27)*($Z$2:$CG$2=CV$3)*($Z$2:$CG$2&lt;CW$3)*$Z$4:$CG$79),CV$3&lt;YEAR($X27),0,CV$3=YEAR($X27),DATEDIF($X27,DATE(CV$3,12,31),"m")*$Y27,AND(CV$3&gt;YEAR($X27),CV$3-YEAR($X27)&lt;20),$Y27*12,CV$3-YEAR($X27)=20,DATEDIF(DATE(YEAR($X27),1,1),$X27,"m")*$Y27,CV$3-YEAR($X27)&gt;20,0)</f>
        <v>8479.2599999999984</v>
      </c>
      <c r="CW27" s="202" cm="1">
        <f t="array" ref="CW27">_xlfn.IFS(CW$3&lt;=YEAR($B$2),SUMPRODUCT(($E$4:$E$79=$E27)*($Z$2:$CG$2=CW$3)*($Z$2:$CG$2&lt;CX$3)*$Z$4:$CG$79),CW$3&lt;YEAR($X27),0,CW$3=YEAR($X27),DATEDIF($X27,DATE(CW$3,12,31),"m")*$Y27,AND(CW$3&gt;YEAR($X27),CW$3-YEAR($X27)&lt;20),$Y27*12,CW$3-YEAR($X27)=20,DATEDIF(DATE(YEAR($X27),1,1),$X27,"m")*$Y27,CW$3-YEAR($X27)&gt;20,0)</f>
        <v>8479.2599999999984</v>
      </c>
      <c r="CX27" s="202" cm="1">
        <f t="array" ref="CX27">_xlfn.IFS(CX$3&lt;=YEAR($B$2),SUMPRODUCT(($E$4:$E$79=$E27)*($Z$2:$CG$2=CX$3)*($Z$2:$CG$2&lt;CY$3)*$Z$4:$CG$79),CX$3&lt;YEAR($X27),0,CX$3=YEAR($X27),DATEDIF($X27,DATE(CX$3,12,31),"m")*$Y27,AND(CX$3&gt;YEAR($X27),CX$3-YEAR($X27)&lt;20),$Y27*12,CX$3-YEAR($X27)=20,DATEDIF(DATE(YEAR($X27),1,1),$X27,"m")*$Y27,CX$3-YEAR($X27)&gt;20,0)</f>
        <v>8479.2599999999984</v>
      </c>
      <c r="CY27" s="202" cm="1">
        <f t="array" ref="CY27">_xlfn.IFS(CY$3&lt;=YEAR($B$2),SUMPRODUCT(($E$4:$E$79=$E27)*($Z$2:$CG$2=CY$3)*($Z$2:$CG$2&lt;CZ$3)*$Z$4:$CG$79),CY$3&lt;YEAR($X27),0,CY$3=YEAR($X27),DATEDIF($X27,DATE(CY$3,12,31),"m")*$Y27,AND(CY$3&gt;YEAR($X27),CY$3-YEAR($X27)&lt;20),$Y27*12,CY$3-YEAR($X27)=20,DATEDIF(DATE(YEAR($X27),1,1),$X27,"m")*$Y27,CY$3-YEAR($X27)&gt;20,0)</f>
        <v>8479.2599999999984</v>
      </c>
      <c r="CZ27" s="202" cm="1">
        <f t="array" ref="CZ27">_xlfn.IFS(CZ$3&lt;=YEAR($B$2),SUMPRODUCT(($E$4:$E$79=$E27)*($Z$2:$CG$2=CZ$3)*($Z$2:$CG$2&lt;DA$3)*$Z$4:$CG$79),CZ$3&lt;YEAR($X27),0,CZ$3=YEAR($X27),DATEDIF($X27,DATE(CZ$3,12,31),"m")*$Y27,AND(CZ$3&gt;YEAR($X27),CZ$3-YEAR($X27)&lt;20),$Y27*12,CZ$3-YEAR($X27)=20,DATEDIF(DATE(YEAR($X27),1,1),$X27,"m")*$Y27,CZ$3-YEAR($X27)&gt;20,0)</f>
        <v>8479.2599999999984</v>
      </c>
      <c r="DA27" s="202" cm="1">
        <f t="array" ref="DA27">_xlfn.IFS(DA$3&lt;=YEAR($B$2),SUMPRODUCT(($E$4:$E$79=$E27)*($Z$2:$CG$2=DA$3)*($Z$2:$CG$2&lt;DB$3)*$Z$4:$CG$79),DA$3&lt;YEAR($X27),0,DA$3=YEAR($X27),DATEDIF($X27,DATE(DA$3,12,31),"m")*$Y27,AND(DA$3&gt;YEAR($X27),DA$3-YEAR($X27)&lt;20),$Y27*12,DA$3-YEAR($X27)=20,DATEDIF(DATE(YEAR($X27),1,1),$X27,"m")*$Y27,DA$3-YEAR($X27)&gt;20,0)</f>
        <v>8479.2599999999984</v>
      </c>
      <c r="DB27" s="202" cm="1">
        <f t="array" ref="DB27">_xlfn.IFS(DB$3&lt;=YEAR($B$2),SUMPRODUCT(($E$4:$E$79=$E27)*($Z$2:$CG$2=DB$3)*($Z$2:$CG$2&lt;DC$3)*$Z$4:$CG$79),DB$3&lt;YEAR($X27),0,DB$3=YEAR($X27),DATEDIF($X27,DATE(DB$3,12,31),"m")*$Y27,AND(DB$3&gt;YEAR($X27),DB$3-YEAR($X27)&lt;20),$Y27*12,DB$3-YEAR($X27)=20,DATEDIF(DATE(YEAR($X27),1,1),$X27,"m")*$Y27,DB$3-YEAR($X27)&gt;20,0)</f>
        <v>8479.2599999999984</v>
      </c>
      <c r="DC27" s="202" cm="1">
        <f t="array" ref="DC27">_xlfn.IFS(DC$3&lt;=YEAR($B$2),SUMPRODUCT(($E$4:$E$79=$E27)*($Z$2:$CG$2=DC$3)*($Z$2:$CG$2&lt;DD$3)*$Z$4:$CG$79),DC$3&lt;YEAR($X27),0,DC$3=YEAR($X27),DATEDIF($X27,DATE(DC$3,12,31),"m")*$Y27,AND(DC$3&gt;YEAR($X27),DC$3-YEAR($X27)&lt;20),$Y27*12,DC$3-YEAR($X27)=20,DATEDIF(DATE(YEAR($X27),1,1),$X27,"m")*$Y27,DC$3-YEAR($X27)&gt;20,0)</f>
        <v>8479.2599999999984</v>
      </c>
      <c r="DD27" s="202" cm="1">
        <f t="array" ref="DD27">_xlfn.IFS(DD$3&lt;=YEAR($B$2),SUMPRODUCT(($E$4:$E$79=$E27)*($Z$2:$CG$2=DD$3)*($Z$2:$CG$2&lt;DE$3)*$Z$4:$CG$79),DD$3&lt;YEAR($X27),0,DD$3=YEAR($X27),DATEDIF($X27,DATE(DD$3,12,31),"m")*$Y27,AND(DD$3&gt;YEAR($X27),DD$3-YEAR($X27)&lt;20),$Y27*12,DD$3-YEAR($X27)=20,DATEDIF(DATE(YEAR($X27),1,1),$X27,"m")*$Y27,DD$3-YEAR($X27)&gt;20,0)</f>
        <v>8479.2599999999984</v>
      </c>
      <c r="DE27" s="202" cm="1">
        <f t="array" ref="DE27">_xlfn.IFS(DE$3&lt;=YEAR($B$2),SUMPRODUCT(($E$4:$E$79=$E27)*($Z$2:$CG$2=DE$3)*($Z$2:$CG$2&lt;DF$3)*$Z$4:$CG$79),DE$3&lt;YEAR($X27),0,DE$3=YEAR($X27),DATEDIF($X27,DATE(DE$3,12,31),"m")*$Y27,AND(DE$3&gt;YEAR($X27),DE$3-YEAR($X27)&lt;20),$Y27*12,DE$3-YEAR($X27)=20,DATEDIF(DATE(YEAR($X27),1,1),$X27,"m")*$Y27,DE$3-YEAR($X27)&gt;20,0)</f>
        <v>8479.2599999999984</v>
      </c>
      <c r="DF27" s="202" cm="1">
        <f t="array" ref="DF27">_xlfn.IFS(DF$3&lt;=YEAR($B$2),SUMPRODUCT(($E$4:$E$79=$E27)*($Z$2:$CG$2=DF$3)*($Z$2:$CG$2&lt;DG$3)*$Z$4:$CG$79),DF$3&lt;YEAR($X27),0,DF$3=YEAR($X27),DATEDIF($X27,DATE(DF$3,12,31),"m")*$Y27,AND(DF$3&gt;YEAR($X27),DF$3-YEAR($X27)&lt;20),$Y27*12,DF$3-YEAR($X27)=20,DATEDIF(DATE(YEAR($X27),1,1),$X27,"m")*$Y27,DF$3-YEAR($X27)&gt;20,0)</f>
        <v>8479.2599999999984</v>
      </c>
      <c r="DG27" s="202" cm="1">
        <f t="array" ref="DG27">_xlfn.IFS(DG$3&lt;=YEAR($B$2),SUMPRODUCT(($E$4:$E$79=$E27)*($Z$2:$CG$2=DG$3)*($Z$2:$CG$2&lt;DH$3)*$Z$4:$CG$79),DG$3&lt;YEAR($X27),0,DG$3=YEAR($X27),DATEDIF($X27,DATE(DG$3,12,31),"m")*$Y27,AND(DG$3&gt;YEAR($X27),DG$3-YEAR($X27)&lt;20),$Y27*12,DG$3-YEAR($X27)=20,DATEDIF(DATE(YEAR($X27),1,1),$X27,"m")*$Y27,DG$3-YEAR($X27)&gt;20,0)</f>
        <v>706.6049999999999</v>
      </c>
      <c r="DH27" s="202" cm="1">
        <f t="array" ref="DH27">_xlfn.IFS(DH$3&lt;=YEAR($B$2),SUMPRODUCT(($E$4:$E$79=$E27)*($Z$2:$CG$2=DH$3)*($Z$2:$CG$2&lt;DI$3)*$Z$4:$CG$79),DH$3&lt;YEAR($X27),0,DH$3=YEAR($X27),DATEDIF($X27,DATE(DH$3,12,31),"m")*$Y27,AND(DH$3&gt;YEAR($X27),DH$3-YEAR($X27)&lt;20),$Y27*12,DH$3-YEAR($X27)=20,DATEDIF(DATE(YEAR($X27),1,1),$X27,"m")*$Y27,DH$3-YEAR($X27)&gt;20,0)</f>
        <v>0</v>
      </c>
      <c r="DI27" s="202" cm="1">
        <f t="array" ref="DI27">_xlfn.IFS(DI$3&lt;=YEAR($B$2),SUMPRODUCT(($E$4:$E$79=$E27)*($Z$2:$CG$2=DI$3)*($Z$2:$CG$2&lt;DJ$3)*$Z$4:$CG$79),DI$3&lt;YEAR($X27),0,DI$3=YEAR($X27),DATEDIF($X27,DATE(DI$3,12,31),"m")*$Y27,AND(DI$3&gt;YEAR($X27),DI$3-YEAR($X27)&lt;20),$Y27*12,DI$3-YEAR($X27)=20,DATEDIF(DATE(YEAR($X27),1,1),$X27,"m")*$Y27,DI$3-YEAR($X27)&gt;20,0)</f>
        <v>0</v>
      </c>
      <c r="DJ27" s="202" cm="1">
        <f t="array" ref="DJ27">_xlfn.IFS(DJ$3&lt;=YEAR($B$2),SUMPRODUCT(($E$4:$E$79=$E27)*($Z$2:$CG$2=DJ$3)*($Z$2:$CG$2&lt;DK$3)*$Z$4:$CG$79),DJ$3&lt;YEAR($X27),0,DJ$3=YEAR($X27),DATEDIF($X27,DATE(DJ$3,12,31),"m")*$Y27,AND(DJ$3&gt;YEAR($X27),DJ$3-YEAR($X27)&lt;20),$Y27*12,DJ$3-YEAR($X27)=20,DATEDIF(DATE(YEAR($X27),1,1),$X27,"m")*$Y27,DJ$3-YEAR($X27)&gt;20,0)</f>
        <v>0</v>
      </c>
      <c r="DK27" s="202" cm="1">
        <f t="array" ref="DK27">_xlfn.IFS(DK$3&lt;=YEAR($B$2),SUMPRODUCT(($E$4:$E$79=$E27)*($Z$2:$CG$2=DK$3)*($Z$2:$CG$2&lt;DL$3)*$Z$4:$CG$79),DK$3&lt;YEAR($X27),0,DK$3=YEAR($X27),DATEDIF($X27,DATE(DK$3,12,31),"m")*$Y27,AND(DK$3&gt;YEAR($X27),DK$3-YEAR($X27)&lt;20),$Y27*12,DK$3-YEAR($X27)=20,DATEDIF(DATE(YEAR($X27),1,1),$X27,"m")*$Y27,DK$3-YEAR($X27)&gt;20,0)</f>
        <v>0</v>
      </c>
      <c r="DL27" s="202" cm="1">
        <f t="array" ref="DL27">_xlfn.IFS(DL$3&lt;=YEAR($B$2),SUMPRODUCT(($E$4:$E$79=$E27)*($Z$2:$CG$2=DL$3)*($Z$2:$CG$2&lt;DM$3)*$Z$4:$CG$79),DL$3&lt;YEAR($X27),0,DL$3=YEAR($X27),DATEDIF($X27,DATE(DL$3,12,31),"m")*$Y27,AND(DL$3&gt;YEAR($X27),DL$3-YEAR($X27)&lt;20),$Y27*12,DL$3-YEAR($X27)=20,DATEDIF(DATE(YEAR($X27),1,1),$X27,"m")*$Y27,DL$3-YEAR($X27)&gt;20,0)</f>
        <v>0</v>
      </c>
      <c r="DO27" s="166">
        <f t="shared" si="26"/>
        <v>2036</v>
      </c>
      <c r="DP27" s="158">
        <v>660421.95000000019</v>
      </c>
      <c r="DQ27" s="158">
        <v>462971.99729999999</v>
      </c>
      <c r="DR27" s="158">
        <v>25576.5</v>
      </c>
      <c r="DS27" s="158">
        <f t="shared" si="27"/>
        <v>1148970.4473000001</v>
      </c>
    </row>
    <row r="28" spans="1:636">
      <c r="A28" s="155" cm="1">
        <f t="array" ref="A28">INDEX('Monthly Report July 2025'!C:C,MATCH(E28,'Monthly Report July 2025'!E:E,0),0)</f>
        <v>532</v>
      </c>
      <c r="B28" s="155" t="str" cm="1">
        <f t="array" ref="B28">_xlfn.IFS(LEFT(E28,3)="PGE","PGE",LEFT(E28,2)="PP","PAC",TRUE,"IP")</f>
        <v>IP</v>
      </c>
      <c r="C28" s="155" t="str">
        <f>IF(ISNA(MATCH(E28,'Monthly Report July 2025'!E:E,0)),"Missing","Present")</f>
        <v>Present</v>
      </c>
      <c r="D28" s="155" t="str">
        <f>IF(ISNA(MATCH(E28,'Project Operational Timelines'!C:C,0))=TRUE,"Missing","Present")</f>
        <v>Present</v>
      </c>
      <c r="E28" s="155" t="s">
        <v>136</v>
      </c>
      <c r="F28" s="155" t="str" cm="1">
        <f t="array" ref="F28">INDEX('Monthly Report July 2025'!F:F,MATCH(E28,'Monthly Report July 2025'!E:E,),0)</f>
        <v>Verde Light Community Solar</v>
      </c>
      <c r="G28" s="155" t="str" cm="1">
        <f t="array" ref="G28">_xlfn.IFS(INDEX('Monthly Report July 2025'!O:O,MATCH(E28,'Monthly Report July 2025'!E:E,0),0)="Operational","Operational",INDEX('Monthly Report July 2025'!O:O,MATCH(E28,'Monthly Report July 2025'!E:E,0),0)="Certified","Certified",TRUE,"Pre-Certified")</f>
        <v>Operational</v>
      </c>
      <c r="H28" s="155" t="str" cm="1">
        <f t="array" ref="H28">INDEX('Monthly Report July 2025'!H:H,MATCH($E28,'Monthly Report July 2025'!$E:$E,0),0)</f>
        <v>Fleet Development</v>
      </c>
      <c r="I28" s="155" t="str" cm="1">
        <f t="array" ref="I28">INDEX('Monthly Report July 2025'!I:I,MATCH($E28,'Monthly Report July 2025'!$E:$E,0),0)</f>
        <v>Fleet Development</v>
      </c>
      <c r="J28" s="174" cm="1">
        <f t="array" ref="J28">INDEX('Monthly Report July 2025'!J:J,MATCH($E28,'Monthly Report July 2025'!$E:$E,0),0)</f>
        <v>1</v>
      </c>
      <c r="K28" s="174" t="str" cm="1">
        <f t="array" ref="K28">INDEX('Monthly Report July 2025'!K:K,MATCH($E28,'Monthly Report July 2025'!$E:$E,0),0)</f>
        <v>No</v>
      </c>
      <c r="L28" s="174" t="b" cm="1">
        <f t="array" ref="L28">INDEX('Monthly Report July 2025'!L:L,MATCH(E28,'Monthly Report July 2025'!E:E,0),0)=M28</f>
        <v>1</v>
      </c>
      <c r="M28" s="273" cm="1">
        <f t="array" ref="M28">INDEX('Monthly Report July 2025'!L:L,MATCH($E28,'Monthly Report July 2025'!$E:$E,0),0)</f>
        <v>2950</v>
      </c>
      <c r="N28" s="175" cm="1">
        <f t="array" ref="N28">INDEX('Monthly Report July 2025'!M:M,MATCH($E28,'Monthly Report July 2025'!$E:$E,0),0)</f>
        <v>44000</v>
      </c>
      <c r="O28" s="175" t="str" cm="1">
        <f t="array" ref="O28">_xlfn.IFS(G28="Operational","Operational",G28="Certified","Certified",TRUE,INDEX('Monthly Report July 2025'!O:O,MATCH(E28,'Monthly Report July 2025'!E:E,0),0))</f>
        <v>Operational</v>
      </c>
      <c r="P28" s="175" t="b" cm="1">
        <f t="array" ref="P28">_xlfn.IFS(G28="Operational",O28="Operational",G28="Certified",O28="Certified",TRUE,G28="Pre-Certified")</f>
        <v>1</v>
      </c>
      <c r="Q28" s="175" cm="1">
        <f t="array" ref="Q28">IF(O28="Operational",INDEX('Monthly Report July 2025'!R:R,MATCH(E28,'Monthly Report July 2025'!E:E,0),0),"")</f>
        <v>45456</v>
      </c>
      <c r="R28" s="175" cm="1">
        <f t="array" ref="R28">INDEX('Monthly Report July 2025'!P:P,MATCH(E28,'Monthly Report July 2025'!E:E,0),0)</f>
        <v>45455</v>
      </c>
      <c r="S28" s="175" t="b">
        <f t="shared" si="5"/>
        <v>1</v>
      </c>
      <c r="T28" s="175" cm="1">
        <f t="array" ref="T28">INDEX('Monthly Report July 2025'!U:U,MATCH(E28,'Monthly Report July 2025'!E:E,0),0)</f>
        <v>44498</v>
      </c>
      <c r="U28" s="175" t="str">
        <f t="shared" si="6"/>
        <v>IGNORE</v>
      </c>
      <c r="V28" s="156">
        <f t="shared" si="7"/>
        <v>45455</v>
      </c>
      <c r="W28" s="156" cm="1">
        <f t="array" ref="W28">_xlfn.IFS(U28=TRUE,EDATE(O28,6),U28=FALSE,T28,O28="Operational",Q28,AND(O28="Certified",EDATE(R28,6)&gt;T28),EDATE(R28,6),TRUE,T28)</f>
        <v>45456</v>
      </c>
      <c r="X28" s="156">
        <f t="shared" si="8"/>
        <v>45517</v>
      </c>
      <c r="Y28" s="157">
        <f t="shared" si="9"/>
        <v>2131.375</v>
      </c>
      <c r="Z28" s="202" cm="1">
        <f t="array" ref="Z28">_xlfn.IFS(Z$3&lt;$B$2,SUMPRODUCT(('PA Fees Actual'!$B$5:$B$882=$E28)*('PA Fees Actual'!$A$5:$A$882&gt;=Z$3)*('PA Fees Actual'!$A$5:$A$882&lt;=EOMONTH(Z$3,0))*'PA Fees Actual'!$D$5:$D$882),Z$3&gt;=EOMONTH($X28,-1)+1,$Y28,TRUE,0)</f>
        <v>0</v>
      </c>
      <c r="AA28" s="202" cm="1">
        <f t="array" ref="AA28">_xlfn.IFS(AA$3&lt;$B$2,SUMPRODUCT(('PA Fees Actual'!$B$5:$B$882=$E28)*('PA Fees Actual'!$A$5:$A$882&gt;=AA$3)*('PA Fees Actual'!$A$5:$A$882&lt;=EOMONTH(AA$3,0))*'PA Fees Actual'!$D$5:$D$882),AA$3&gt;=EOMONTH($X28,-1)+1,$Y28,TRUE,0)</f>
        <v>0</v>
      </c>
      <c r="AB28" s="202" cm="1">
        <f t="array" ref="AB28">_xlfn.IFS(AB$3&lt;$B$2,SUMPRODUCT(('PA Fees Actual'!$B$5:$B$882=$E28)*('PA Fees Actual'!$A$5:$A$882&gt;=AB$3)*('PA Fees Actual'!$A$5:$A$882&lt;=EOMONTH(AB$3,0))*'PA Fees Actual'!$D$5:$D$882),AB$3&gt;=EOMONTH($X28,-1)+1,$Y28,TRUE,0)</f>
        <v>0</v>
      </c>
      <c r="AC28" s="202" cm="1">
        <f t="array" ref="AC28">_xlfn.IFS(AC$3&lt;$B$2,SUMPRODUCT(('PA Fees Actual'!$B$5:$B$882=$E28)*('PA Fees Actual'!$A$5:$A$882&gt;=AC$3)*('PA Fees Actual'!$A$5:$A$882&lt;=EOMONTH(AC$3,0))*'PA Fees Actual'!$D$5:$D$882),AC$3&gt;=EOMONTH($X28,-1)+1,$Y28,TRUE,0)</f>
        <v>0</v>
      </c>
      <c r="AD28" s="202" cm="1">
        <f t="array" ref="AD28">_xlfn.IFS(AD$3&lt;$B$2,SUMPRODUCT(('PA Fees Actual'!$B$5:$B$882=$E28)*('PA Fees Actual'!$A$5:$A$882&gt;=AD$3)*('PA Fees Actual'!$A$5:$A$882&lt;=EOMONTH(AD$3,0))*'PA Fees Actual'!$D$5:$D$882),AD$3&gt;=EOMONTH($X28,-1)+1,$Y28,TRUE,0)</f>
        <v>0</v>
      </c>
      <c r="AE28" s="202" cm="1">
        <f t="array" ref="AE28">_xlfn.IFS(AE$3&lt;$B$2,SUMPRODUCT(('PA Fees Actual'!$B$5:$B$882=$E28)*('PA Fees Actual'!$A$5:$A$882&gt;=AE$3)*('PA Fees Actual'!$A$5:$A$882&lt;=EOMONTH(AE$3,0))*'PA Fees Actual'!$D$5:$D$882),AE$3&gt;=EOMONTH($X28,-1)+1,$Y28,TRUE,0)</f>
        <v>0</v>
      </c>
      <c r="AF28" s="202" cm="1">
        <f t="array" ref="AF28">_xlfn.IFS(AF$3&lt;$B$2,SUMPRODUCT(('PA Fees Actual'!$B$5:$B$882=$E28)*('PA Fees Actual'!$A$5:$A$882&gt;=AF$3)*('PA Fees Actual'!$A$5:$A$882&lt;=EOMONTH(AF$3,0))*'PA Fees Actual'!$D$5:$D$882),AF$3&gt;=EOMONTH($X28,-1)+1,$Y28,TRUE,0)</f>
        <v>0</v>
      </c>
      <c r="AG28" s="202" cm="1">
        <f t="array" ref="AG28">_xlfn.IFS(AG$3&lt;$B$2,SUMPRODUCT(('PA Fees Actual'!$B$5:$B$882=$E28)*('PA Fees Actual'!$A$5:$A$882&gt;=AG$3)*('PA Fees Actual'!$A$5:$A$882&lt;=EOMONTH(AG$3,0))*'PA Fees Actual'!$D$5:$D$882),AG$3&gt;=EOMONTH($X28,-1)+1,$Y28,TRUE,0)</f>
        <v>0</v>
      </c>
      <c r="AH28" s="202" cm="1">
        <f t="array" ref="AH28">_xlfn.IFS(AH$3&lt;$B$2,SUMPRODUCT(('PA Fees Actual'!$B$5:$B$882=$E28)*('PA Fees Actual'!$A$5:$A$882&gt;=AH$3)*('PA Fees Actual'!$A$5:$A$882&lt;=EOMONTH(AH$3,0))*'PA Fees Actual'!$D$5:$D$882),AH$3&gt;=EOMONTH($X28,-1)+1,$Y28,TRUE,0)</f>
        <v>0</v>
      </c>
      <c r="AI28" s="202" cm="1">
        <f t="array" ref="AI28">_xlfn.IFS(AI$3&lt;$B$2,SUMPRODUCT(('PA Fees Actual'!$B$5:$B$882=$E28)*('PA Fees Actual'!$A$5:$A$882&gt;=AI$3)*('PA Fees Actual'!$A$5:$A$882&lt;=EOMONTH(AI$3,0))*'PA Fees Actual'!$D$5:$D$882),AI$3&gt;=EOMONTH($X28,-1)+1,$Y28,TRUE,0)</f>
        <v>0</v>
      </c>
      <c r="AJ28" s="202" cm="1">
        <f t="array" ref="AJ28">_xlfn.IFS(AJ$3&lt;$B$2,SUMPRODUCT(('PA Fees Actual'!$B$5:$B$882=$E28)*('PA Fees Actual'!$A$5:$A$882&gt;=AJ$3)*('PA Fees Actual'!$A$5:$A$882&lt;=EOMONTH(AJ$3,0))*'PA Fees Actual'!$D$5:$D$882),AJ$3&gt;=EOMONTH($X28,-1)+1,$Y28,TRUE,0)</f>
        <v>0</v>
      </c>
      <c r="AK28" s="202" cm="1">
        <f t="array" ref="AK28">_xlfn.IFS(AK$3&lt;$B$2,SUMPRODUCT(('PA Fees Actual'!$B$5:$B$882=$E28)*('PA Fees Actual'!$A$5:$A$882&gt;=AK$3)*('PA Fees Actual'!$A$5:$A$882&lt;=EOMONTH(AK$3,0))*'PA Fees Actual'!$D$5:$D$882),AK$3&gt;=EOMONTH($X28,-1)+1,$Y28,TRUE,0)</f>
        <v>0</v>
      </c>
      <c r="AL28" s="202" cm="1">
        <f t="array" ref="AL28">_xlfn.IFS(AL$3&lt;$B$2,SUMPRODUCT(('PA Fees Actual'!$B$5:$B$882=$E28)*('PA Fees Actual'!$A$5:$A$882&gt;=AL$3)*('PA Fees Actual'!$A$5:$A$882&lt;=EOMONTH(AL$3,0))*'PA Fees Actual'!$D$5:$D$882),AL$3&gt;=EOMONTH($X28,-1)+1,$Y28,TRUE,0)</f>
        <v>0</v>
      </c>
      <c r="AM28" s="202" cm="1">
        <f t="array" ref="AM28">_xlfn.IFS(AM$3&lt;$B$2,SUMPRODUCT(('PA Fees Actual'!$B$5:$B$882=$E28)*('PA Fees Actual'!$A$5:$A$882&gt;=AM$3)*('PA Fees Actual'!$A$5:$A$882&lt;=EOMONTH(AM$3,0))*'PA Fees Actual'!$D$5:$D$882),AM$3&gt;=EOMONTH($X28,-1)+1,$Y28,TRUE,0)</f>
        <v>0</v>
      </c>
      <c r="AN28" s="202" cm="1">
        <f t="array" ref="AN28">_xlfn.IFS(AN$3&lt;$B$2,SUMPRODUCT(('PA Fees Actual'!$B$5:$B$882=$E28)*('PA Fees Actual'!$A$5:$A$882&gt;=AN$3)*('PA Fees Actual'!$A$5:$A$882&lt;=EOMONTH(AN$3,0))*'PA Fees Actual'!$D$5:$D$882),AN$3&gt;=EOMONTH($X28,-1)+1,$Y28,TRUE,0)</f>
        <v>0</v>
      </c>
      <c r="AO28" s="202" cm="1">
        <f t="array" ref="AO28">_xlfn.IFS(AO$3&lt;$B$2,SUMPRODUCT(('PA Fees Actual'!$B$5:$B$882=$E28)*('PA Fees Actual'!$A$5:$A$882&gt;=AO$3)*('PA Fees Actual'!$A$5:$A$882&lt;=EOMONTH(AO$3,0))*'PA Fees Actual'!$D$5:$D$882),AO$3&gt;=EOMONTH($X28,-1)+1,$Y28,TRUE,0)</f>
        <v>0</v>
      </c>
      <c r="AP28" s="202" cm="1">
        <f t="array" ref="AP28">_xlfn.IFS(AP$3&lt;$B$2,SUMPRODUCT(('PA Fees Actual'!$B$5:$B$882=$E28)*('PA Fees Actual'!$A$5:$A$882&gt;=AP$3)*('PA Fees Actual'!$A$5:$A$882&lt;=EOMONTH(AP$3,0))*'PA Fees Actual'!$D$5:$D$882),AP$3&gt;=EOMONTH($X28,-1)+1,$Y28,TRUE,0)</f>
        <v>0</v>
      </c>
      <c r="AQ28" s="202" cm="1">
        <f t="array" ref="AQ28">_xlfn.IFS(AQ$3&lt;$B$2,SUMPRODUCT(('PA Fees Actual'!$B$5:$B$882=$E28)*('PA Fees Actual'!$A$5:$A$882&gt;=AQ$3)*('PA Fees Actual'!$A$5:$A$882&lt;=EOMONTH(AQ$3,0))*'PA Fees Actual'!$D$5:$D$882),AQ$3&gt;=EOMONTH($X28,-1)+1,$Y28,TRUE,0)</f>
        <v>0</v>
      </c>
      <c r="AR28" s="202" cm="1">
        <f t="array" ref="AR28">_xlfn.IFS(AR$3&lt;$B$2,SUMPRODUCT(('PA Fees Actual'!$B$5:$B$882=$E28)*('PA Fees Actual'!$A$5:$A$882&gt;=AR$3)*('PA Fees Actual'!$A$5:$A$882&lt;=EOMONTH(AR$3,0))*'PA Fees Actual'!$D$5:$D$882),AR$3&gt;=EOMONTH($X28,-1)+1,$Y28,TRUE,0)</f>
        <v>0</v>
      </c>
      <c r="AS28" s="202" cm="1">
        <f t="array" ref="AS28">_xlfn.IFS(AS$3&lt;$B$2,SUMPRODUCT(('PA Fees Actual'!$B$5:$B$882=$E28)*('PA Fees Actual'!$A$5:$A$882&gt;=AS$3)*('PA Fees Actual'!$A$5:$A$882&lt;=EOMONTH(AS$3,0))*'PA Fees Actual'!$D$5:$D$882),AS$3&gt;=EOMONTH($X28,-1)+1,$Y28,TRUE,0)</f>
        <v>0</v>
      </c>
      <c r="AT28" s="202" cm="1">
        <f t="array" ref="AT28">_xlfn.IFS(AT$3&lt;$B$2,SUMPRODUCT(('PA Fees Actual'!$B$5:$B$882=$E28)*('PA Fees Actual'!$A$5:$A$882&gt;=AT$3)*('PA Fees Actual'!$A$5:$A$882&lt;=EOMONTH(AT$3,0))*'PA Fees Actual'!$D$5:$D$882),AT$3&gt;=EOMONTH($X28,-1)+1,$Y28,TRUE,0)</f>
        <v>0</v>
      </c>
      <c r="AU28" s="202" cm="1">
        <f t="array" ref="AU28">_xlfn.IFS(AU$3&lt;$B$2,SUMPRODUCT(('PA Fees Actual'!$B$5:$B$882=$E28)*('PA Fees Actual'!$A$5:$A$882&gt;=AU$3)*('PA Fees Actual'!$A$5:$A$882&lt;=EOMONTH(AU$3,0))*'PA Fees Actual'!$D$5:$D$882),AU$3&gt;=EOMONTH($X28,-1)+1,$Y28,TRUE,0)</f>
        <v>0</v>
      </c>
      <c r="AV28" s="202" cm="1">
        <f t="array" ref="AV28">_xlfn.IFS(AV$3&lt;$B$2,SUMPRODUCT(('PA Fees Actual'!$B$5:$B$882=$E28)*('PA Fees Actual'!$A$5:$A$882&gt;=AV$3)*('PA Fees Actual'!$A$5:$A$882&lt;=EOMONTH(AV$3,0))*'PA Fees Actual'!$D$5:$D$882),AV$3&gt;=EOMONTH($X28,-1)+1,$Y28,TRUE,0)</f>
        <v>0</v>
      </c>
      <c r="AW28" s="202" cm="1">
        <f t="array" ref="AW28">_xlfn.IFS(AW$3&lt;$B$2,SUMPRODUCT(('PA Fees Actual'!$B$5:$B$882=$E28)*('PA Fees Actual'!$A$5:$A$882&gt;=AW$3)*('PA Fees Actual'!$A$5:$A$882&lt;=EOMONTH(AW$3,0))*'PA Fees Actual'!$D$5:$D$882),AW$3&gt;=EOMONTH($X28,-1)+1,$Y28,TRUE,0)</f>
        <v>0</v>
      </c>
      <c r="AX28" s="202" cm="1">
        <f t="array" ref="AX28">_xlfn.IFS(AX$3&lt;$B$2,SUMPRODUCT(('PA Fees Actual'!$B$5:$B$882=$E28)*('PA Fees Actual'!$A$5:$A$882&gt;=AX$3)*('PA Fees Actual'!$A$5:$A$882&lt;=EOMONTH(AX$3,0))*'PA Fees Actual'!$D$5:$D$882),AX$3&gt;=EOMONTH($X28,-1)+1,$Y28,TRUE,0)</f>
        <v>0</v>
      </c>
      <c r="AY28" s="202" cm="1">
        <f t="array" ref="AY28">_xlfn.IFS(AY$3&lt;$B$2,SUMPRODUCT(('PA Fees Actual'!$B$5:$B$882=$E28)*('PA Fees Actual'!$A$5:$A$882&gt;=AY$3)*('PA Fees Actual'!$A$5:$A$882&lt;=EOMONTH(AY$3,0))*'PA Fees Actual'!$D$5:$D$882),AY$3&gt;=EOMONTH($X28,-1)+1,$Y28,TRUE,0)</f>
        <v>0</v>
      </c>
      <c r="AZ28" s="202" cm="1">
        <f t="array" ref="AZ28">_xlfn.IFS(AZ$3&lt;$B$2,SUMPRODUCT(('PA Fees Actual'!$B$5:$B$882=$E28)*('PA Fees Actual'!$A$5:$A$882&gt;=AZ$3)*('PA Fees Actual'!$A$5:$A$882&lt;=EOMONTH(AZ$3,0))*'PA Fees Actual'!$D$5:$D$882),AZ$3&gt;=EOMONTH($X28,-1)+1,$Y28,TRUE,0)</f>
        <v>0</v>
      </c>
      <c r="BA28" s="202" cm="1">
        <f t="array" ref="BA28">_xlfn.IFS(BA$3&lt;$B$2,SUMPRODUCT(('PA Fees Actual'!$B$5:$B$882=$E28)*('PA Fees Actual'!$A$5:$A$882&gt;=BA$3)*('PA Fees Actual'!$A$5:$A$882&lt;=EOMONTH(BA$3,0))*'PA Fees Actual'!$D$5:$D$882),BA$3&gt;=EOMONTH($X28,-1)+1,$Y28,TRUE,0)</f>
        <v>0</v>
      </c>
      <c r="BB28" s="202" cm="1">
        <f t="array" ref="BB28">_xlfn.IFS(BB$3&lt;$B$2,SUMPRODUCT(('PA Fees Actual'!$B$5:$B$882=$E28)*('PA Fees Actual'!$A$5:$A$882&gt;=BB$3)*('PA Fees Actual'!$A$5:$A$882&lt;=EOMONTH(BB$3,0))*'PA Fees Actual'!$D$5:$D$882),BB$3&gt;=EOMONTH($X28,-1)+1,$Y28,TRUE,0)</f>
        <v>0</v>
      </c>
      <c r="BC28" s="202" cm="1">
        <f t="array" ref="BC28">_xlfn.IFS(BC$3&lt;$B$2,SUMPRODUCT(('PA Fees Actual'!$B$5:$B$882=$E28)*('PA Fees Actual'!$A$5:$A$882&gt;=BC$3)*('PA Fees Actual'!$A$5:$A$882&lt;=EOMONTH(BC$3,0))*'PA Fees Actual'!$D$5:$D$882),BC$3&gt;=EOMONTH($X28,-1)+1,$Y28,TRUE,0)</f>
        <v>0</v>
      </c>
      <c r="BD28" s="202" cm="1">
        <f t="array" ref="BD28">_xlfn.IFS(BD$3&lt;$B$2,SUMPRODUCT(('PA Fees Actual'!$B$5:$B$882=$E28)*('PA Fees Actual'!$A$5:$A$882&gt;=BD$3)*('PA Fees Actual'!$A$5:$A$882&lt;=EOMONTH(BD$3,0))*'PA Fees Actual'!$D$5:$D$882),BD$3&gt;=EOMONTH($X28,-1)+1,$Y28,TRUE,0)</f>
        <v>0</v>
      </c>
      <c r="BE28" s="202" cm="1">
        <f t="array" ref="BE28">_xlfn.IFS(BE$3&lt;$B$2,SUMPRODUCT(('PA Fees Actual'!$B$5:$B$882=$E28)*('PA Fees Actual'!$A$5:$A$882&gt;=BE$3)*('PA Fees Actual'!$A$5:$A$882&lt;=EOMONTH(BE$3,0))*'PA Fees Actual'!$D$5:$D$882),BE$3&gt;=EOMONTH($X28,-1)+1,$Y28,TRUE,0)</f>
        <v>0</v>
      </c>
      <c r="BF28" s="202" cm="1">
        <f t="array" ref="BF28">_xlfn.IFS(BF$3&lt;$B$2,SUMPRODUCT(('PA Fees Actual'!$B$5:$B$882=$E28)*('PA Fees Actual'!$A$5:$A$882&gt;=BF$3)*('PA Fees Actual'!$A$5:$A$882&lt;=EOMONTH(BF$3,0))*'PA Fees Actual'!$D$5:$D$882),BF$3&gt;=EOMONTH($X28,-1)+1,$Y28,TRUE,0)</f>
        <v>0</v>
      </c>
      <c r="BG28" s="202" cm="1">
        <f t="array" ref="BG28">_xlfn.IFS(BG$3&lt;$B$2,SUMPRODUCT(('PA Fees Actual'!$B$5:$B$882=$E28)*('PA Fees Actual'!$A$5:$A$882&gt;=BG$3)*('PA Fees Actual'!$A$5:$A$882&lt;=EOMONTH(BG$3,0))*'PA Fees Actual'!$D$5:$D$882),BG$3&gt;=EOMONTH($X28,-1)+1,$Y28,TRUE,0)</f>
        <v>0</v>
      </c>
      <c r="BH28" s="202" cm="1">
        <f t="array" ref="BH28">_xlfn.IFS(BH$3&lt;$B$2,SUMPRODUCT(('PA Fees Actual'!$B$5:$B$882=$E28)*('PA Fees Actual'!$A$5:$A$882&gt;=BH$3)*('PA Fees Actual'!$A$5:$A$882&lt;=EOMONTH(BH$3,0))*'PA Fees Actual'!$D$5:$D$882),BH$3&gt;=EOMONTH($X28,-1)+1,$Y28,TRUE,0)</f>
        <v>0</v>
      </c>
      <c r="BI28" s="202" cm="1">
        <f t="array" ref="BI28">_xlfn.IFS(BI$3&lt;$B$2,SUMPRODUCT(('PA Fees Actual'!$B$5:$B$882=$E28)*('PA Fees Actual'!$A$5:$A$882&gt;=BI$3)*('PA Fees Actual'!$A$5:$A$882&lt;=EOMONTH(BI$3,0))*'PA Fees Actual'!$D$5:$D$882),BI$3&gt;=EOMONTH($X28,-1)+1,$Y28,TRUE,0)</f>
        <v>0</v>
      </c>
      <c r="BJ28" s="202" cm="1">
        <f t="array" ref="BJ28">_xlfn.IFS(BJ$3&lt;$B$2,SUMPRODUCT(('PA Fees Actual'!$B$5:$B$882=$E28)*('PA Fees Actual'!$A$5:$A$882&gt;=BJ$3)*('PA Fees Actual'!$A$5:$A$882&lt;=EOMONTH(BJ$3,0))*'PA Fees Actual'!$D$5:$D$882),BJ$3&gt;=EOMONTH($X28,-1)+1,$Y28,TRUE,0)</f>
        <v>0</v>
      </c>
      <c r="BK28" s="202" cm="1">
        <f t="array" ref="BK28">_xlfn.IFS(BK$3&lt;$B$2,SUMPRODUCT(('PA Fees Actual'!$B$5:$B$882=$E28)*('PA Fees Actual'!$A$5:$A$882&gt;=BK$3)*('PA Fees Actual'!$A$5:$A$882&lt;=EOMONTH(BK$3,0))*'PA Fees Actual'!$D$5:$D$882),BK$3&gt;=EOMONTH($X28,-1)+1,$Y28,TRUE,0)</f>
        <v>0</v>
      </c>
      <c r="BL28" s="202" cm="1">
        <f t="array" ref="BL28">_xlfn.IFS(BL$3&lt;$B$2,SUMPRODUCT(('PA Fees Actual'!$B$5:$B$882=$E28)*('PA Fees Actual'!$A$5:$A$882&gt;=BL$3)*('PA Fees Actual'!$A$5:$A$882&lt;=EOMONTH(BL$3,0))*'PA Fees Actual'!$D$5:$D$882),BL$3&gt;=EOMONTH($X28,-1)+1,$Y28,TRUE,0)</f>
        <v>0</v>
      </c>
      <c r="BM28" s="202" cm="1">
        <f t="array" ref="BM28">_xlfn.IFS(BM$3&lt;$B$2,SUMPRODUCT(('PA Fees Actual'!$B$5:$B$882=$E28)*('PA Fees Actual'!$A$5:$A$882&gt;=BM$3)*('PA Fees Actual'!$A$5:$A$882&lt;=EOMONTH(BM$3,0))*'PA Fees Actual'!$D$5:$D$882),BM$3&gt;=EOMONTH($X28,-1)+1,$Y28,TRUE,0)</f>
        <v>0</v>
      </c>
      <c r="BN28" s="202" cm="1">
        <f t="array" ref="BN28">_xlfn.IFS(BN$3&lt;$B$2,SUMPRODUCT(('PA Fees Actual'!$B$5:$B$882=$E28)*('PA Fees Actual'!$A$5:$A$882&gt;=BN$3)*('PA Fees Actual'!$A$5:$A$882&lt;=EOMONTH(BN$3,0))*'PA Fees Actual'!$D$5:$D$882),BN$3&gt;=EOMONTH($X28,-1)+1,$Y28,TRUE,0)</f>
        <v>0</v>
      </c>
      <c r="BO28" s="202" cm="1">
        <f t="array" ref="BO28">_xlfn.IFS(BO$3&lt;$B$2,SUMPRODUCT(('PA Fees Actual'!$B$5:$B$882=$E28)*('PA Fees Actual'!$A$5:$A$882&gt;=BO$3)*('PA Fees Actual'!$A$5:$A$882&lt;=EOMONTH(BO$3,0))*'PA Fees Actual'!$D$5:$D$882),BO$3&gt;=EOMONTH($X28,-1)+1,$Y28,TRUE,0)</f>
        <v>0</v>
      </c>
      <c r="BP28" s="202" cm="1">
        <f t="array" ref="BP28">_xlfn.IFS(BP$3&lt;$B$2,SUMPRODUCT(('PA Fees Actual'!$B$5:$B$882=$E28)*('PA Fees Actual'!$A$5:$A$882&gt;=BP$3)*('PA Fees Actual'!$A$5:$A$882&lt;=EOMONTH(BP$3,0))*'PA Fees Actual'!$D$5:$D$882),BP$3&gt;=EOMONTH($X28,-1)+1,$Y28,TRUE,0)</f>
        <v>0</v>
      </c>
      <c r="BQ28" s="202" cm="1">
        <f t="array" ref="BQ28">_xlfn.IFS(BQ$3&lt;$B$2,SUMPRODUCT(('PA Fees Actual'!$B$5:$B$882=$E28)*('PA Fees Actual'!$A$5:$A$882&gt;=BQ$3)*('PA Fees Actual'!$A$5:$A$882&lt;=EOMONTH(BQ$3,0))*'PA Fees Actual'!$D$5:$D$882),BQ$3&gt;=EOMONTH($X28,-1)+1,$Y28,TRUE,0)</f>
        <v>0</v>
      </c>
      <c r="BR28" s="202" cm="1">
        <f t="array" ref="BR28">_xlfn.IFS(BR$3&lt;$B$2,SUMPRODUCT(('PA Fees Actual'!$B$5:$B$882=$E28)*('PA Fees Actual'!$A$5:$A$882&gt;=BR$3)*('PA Fees Actual'!$A$5:$A$882&lt;=EOMONTH(BR$3,0))*'PA Fees Actual'!$D$5:$D$882),BR$3&gt;=EOMONTH($X28,-1)+1,$Y28,TRUE,0)</f>
        <v>1339.08</v>
      </c>
      <c r="BS28" s="202" cm="1">
        <f t="array" ref="BS28">_xlfn.IFS(BS$3&lt;$B$2,SUMPRODUCT(('PA Fees Actual'!$B$5:$B$882=$E28)*('PA Fees Actual'!$A$5:$A$882&gt;=BS$3)*('PA Fees Actual'!$A$5:$A$882&lt;=EOMONTH(BS$3,0))*'PA Fees Actual'!$D$5:$D$882),BS$3&gt;=EOMONTH($X28,-1)+1,$Y28,TRUE,0)</f>
        <v>1094.07</v>
      </c>
      <c r="BT28" s="202" cm="1">
        <f t="array" ref="BT28">_xlfn.IFS(BT$3&lt;$B$2,SUMPRODUCT(('PA Fees Actual'!$B$5:$B$882=$E28)*('PA Fees Actual'!$A$5:$A$882&gt;=BT$3)*('PA Fees Actual'!$A$5:$A$882&lt;=EOMONTH(BT$3,0))*'PA Fees Actual'!$D$5:$D$882),BT$3&gt;=EOMONTH($X28,-1)+1,$Y28,TRUE,0)</f>
        <v>1654.76</v>
      </c>
      <c r="BU28" s="202" cm="1">
        <f t="array" ref="BU28">_xlfn.IFS(BU$3&lt;$B$2,SUMPRODUCT(('PA Fees Actual'!$B$5:$B$882=$E28)*('PA Fees Actual'!$A$5:$A$882&gt;=BU$3)*('PA Fees Actual'!$A$5:$A$882&lt;=EOMONTH(BU$3,0))*'PA Fees Actual'!$D$5:$D$882),BU$3&gt;=EOMONTH($X28,-1)+1,$Y28,TRUE,0)</f>
        <v>0</v>
      </c>
      <c r="BV28" s="202" cm="1">
        <f t="array" ref="BV28">_xlfn.IFS(BV$3&lt;$B$2,SUMPRODUCT(('PA Fees Actual'!$B$5:$B$882=$E28)*('PA Fees Actual'!$A$5:$A$882&gt;=BV$3)*('PA Fees Actual'!$A$5:$A$882&lt;=EOMONTH(BV$3,0))*'PA Fees Actual'!$D$5:$D$882),BV$3&gt;=EOMONTH($X28,-1)+1,$Y28,TRUE,0)</f>
        <v>1566.11</v>
      </c>
      <c r="BW28" s="202" cm="1">
        <f t="array" ref="BW28">_xlfn.IFS(BW$3&lt;$B$2,SUMPRODUCT(('PA Fees Actual'!$B$5:$B$882=$E28)*('PA Fees Actual'!$A$5:$A$882&gt;=BW$3)*('PA Fees Actual'!$A$5:$A$882&lt;=EOMONTH(BW$3,0))*'PA Fees Actual'!$D$5:$D$882),BW$3&gt;=EOMONTH($X28,-1)+1,$Y28,TRUE,0)</f>
        <v>3130.93</v>
      </c>
      <c r="BX28" s="202" cm="1">
        <f t="array" ref="BX28">_xlfn.IFS(BX$3&lt;$B$2,SUMPRODUCT(('PA Fees Actual'!$B$5:$B$882=$E28)*('PA Fees Actual'!$A$5:$A$882&gt;=BX$3)*('PA Fees Actual'!$A$5:$A$882&lt;=EOMONTH(BX$3,0))*'PA Fees Actual'!$D$5:$D$882),BX$3&gt;=EOMONTH($X28,-1)+1,$Y28,TRUE,0)</f>
        <v>1643.44</v>
      </c>
      <c r="BY28" s="202" cm="1">
        <f t="array" ref="BY28">_xlfn.IFS(BY$3&lt;$B$2,SUMPRODUCT(('PA Fees Actual'!$B$5:$B$882=$E28)*('PA Fees Actual'!$A$5:$A$882&gt;=BY$3)*('PA Fees Actual'!$A$5:$A$882&lt;=EOMONTH(BY$3,0))*'PA Fees Actual'!$D$5:$D$882),BY$3&gt;=EOMONTH($X28,-1)+1,$Y28,TRUE,0)</f>
        <v>1985.67</v>
      </c>
      <c r="BZ28" s="202" cm="1">
        <f t="array" ref="BZ28">_xlfn.IFS(BZ$3&lt;$B$2,SUMPRODUCT(('PA Fees Actual'!$B$5:$B$882=$E28)*('PA Fees Actual'!$A$5:$A$882&gt;=BZ$3)*('PA Fees Actual'!$A$5:$A$882&lt;=EOMONTH(BZ$3,0))*'PA Fees Actual'!$D$5:$D$882),BZ$3&gt;=EOMONTH($X28,-1)+1,$Y28,TRUE,0)</f>
        <v>2294.48</v>
      </c>
      <c r="CA28" s="202" cm="1">
        <f t="array" ref="CA28">_xlfn.IFS(CA$3&lt;$B$2,SUMPRODUCT(('PA Fees Actual'!$B$5:$B$882=$E28)*('PA Fees Actual'!$A$5:$A$882&gt;=CA$3)*('PA Fees Actual'!$A$5:$A$882&lt;=EOMONTH(CA$3,0))*'PA Fees Actual'!$D$5:$D$882),CA$3&gt;=EOMONTH($X28,-1)+1,$Y28,TRUE,0)</f>
        <v>2219.6999999999998</v>
      </c>
      <c r="CB28" s="202" cm="1">
        <f t="array" ref="CB28">_xlfn.IFS(CB$3&lt;$B$2,SUMPRODUCT(('PA Fees Actual'!$B$5:$B$882=$E28)*('PA Fees Actual'!$A$5:$A$882&gt;=CB$3)*('PA Fees Actual'!$A$5:$A$882&lt;=EOMONTH(CB$3,0))*'PA Fees Actual'!$D$5:$D$882),CB$3&gt;=EOMONTH($X28,-1)+1,$Y28,TRUE,0)</f>
        <v>2131.375</v>
      </c>
      <c r="CC28" s="202" cm="1">
        <f t="array" ref="CC28">_xlfn.IFS(CC$3&lt;$B$2,SUMPRODUCT(('PA Fees Actual'!$B$5:$B$882=$E28)*('PA Fees Actual'!$A$5:$A$882&gt;=CC$3)*('PA Fees Actual'!$A$5:$A$882&lt;=EOMONTH(CC$3,0))*'PA Fees Actual'!$D$5:$D$882),CC$3&gt;=EOMONTH($X28,-1)+1,$Y28,TRUE,0)</f>
        <v>2131.375</v>
      </c>
      <c r="CD28" s="202" cm="1">
        <f t="array" ref="CD28">_xlfn.IFS(CD$3&lt;$B$2,SUMPRODUCT(('PA Fees Actual'!$B$5:$B$882=$E28)*('PA Fees Actual'!$A$5:$A$882&gt;=CD$3)*('PA Fees Actual'!$A$5:$A$882&lt;=EOMONTH(CD$3,0))*'PA Fees Actual'!$D$5:$D$882),CD$3&gt;=EOMONTH($X28,-1)+1,$Y28,TRUE,0)</f>
        <v>2131.375</v>
      </c>
      <c r="CE28" s="202" cm="1">
        <f t="array" ref="CE28">_xlfn.IFS(CE$3&lt;$B$2,SUMPRODUCT(('PA Fees Actual'!$B$5:$B$882=$E28)*('PA Fees Actual'!$A$5:$A$882&gt;=CE$3)*('PA Fees Actual'!$A$5:$A$882&lt;=EOMONTH(CE$3,0))*'PA Fees Actual'!$D$5:$D$882),CE$3&gt;=EOMONTH($X28,-1)+1,$Y28,TRUE,0)</f>
        <v>2131.375</v>
      </c>
      <c r="CF28" s="202" cm="1">
        <f t="array" ref="CF28">_xlfn.IFS(CF$3&lt;$B$2,SUMPRODUCT(('PA Fees Actual'!$B$5:$B$882=$E28)*('PA Fees Actual'!$A$5:$A$882&gt;=CF$3)*('PA Fees Actual'!$A$5:$A$882&lt;=EOMONTH(CF$3,0))*'PA Fees Actual'!$D$5:$D$882),CF$3&gt;=EOMONTH($X28,-1)+1,$Y28,TRUE,0)</f>
        <v>2131.375</v>
      </c>
      <c r="CG28" s="202" cm="1">
        <f t="array" ref="CG28">_xlfn.IFS(CG$3&lt;$B$2,SUMPRODUCT(('PA Fees Actual'!$B$5:$B$882=$E28)*('PA Fees Actual'!$A$5:$A$882&gt;=CG$3)*('PA Fees Actual'!$A$5:$A$882&lt;=EOMONTH(CG$3,0))*'PA Fees Actual'!$D$5:$D$882),CG$3&gt;=EOMONTH($X28,-1)+1,$Y28,TRUE,0)</f>
        <v>2131.375</v>
      </c>
      <c r="CI28" s="202" cm="1">
        <f t="array" ref="CI28">_xlfn.IFS(CI$3&lt;=YEAR($B$2),SUMPRODUCT(($E$4:$E$79=$E28)*($Z$2:$CG$2=CI$3)*($Z$2:$CG$2&lt;CJ$3)*$Z$4:$CG$79),CI$3&lt;YEAR($X28),0,CI$3=YEAR($X28),DATEDIF($X28,DATE(CI$3,12,31),"m")*$Y28,AND(CI$3&gt;YEAR($X28),CI$3-YEAR($X28)&lt;20),$Y28*12,CI$3-YEAR($X28)=20,DATEDIF(DATE(YEAR($X28),1,1),$X28,"m")*$Y28,CI$3-YEAR($X28)&gt;20,0)</f>
        <v>0</v>
      </c>
      <c r="CJ28" s="202" cm="1">
        <f t="array" ref="CJ28">_xlfn.IFS(CJ$3&lt;=YEAR($B$2),SUMPRODUCT(($E$4:$E$79=$E28)*($Z$2:$CG$2=CJ$3)*($Z$2:$CG$2&lt;CK$3)*$Z$4:$CG$79),CJ$3&lt;YEAR($X28),0,CJ$3=YEAR($X28),DATEDIF($X28,DATE(CJ$3,12,31),"m")*$Y28,AND(CJ$3&gt;YEAR($X28),CJ$3-YEAR($X28)&lt;20),$Y28*12,CJ$3-YEAR($X28)=20,DATEDIF(DATE(YEAR($X28),1,1),$X28,"m")*$Y28,CJ$3-YEAR($X28)&gt;20,0)</f>
        <v>0</v>
      </c>
      <c r="CK28" s="202" cm="1">
        <f t="array" ref="CK28">_xlfn.IFS(CK$3&lt;=YEAR($B$2),SUMPRODUCT(($E$4:$E$79=$E28)*($Z$2:$CG$2=CK$3)*($Z$2:$CG$2&lt;CL$3)*$Z$4:$CG$79),CK$3&lt;YEAR($X28),0,CK$3=YEAR($X28),DATEDIF($X28,DATE(CK$3,12,31),"m")*$Y28,AND(CK$3&gt;YEAR($X28),CK$3-YEAR($X28)&lt;20),$Y28*12,CK$3-YEAR($X28)=20,DATEDIF(DATE(YEAR($X28),1,1),$X28,"m")*$Y28,CK$3-YEAR($X28)&gt;20,0)</f>
        <v>0</v>
      </c>
      <c r="CL28" s="202" cm="1">
        <f t="array" ref="CL28">_xlfn.IFS(CL$3&lt;=YEAR($B$2),SUMPRODUCT(($E$4:$E$79=$E28)*($Z$2:$CG$2=CL$3)*($Z$2:$CG$2&lt;CM$3)*$Z$4:$CG$79),CL$3&lt;YEAR($X28),0,CL$3=YEAR($X28),DATEDIF($X28,DATE(CL$3,12,31),"m")*$Y28,AND(CL$3&gt;YEAR($X28),CL$3-YEAR($X28)&lt;20),$Y28*12,CL$3-YEAR($X28)=20,DATEDIF(DATE(YEAR($X28),1,1),$X28,"m")*$Y28,CL$3-YEAR($X28)&gt;20,0)</f>
        <v>4087.91</v>
      </c>
      <c r="CM28" s="202" cm="1">
        <f t="array" ref="CM28">_xlfn.IFS(CM$3&lt;=YEAR($B$2),SUMPRODUCT(($E$4:$E$79=$E28)*($Z$2:$CG$2=CM$3)*($Z$2:$CG$2&lt;CN$3)*$Z$4:$CG$79),CM$3&lt;YEAR($X28),0,CM$3=YEAR($X28),DATEDIF($X28,DATE(CM$3,12,31),"m")*$Y28,AND(CM$3&gt;YEAR($X28),CM$3-YEAR($X28)&lt;20),$Y28*12,CM$3-YEAR($X28)=20,DATEDIF(DATE(YEAR($X28),1,1),$X28,"m")*$Y28,CM$3-YEAR($X28)&gt;20,0)</f>
        <v>25628.579999999998</v>
      </c>
      <c r="CN28" s="202" cm="1">
        <f t="array" ref="CN28">_xlfn.IFS(CN$3&lt;=YEAR($B$2),SUMPRODUCT(($E$4:$E$79=$E28)*($Z$2:$CG$2=CN$3)*($Z$2:$CG$2&lt;CO$3)*$Z$4:$CG$79),CN$3&lt;YEAR($X28),0,CN$3=YEAR($X28),DATEDIF($X28,DATE(CN$3,12,31),"m")*$Y28,AND(CN$3&gt;YEAR($X28),CN$3-YEAR($X28)&lt;20),$Y28*12,CN$3-YEAR($X28)=20,DATEDIF(DATE(YEAR($X28),1,1),$X28,"m")*$Y28,CN$3-YEAR($X28)&gt;20,0)</f>
        <v>25576.5</v>
      </c>
      <c r="CO28" s="202" cm="1">
        <f t="array" ref="CO28">_xlfn.IFS(CO$3&lt;=YEAR($B$2),SUMPRODUCT(($E$4:$E$79=$E28)*($Z$2:$CG$2=CO$3)*($Z$2:$CG$2&lt;CP$3)*$Z$4:$CG$79),CO$3&lt;YEAR($X28),0,CO$3=YEAR($X28),DATEDIF($X28,DATE(CO$3,12,31),"m")*$Y28,AND(CO$3&gt;YEAR($X28),CO$3-YEAR($X28)&lt;20),$Y28*12,CO$3-YEAR($X28)=20,DATEDIF(DATE(YEAR($X28),1,1),$X28,"m")*$Y28,CO$3-YEAR($X28)&gt;20,0)</f>
        <v>25576.5</v>
      </c>
      <c r="CP28" s="202" cm="1">
        <f t="array" ref="CP28">_xlfn.IFS(CP$3&lt;=YEAR($B$2),SUMPRODUCT(($E$4:$E$79=$E28)*($Z$2:$CG$2=CP$3)*($Z$2:$CG$2&lt;CQ$3)*$Z$4:$CG$79),CP$3&lt;YEAR($X28),0,CP$3=YEAR($X28),DATEDIF($X28,DATE(CP$3,12,31),"m")*$Y28,AND(CP$3&gt;YEAR($X28),CP$3-YEAR($X28)&lt;20),$Y28*12,CP$3-YEAR($X28)=20,DATEDIF(DATE(YEAR($X28),1,1),$X28,"m")*$Y28,CP$3-YEAR($X28)&gt;20,0)</f>
        <v>25576.5</v>
      </c>
      <c r="CQ28" s="202" cm="1">
        <f t="array" ref="CQ28">_xlfn.IFS(CQ$3&lt;=YEAR($B$2),SUMPRODUCT(($E$4:$E$79=$E28)*($Z$2:$CG$2=CQ$3)*($Z$2:$CG$2&lt;CR$3)*$Z$4:$CG$79),CQ$3&lt;YEAR($X28),0,CQ$3=YEAR($X28),DATEDIF($X28,DATE(CQ$3,12,31),"m")*$Y28,AND(CQ$3&gt;YEAR($X28),CQ$3-YEAR($X28)&lt;20),$Y28*12,CQ$3-YEAR($X28)=20,DATEDIF(DATE(YEAR($X28),1,1),$X28,"m")*$Y28,CQ$3-YEAR($X28)&gt;20,0)</f>
        <v>25576.5</v>
      </c>
      <c r="CR28" s="202" cm="1">
        <f t="array" ref="CR28">_xlfn.IFS(CR$3&lt;=YEAR($B$2),SUMPRODUCT(($E$4:$E$79=$E28)*($Z$2:$CG$2=CR$3)*($Z$2:$CG$2&lt;CS$3)*$Z$4:$CG$79),CR$3&lt;YEAR($X28),0,CR$3=YEAR($X28),DATEDIF($X28,DATE(CR$3,12,31),"m")*$Y28,AND(CR$3&gt;YEAR($X28),CR$3-YEAR($X28)&lt;20),$Y28*12,CR$3-YEAR($X28)=20,DATEDIF(DATE(YEAR($X28),1,1),$X28,"m")*$Y28,CR$3-YEAR($X28)&gt;20,0)</f>
        <v>25576.5</v>
      </c>
      <c r="CS28" s="202" cm="1">
        <f t="array" ref="CS28">_xlfn.IFS(CS$3&lt;=YEAR($B$2),SUMPRODUCT(($E$4:$E$79=$E28)*($Z$2:$CG$2=CS$3)*($Z$2:$CG$2&lt;CT$3)*$Z$4:$CG$79),CS$3&lt;YEAR($X28),0,CS$3=YEAR($X28),DATEDIF($X28,DATE(CS$3,12,31),"m")*$Y28,AND(CS$3&gt;YEAR($X28),CS$3-YEAR($X28)&lt;20),$Y28*12,CS$3-YEAR($X28)=20,DATEDIF(DATE(YEAR($X28),1,1),$X28,"m")*$Y28,CS$3-YEAR($X28)&gt;20,0)</f>
        <v>25576.5</v>
      </c>
      <c r="CT28" s="202" cm="1">
        <f t="array" ref="CT28">_xlfn.IFS(CT$3&lt;=YEAR($B$2),SUMPRODUCT(($E$4:$E$79=$E28)*($Z$2:$CG$2=CT$3)*($Z$2:$CG$2&lt;CU$3)*$Z$4:$CG$79),CT$3&lt;YEAR($X28),0,CT$3=YEAR($X28),DATEDIF($X28,DATE(CT$3,12,31),"m")*$Y28,AND(CT$3&gt;YEAR($X28),CT$3-YEAR($X28)&lt;20),$Y28*12,CT$3-YEAR($X28)=20,DATEDIF(DATE(YEAR($X28),1,1),$X28,"m")*$Y28,CT$3-YEAR($X28)&gt;20,0)</f>
        <v>25576.5</v>
      </c>
      <c r="CU28" s="202" cm="1">
        <f t="array" ref="CU28">_xlfn.IFS(CU$3&lt;=YEAR($B$2),SUMPRODUCT(($E$4:$E$79=$E28)*($Z$2:$CG$2=CU$3)*($Z$2:$CG$2&lt;CV$3)*$Z$4:$CG$79),CU$3&lt;YEAR($X28),0,CU$3=YEAR($X28),DATEDIF($X28,DATE(CU$3,12,31),"m")*$Y28,AND(CU$3&gt;YEAR($X28),CU$3-YEAR($X28)&lt;20),$Y28*12,CU$3-YEAR($X28)=20,DATEDIF(DATE(YEAR($X28),1,1),$X28,"m")*$Y28,CU$3-YEAR($X28)&gt;20,0)</f>
        <v>25576.5</v>
      </c>
      <c r="CV28" s="202" cm="1">
        <f t="array" ref="CV28">_xlfn.IFS(CV$3&lt;=YEAR($B$2),SUMPRODUCT(($E$4:$E$79=$E28)*($Z$2:$CG$2=CV$3)*($Z$2:$CG$2&lt;CW$3)*$Z$4:$CG$79),CV$3&lt;YEAR($X28),0,CV$3=YEAR($X28),DATEDIF($X28,DATE(CV$3,12,31),"m")*$Y28,AND(CV$3&gt;YEAR($X28),CV$3-YEAR($X28)&lt;20),$Y28*12,CV$3-YEAR($X28)=20,DATEDIF(DATE(YEAR($X28),1,1),$X28,"m")*$Y28,CV$3-YEAR($X28)&gt;20,0)</f>
        <v>25576.5</v>
      </c>
      <c r="CW28" s="202" cm="1">
        <f t="array" ref="CW28">_xlfn.IFS(CW$3&lt;=YEAR($B$2),SUMPRODUCT(($E$4:$E$79=$E28)*($Z$2:$CG$2=CW$3)*($Z$2:$CG$2&lt;CX$3)*$Z$4:$CG$79),CW$3&lt;YEAR($X28),0,CW$3=YEAR($X28),DATEDIF($X28,DATE(CW$3,12,31),"m")*$Y28,AND(CW$3&gt;YEAR($X28),CW$3-YEAR($X28)&lt;20),$Y28*12,CW$3-YEAR($X28)=20,DATEDIF(DATE(YEAR($X28),1,1),$X28,"m")*$Y28,CW$3-YEAR($X28)&gt;20,0)</f>
        <v>25576.5</v>
      </c>
      <c r="CX28" s="202" cm="1">
        <f t="array" ref="CX28">_xlfn.IFS(CX$3&lt;=YEAR($B$2),SUMPRODUCT(($E$4:$E$79=$E28)*($Z$2:$CG$2=CX$3)*($Z$2:$CG$2&lt;CY$3)*$Z$4:$CG$79),CX$3&lt;YEAR($X28),0,CX$3=YEAR($X28),DATEDIF($X28,DATE(CX$3,12,31),"m")*$Y28,AND(CX$3&gt;YEAR($X28),CX$3-YEAR($X28)&lt;20),$Y28*12,CX$3-YEAR($X28)=20,DATEDIF(DATE(YEAR($X28),1,1),$X28,"m")*$Y28,CX$3-YEAR($X28)&gt;20,0)</f>
        <v>25576.5</v>
      </c>
      <c r="CY28" s="202" cm="1">
        <f t="array" ref="CY28">_xlfn.IFS(CY$3&lt;=YEAR($B$2),SUMPRODUCT(($E$4:$E$79=$E28)*($Z$2:$CG$2=CY$3)*($Z$2:$CG$2&lt;CZ$3)*$Z$4:$CG$79),CY$3&lt;YEAR($X28),0,CY$3=YEAR($X28),DATEDIF($X28,DATE(CY$3,12,31),"m")*$Y28,AND(CY$3&gt;YEAR($X28),CY$3-YEAR($X28)&lt;20),$Y28*12,CY$3-YEAR($X28)=20,DATEDIF(DATE(YEAR($X28),1,1),$X28,"m")*$Y28,CY$3-YEAR($X28)&gt;20,0)</f>
        <v>25576.5</v>
      </c>
      <c r="CZ28" s="202" cm="1">
        <f t="array" ref="CZ28">_xlfn.IFS(CZ$3&lt;=YEAR($B$2),SUMPRODUCT(($E$4:$E$79=$E28)*($Z$2:$CG$2=CZ$3)*($Z$2:$CG$2&lt;DA$3)*$Z$4:$CG$79),CZ$3&lt;YEAR($X28),0,CZ$3=YEAR($X28),DATEDIF($X28,DATE(CZ$3,12,31),"m")*$Y28,AND(CZ$3&gt;YEAR($X28),CZ$3-YEAR($X28)&lt;20),$Y28*12,CZ$3-YEAR($X28)=20,DATEDIF(DATE(YEAR($X28),1,1),$X28,"m")*$Y28,CZ$3-YEAR($X28)&gt;20,0)</f>
        <v>25576.5</v>
      </c>
      <c r="DA28" s="202" cm="1">
        <f t="array" ref="DA28">_xlfn.IFS(DA$3&lt;=YEAR($B$2),SUMPRODUCT(($E$4:$E$79=$E28)*($Z$2:$CG$2=DA$3)*($Z$2:$CG$2&lt;DB$3)*$Z$4:$CG$79),DA$3&lt;YEAR($X28),0,DA$3=YEAR($X28),DATEDIF($X28,DATE(DA$3,12,31),"m")*$Y28,AND(DA$3&gt;YEAR($X28),DA$3-YEAR($X28)&lt;20),$Y28*12,DA$3-YEAR($X28)=20,DATEDIF(DATE(YEAR($X28),1,1),$X28,"m")*$Y28,DA$3-YEAR($X28)&gt;20,0)</f>
        <v>25576.5</v>
      </c>
      <c r="DB28" s="202" cm="1">
        <f t="array" ref="DB28">_xlfn.IFS(DB$3&lt;=YEAR($B$2),SUMPRODUCT(($E$4:$E$79=$E28)*($Z$2:$CG$2=DB$3)*($Z$2:$CG$2&lt;DC$3)*$Z$4:$CG$79),DB$3&lt;YEAR($X28),0,DB$3=YEAR($X28),DATEDIF($X28,DATE(DB$3,12,31),"m")*$Y28,AND(DB$3&gt;YEAR($X28),DB$3-YEAR($X28)&lt;20),$Y28*12,DB$3-YEAR($X28)=20,DATEDIF(DATE(YEAR($X28),1,1),$X28,"m")*$Y28,DB$3-YEAR($X28)&gt;20,0)</f>
        <v>25576.5</v>
      </c>
      <c r="DC28" s="202" cm="1">
        <f t="array" ref="DC28">_xlfn.IFS(DC$3&lt;=YEAR($B$2),SUMPRODUCT(($E$4:$E$79=$E28)*($Z$2:$CG$2=DC$3)*($Z$2:$CG$2&lt;DD$3)*$Z$4:$CG$79),DC$3&lt;YEAR($X28),0,DC$3=YEAR($X28),DATEDIF($X28,DATE(DC$3,12,31),"m")*$Y28,AND(DC$3&gt;YEAR($X28),DC$3-YEAR($X28)&lt;20),$Y28*12,DC$3-YEAR($X28)=20,DATEDIF(DATE(YEAR($X28),1,1),$X28,"m")*$Y28,DC$3-YEAR($X28)&gt;20,0)</f>
        <v>25576.5</v>
      </c>
      <c r="DD28" s="202" cm="1">
        <f t="array" ref="DD28">_xlfn.IFS(DD$3&lt;=YEAR($B$2),SUMPRODUCT(($E$4:$E$79=$E28)*($Z$2:$CG$2=DD$3)*($Z$2:$CG$2&lt;DE$3)*$Z$4:$CG$79),DD$3&lt;YEAR($X28),0,DD$3=YEAR($X28),DATEDIF($X28,DATE(DD$3,12,31),"m")*$Y28,AND(DD$3&gt;YEAR($X28),DD$3-YEAR($X28)&lt;20),$Y28*12,DD$3-YEAR($X28)=20,DATEDIF(DATE(YEAR($X28),1,1),$X28,"m")*$Y28,DD$3-YEAR($X28)&gt;20,0)</f>
        <v>25576.5</v>
      </c>
      <c r="DE28" s="202" cm="1">
        <f t="array" ref="DE28">_xlfn.IFS(DE$3&lt;=YEAR($B$2),SUMPRODUCT(($E$4:$E$79=$E28)*($Z$2:$CG$2=DE$3)*($Z$2:$CG$2&lt;DF$3)*$Z$4:$CG$79),DE$3&lt;YEAR($X28),0,DE$3=YEAR($X28),DATEDIF($X28,DATE(DE$3,12,31),"m")*$Y28,AND(DE$3&gt;YEAR($X28),DE$3-YEAR($X28)&lt;20),$Y28*12,DE$3-YEAR($X28)=20,DATEDIF(DATE(YEAR($X28),1,1),$X28,"m")*$Y28,DE$3-YEAR($X28)&gt;20,0)</f>
        <v>25576.5</v>
      </c>
      <c r="DF28" s="202" cm="1">
        <f t="array" ref="DF28">_xlfn.IFS(DF$3&lt;=YEAR($B$2),SUMPRODUCT(($E$4:$E$79=$E28)*($Z$2:$CG$2=DF$3)*($Z$2:$CG$2&lt;DG$3)*$Z$4:$CG$79),DF$3&lt;YEAR($X28),0,DF$3=YEAR($X28),DATEDIF($X28,DATE(DF$3,12,31),"m")*$Y28,AND(DF$3&gt;YEAR($X28),DF$3-YEAR($X28)&lt;20),$Y28*12,DF$3-YEAR($X28)=20,DATEDIF(DATE(YEAR($X28),1,1),$X28,"m")*$Y28,DF$3-YEAR($X28)&gt;20,0)</f>
        <v>14919.625</v>
      </c>
      <c r="DG28" s="202" cm="1">
        <f t="array" ref="DG28">_xlfn.IFS(DG$3&lt;=YEAR($B$2),SUMPRODUCT(($E$4:$E$79=$E28)*($Z$2:$CG$2=DG$3)*($Z$2:$CG$2&lt;DH$3)*$Z$4:$CG$79),DG$3&lt;YEAR($X28),0,DG$3=YEAR($X28),DATEDIF($X28,DATE(DG$3,12,31),"m")*$Y28,AND(DG$3&gt;YEAR($X28),DG$3-YEAR($X28)&lt;20),$Y28*12,DG$3-YEAR($X28)=20,DATEDIF(DATE(YEAR($X28),1,1),$X28,"m")*$Y28,DG$3-YEAR($X28)&gt;20,0)</f>
        <v>0</v>
      </c>
      <c r="DH28" s="202" cm="1">
        <f t="array" ref="DH28">_xlfn.IFS(DH$3&lt;=YEAR($B$2),SUMPRODUCT(($E$4:$E$79=$E28)*($Z$2:$CG$2=DH$3)*($Z$2:$CG$2&lt;DI$3)*$Z$4:$CG$79),DH$3&lt;YEAR($X28),0,DH$3=YEAR($X28),DATEDIF($X28,DATE(DH$3,12,31),"m")*$Y28,AND(DH$3&gt;YEAR($X28),DH$3-YEAR($X28)&lt;20),$Y28*12,DH$3-YEAR($X28)=20,DATEDIF(DATE(YEAR($X28),1,1),$X28,"m")*$Y28,DH$3-YEAR($X28)&gt;20,0)</f>
        <v>0</v>
      </c>
      <c r="DI28" s="202" cm="1">
        <f t="array" ref="DI28">_xlfn.IFS(DI$3&lt;=YEAR($B$2),SUMPRODUCT(($E$4:$E$79=$E28)*($Z$2:$CG$2=DI$3)*($Z$2:$CG$2&lt;DJ$3)*$Z$4:$CG$79),DI$3&lt;YEAR($X28),0,DI$3=YEAR($X28),DATEDIF($X28,DATE(DI$3,12,31),"m")*$Y28,AND(DI$3&gt;YEAR($X28),DI$3-YEAR($X28)&lt;20),$Y28*12,DI$3-YEAR($X28)=20,DATEDIF(DATE(YEAR($X28),1,1),$X28,"m")*$Y28,DI$3-YEAR($X28)&gt;20,0)</f>
        <v>0</v>
      </c>
      <c r="DJ28" s="202" cm="1">
        <f t="array" ref="DJ28">_xlfn.IFS(DJ$3&lt;=YEAR($B$2),SUMPRODUCT(($E$4:$E$79=$E28)*($Z$2:$CG$2=DJ$3)*($Z$2:$CG$2&lt;DK$3)*$Z$4:$CG$79),DJ$3&lt;YEAR($X28),0,DJ$3=YEAR($X28),DATEDIF($X28,DATE(DJ$3,12,31),"m")*$Y28,AND(DJ$3&gt;YEAR($X28),DJ$3-YEAR($X28)&lt;20),$Y28*12,DJ$3-YEAR($X28)=20,DATEDIF(DATE(YEAR($X28),1,1),$X28,"m")*$Y28,DJ$3-YEAR($X28)&gt;20,0)</f>
        <v>0</v>
      </c>
      <c r="DK28" s="202" cm="1">
        <f t="array" ref="DK28">_xlfn.IFS(DK$3&lt;=YEAR($B$2),SUMPRODUCT(($E$4:$E$79=$E28)*($Z$2:$CG$2=DK$3)*($Z$2:$CG$2&lt;DL$3)*$Z$4:$CG$79),DK$3&lt;YEAR($X28),0,DK$3=YEAR($X28),DATEDIF($X28,DATE(DK$3,12,31),"m")*$Y28,AND(DK$3&gt;YEAR($X28),DK$3-YEAR($X28)&lt;20),$Y28*12,DK$3-YEAR($X28)=20,DATEDIF(DATE(YEAR($X28),1,1),$X28,"m")*$Y28,DK$3-YEAR($X28)&gt;20,0)</f>
        <v>0</v>
      </c>
      <c r="DL28" s="202" cm="1">
        <f t="array" ref="DL28">_xlfn.IFS(DL$3&lt;=YEAR($B$2),SUMPRODUCT(($E$4:$E$79=$E28)*($Z$2:$CG$2=DL$3)*($Z$2:$CG$2&lt;DM$3)*$Z$4:$CG$79),DL$3&lt;YEAR($X28),0,DL$3=YEAR($X28),DATEDIF($X28,DATE(DL$3,12,31),"m")*$Y28,AND(DL$3&gt;YEAR($X28),DL$3-YEAR($X28)&lt;20),$Y28*12,DL$3-YEAR($X28)=20,DATEDIF(DATE(YEAR($X28),1,1),$X28,"m")*$Y28,DL$3-YEAR($X28)&gt;20,0)</f>
        <v>0</v>
      </c>
      <c r="DO28" s="166">
        <f t="shared" si="26"/>
        <v>2037</v>
      </c>
      <c r="DP28" s="158">
        <v>660421.95000000019</v>
      </c>
      <c r="DQ28" s="158">
        <v>462971.99729999999</v>
      </c>
      <c r="DR28" s="158">
        <v>25576.5</v>
      </c>
      <c r="DS28" s="158">
        <f t="shared" si="27"/>
        <v>1148970.4473000001</v>
      </c>
    </row>
    <row r="29" spans="1:636">
      <c r="A29" s="155" t="str" cm="1">
        <f t="array" ref="A29">INDEX('Monthly Report July 2025'!C:C,MATCH(E29,'Monthly Report July 2025'!E:E,0),0)</f>
        <v>CSQ0015</v>
      </c>
      <c r="B29" s="155" t="str" cm="1">
        <f t="array" ref="B29">_xlfn.IFS(LEFT(E29,3)="PGE","PGE",LEFT(E29,2)="PP","PAC",TRUE,"IP")</f>
        <v>PGE</v>
      </c>
      <c r="C29" s="155" t="str">
        <f>IF(ISNA(MATCH(E29,'Monthly Report July 2025'!E:E,0)),"Missing","Present")</f>
        <v>Present</v>
      </c>
      <c r="D29" s="155" t="str">
        <f>IF(ISNA(MATCH(E29,'Project Operational Timelines'!C:C,0))=TRUE,"Missing","Present")</f>
        <v>Present</v>
      </c>
      <c r="E29" s="155" t="s">
        <v>137</v>
      </c>
      <c r="F29" s="155" t="str" cm="1">
        <f t="array" ref="F29">INDEX('Monthly Report July 2025'!F:F,MATCH(E29,'Monthly Report July 2025'!E:E,),0)</f>
        <v>Bradley Solar 2</v>
      </c>
      <c r="G29" s="155" t="str" cm="1">
        <f t="array" ref="G29">_xlfn.IFS(INDEX('Monthly Report July 2025'!O:O,MATCH(E29,'Monthly Report July 2025'!E:E,0),0)="Operational","Operational",INDEX('Monthly Report July 2025'!O:O,MATCH(E29,'Monthly Report July 2025'!E:E,0),0)="Certified","Certified",TRUE,"Pre-Certified")</f>
        <v>Pre-Certified</v>
      </c>
      <c r="H29" s="155" t="str" cm="1">
        <f t="array" ref="H29">INDEX('Monthly Report July 2025'!H:H,MATCH($E29,'Monthly Report July 2025'!$E:$E,0),0)</f>
        <v>Hawthorne Renewables LLC</v>
      </c>
      <c r="I29" s="155" t="str" cm="1">
        <f t="array" ref="I29">INDEX('Monthly Report July 2025'!I:I,MATCH($E29,'Monthly Report July 2025'!$E:$E,0),0)</f>
        <v>Hawthorne Renewables LLC</v>
      </c>
      <c r="J29" s="174" cm="1">
        <f t="array" ref="J29">INDEX('Monthly Report July 2025'!J:J,MATCH($E29,'Monthly Report July 2025'!$E:$E,0),0)</f>
        <v>2</v>
      </c>
      <c r="K29" s="174" t="str" cm="1">
        <f t="array" ref="K29">INDEX('Monthly Report July 2025'!K:K,MATCH($E29,'Monthly Report July 2025'!$E:$E,0),0)</f>
        <v>No</v>
      </c>
      <c r="L29" s="174" t="b" cm="1">
        <f t="array" ref="L29">INDEX('Monthly Report July 2025'!L:L,MATCH(E29,'Monthly Report July 2025'!E:E,0),0)=M29</f>
        <v>1</v>
      </c>
      <c r="M29" s="273" cm="1">
        <f t="array" ref="M29">INDEX('Monthly Report July 2025'!L:L,MATCH($E29,'Monthly Report July 2025'!$E:$E,0),0)</f>
        <v>1000</v>
      </c>
      <c r="N29" s="175" cm="1">
        <f t="array" ref="N29">INDEX('Monthly Report July 2025'!M:M,MATCH($E29,'Monthly Report July 2025'!$E:$E,0),0)</f>
        <v>45429</v>
      </c>
      <c r="O29" s="175" cm="1">
        <f t="array" ref="O29">_xlfn.IFS(G29="Operational","Operational",G29="Certified","Certified",TRUE,INDEX('Monthly Report July 2025'!O:O,MATCH(E29,'Monthly Report July 2025'!E:E,0),0))</f>
        <v>46343</v>
      </c>
      <c r="P29" s="175" t="b" cm="1">
        <f t="array" ref="P29">_xlfn.IFS(G29="Operational",O29="Operational",G29="Certified",O29="Certified",TRUE,G29="Pre-Certified")</f>
        <v>1</v>
      </c>
      <c r="Q29" s="175" t="str" cm="1">
        <f t="array" ref="Q29">IF(O29="Operational",INDEX('Monthly Report July 2025'!R:R,MATCH(E29,'Monthly Report July 2025'!E:E,0),0),"")</f>
        <v/>
      </c>
      <c r="R29" s="175" t="str" cm="1">
        <f t="array" ref="R29">INDEX('Monthly Report July 2025'!P:P,MATCH(E29,'Monthly Report July 2025'!E:E,0),0)</f>
        <v>Not Yet Certified</v>
      </c>
      <c r="S29" s="175" t="b">
        <f t="shared" si="5"/>
        <v>1</v>
      </c>
      <c r="T29" s="175" cm="1">
        <f t="array" ref="T29">INDEX('Monthly Report July 2025'!U:U,MATCH(E29,'Monthly Report July 2025'!E:E,0),0)</f>
        <v>46386</v>
      </c>
      <c r="U29" s="175" t="b">
        <f t="shared" si="6"/>
        <v>1</v>
      </c>
      <c r="V29" s="156">
        <f t="shared" si="7"/>
        <v>46343</v>
      </c>
      <c r="W29" s="156" cm="1">
        <f t="array" ref="W29">_xlfn.IFS(U29=TRUE,EDATE(O29,6),U29=FALSE,T29,O29="Operational",Q29,AND(O29="Certified",EDATE(R29,6)&gt;T29),EDATE(R29,6),TRUE,T29)</f>
        <v>46524</v>
      </c>
      <c r="X29" s="156">
        <f t="shared" si="8"/>
        <v>46585</v>
      </c>
      <c r="Y29" s="157">
        <f t="shared" si="9"/>
        <v>722.5</v>
      </c>
      <c r="Z29" s="202" cm="1">
        <f t="array" ref="Z29">_xlfn.IFS(Z$3&lt;$B$2,SUMPRODUCT(('PA Fees Actual'!$B$5:$B$882=$E29)*('PA Fees Actual'!$A$5:$A$882&gt;=Z$3)*('PA Fees Actual'!$A$5:$A$882&lt;=EOMONTH(Z$3,0))*'PA Fees Actual'!$D$5:$D$882),Z$3&gt;=EOMONTH($X29,-1)+1,$Y29,TRUE,0)</f>
        <v>0</v>
      </c>
      <c r="AA29" s="202" cm="1">
        <f t="array" ref="AA29">_xlfn.IFS(AA$3&lt;$B$2,SUMPRODUCT(('PA Fees Actual'!$B$5:$B$882=$E29)*('PA Fees Actual'!$A$5:$A$882&gt;=AA$3)*('PA Fees Actual'!$A$5:$A$882&lt;=EOMONTH(AA$3,0))*'PA Fees Actual'!$D$5:$D$882),AA$3&gt;=EOMONTH($X29,-1)+1,$Y29,TRUE,0)</f>
        <v>0</v>
      </c>
      <c r="AB29" s="202" cm="1">
        <f t="array" ref="AB29">_xlfn.IFS(AB$3&lt;$B$2,SUMPRODUCT(('PA Fees Actual'!$B$5:$B$882=$E29)*('PA Fees Actual'!$A$5:$A$882&gt;=AB$3)*('PA Fees Actual'!$A$5:$A$882&lt;=EOMONTH(AB$3,0))*'PA Fees Actual'!$D$5:$D$882),AB$3&gt;=EOMONTH($X29,-1)+1,$Y29,TRUE,0)</f>
        <v>0</v>
      </c>
      <c r="AC29" s="202" cm="1">
        <f t="array" ref="AC29">_xlfn.IFS(AC$3&lt;$B$2,SUMPRODUCT(('PA Fees Actual'!$B$5:$B$882=$E29)*('PA Fees Actual'!$A$5:$A$882&gt;=AC$3)*('PA Fees Actual'!$A$5:$A$882&lt;=EOMONTH(AC$3,0))*'PA Fees Actual'!$D$5:$D$882),AC$3&gt;=EOMONTH($X29,-1)+1,$Y29,TRUE,0)</f>
        <v>0</v>
      </c>
      <c r="AD29" s="202" cm="1">
        <f t="array" ref="AD29">_xlfn.IFS(AD$3&lt;$B$2,SUMPRODUCT(('PA Fees Actual'!$B$5:$B$882=$E29)*('PA Fees Actual'!$A$5:$A$882&gt;=AD$3)*('PA Fees Actual'!$A$5:$A$882&lt;=EOMONTH(AD$3,0))*'PA Fees Actual'!$D$5:$D$882),AD$3&gt;=EOMONTH($X29,-1)+1,$Y29,TRUE,0)</f>
        <v>0</v>
      </c>
      <c r="AE29" s="202" cm="1">
        <f t="array" ref="AE29">_xlfn.IFS(AE$3&lt;$B$2,SUMPRODUCT(('PA Fees Actual'!$B$5:$B$882=$E29)*('PA Fees Actual'!$A$5:$A$882&gt;=AE$3)*('PA Fees Actual'!$A$5:$A$882&lt;=EOMONTH(AE$3,0))*'PA Fees Actual'!$D$5:$D$882),AE$3&gt;=EOMONTH($X29,-1)+1,$Y29,TRUE,0)</f>
        <v>0</v>
      </c>
      <c r="AF29" s="202" cm="1">
        <f t="array" ref="AF29">_xlfn.IFS(AF$3&lt;$B$2,SUMPRODUCT(('PA Fees Actual'!$B$5:$B$882=$E29)*('PA Fees Actual'!$A$5:$A$882&gt;=AF$3)*('PA Fees Actual'!$A$5:$A$882&lt;=EOMONTH(AF$3,0))*'PA Fees Actual'!$D$5:$D$882),AF$3&gt;=EOMONTH($X29,-1)+1,$Y29,TRUE,0)</f>
        <v>0</v>
      </c>
      <c r="AG29" s="202" cm="1">
        <f t="array" ref="AG29">_xlfn.IFS(AG$3&lt;$B$2,SUMPRODUCT(('PA Fees Actual'!$B$5:$B$882=$E29)*('PA Fees Actual'!$A$5:$A$882&gt;=AG$3)*('PA Fees Actual'!$A$5:$A$882&lt;=EOMONTH(AG$3,0))*'PA Fees Actual'!$D$5:$D$882),AG$3&gt;=EOMONTH($X29,-1)+1,$Y29,TRUE,0)</f>
        <v>0</v>
      </c>
      <c r="AH29" s="202" cm="1">
        <f t="array" ref="AH29">_xlfn.IFS(AH$3&lt;$B$2,SUMPRODUCT(('PA Fees Actual'!$B$5:$B$882=$E29)*('PA Fees Actual'!$A$5:$A$882&gt;=AH$3)*('PA Fees Actual'!$A$5:$A$882&lt;=EOMONTH(AH$3,0))*'PA Fees Actual'!$D$5:$D$882),AH$3&gt;=EOMONTH($X29,-1)+1,$Y29,TRUE,0)</f>
        <v>0</v>
      </c>
      <c r="AI29" s="202" cm="1">
        <f t="array" ref="AI29">_xlfn.IFS(AI$3&lt;$B$2,SUMPRODUCT(('PA Fees Actual'!$B$5:$B$882=$E29)*('PA Fees Actual'!$A$5:$A$882&gt;=AI$3)*('PA Fees Actual'!$A$5:$A$882&lt;=EOMONTH(AI$3,0))*'PA Fees Actual'!$D$5:$D$882),AI$3&gt;=EOMONTH($X29,-1)+1,$Y29,TRUE,0)</f>
        <v>0</v>
      </c>
      <c r="AJ29" s="202" cm="1">
        <f t="array" ref="AJ29">_xlfn.IFS(AJ$3&lt;$B$2,SUMPRODUCT(('PA Fees Actual'!$B$5:$B$882=$E29)*('PA Fees Actual'!$A$5:$A$882&gt;=AJ$3)*('PA Fees Actual'!$A$5:$A$882&lt;=EOMONTH(AJ$3,0))*'PA Fees Actual'!$D$5:$D$882),AJ$3&gt;=EOMONTH($X29,-1)+1,$Y29,TRUE,0)</f>
        <v>0</v>
      </c>
      <c r="AK29" s="202" cm="1">
        <f t="array" ref="AK29">_xlfn.IFS(AK$3&lt;$B$2,SUMPRODUCT(('PA Fees Actual'!$B$5:$B$882=$E29)*('PA Fees Actual'!$A$5:$A$882&gt;=AK$3)*('PA Fees Actual'!$A$5:$A$882&lt;=EOMONTH(AK$3,0))*'PA Fees Actual'!$D$5:$D$882),AK$3&gt;=EOMONTH($X29,-1)+1,$Y29,TRUE,0)</f>
        <v>0</v>
      </c>
      <c r="AL29" s="202" cm="1">
        <f t="array" ref="AL29">_xlfn.IFS(AL$3&lt;$B$2,SUMPRODUCT(('PA Fees Actual'!$B$5:$B$882=$E29)*('PA Fees Actual'!$A$5:$A$882&gt;=AL$3)*('PA Fees Actual'!$A$5:$A$882&lt;=EOMONTH(AL$3,0))*'PA Fees Actual'!$D$5:$D$882),AL$3&gt;=EOMONTH($X29,-1)+1,$Y29,TRUE,0)</f>
        <v>0</v>
      </c>
      <c r="AM29" s="202" cm="1">
        <f t="array" ref="AM29">_xlfn.IFS(AM$3&lt;$B$2,SUMPRODUCT(('PA Fees Actual'!$B$5:$B$882=$E29)*('PA Fees Actual'!$A$5:$A$882&gt;=AM$3)*('PA Fees Actual'!$A$5:$A$882&lt;=EOMONTH(AM$3,0))*'PA Fees Actual'!$D$5:$D$882),AM$3&gt;=EOMONTH($X29,-1)+1,$Y29,TRUE,0)</f>
        <v>0</v>
      </c>
      <c r="AN29" s="202" cm="1">
        <f t="array" ref="AN29">_xlfn.IFS(AN$3&lt;$B$2,SUMPRODUCT(('PA Fees Actual'!$B$5:$B$882=$E29)*('PA Fees Actual'!$A$5:$A$882&gt;=AN$3)*('PA Fees Actual'!$A$5:$A$882&lt;=EOMONTH(AN$3,0))*'PA Fees Actual'!$D$5:$D$882),AN$3&gt;=EOMONTH($X29,-1)+1,$Y29,TRUE,0)</f>
        <v>0</v>
      </c>
      <c r="AO29" s="202" cm="1">
        <f t="array" ref="AO29">_xlfn.IFS(AO$3&lt;$B$2,SUMPRODUCT(('PA Fees Actual'!$B$5:$B$882=$E29)*('PA Fees Actual'!$A$5:$A$882&gt;=AO$3)*('PA Fees Actual'!$A$5:$A$882&lt;=EOMONTH(AO$3,0))*'PA Fees Actual'!$D$5:$D$882),AO$3&gt;=EOMONTH($X29,-1)+1,$Y29,TRUE,0)</f>
        <v>0</v>
      </c>
      <c r="AP29" s="202" cm="1">
        <f t="array" ref="AP29">_xlfn.IFS(AP$3&lt;$B$2,SUMPRODUCT(('PA Fees Actual'!$B$5:$B$882=$E29)*('PA Fees Actual'!$A$5:$A$882&gt;=AP$3)*('PA Fees Actual'!$A$5:$A$882&lt;=EOMONTH(AP$3,0))*'PA Fees Actual'!$D$5:$D$882),AP$3&gt;=EOMONTH($X29,-1)+1,$Y29,TRUE,0)</f>
        <v>0</v>
      </c>
      <c r="AQ29" s="202" cm="1">
        <f t="array" ref="AQ29">_xlfn.IFS(AQ$3&lt;$B$2,SUMPRODUCT(('PA Fees Actual'!$B$5:$B$882=$E29)*('PA Fees Actual'!$A$5:$A$882&gt;=AQ$3)*('PA Fees Actual'!$A$5:$A$882&lt;=EOMONTH(AQ$3,0))*'PA Fees Actual'!$D$5:$D$882),AQ$3&gt;=EOMONTH($X29,-1)+1,$Y29,TRUE,0)</f>
        <v>0</v>
      </c>
      <c r="AR29" s="202" cm="1">
        <f t="array" ref="AR29">_xlfn.IFS(AR$3&lt;$B$2,SUMPRODUCT(('PA Fees Actual'!$B$5:$B$882=$E29)*('PA Fees Actual'!$A$5:$A$882&gt;=AR$3)*('PA Fees Actual'!$A$5:$A$882&lt;=EOMONTH(AR$3,0))*'PA Fees Actual'!$D$5:$D$882),AR$3&gt;=EOMONTH($X29,-1)+1,$Y29,TRUE,0)</f>
        <v>0</v>
      </c>
      <c r="AS29" s="202" cm="1">
        <f t="array" ref="AS29">_xlfn.IFS(AS$3&lt;$B$2,SUMPRODUCT(('PA Fees Actual'!$B$5:$B$882=$E29)*('PA Fees Actual'!$A$5:$A$882&gt;=AS$3)*('PA Fees Actual'!$A$5:$A$882&lt;=EOMONTH(AS$3,0))*'PA Fees Actual'!$D$5:$D$882),AS$3&gt;=EOMONTH($X29,-1)+1,$Y29,TRUE,0)</f>
        <v>0</v>
      </c>
      <c r="AT29" s="202" cm="1">
        <f t="array" ref="AT29">_xlfn.IFS(AT$3&lt;$B$2,SUMPRODUCT(('PA Fees Actual'!$B$5:$B$882=$E29)*('PA Fees Actual'!$A$5:$A$882&gt;=AT$3)*('PA Fees Actual'!$A$5:$A$882&lt;=EOMONTH(AT$3,0))*'PA Fees Actual'!$D$5:$D$882),AT$3&gt;=EOMONTH($X29,-1)+1,$Y29,TRUE,0)</f>
        <v>0</v>
      </c>
      <c r="AU29" s="202" cm="1">
        <f t="array" ref="AU29">_xlfn.IFS(AU$3&lt;$B$2,SUMPRODUCT(('PA Fees Actual'!$B$5:$B$882=$E29)*('PA Fees Actual'!$A$5:$A$882&gt;=AU$3)*('PA Fees Actual'!$A$5:$A$882&lt;=EOMONTH(AU$3,0))*'PA Fees Actual'!$D$5:$D$882),AU$3&gt;=EOMONTH($X29,-1)+1,$Y29,TRUE,0)</f>
        <v>0</v>
      </c>
      <c r="AV29" s="202" cm="1">
        <f t="array" ref="AV29">_xlfn.IFS(AV$3&lt;$B$2,SUMPRODUCT(('PA Fees Actual'!$B$5:$B$882=$E29)*('PA Fees Actual'!$A$5:$A$882&gt;=AV$3)*('PA Fees Actual'!$A$5:$A$882&lt;=EOMONTH(AV$3,0))*'PA Fees Actual'!$D$5:$D$882),AV$3&gt;=EOMONTH($X29,-1)+1,$Y29,TRUE,0)</f>
        <v>0</v>
      </c>
      <c r="AW29" s="202" cm="1">
        <f t="array" ref="AW29">_xlfn.IFS(AW$3&lt;$B$2,SUMPRODUCT(('PA Fees Actual'!$B$5:$B$882=$E29)*('PA Fees Actual'!$A$5:$A$882&gt;=AW$3)*('PA Fees Actual'!$A$5:$A$882&lt;=EOMONTH(AW$3,0))*'PA Fees Actual'!$D$5:$D$882),AW$3&gt;=EOMONTH($X29,-1)+1,$Y29,TRUE,0)</f>
        <v>0</v>
      </c>
      <c r="AX29" s="202" cm="1">
        <f t="array" ref="AX29">_xlfn.IFS(AX$3&lt;$B$2,SUMPRODUCT(('PA Fees Actual'!$B$5:$B$882=$E29)*('PA Fees Actual'!$A$5:$A$882&gt;=AX$3)*('PA Fees Actual'!$A$5:$A$882&lt;=EOMONTH(AX$3,0))*'PA Fees Actual'!$D$5:$D$882),AX$3&gt;=EOMONTH($X29,-1)+1,$Y29,TRUE,0)</f>
        <v>0</v>
      </c>
      <c r="AY29" s="202" cm="1">
        <f t="array" ref="AY29">_xlfn.IFS(AY$3&lt;$B$2,SUMPRODUCT(('PA Fees Actual'!$B$5:$B$882=$E29)*('PA Fees Actual'!$A$5:$A$882&gt;=AY$3)*('PA Fees Actual'!$A$5:$A$882&lt;=EOMONTH(AY$3,0))*'PA Fees Actual'!$D$5:$D$882),AY$3&gt;=EOMONTH($X29,-1)+1,$Y29,TRUE,0)</f>
        <v>0</v>
      </c>
      <c r="AZ29" s="202" cm="1">
        <f t="array" ref="AZ29">_xlfn.IFS(AZ$3&lt;$B$2,SUMPRODUCT(('PA Fees Actual'!$B$5:$B$882=$E29)*('PA Fees Actual'!$A$5:$A$882&gt;=AZ$3)*('PA Fees Actual'!$A$5:$A$882&lt;=EOMONTH(AZ$3,0))*'PA Fees Actual'!$D$5:$D$882),AZ$3&gt;=EOMONTH($X29,-1)+1,$Y29,TRUE,0)</f>
        <v>0</v>
      </c>
      <c r="BA29" s="202" cm="1">
        <f t="array" ref="BA29">_xlfn.IFS(BA$3&lt;$B$2,SUMPRODUCT(('PA Fees Actual'!$B$5:$B$882=$E29)*('PA Fees Actual'!$A$5:$A$882&gt;=BA$3)*('PA Fees Actual'!$A$5:$A$882&lt;=EOMONTH(BA$3,0))*'PA Fees Actual'!$D$5:$D$882),BA$3&gt;=EOMONTH($X29,-1)+1,$Y29,TRUE,0)</f>
        <v>0</v>
      </c>
      <c r="BB29" s="202" cm="1">
        <f t="array" ref="BB29">_xlfn.IFS(BB$3&lt;$B$2,SUMPRODUCT(('PA Fees Actual'!$B$5:$B$882=$E29)*('PA Fees Actual'!$A$5:$A$882&gt;=BB$3)*('PA Fees Actual'!$A$5:$A$882&lt;=EOMONTH(BB$3,0))*'PA Fees Actual'!$D$5:$D$882),BB$3&gt;=EOMONTH($X29,-1)+1,$Y29,TRUE,0)</f>
        <v>0</v>
      </c>
      <c r="BC29" s="202" cm="1">
        <f t="array" ref="BC29">_xlfn.IFS(BC$3&lt;$B$2,SUMPRODUCT(('PA Fees Actual'!$B$5:$B$882=$E29)*('PA Fees Actual'!$A$5:$A$882&gt;=BC$3)*('PA Fees Actual'!$A$5:$A$882&lt;=EOMONTH(BC$3,0))*'PA Fees Actual'!$D$5:$D$882),BC$3&gt;=EOMONTH($X29,-1)+1,$Y29,TRUE,0)</f>
        <v>0</v>
      </c>
      <c r="BD29" s="202" cm="1">
        <f t="array" ref="BD29">_xlfn.IFS(BD$3&lt;$B$2,SUMPRODUCT(('PA Fees Actual'!$B$5:$B$882=$E29)*('PA Fees Actual'!$A$5:$A$882&gt;=BD$3)*('PA Fees Actual'!$A$5:$A$882&lt;=EOMONTH(BD$3,0))*'PA Fees Actual'!$D$5:$D$882),BD$3&gt;=EOMONTH($X29,-1)+1,$Y29,TRUE,0)</f>
        <v>0</v>
      </c>
      <c r="BE29" s="202" cm="1">
        <f t="array" ref="BE29">_xlfn.IFS(BE$3&lt;$B$2,SUMPRODUCT(('PA Fees Actual'!$B$5:$B$882=$E29)*('PA Fees Actual'!$A$5:$A$882&gt;=BE$3)*('PA Fees Actual'!$A$5:$A$882&lt;=EOMONTH(BE$3,0))*'PA Fees Actual'!$D$5:$D$882),BE$3&gt;=EOMONTH($X29,-1)+1,$Y29,TRUE,0)</f>
        <v>0</v>
      </c>
      <c r="BF29" s="202" cm="1">
        <f t="array" ref="BF29">_xlfn.IFS(BF$3&lt;$B$2,SUMPRODUCT(('PA Fees Actual'!$B$5:$B$882=$E29)*('PA Fees Actual'!$A$5:$A$882&gt;=BF$3)*('PA Fees Actual'!$A$5:$A$882&lt;=EOMONTH(BF$3,0))*'PA Fees Actual'!$D$5:$D$882),BF$3&gt;=EOMONTH($X29,-1)+1,$Y29,TRUE,0)</f>
        <v>0</v>
      </c>
      <c r="BG29" s="202" cm="1">
        <f t="array" ref="BG29">_xlfn.IFS(BG$3&lt;$B$2,SUMPRODUCT(('PA Fees Actual'!$B$5:$B$882=$E29)*('PA Fees Actual'!$A$5:$A$882&gt;=BG$3)*('PA Fees Actual'!$A$5:$A$882&lt;=EOMONTH(BG$3,0))*'PA Fees Actual'!$D$5:$D$882),BG$3&gt;=EOMONTH($X29,-1)+1,$Y29,TRUE,0)</f>
        <v>0</v>
      </c>
      <c r="BH29" s="202" cm="1">
        <f t="array" ref="BH29">_xlfn.IFS(BH$3&lt;$B$2,SUMPRODUCT(('PA Fees Actual'!$B$5:$B$882=$E29)*('PA Fees Actual'!$A$5:$A$882&gt;=BH$3)*('PA Fees Actual'!$A$5:$A$882&lt;=EOMONTH(BH$3,0))*'PA Fees Actual'!$D$5:$D$882),BH$3&gt;=EOMONTH($X29,-1)+1,$Y29,TRUE,0)</f>
        <v>0</v>
      </c>
      <c r="BI29" s="202" cm="1">
        <f t="array" ref="BI29">_xlfn.IFS(BI$3&lt;$B$2,SUMPRODUCT(('PA Fees Actual'!$B$5:$B$882=$E29)*('PA Fees Actual'!$A$5:$A$882&gt;=BI$3)*('PA Fees Actual'!$A$5:$A$882&lt;=EOMONTH(BI$3,0))*'PA Fees Actual'!$D$5:$D$882),BI$3&gt;=EOMONTH($X29,-1)+1,$Y29,TRUE,0)</f>
        <v>0</v>
      </c>
      <c r="BJ29" s="202" cm="1">
        <f t="array" ref="BJ29">_xlfn.IFS(BJ$3&lt;$B$2,SUMPRODUCT(('PA Fees Actual'!$B$5:$B$882=$E29)*('PA Fees Actual'!$A$5:$A$882&gt;=BJ$3)*('PA Fees Actual'!$A$5:$A$882&lt;=EOMONTH(BJ$3,0))*'PA Fees Actual'!$D$5:$D$882),BJ$3&gt;=EOMONTH($X29,-1)+1,$Y29,TRUE,0)</f>
        <v>0</v>
      </c>
      <c r="BK29" s="202" cm="1">
        <f t="array" ref="BK29">_xlfn.IFS(BK$3&lt;$B$2,SUMPRODUCT(('PA Fees Actual'!$B$5:$B$882=$E29)*('PA Fees Actual'!$A$5:$A$882&gt;=BK$3)*('PA Fees Actual'!$A$5:$A$882&lt;=EOMONTH(BK$3,0))*'PA Fees Actual'!$D$5:$D$882),BK$3&gt;=EOMONTH($X29,-1)+1,$Y29,TRUE,0)</f>
        <v>0</v>
      </c>
      <c r="BL29" s="202" cm="1">
        <f t="array" ref="BL29">_xlfn.IFS(BL$3&lt;$B$2,SUMPRODUCT(('PA Fees Actual'!$B$5:$B$882=$E29)*('PA Fees Actual'!$A$5:$A$882&gt;=BL$3)*('PA Fees Actual'!$A$5:$A$882&lt;=EOMONTH(BL$3,0))*'PA Fees Actual'!$D$5:$D$882),BL$3&gt;=EOMONTH($X29,-1)+1,$Y29,TRUE,0)</f>
        <v>0</v>
      </c>
      <c r="BM29" s="202" cm="1">
        <f t="array" ref="BM29">_xlfn.IFS(BM$3&lt;$B$2,SUMPRODUCT(('PA Fees Actual'!$B$5:$B$882=$E29)*('PA Fees Actual'!$A$5:$A$882&gt;=BM$3)*('PA Fees Actual'!$A$5:$A$882&lt;=EOMONTH(BM$3,0))*'PA Fees Actual'!$D$5:$D$882),BM$3&gt;=EOMONTH($X29,-1)+1,$Y29,TRUE,0)</f>
        <v>0</v>
      </c>
      <c r="BN29" s="202" cm="1">
        <f t="array" ref="BN29">_xlfn.IFS(BN$3&lt;$B$2,SUMPRODUCT(('PA Fees Actual'!$B$5:$B$882=$E29)*('PA Fees Actual'!$A$5:$A$882&gt;=BN$3)*('PA Fees Actual'!$A$5:$A$882&lt;=EOMONTH(BN$3,0))*'PA Fees Actual'!$D$5:$D$882),BN$3&gt;=EOMONTH($X29,-1)+1,$Y29,TRUE,0)</f>
        <v>0</v>
      </c>
      <c r="BO29" s="202" cm="1">
        <f t="array" ref="BO29">_xlfn.IFS(BO$3&lt;$B$2,SUMPRODUCT(('PA Fees Actual'!$B$5:$B$882=$E29)*('PA Fees Actual'!$A$5:$A$882&gt;=BO$3)*('PA Fees Actual'!$A$5:$A$882&lt;=EOMONTH(BO$3,0))*'PA Fees Actual'!$D$5:$D$882),BO$3&gt;=EOMONTH($X29,-1)+1,$Y29,TRUE,0)</f>
        <v>0</v>
      </c>
      <c r="BP29" s="202" cm="1">
        <f t="array" ref="BP29">_xlfn.IFS(BP$3&lt;$B$2,SUMPRODUCT(('PA Fees Actual'!$B$5:$B$882=$E29)*('PA Fees Actual'!$A$5:$A$882&gt;=BP$3)*('PA Fees Actual'!$A$5:$A$882&lt;=EOMONTH(BP$3,0))*'PA Fees Actual'!$D$5:$D$882),BP$3&gt;=EOMONTH($X29,-1)+1,$Y29,TRUE,0)</f>
        <v>0</v>
      </c>
      <c r="BQ29" s="202" cm="1">
        <f t="array" ref="BQ29">_xlfn.IFS(BQ$3&lt;$B$2,SUMPRODUCT(('PA Fees Actual'!$B$5:$B$882=$E29)*('PA Fees Actual'!$A$5:$A$882&gt;=BQ$3)*('PA Fees Actual'!$A$5:$A$882&lt;=EOMONTH(BQ$3,0))*'PA Fees Actual'!$D$5:$D$882),BQ$3&gt;=EOMONTH($X29,-1)+1,$Y29,TRUE,0)</f>
        <v>0</v>
      </c>
      <c r="BR29" s="202" cm="1">
        <f t="array" ref="BR29">_xlfn.IFS(BR$3&lt;$B$2,SUMPRODUCT(('PA Fees Actual'!$B$5:$B$882=$E29)*('PA Fees Actual'!$A$5:$A$882&gt;=BR$3)*('PA Fees Actual'!$A$5:$A$882&lt;=EOMONTH(BR$3,0))*'PA Fees Actual'!$D$5:$D$882),BR$3&gt;=EOMONTH($X29,-1)+1,$Y29,TRUE,0)</f>
        <v>0</v>
      </c>
      <c r="BS29" s="202" cm="1">
        <f t="array" ref="BS29">_xlfn.IFS(BS$3&lt;$B$2,SUMPRODUCT(('PA Fees Actual'!$B$5:$B$882=$E29)*('PA Fees Actual'!$A$5:$A$882&gt;=BS$3)*('PA Fees Actual'!$A$5:$A$882&lt;=EOMONTH(BS$3,0))*'PA Fees Actual'!$D$5:$D$882),BS$3&gt;=EOMONTH($X29,-1)+1,$Y29,TRUE,0)</f>
        <v>0</v>
      </c>
      <c r="BT29" s="202" cm="1">
        <f t="array" ref="BT29">_xlfn.IFS(BT$3&lt;$B$2,SUMPRODUCT(('PA Fees Actual'!$B$5:$B$882=$E29)*('PA Fees Actual'!$A$5:$A$882&gt;=BT$3)*('PA Fees Actual'!$A$5:$A$882&lt;=EOMONTH(BT$3,0))*'PA Fees Actual'!$D$5:$D$882),BT$3&gt;=EOMONTH($X29,-1)+1,$Y29,TRUE,0)</f>
        <v>0</v>
      </c>
      <c r="BU29" s="202" cm="1">
        <f t="array" ref="BU29">_xlfn.IFS(BU$3&lt;$B$2,SUMPRODUCT(('PA Fees Actual'!$B$5:$B$882=$E29)*('PA Fees Actual'!$A$5:$A$882&gt;=BU$3)*('PA Fees Actual'!$A$5:$A$882&lt;=EOMONTH(BU$3,0))*'PA Fees Actual'!$D$5:$D$882),BU$3&gt;=EOMONTH($X29,-1)+1,$Y29,TRUE,0)</f>
        <v>0</v>
      </c>
      <c r="BV29" s="202" cm="1">
        <f t="array" ref="BV29">_xlfn.IFS(BV$3&lt;$B$2,SUMPRODUCT(('PA Fees Actual'!$B$5:$B$882=$E29)*('PA Fees Actual'!$A$5:$A$882&gt;=BV$3)*('PA Fees Actual'!$A$5:$A$882&lt;=EOMONTH(BV$3,0))*'PA Fees Actual'!$D$5:$D$882),BV$3&gt;=EOMONTH($X29,-1)+1,$Y29,TRUE,0)</f>
        <v>0</v>
      </c>
      <c r="BW29" s="202" cm="1">
        <f t="array" ref="BW29">_xlfn.IFS(BW$3&lt;$B$2,SUMPRODUCT(('PA Fees Actual'!$B$5:$B$882=$E29)*('PA Fees Actual'!$A$5:$A$882&gt;=BW$3)*('PA Fees Actual'!$A$5:$A$882&lt;=EOMONTH(BW$3,0))*'PA Fees Actual'!$D$5:$D$882),BW$3&gt;=EOMONTH($X29,-1)+1,$Y29,TRUE,0)</f>
        <v>0</v>
      </c>
      <c r="BX29" s="202" cm="1">
        <f t="array" ref="BX29">_xlfn.IFS(BX$3&lt;$B$2,SUMPRODUCT(('PA Fees Actual'!$B$5:$B$882=$E29)*('PA Fees Actual'!$A$5:$A$882&gt;=BX$3)*('PA Fees Actual'!$A$5:$A$882&lt;=EOMONTH(BX$3,0))*'PA Fees Actual'!$D$5:$D$882),BX$3&gt;=EOMONTH($X29,-1)+1,$Y29,TRUE,0)</f>
        <v>0</v>
      </c>
      <c r="BY29" s="202" cm="1">
        <f t="array" ref="BY29">_xlfn.IFS(BY$3&lt;$B$2,SUMPRODUCT(('PA Fees Actual'!$B$5:$B$882=$E29)*('PA Fees Actual'!$A$5:$A$882&gt;=BY$3)*('PA Fees Actual'!$A$5:$A$882&lt;=EOMONTH(BY$3,0))*'PA Fees Actual'!$D$5:$D$882),BY$3&gt;=EOMONTH($X29,-1)+1,$Y29,TRUE,0)</f>
        <v>0</v>
      </c>
      <c r="BZ29" s="202" cm="1">
        <f t="array" ref="BZ29">_xlfn.IFS(BZ$3&lt;$B$2,SUMPRODUCT(('PA Fees Actual'!$B$5:$B$882=$E29)*('PA Fees Actual'!$A$5:$A$882&gt;=BZ$3)*('PA Fees Actual'!$A$5:$A$882&lt;=EOMONTH(BZ$3,0))*'PA Fees Actual'!$D$5:$D$882),BZ$3&gt;=EOMONTH($X29,-1)+1,$Y29,TRUE,0)</f>
        <v>0</v>
      </c>
      <c r="CA29" s="202" cm="1">
        <f t="array" ref="CA29">_xlfn.IFS(CA$3&lt;$B$2,SUMPRODUCT(('PA Fees Actual'!$B$5:$B$882=$E29)*('PA Fees Actual'!$A$5:$A$882&gt;=CA$3)*('PA Fees Actual'!$A$5:$A$882&lt;=EOMONTH(CA$3,0))*'PA Fees Actual'!$D$5:$D$882),CA$3&gt;=EOMONTH($X29,-1)+1,$Y29,TRUE,0)</f>
        <v>0</v>
      </c>
      <c r="CB29" s="202" cm="1">
        <f t="array" ref="CB29">_xlfn.IFS(CB$3&lt;$B$2,SUMPRODUCT(('PA Fees Actual'!$B$5:$B$749=$E29)*('PA Fees Actual'!$A$5:$A$749&gt;=CB$3)*('PA Fees Actual'!$A$5:$A$749&lt;=EOMONTH(CB$3,0))*'PA Fees Actual'!$D$5:$D$749),CB$3&gt;=EOMONTH($X29,-1)+1,$Y29,TRUE,0)</f>
        <v>0</v>
      </c>
      <c r="CC29" s="202" cm="1">
        <f t="array" ref="CC29">_xlfn.IFS(CC$3&lt;$B$2,SUMPRODUCT(('PA Fees Actual'!$B$5:$B$749=$E29)*('PA Fees Actual'!$A$5:$A$749&gt;=CC$3)*('PA Fees Actual'!$A$5:$A$749&lt;=EOMONTH(CC$3,0))*'PA Fees Actual'!$D$5:$D$749),CC$3&gt;=EOMONTH($X29,-1)+1,$Y29,TRUE,0)</f>
        <v>0</v>
      </c>
      <c r="CD29" s="202" cm="1">
        <f t="array" ref="CD29">_xlfn.IFS(CD$3&lt;$B$2,SUMPRODUCT(('PA Fees Actual'!$B$5:$B$749=$E29)*('PA Fees Actual'!$A$5:$A$749&gt;=CD$3)*('PA Fees Actual'!$A$5:$A$749&lt;=EOMONTH(CD$3,0))*'PA Fees Actual'!$D$5:$D$749),CD$3&gt;=EOMONTH($X29,-1)+1,$Y29,TRUE,0)</f>
        <v>0</v>
      </c>
      <c r="CE29" s="202" cm="1">
        <f t="array" ref="CE29">_xlfn.IFS(CE$3&lt;$B$2,SUMPRODUCT(('PA Fees Actual'!$B$5:$B$749=$E29)*('PA Fees Actual'!$A$5:$A$749&gt;=CE$3)*('PA Fees Actual'!$A$5:$A$749&lt;=EOMONTH(CE$3,0))*'PA Fees Actual'!$D$5:$D$749),CE$3&gt;=EOMONTH($X29,-1)+1,$Y29,TRUE,0)</f>
        <v>0</v>
      </c>
      <c r="CF29" s="202" cm="1">
        <f t="array" ref="CF29">_xlfn.IFS(CF$3&lt;$B$2,SUMPRODUCT(('PA Fees Actual'!$B$5:$B$749=$E29)*('PA Fees Actual'!$A$5:$A$749&gt;=CF$3)*('PA Fees Actual'!$A$5:$A$749&lt;=EOMONTH(CF$3,0))*'PA Fees Actual'!$D$5:$D$749),CF$3&gt;=EOMONTH($X29,-1)+1,$Y29,TRUE,0)</f>
        <v>0</v>
      </c>
      <c r="CG29" s="202" cm="1">
        <f t="array" ref="CG29">_xlfn.IFS(CG$3&lt;$B$2,SUMPRODUCT(('PA Fees Actual'!$B$5:$B$749=$E29)*('PA Fees Actual'!$A$5:$A$749&gt;=CG$3)*('PA Fees Actual'!$A$5:$A$749&lt;=EOMONTH(CG$3,0))*'PA Fees Actual'!$D$5:$D$749),CG$3&gt;=EOMONTH($X29,-1)+1,$Y29,TRUE,0)</f>
        <v>0</v>
      </c>
      <c r="CI29" s="202" cm="1">
        <f t="array" ref="CI29">_xlfn.IFS(CI$3&lt;=YEAR($B$2),SUMPRODUCT(($E$4:$E$79=$E29)*($Z$2:$CG$2=CI$3)*($Z$2:$CG$2&lt;CJ$3)*$Z$4:$CG$79),CI$3&lt;YEAR($X29),0,CI$3=YEAR($X29),DATEDIF($X29,DATE(CI$3,12,31),"m")*$Y29,AND(CI$3&gt;YEAR($X29),CI$3-YEAR($X29)&lt;20),$Y29*12,CI$3-YEAR($X29)=20,DATEDIF(DATE(YEAR($X29),1,1),$X29,"m")*$Y29,CI$3-YEAR($X29)&gt;20,0)</f>
        <v>0</v>
      </c>
      <c r="CJ29" s="202" cm="1">
        <f t="array" ref="CJ29">_xlfn.IFS(CJ$3&lt;=YEAR($B$2),SUMPRODUCT(($E$4:$E$79=$E29)*($Z$2:$CG$2=CJ$3)*($Z$2:$CG$2&lt;CK$3)*$Z$4:$CG$79),CJ$3&lt;YEAR($X29),0,CJ$3=YEAR($X29),DATEDIF($X29,DATE(CJ$3,12,31),"m")*$Y29,AND(CJ$3&gt;YEAR($X29),CJ$3-YEAR($X29)&lt;20),$Y29*12,CJ$3-YEAR($X29)=20,DATEDIF(DATE(YEAR($X29),1,1),$X29,"m")*$Y29,CJ$3-YEAR($X29)&gt;20,0)</f>
        <v>0</v>
      </c>
      <c r="CK29" s="202" cm="1">
        <f t="array" ref="CK29">_xlfn.IFS(CK$3&lt;=YEAR($B$2),SUMPRODUCT(($E$4:$E$79=$E29)*($Z$2:$CG$2=CK$3)*($Z$2:$CG$2&lt;CL$3)*$Z$4:$CG$79),CK$3&lt;YEAR($X29),0,CK$3=YEAR($X29),DATEDIF($X29,DATE(CK$3,12,31),"m")*$Y29,AND(CK$3&gt;YEAR($X29),CK$3-YEAR($X29)&lt;20),$Y29*12,CK$3-YEAR($X29)=20,DATEDIF(DATE(YEAR($X29),1,1),$X29,"m")*$Y29,CK$3-YEAR($X29)&gt;20,0)</f>
        <v>0</v>
      </c>
      <c r="CL29" s="202" cm="1">
        <f t="array" ref="CL29">_xlfn.IFS(CL$3&lt;=YEAR($B$2),SUMPRODUCT(($E$4:$E$79=$E29)*($Z$2:$CG$2=CL$3)*($Z$2:$CG$2&lt;CM$3)*$Z$4:$CG$79),CL$3&lt;YEAR($X29),0,CL$3=YEAR($X29),DATEDIF($X29,DATE(CL$3,12,31),"m")*$Y29,AND(CL$3&gt;YEAR($X29),CL$3-YEAR($X29)&lt;20),$Y29*12,CL$3-YEAR($X29)=20,DATEDIF(DATE(YEAR($X29),1,1),$X29,"m")*$Y29,CL$3-YEAR($X29)&gt;20,0)</f>
        <v>0</v>
      </c>
      <c r="CM29" s="202" cm="1">
        <f t="array" ref="CM29">_xlfn.IFS(CM$3&lt;=YEAR($B$2),SUMPRODUCT(($E$4:$E$79=$E29)*($Z$2:$CG$2=CM$3)*($Z$2:$CG$2&lt;CN$3)*$Z$4:$CG$79),CM$3&lt;YEAR($X29),0,CM$3=YEAR($X29),DATEDIF($X29,DATE(CM$3,12,31),"m")*$Y29,AND(CM$3&gt;YEAR($X29),CM$3-YEAR($X29)&lt;20),$Y29*12,CM$3-YEAR($X29)=20,DATEDIF(DATE(YEAR($X29),1,1),$X29,"m")*$Y29,CM$3-YEAR($X29)&gt;20,0)</f>
        <v>0</v>
      </c>
      <c r="CN29" s="202" cm="1">
        <f t="array" ref="CN29">_xlfn.IFS(CN$3&lt;=YEAR($B$2),SUMPRODUCT(($E$4:$E$79=$E29)*($Z$2:$CG$2=CN$3)*($Z$2:$CG$2&lt;CO$3)*$Z$4:$CG$79),CN$3&lt;YEAR($X29),0,CN$3=YEAR($X29),DATEDIF($X29,DATE(CN$3,12,31),"m")*$Y29,AND(CN$3&gt;YEAR($X29),CN$3-YEAR($X29)&lt;20),$Y29*12,CN$3-YEAR($X29)=20,DATEDIF(DATE(YEAR($X29),1,1),$X29,"m")*$Y29,CN$3-YEAR($X29)&gt;20,0)</f>
        <v>0</v>
      </c>
      <c r="CO29" s="202" cm="1">
        <f t="array" ref="CO29">_xlfn.IFS(CO$3&lt;=YEAR($B$2),SUMPRODUCT(($E$4:$E$79=$E29)*($Z$2:$CG$2=CO$3)*($Z$2:$CG$2&lt;CP$3)*$Z$4:$CG$79),CO$3&lt;YEAR($X29),0,CO$3=YEAR($X29),DATEDIF($X29,DATE(CO$3,12,31),"m")*$Y29,AND(CO$3&gt;YEAR($X29),CO$3-YEAR($X29)&lt;20),$Y29*12,CO$3-YEAR($X29)=20,DATEDIF(DATE(YEAR($X29),1,1),$X29,"m")*$Y29,CO$3-YEAR($X29)&gt;20,0)</f>
        <v>3612.5</v>
      </c>
      <c r="CP29" s="202" cm="1">
        <f t="array" ref="CP29">_xlfn.IFS(CP$3&lt;=YEAR($B$2),SUMPRODUCT(($E$4:$E$79=$E29)*($Z$2:$CG$2=CP$3)*($Z$2:$CG$2&lt;CQ$3)*$Z$4:$CG$79),CP$3&lt;YEAR($X29),0,CP$3=YEAR($X29),DATEDIF($X29,DATE(CP$3,12,31),"m")*$Y29,AND(CP$3&gt;YEAR($X29),CP$3-YEAR($X29)&lt;20),$Y29*12,CP$3-YEAR($X29)=20,DATEDIF(DATE(YEAR($X29),1,1),$X29,"m")*$Y29,CP$3-YEAR($X29)&gt;20,0)</f>
        <v>8670</v>
      </c>
      <c r="CQ29" s="202" cm="1">
        <f t="array" ref="CQ29">_xlfn.IFS(CQ$3&lt;=YEAR($B$2),SUMPRODUCT(($E$4:$E$79=$E29)*($Z$2:$CG$2=CQ$3)*($Z$2:$CG$2&lt;CR$3)*$Z$4:$CG$79),CQ$3&lt;YEAR($X29),0,CQ$3=YEAR($X29),DATEDIF($X29,DATE(CQ$3,12,31),"m")*$Y29,AND(CQ$3&gt;YEAR($X29),CQ$3-YEAR($X29)&lt;20),$Y29*12,CQ$3-YEAR($X29)=20,DATEDIF(DATE(YEAR($X29),1,1),$X29,"m")*$Y29,CQ$3-YEAR($X29)&gt;20,0)</f>
        <v>8670</v>
      </c>
      <c r="CR29" s="202" cm="1">
        <f t="array" ref="CR29">_xlfn.IFS(CR$3&lt;=YEAR($B$2),SUMPRODUCT(($E$4:$E$79=$E29)*($Z$2:$CG$2=CR$3)*($Z$2:$CG$2&lt;CS$3)*$Z$4:$CG$79),CR$3&lt;YEAR($X29),0,CR$3=YEAR($X29),DATEDIF($X29,DATE(CR$3,12,31),"m")*$Y29,AND(CR$3&gt;YEAR($X29),CR$3-YEAR($X29)&lt;20),$Y29*12,CR$3-YEAR($X29)=20,DATEDIF(DATE(YEAR($X29),1,1),$X29,"m")*$Y29,CR$3-YEAR($X29)&gt;20,0)</f>
        <v>8670</v>
      </c>
      <c r="CS29" s="202" cm="1">
        <f t="array" ref="CS29">_xlfn.IFS(CS$3&lt;=YEAR($B$2),SUMPRODUCT(($E$4:$E$79=$E29)*($Z$2:$CG$2=CS$3)*($Z$2:$CG$2&lt;CT$3)*$Z$4:$CG$79),CS$3&lt;YEAR($X29),0,CS$3=YEAR($X29),DATEDIF($X29,DATE(CS$3,12,31),"m")*$Y29,AND(CS$3&gt;YEAR($X29),CS$3-YEAR($X29)&lt;20),$Y29*12,CS$3-YEAR($X29)=20,DATEDIF(DATE(YEAR($X29),1,1),$X29,"m")*$Y29,CS$3-YEAR($X29)&gt;20,0)</f>
        <v>8670</v>
      </c>
      <c r="CT29" s="202" cm="1">
        <f t="array" ref="CT29">_xlfn.IFS(CT$3&lt;=YEAR($B$2),SUMPRODUCT(($E$4:$E$79=$E29)*($Z$2:$CG$2=CT$3)*($Z$2:$CG$2&lt;CU$3)*$Z$4:$CG$79),CT$3&lt;YEAR($X29),0,CT$3=YEAR($X29),DATEDIF($X29,DATE(CT$3,12,31),"m")*$Y29,AND(CT$3&gt;YEAR($X29),CT$3-YEAR($X29)&lt;20),$Y29*12,CT$3-YEAR($X29)=20,DATEDIF(DATE(YEAR($X29),1,1),$X29,"m")*$Y29,CT$3-YEAR($X29)&gt;20,0)</f>
        <v>8670</v>
      </c>
      <c r="CU29" s="202" cm="1">
        <f t="array" ref="CU29">_xlfn.IFS(CU$3&lt;=YEAR($B$2),SUMPRODUCT(($E$4:$E$79=$E29)*($Z$2:$CG$2=CU$3)*($Z$2:$CG$2&lt;CV$3)*$Z$4:$CG$79),CU$3&lt;YEAR($X29),0,CU$3=YEAR($X29),DATEDIF($X29,DATE(CU$3,12,31),"m")*$Y29,AND(CU$3&gt;YEAR($X29),CU$3-YEAR($X29)&lt;20),$Y29*12,CU$3-YEAR($X29)=20,DATEDIF(DATE(YEAR($X29),1,1),$X29,"m")*$Y29,CU$3-YEAR($X29)&gt;20,0)</f>
        <v>8670</v>
      </c>
      <c r="CV29" s="202" cm="1">
        <f t="array" ref="CV29">_xlfn.IFS(CV$3&lt;=YEAR($B$2),SUMPRODUCT(($E$4:$E$79=$E29)*($Z$2:$CG$2=CV$3)*($Z$2:$CG$2&lt;CW$3)*$Z$4:$CG$79),CV$3&lt;YEAR($X29),0,CV$3=YEAR($X29),DATEDIF($X29,DATE(CV$3,12,31),"m")*$Y29,AND(CV$3&gt;YEAR($X29),CV$3-YEAR($X29)&lt;20),$Y29*12,CV$3-YEAR($X29)=20,DATEDIF(DATE(YEAR($X29),1,1),$X29,"m")*$Y29,CV$3-YEAR($X29)&gt;20,0)</f>
        <v>8670</v>
      </c>
      <c r="CW29" s="202" cm="1">
        <f t="array" ref="CW29">_xlfn.IFS(CW$3&lt;=YEAR($B$2),SUMPRODUCT(($E$4:$E$79=$E29)*($Z$2:$CG$2=CW$3)*($Z$2:$CG$2&lt;CX$3)*$Z$4:$CG$79),CW$3&lt;YEAR($X29),0,CW$3=YEAR($X29),DATEDIF($X29,DATE(CW$3,12,31),"m")*$Y29,AND(CW$3&gt;YEAR($X29),CW$3-YEAR($X29)&lt;20),$Y29*12,CW$3-YEAR($X29)=20,DATEDIF(DATE(YEAR($X29),1,1),$X29,"m")*$Y29,CW$3-YEAR($X29)&gt;20,0)</f>
        <v>8670</v>
      </c>
      <c r="CX29" s="202" cm="1">
        <f t="array" ref="CX29">_xlfn.IFS(CX$3&lt;=YEAR($B$2),SUMPRODUCT(($E$4:$E$79=$E29)*($Z$2:$CG$2=CX$3)*($Z$2:$CG$2&lt;CY$3)*$Z$4:$CG$79),CX$3&lt;YEAR($X29),0,CX$3=YEAR($X29),DATEDIF($X29,DATE(CX$3,12,31),"m")*$Y29,AND(CX$3&gt;YEAR($X29),CX$3-YEAR($X29)&lt;20),$Y29*12,CX$3-YEAR($X29)=20,DATEDIF(DATE(YEAR($X29),1,1),$X29,"m")*$Y29,CX$3-YEAR($X29)&gt;20,0)</f>
        <v>8670</v>
      </c>
      <c r="CY29" s="202" cm="1">
        <f t="array" ref="CY29">_xlfn.IFS(CY$3&lt;=YEAR($B$2),SUMPRODUCT(($E$4:$E$79=$E29)*($Z$2:$CG$2=CY$3)*($Z$2:$CG$2&lt;CZ$3)*$Z$4:$CG$79),CY$3&lt;YEAR($X29),0,CY$3=YEAR($X29),DATEDIF($X29,DATE(CY$3,12,31),"m")*$Y29,AND(CY$3&gt;YEAR($X29),CY$3-YEAR($X29)&lt;20),$Y29*12,CY$3-YEAR($X29)=20,DATEDIF(DATE(YEAR($X29),1,1),$X29,"m")*$Y29,CY$3-YEAR($X29)&gt;20,0)</f>
        <v>8670</v>
      </c>
      <c r="CZ29" s="202" cm="1">
        <f t="array" ref="CZ29">_xlfn.IFS(CZ$3&lt;=YEAR($B$2),SUMPRODUCT(($E$4:$E$79=$E29)*($Z$2:$CG$2=CZ$3)*($Z$2:$CG$2&lt;DA$3)*$Z$4:$CG$79),CZ$3&lt;YEAR($X29),0,CZ$3=YEAR($X29),DATEDIF($X29,DATE(CZ$3,12,31),"m")*$Y29,AND(CZ$3&gt;YEAR($X29),CZ$3-YEAR($X29)&lt;20),$Y29*12,CZ$3-YEAR($X29)=20,DATEDIF(DATE(YEAR($X29),1,1),$X29,"m")*$Y29,CZ$3-YEAR($X29)&gt;20,0)</f>
        <v>8670</v>
      </c>
      <c r="DA29" s="202" cm="1">
        <f t="array" ref="DA29">_xlfn.IFS(DA$3&lt;=YEAR($B$2),SUMPRODUCT(($E$4:$E$79=$E29)*($Z$2:$CG$2=DA$3)*($Z$2:$CG$2&lt;DB$3)*$Z$4:$CG$79),DA$3&lt;YEAR($X29),0,DA$3=YEAR($X29),DATEDIF($X29,DATE(DA$3,12,31),"m")*$Y29,AND(DA$3&gt;YEAR($X29),DA$3-YEAR($X29)&lt;20),$Y29*12,DA$3-YEAR($X29)=20,DATEDIF(DATE(YEAR($X29),1,1),$X29,"m")*$Y29,DA$3-YEAR($X29)&gt;20,0)</f>
        <v>8670</v>
      </c>
      <c r="DB29" s="202" cm="1">
        <f t="array" ref="DB29">_xlfn.IFS(DB$3&lt;=YEAR($B$2),SUMPRODUCT(($E$4:$E$79=$E29)*($Z$2:$CG$2=DB$3)*($Z$2:$CG$2&lt;DC$3)*$Z$4:$CG$79),DB$3&lt;YEAR($X29),0,DB$3=YEAR($X29),DATEDIF($X29,DATE(DB$3,12,31),"m")*$Y29,AND(DB$3&gt;YEAR($X29),DB$3-YEAR($X29)&lt;20),$Y29*12,DB$3-YEAR($X29)=20,DATEDIF(DATE(YEAR($X29),1,1),$X29,"m")*$Y29,DB$3-YEAR($X29)&gt;20,0)</f>
        <v>8670</v>
      </c>
      <c r="DC29" s="202" cm="1">
        <f t="array" ref="DC29">_xlfn.IFS(DC$3&lt;=YEAR($B$2),SUMPRODUCT(($E$4:$E$79=$E29)*($Z$2:$CG$2=DC$3)*($Z$2:$CG$2&lt;DD$3)*$Z$4:$CG$79),DC$3&lt;YEAR($X29),0,DC$3=YEAR($X29),DATEDIF($X29,DATE(DC$3,12,31),"m")*$Y29,AND(DC$3&gt;YEAR($X29),DC$3-YEAR($X29)&lt;20),$Y29*12,DC$3-YEAR($X29)=20,DATEDIF(DATE(YEAR($X29),1,1),$X29,"m")*$Y29,DC$3-YEAR($X29)&gt;20,0)</f>
        <v>8670</v>
      </c>
      <c r="DD29" s="202" cm="1">
        <f t="array" ref="DD29">_xlfn.IFS(DD$3&lt;=YEAR($B$2),SUMPRODUCT(($E$4:$E$79=$E29)*($Z$2:$CG$2=DD$3)*($Z$2:$CG$2&lt;DE$3)*$Z$4:$CG$79),DD$3&lt;YEAR($X29),0,DD$3=YEAR($X29),DATEDIF($X29,DATE(DD$3,12,31),"m")*$Y29,AND(DD$3&gt;YEAR($X29),DD$3-YEAR($X29)&lt;20),$Y29*12,DD$3-YEAR($X29)=20,DATEDIF(DATE(YEAR($X29),1,1),$X29,"m")*$Y29,DD$3-YEAR($X29)&gt;20,0)</f>
        <v>8670</v>
      </c>
      <c r="DE29" s="202" cm="1">
        <f t="array" ref="DE29">_xlfn.IFS(DE$3&lt;=YEAR($B$2),SUMPRODUCT(($E$4:$E$79=$E29)*($Z$2:$CG$2=DE$3)*($Z$2:$CG$2&lt;DF$3)*$Z$4:$CG$79),DE$3&lt;YEAR($X29),0,DE$3=YEAR($X29),DATEDIF($X29,DATE(DE$3,12,31),"m")*$Y29,AND(DE$3&gt;YEAR($X29),DE$3-YEAR($X29)&lt;20),$Y29*12,DE$3-YEAR($X29)=20,DATEDIF(DATE(YEAR($X29),1,1),$X29,"m")*$Y29,DE$3-YEAR($X29)&gt;20,0)</f>
        <v>8670</v>
      </c>
      <c r="DF29" s="202" cm="1">
        <f t="array" ref="DF29">_xlfn.IFS(DF$3&lt;=YEAR($B$2),SUMPRODUCT(($E$4:$E$79=$E29)*($Z$2:$CG$2=DF$3)*($Z$2:$CG$2&lt;DG$3)*$Z$4:$CG$79),DF$3&lt;YEAR($X29),0,DF$3=YEAR($X29),DATEDIF($X29,DATE(DF$3,12,31),"m")*$Y29,AND(DF$3&gt;YEAR($X29),DF$3-YEAR($X29)&lt;20),$Y29*12,DF$3-YEAR($X29)=20,DATEDIF(DATE(YEAR($X29),1,1),$X29,"m")*$Y29,DF$3-YEAR($X29)&gt;20,0)</f>
        <v>8670</v>
      </c>
      <c r="DG29" s="202" cm="1">
        <f t="array" ref="DG29">_xlfn.IFS(DG$3&lt;=YEAR($B$2),SUMPRODUCT(($E$4:$E$79=$E29)*($Z$2:$CG$2=DG$3)*($Z$2:$CG$2&lt;DH$3)*$Z$4:$CG$79),DG$3&lt;YEAR($X29),0,DG$3=YEAR($X29),DATEDIF($X29,DATE(DG$3,12,31),"m")*$Y29,AND(DG$3&gt;YEAR($X29),DG$3-YEAR($X29)&lt;20),$Y29*12,DG$3-YEAR($X29)=20,DATEDIF(DATE(YEAR($X29),1,1),$X29,"m")*$Y29,DG$3-YEAR($X29)&gt;20,0)</f>
        <v>8670</v>
      </c>
      <c r="DH29" s="202" cm="1">
        <f t="array" ref="DH29">_xlfn.IFS(DH$3&lt;=YEAR($B$2),SUMPRODUCT(($E$4:$E$79=$E29)*($Z$2:$CG$2=DH$3)*($Z$2:$CG$2&lt;DI$3)*$Z$4:$CG$79),DH$3&lt;YEAR($X29),0,DH$3=YEAR($X29),DATEDIF($X29,DATE(DH$3,12,31),"m")*$Y29,AND(DH$3&gt;YEAR($X29),DH$3-YEAR($X29)&lt;20),$Y29*12,DH$3-YEAR($X29)=20,DATEDIF(DATE(YEAR($X29),1,1),$X29,"m")*$Y29,DH$3-YEAR($X29)&gt;20,0)</f>
        <v>8670</v>
      </c>
      <c r="DI29" s="202" cm="1">
        <f t="array" ref="DI29">_xlfn.IFS(DI$3&lt;=YEAR($B$2),SUMPRODUCT(($E$4:$E$79=$E29)*($Z$2:$CG$2=DI$3)*($Z$2:$CG$2&lt;DJ$3)*$Z$4:$CG$79),DI$3&lt;YEAR($X29),0,DI$3=YEAR($X29),DATEDIF($X29,DATE(DI$3,12,31),"m")*$Y29,AND(DI$3&gt;YEAR($X29),DI$3-YEAR($X29)&lt;20),$Y29*12,DI$3-YEAR($X29)=20,DATEDIF(DATE(YEAR($X29),1,1),$X29,"m")*$Y29,DI$3-YEAR($X29)&gt;20,0)</f>
        <v>4335</v>
      </c>
      <c r="DJ29" s="202" cm="1">
        <f t="array" ref="DJ29">_xlfn.IFS(DJ$3&lt;=YEAR($B$2),SUMPRODUCT(($E$4:$E$79=$E29)*($Z$2:$CG$2=DJ$3)*($Z$2:$CG$2&lt;DK$3)*$Z$4:$CG$79),DJ$3&lt;YEAR($X29),0,DJ$3=YEAR($X29),DATEDIF($X29,DATE(DJ$3,12,31),"m")*$Y29,AND(DJ$3&gt;YEAR($X29),DJ$3-YEAR($X29)&lt;20),$Y29*12,DJ$3-YEAR($X29)=20,DATEDIF(DATE(YEAR($X29),1,1),$X29,"m")*$Y29,DJ$3-YEAR($X29)&gt;20,0)</f>
        <v>0</v>
      </c>
      <c r="DK29" s="202" cm="1">
        <f t="array" ref="DK29">_xlfn.IFS(DK$3&lt;=YEAR($B$2),SUMPRODUCT(($E$4:$E$79=$E29)*($Z$2:$CG$2=DK$3)*($Z$2:$CG$2&lt;DL$3)*$Z$4:$CG$79),DK$3&lt;YEAR($X29),0,DK$3=YEAR($X29),DATEDIF($X29,DATE(DK$3,12,31),"m")*$Y29,AND(DK$3&gt;YEAR($X29),DK$3-YEAR($X29)&lt;20),$Y29*12,DK$3-YEAR($X29)=20,DATEDIF(DATE(YEAR($X29),1,1),$X29,"m")*$Y29,DK$3-YEAR($X29)&gt;20,0)</f>
        <v>0</v>
      </c>
      <c r="DL29" s="202" cm="1">
        <f t="array" ref="DL29">_xlfn.IFS(DL$3&lt;=YEAR($B$2),SUMPRODUCT(($E$4:$E$79=$E29)*($Z$2:$CG$2=DL$3)*($Z$2:$CG$2&lt;DM$3)*$Z$4:$CG$79),DL$3&lt;YEAR($X29),0,DL$3=YEAR($X29),DATEDIF($X29,DATE(DL$3,12,31),"m")*$Y29,AND(DL$3&gt;YEAR($X29),DL$3-YEAR($X29)&lt;20),$Y29*12,DL$3-YEAR($X29)=20,DATEDIF(DATE(YEAR($X29),1,1),$X29,"m")*$Y29,DL$3-YEAR($X29)&gt;20,0)</f>
        <v>0</v>
      </c>
      <c r="DO29" s="166">
        <f t="shared" si="26"/>
        <v>2038</v>
      </c>
      <c r="DP29" s="158">
        <v>660421.95000000019</v>
      </c>
      <c r="DQ29" s="158">
        <v>462971.99729999999</v>
      </c>
      <c r="DR29" s="158">
        <v>25576.5</v>
      </c>
      <c r="DS29" s="158">
        <f t="shared" si="27"/>
        <v>1148970.4473000001</v>
      </c>
    </row>
    <row r="30" spans="1:636">
      <c r="A30" s="155" t="str" cm="1">
        <f t="array" ref="A30">INDEX('Monthly Report July 2025'!C:C,MATCH(E30,'Monthly Report July 2025'!E:E,0),0)</f>
        <v>OCS063</v>
      </c>
      <c r="B30" s="155" t="str" cm="1">
        <f t="array" ref="B30">_xlfn.IFS(LEFT(E30,3)="PGE","PGE",LEFT(E30,2)="PP","PAC",TRUE,"IP")</f>
        <v>PAC</v>
      </c>
      <c r="C30" s="155" t="str">
        <f>IF(ISNA(MATCH(E30,'Monthly Report July 2025'!E:E,0)),"Missing","Present")</f>
        <v>Present</v>
      </c>
      <c r="D30" s="155" t="str">
        <f>IF(ISNA(MATCH(E30,'Project Operational Timelines'!C:C,0))=TRUE,"Missing","Present")</f>
        <v>Present</v>
      </c>
      <c r="E30" s="155" t="s">
        <v>138</v>
      </c>
      <c r="F30" s="155" t="str" cm="1">
        <f t="array" ref="F30">INDEX('Monthly Report July 2025'!F:F,MATCH(E30,'Monthly Report July 2025'!E:E,),0)</f>
        <v>Buckaroo Solar 2</v>
      </c>
      <c r="G30" s="155" t="str" cm="1">
        <f t="array" ref="G30">_xlfn.IFS(INDEX('Monthly Report July 2025'!O:O,MATCH(E30,'Monthly Report July 2025'!E:E,0),0)="Operational","Operational",INDEX('Monthly Report July 2025'!O:O,MATCH(E30,'Monthly Report July 2025'!E:E,0),0)="Certified","Certified",TRUE,"Pre-Certified")</f>
        <v>Pre-Certified</v>
      </c>
      <c r="H30" s="155" t="str" cm="1">
        <f t="array" ref="H30">INDEX('Monthly Report July 2025'!H:H,MATCH($E30,'Monthly Report July 2025'!$E:$E,0),0)</f>
        <v>Sunthurst</v>
      </c>
      <c r="I30" s="155" t="str" cm="1">
        <f t="array" ref="I30">INDEX('Monthly Report July 2025'!I:I,MATCH($E30,'Monthly Report July 2025'!$E:$E,0),0)</f>
        <v>Sunthurst</v>
      </c>
      <c r="J30" s="174" cm="1">
        <f t="array" ref="J30">INDEX('Monthly Report July 2025'!J:J,MATCH($E30,'Monthly Report July 2025'!$E:$E,0),0)</f>
        <v>2</v>
      </c>
      <c r="K30" s="174" t="str" cm="1">
        <f t="array" ref="K30">INDEX('Monthly Report July 2025'!K:K,MATCH($E30,'Monthly Report July 2025'!$E:$E,0),0)</f>
        <v>No</v>
      </c>
      <c r="L30" s="174" t="b" cm="1">
        <f t="array" ref="L30">INDEX('Monthly Report July 2025'!L:L,MATCH(E30,'Monthly Report July 2025'!E:E,0),0)=M30</f>
        <v>1</v>
      </c>
      <c r="M30" s="273" cm="1">
        <f t="array" ref="M30">INDEX('Monthly Report July 2025'!L:L,MATCH($E30,'Monthly Report July 2025'!$E:$E,0),0)</f>
        <v>2990</v>
      </c>
      <c r="N30" s="175" cm="1">
        <f t="array" ref="N30">INDEX('Monthly Report July 2025'!M:M,MATCH($E30,'Monthly Report July 2025'!$E:$E,0),0)</f>
        <v>44681</v>
      </c>
      <c r="O30" s="175" cm="1">
        <f t="array" ref="O30">_xlfn.IFS(G30="Operational","Operational",G30="Certified","Certified",TRUE,INDEX('Monthly Report July 2025'!O:O,MATCH(E30,'Monthly Report July 2025'!E:E,0),0))</f>
        <v>45930</v>
      </c>
      <c r="P30" s="175" t="b" cm="1">
        <f t="array" ref="P30">_xlfn.IFS(G30="Operational",O30="Operational",G30="Certified",O30="Certified",TRUE,G30="Pre-Certified")</f>
        <v>1</v>
      </c>
      <c r="Q30" s="175" t="str" cm="1">
        <f t="array" ref="Q30">IF(O30="Operational",INDEX('Monthly Report July 2025'!R:R,MATCH(E30,'Monthly Report July 2025'!E:E,0),0),"")</f>
        <v/>
      </c>
      <c r="R30" s="175" t="str" cm="1">
        <f t="array" ref="R30">INDEX('Monthly Report July 2025'!P:P,MATCH(E30,'Monthly Report July 2025'!E:E,0),0)</f>
        <v>Not Yet Certified</v>
      </c>
      <c r="S30" s="175" t="b">
        <f t="shared" si="5"/>
        <v>1</v>
      </c>
      <c r="T30" s="175" cm="1">
        <f t="array" ref="T30">INDEX('Monthly Report July 2025'!U:U,MATCH(E30,'Monthly Report July 2025'!E:E,0),0)</f>
        <v>45930</v>
      </c>
      <c r="U30" s="175" t="b">
        <f t="shared" si="6"/>
        <v>1</v>
      </c>
      <c r="V30" s="156">
        <f t="shared" si="7"/>
        <v>45930</v>
      </c>
      <c r="W30" s="156" cm="1">
        <f t="array" ref="W30">_xlfn.IFS(U30=TRUE,EDATE(O30,6),U30=FALSE,T30,O30="Operational",Q30,AND(O30="Certified",EDATE(R30,6)&gt;T30),EDATE(R30,6),TRUE,T30)</f>
        <v>46111</v>
      </c>
      <c r="X30" s="156">
        <f t="shared" si="8"/>
        <v>46172</v>
      </c>
      <c r="Y30" s="157">
        <f t="shared" si="9"/>
        <v>2160.2750000000001</v>
      </c>
      <c r="Z30" s="202" cm="1">
        <f t="array" ref="Z30">_xlfn.IFS(Z$3&lt;$B$2,SUMPRODUCT(('PA Fees Actual'!$B$5:$B$882=$E30)*('PA Fees Actual'!$A$5:$A$882&gt;=Z$3)*('PA Fees Actual'!$A$5:$A$882&lt;=EOMONTH(Z$3,0))*'PA Fees Actual'!$D$5:$D$882),Z$3&gt;=EOMONTH($X30,-1)+1,$Y30,TRUE,0)</f>
        <v>0</v>
      </c>
      <c r="AA30" s="202" cm="1">
        <f t="array" ref="AA30">_xlfn.IFS(AA$3&lt;$B$2,SUMPRODUCT(('PA Fees Actual'!$B$5:$B$882=$E30)*('PA Fees Actual'!$A$5:$A$882&gt;=AA$3)*('PA Fees Actual'!$A$5:$A$882&lt;=EOMONTH(AA$3,0))*'PA Fees Actual'!$D$5:$D$882),AA$3&gt;=EOMONTH($X30,-1)+1,$Y30,TRUE,0)</f>
        <v>0</v>
      </c>
      <c r="AB30" s="202" cm="1">
        <f t="array" ref="AB30">_xlfn.IFS(AB$3&lt;$B$2,SUMPRODUCT(('PA Fees Actual'!$B$5:$B$882=$E30)*('PA Fees Actual'!$A$5:$A$882&gt;=AB$3)*('PA Fees Actual'!$A$5:$A$882&lt;=EOMONTH(AB$3,0))*'PA Fees Actual'!$D$5:$D$882),AB$3&gt;=EOMONTH($X30,-1)+1,$Y30,TRUE,0)</f>
        <v>0</v>
      </c>
      <c r="AC30" s="202" cm="1">
        <f t="array" ref="AC30">_xlfn.IFS(AC$3&lt;$B$2,SUMPRODUCT(('PA Fees Actual'!$B$5:$B$882=$E30)*('PA Fees Actual'!$A$5:$A$882&gt;=AC$3)*('PA Fees Actual'!$A$5:$A$882&lt;=EOMONTH(AC$3,0))*'PA Fees Actual'!$D$5:$D$882),AC$3&gt;=EOMONTH($X30,-1)+1,$Y30,TRUE,0)</f>
        <v>0</v>
      </c>
      <c r="AD30" s="202" cm="1">
        <f t="array" ref="AD30">_xlfn.IFS(AD$3&lt;$B$2,SUMPRODUCT(('PA Fees Actual'!$B$5:$B$882=$E30)*('PA Fees Actual'!$A$5:$A$882&gt;=AD$3)*('PA Fees Actual'!$A$5:$A$882&lt;=EOMONTH(AD$3,0))*'PA Fees Actual'!$D$5:$D$882),AD$3&gt;=EOMONTH($X30,-1)+1,$Y30,TRUE,0)</f>
        <v>0</v>
      </c>
      <c r="AE30" s="202" cm="1">
        <f t="array" ref="AE30">_xlfn.IFS(AE$3&lt;$B$2,SUMPRODUCT(('PA Fees Actual'!$B$5:$B$882=$E30)*('PA Fees Actual'!$A$5:$A$882&gt;=AE$3)*('PA Fees Actual'!$A$5:$A$882&lt;=EOMONTH(AE$3,0))*'PA Fees Actual'!$D$5:$D$882),AE$3&gt;=EOMONTH($X30,-1)+1,$Y30,TRUE,0)</f>
        <v>0</v>
      </c>
      <c r="AF30" s="202" cm="1">
        <f t="array" ref="AF30">_xlfn.IFS(AF$3&lt;$B$2,SUMPRODUCT(('PA Fees Actual'!$B$5:$B$882=$E30)*('PA Fees Actual'!$A$5:$A$882&gt;=AF$3)*('PA Fees Actual'!$A$5:$A$882&lt;=EOMONTH(AF$3,0))*'PA Fees Actual'!$D$5:$D$882),AF$3&gt;=EOMONTH($X30,-1)+1,$Y30,TRUE,0)</f>
        <v>0</v>
      </c>
      <c r="AG30" s="202" cm="1">
        <f t="array" ref="AG30">_xlfn.IFS(AG$3&lt;$B$2,SUMPRODUCT(('PA Fees Actual'!$B$5:$B$882=$E30)*('PA Fees Actual'!$A$5:$A$882&gt;=AG$3)*('PA Fees Actual'!$A$5:$A$882&lt;=EOMONTH(AG$3,0))*'PA Fees Actual'!$D$5:$D$882),AG$3&gt;=EOMONTH($X30,-1)+1,$Y30,TRUE,0)</f>
        <v>0</v>
      </c>
      <c r="AH30" s="202" cm="1">
        <f t="array" ref="AH30">_xlfn.IFS(AH$3&lt;$B$2,SUMPRODUCT(('PA Fees Actual'!$B$5:$B$882=$E30)*('PA Fees Actual'!$A$5:$A$882&gt;=AH$3)*('PA Fees Actual'!$A$5:$A$882&lt;=EOMONTH(AH$3,0))*'PA Fees Actual'!$D$5:$D$882),AH$3&gt;=EOMONTH($X30,-1)+1,$Y30,TRUE,0)</f>
        <v>0</v>
      </c>
      <c r="AI30" s="202" cm="1">
        <f t="array" ref="AI30">_xlfn.IFS(AI$3&lt;$B$2,SUMPRODUCT(('PA Fees Actual'!$B$5:$B$882=$E30)*('PA Fees Actual'!$A$5:$A$882&gt;=AI$3)*('PA Fees Actual'!$A$5:$A$882&lt;=EOMONTH(AI$3,0))*'PA Fees Actual'!$D$5:$D$882),AI$3&gt;=EOMONTH($X30,-1)+1,$Y30,TRUE,0)</f>
        <v>0</v>
      </c>
      <c r="AJ30" s="202" cm="1">
        <f t="array" ref="AJ30">_xlfn.IFS(AJ$3&lt;$B$2,SUMPRODUCT(('PA Fees Actual'!$B$5:$B$882=$E30)*('PA Fees Actual'!$A$5:$A$882&gt;=AJ$3)*('PA Fees Actual'!$A$5:$A$882&lt;=EOMONTH(AJ$3,0))*'PA Fees Actual'!$D$5:$D$882),AJ$3&gt;=EOMONTH($X30,-1)+1,$Y30,TRUE,0)</f>
        <v>0</v>
      </c>
      <c r="AK30" s="202" cm="1">
        <f t="array" ref="AK30">_xlfn.IFS(AK$3&lt;$B$2,SUMPRODUCT(('PA Fees Actual'!$B$5:$B$882=$E30)*('PA Fees Actual'!$A$5:$A$882&gt;=AK$3)*('PA Fees Actual'!$A$5:$A$882&lt;=EOMONTH(AK$3,0))*'PA Fees Actual'!$D$5:$D$882),AK$3&gt;=EOMONTH($X30,-1)+1,$Y30,TRUE,0)</f>
        <v>0</v>
      </c>
      <c r="AL30" s="202" cm="1">
        <f t="array" ref="AL30">_xlfn.IFS(AL$3&lt;$B$2,SUMPRODUCT(('PA Fees Actual'!$B$5:$B$882=$E30)*('PA Fees Actual'!$A$5:$A$882&gt;=AL$3)*('PA Fees Actual'!$A$5:$A$882&lt;=EOMONTH(AL$3,0))*'PA Fees Actual'!$D$5:$D$882),AL$3&gt;=EOMONTH($X30,-1)+1,$Y30,TRUE,0)</f>
        <v>0</v>
      </c>
      <c r="AM30" s="202" cm="1">
        <f t="array" ref="AM30">_xlfn.IFS(AM$3&lt;$B$2,SUMPRODUCT(('PA Fees Actual'!$B$5:$B$882=$E30)*('PA Fees Actual'!$A$5:$A$882&gt;=AM$3)*('PA Fees Actual'!$A$5:$A$882&lt;=EOMONTH(AM$3,0))*'PA Fees Actual'!$D$5:$D$882),AM$3&gt;=EOMONTH($X30,-1)+1,$Y30,TRUE,0)</f>
        <v>0</v>
      </c>
      <c r="AN30" s="202" cm="1">
        <f t="array" ref="AN30">_xlfn.IFS(AN$3&lt;$B$2,SUMPRODUCT(('PA Fees Actual'!$B$5:$B$882=$E30)*('PA Fees Actual'!$A$5:$A$882&gt;=AN$3)*('PA Fees Actual'!$A$5:$A$882&lt;=EOMONTH(AN$3,0))*'PA Fees Actual'!$D$5:$D$882),AN$3&gt;=EOMONTH($X30,-1)+1,$Y30,TRUE,0)</f>
        <v>0</v>
      </c>
      <c r="AO30" s="202" cm="1">
        <f t="array" ref="AO30">_xlfn.IFS(AO$3&lt;$B$2,SUMPRODUCT(('PA Fees Actual'!$B$5:$B$882=$E30)*('PA Fees Actual'!$A$5:$A$882&gt;=AO$3)*('PA Fees Actual'!$A$5:$A$882&lt;=EOMONTH(AO$3,0))*'PA Fees Actual'!$D$5:$D$882),AO$3&gt;=EOMONTH($X30,-1)+1,$Y30,TRUE,0)</f>
        <v>0</v>
      </c>
      <c r="AP30" s="202" cm="1">
        <f t="array" ref="AP30">_xlfn.IFS(AP$3&lt;$B$2,SUMPRODUCT(('PA Fees Actual'!$B$5:$B$882=$E30)*('PA Fees Actual'!$A$5:$A$882&gt;=AP$3)*('PA Fees Actual'!$A$5:$A$882&lt;=EOMONTH(AP$3,0))*'PA Fees Actual'!$D$5:$D$882),AP$3&gt;=EOMONTH($X30,-1)+1,$Y30,TRUE,0)</f>
        <v>0</v>
      </c>
      <c r="AQ30" s="202" cm="1">
        <f t="array" ref="AQ30">_xlfn.IFS(AQ$3&lt;$B$2,SUMPRODUCT(('PA Fees Actual'!$B$5:$B$882=$E30)*('PA Fees Actual'!$A$5:$A$882&gt;=AQ$3)*('PA Fees Actual'!$A$5:$A$882&lt;=EOMONTH(AQ$3,0))*'PA Fees Actual'!$D$5:$D$882),AQ$3&gt;=EOMONTH($X30,-1)+1,$Y30,TRUE,0)</f>
        <v>0</v>
      </c>
      <c r="AR30" s="202" cm="1">
        <f t="array" ref="AR30">_xlfn.IFS(AR$3&lt;$B$2,SUMPRODUCT(('PA Fees Actual'!$B$5:$B$882=$E30)*('PA Fees Actual'!$A$5:$A$882&gt;=AR$3)*('PA Fees Actual'!$A$5:$A$882&lt;=EOMONTH(AR$3,0))*'PA Fees Actual'!$D$5:$D$882),AR$3&gt;=EOMONTH($X30,-1)+1,$Y30,TRUE,0)</f>
        <v>0</v>
      </c>
      <c r="AS30" s="202" cm="1">
        <f t="array" ref="AS30">_xlfn.IFS(AS$3&lt;$B$2,SUMPRODUCT(('PA Fees Actual'!$B$5:$B$882=$E30)*('PA Fees Actual'!$A$5:$A$882&gt;=AS$3)*('PA Fees Actual'!$A$5:$A$882&lt;=EOMONTH(AS$3,0))*'PA Fees Actual'!$D$5:$D$882),AS$3&gt;=EOMONTH($X30,-1)+1,$Y30,TRUE,0)</f>
        <v>0</v>
      </c>
      <c r="AT30" s="202" cm="1">
        <f t="array" ref="AT30">_xlfn.IFS(AT$3&lt;$B$2,SUMPRODUCT(('PA Fees Actual'!$B$5:$B$882=$E30)*('PA Fees Actual'!$A$5:$A$882&gt;=AT$3)*('PA Fees Actual'!$A$5:$A$882&lt;=EOMONTH(AT$3,0))*'PA Fees Actual'!$D$5:$D$882),AT$3&gt;=EOMONTH($X30,-1)+1,$Y30,TRUE,0)</f>
        <v>0</v>
      </c>
      <c r="AU30" s="202" cm="1">
        <f t="array" ref="AU30">_xlfn.IFS(AU$3&lt;$B$2,SUMPRODUCT(('PA Fees Actual'!$B$5:$B$882=$E30)*('PA Fees Actual'!$A$5:$A$882&gt;=AU$3)*('PA Fees Actual'!$A$5:$A$882&lt;=EOMONTH(AU$3,0))*'PA Fees Actual'!$D$5:$D$882),AU$3&gt;=EOMONTH($X30,-1)+1,$Y30,TRUE,0)</f>
        <v>0</v>
      </c>
      <c r="AV30" s="202" cm="1">
        <f t="array" ref="AV30">_xlfn.IFS(AV$3&lt;$B$2,SUMPRODUCT(('PA Fees Actual'!$B$5:$B$882=$E30)*('PA Fees Actual'!$A$5:$A$882&gt;=AV$3)*('PA Fees Actual'!$A$5:$A$882&lt;=EOMONTH(AV$3,0))*'PA Fees Actual'!$D$5:$D$882),AV$3&gt;=EOMONTH($X30,-1)+1,$Y30,TRUE,0)</f>
        <v>0</v>
      </c>
      <c r="AW30" s="202" cm="1">
        <f t="array" ref="AW30">_xlfn.IFS(AW$3&lt;$B$2,SUMPRODUCT(('PA Fees Actual'!$B$5:$B$882=$E30)*('PA Fees Actual'!$A$5:$A$882&gt;=AW$3)*('PA Fees Actual'!$A$5:$A$882&lt;=EOMONTH(AW$3,0))*'PA Fees Actual'!$D$5:$D$882),AW$3&gt;=EOMONTH($X30,-1)+1,$Y30,TRUE,0)</f>
        <v>0</v>
      </c>
      <c r="AX30" s="202" cm="1">
        <f t="array" ref="AX30">_xlfn.IFS(AX$3&lt;$B$2,SUMPRODUCT(('PA Fees Actual'!$B$5:$B$882=$E30)*('PA Fees Actual'!$A$5:$A$882&gt;=AX$3)*('PA Fees Actual'!$A$5:$A$882&lt;=EOMONTH(AX$3,0))*'PA Fees Actual'!$D$5:$D$882),AX$3&gt;=EOMONTH($X30,-1)+1,$Y30,TRUE,0)</f>
        <v>0</v>
      </c>
      <c r="AY30" s="202" cm="1">
        <f t="array" ref="AY30">_xlfn.IFS(AY$3&lt;$B$2,SUMPRODUCT(('PA Fees Actual'!$B$5:$B$882=$E30)*('PA Fees Actual'!$A$5:$A$882&gt;=AY$3)*('PA Fees Actual'!$A$5:$A$882&lt;=EOMONTH(AY$3,0))*'PA Fees Actual'!$D$5:$D$882),AY$3&gt;=EOMONTH($X30,-1)+1,$Y30,TRUE,0)</f>
        <v>0</v>
      </c>
      <c r="AZ30" s="202" cm="1">
        <f t="array" ref="AZ30">_xlfn.IFS(AZ$3&lt;$B$2,SUMPRODUCT(('PA Fees Actual'!$B$5:$B$882=$E30)*('PA Fees Actual'!$A$5:$A$882&gt;=AZ$3)*('PA Fees Actual'!$A$5:$A$882&lt;=EOMONTH(AZ$3,0))*'PA Fees Actual'!$D$5:$D$882),AZ$3&gt;=EOMONTH($X30,-1)+1,$Y30,TRUE,0)</f>
        <v>0</v>
      </c>
      <c r="BA30" s="202" cm="1">
        <f t="array" ref="BA30">_xlfn.IFS(BA$3&lt;$B$2,SUMPRODUCT(('PA Fees Actual'!$B$5:$B$882=$E30)*('PA Fees Actual'!$A$5:$A$882&gt;=BA$3)*('PA Fees Actual'!$A$5:$A$882&lt;=EOMONTH(BA$3,0))*'PA Fees Actual'!$D$5:$D$882),BA$3&gt;=EOMONTH($X30,-1)+1,$Y30,TRUE,0)</f>
        <v>0</v>
      </c>
      <c r="BB30" s="202" cm="1">
        <f t="array" ref="BB30">_xlfn.IFS(BB$3&lt;$B$2,SUMPRODUCT(('PA Fees Actual'!$B$5:$B$882=$E30)*('PA Fees Actual'!$A$5:$A$882&gt;=BB$3)*('PA Fees Actual'!$A$5:$A$882&lt;=EOMONTH(BB$3,0))*'PA Fees Actual'!$D$5:$D$882),BB$3&gt;=EOMONTH($X30,-1)+1,$Y30,TRUE,0)</f>
        <v>0</v>
      </c>
      <c r="BC30" s="202" cm="1">
        <f t="array" ref="BC30">_xlfn.IFS(BC$3&lt;$B$2,SUMPRODUCT(('PA Fees Actual'!$B$5:$B$882=$E30)*('PA Fees Actual'!$A$5:$A$882&gt;=BC$3)*('PA Fees Actual'!$A$5:$A$882&lt;=EOMONTH(BC$3,0))*'PA Fees Actual'!$D$5:$D$882),BC$3&gt;=EOMONTH($X30,-1)+1,$Y30,TRUE,0)</f>
        <v>0</v>
      </c>
      <c r="BD30" s="202" cm="1">
        <f t="array" ref="BD30">_xlfn.IFS(BD$3&lt;$B$2,SUMPRODUCT(('PA Fees Actual'!$B$5:$B$882=$E30)*('PA Fees Actual'!$A$5:$A$882&gt;=BD$3)*('PA Fees Actual'!$A$5:$A$882&lt;=EOMONTH(BD$3,0))*'PA Fees Actual'!$D$5:$D$882),BD$3&gt;=EOMONTH($X30,-1)+1,$Y30,TRUE,0)</f>
        <v>0</v>
      </c>
      <c r="BE30" s="202" cm="1">
        <f t="array" ref="BE30">_xlfn.IFS(BE$3&lt;$B$2,SUMPRODUCT(('PA Fees Actual'!$B$5:$B$882=$E30)*('PA Fees Actual'!$A$5:$A$882&gt;=BE$3)*('PA Fees Actual'!$A$5:$A$882&lt;=EOMONTH(BE$3,0))*'PA Fees Actual'!$D$5:$D$882),BE$3&gt;=EOMONTH($X30,-1)+1,$Y30,TRUE,0)</f>
        <v>0</v>
      </c>
      <c r="BF30" s="202" cm="1">
        <f t="array" ref="BF30">_xlfn.IFS(BF$3&lt;$B$2,SUMPRODUCT(('PA Fees Actual'!$B$5:$B$882=$E30)*('PA Fees Actual'!$A$5:$A$882&gt;=BF$3)*('PA Fees Actual'!$A$5:$A$882&lt;=EOMONTH(BF$3,0))*'PA Fees Actual'!$D$5:$D$882),BF$3&gt;=EOMONTH($X30,-1)+1,$Y30,TRUE,0)</f>
        <v>0</v>
      </c>
      <c r="BG30" s="202" cm="1">
        <f t="array" ref="BG30">_xlfn.IFS(BG$3&lt;$B$2,SUMPRODUCT(('PA Fees Actual'!$B$5:$B$882=$E30)*('PA Fees Actual'!$A$5:$A$882&gt;=BG$3)*('PA Fees Actual'!$A$5:$A$882&lt;=EOMONTH(BG$3,0))*'PA Fees Actual'!$D$5:$D$882),BG$3&gt;=EOMONTH($X30,-1)+1,$Y30,TRUE,0)</f>
        <v>0</v>
      </c>
      <c r="BH30" s="202" cm="1">
        <f t="array" ref="BH30">_xlfn.IFS(BH$3&lt;$B$2,SUMPRODUCT(('PA Fees Actual'!$B$5:$B$882=$E30)*('PA Fees Actual'!$A$5:$A$882&gt;=BH$3)*('PA Fees Actual'!$A$5:$A$882&lt;=EOMONTH(BH$3,0))*'PA Fees Actual'!$D$5:$D$882),BH$3&gt;=EOMONTH($X30,-1)+1,$Y30,TRUE,0)</f>
        <v>0</v>
      </c>
      <c r="BI30" s="202" cm="1">
        <f t="array" ref="BI30">_xlfn.IFS(BI$3&lt;$B$2,SUMPRODUCT(('PA Fees Actual'!$B$5:$B$882=$E30)*('PA Fees Actual'!$A$5:$A$882&gt;=BI$3)*('PA Fees Actual'!$A$5:$A$882&lt;=EOMONTH(BI$3,0))*'PA Fees Actual'!$D$5:$D$882),BI$3&gt;=EOMONTH($X30,-1)+1,$Y30,TRUE,0)</f>
        <v>0</v>
      </c>
      <c r="BJ30" s="202" cm="1">
        <f t="array" ref="BJ30">_xlfn.IFS(BJ$3&lt;$B$2,SUMPRODUCT(('PA Fees Actual'!$B$5:$B$882=$E30)*('PA Fees Actual'!$A$5:$A$882&gt;=BJ$3)*('PA Fees Actual'!$A$5:$A$882&lt;=EOMONTH(BJ$3,0))*'PA Fees Actual'!$D$5:$D$882),BJ$3&gt;=EOMONTH($X30,-1)+1,$Y30,TRUE,0)</f>
        <v>0</v>
      </c>
      <c r="BK30" s="202" cm="1">
        <f t="array" ref="BK30">_xlfn.IFS(BK$3&lt;$B$2,SUMPRODUCT(('PA Fees Actual'!$B$5:$B$882=$E30)*('PA Fees Actual'!$A$5:$A$882&gt;=BK$3)*('PA Fees Actual'!$A$5:$A$882&lt;=EOMONTH(BK$3,0))*'PA Fees Actual'!$D$5:$D$882),BK$3&gt;=EOMONTH($X30,-1)+1,$Y30,TRUE,0)</f>
        <v>0</v>
      </c>
      <c r="BL30" s="202" cm="1">
        <f t="array" ref="BL30">_xlfn.IFS(BL$3&lt;$B$2,SUMPRODUCT(('PA Fees Actual'!$B$5:$B$882=$E30)*('PA Fees Actual'!$A$5:$A$882&gt;=BL$3)*('PA Fees Actual'!$A$5:$A$882&lt;=EOMONTH(BL$3,0))*'PA Fees Actual'!$D$5:$D$882),BL$3&gt;=EOMONTH($X30,-1)+1,$Y30,TRUE,0)</f>
        <v>0</v>
      </c>
      <c r="BM30" s="202" cm="1">
        <f t="array" ref="BM30">_xlfn.IFS(BM$3&lt;$B$2,SUMPRODUCT(('PA Fees Actual'!$B$5:$B$882=$E30)*('PA Fees Actual'!$A$5:$A$882&gt;=BM$3)*('PA Fees Actual'!$A$5:$A$882&lt;=EOMONTH(BM$3,0))*'PA Fees Actual'!$D$5:$D$882),BM$3&gt;=EOMONTH($X30,-1)+1,$Y30,TRUE,0)</f>
        <v>0</v>
      </c>
      <c r="BN30" s="202" cm="1">
        <f t="array" ref="BN30">_xlfn.IFS(BN$3&lt;$B$2,SUMPRODUCT(('PA Fees Actual'!$B$5:$B$882=$E30)*('PA Fees Actual'!$A$5:$A$882&gt;=BN$3)*('PA Fees Actual'!$A$5:$A$882&lt;=EOMONTH(BN$3,0))*'PA Fees Actual'!$D$5:$D$882),BN$3&gt;=EOMONTH($X30,-1)+1,$Y30,TRUE,0)</f>
        <v>0</v>
      </c>
      <c r="BO30" s="202" cm="1">
        <f t="array" ref="BO30">_xlfn.IFS(BO$3&lt;$B$2,SUMPRODUCT(('PA Fees Actual'!$B$5:$B$882=$E30)*('PA Fees Actual'!$A$5:$A$882&gt;=BO$3)*('PA Fees Actual'!$A$5:$A$882&lt;=EOMONTH(BO$3,0))*'PA Fees Actual'!$D$5:$D$882),BO$3&gt;=EOMONTH($X30,-1)+1,$Y30,TRUE,0)</f>
        <v>0</v>
      </c>
      <c r="BP30" s="202" cm="1">
        <f t="array" ref="BP30">_xlfn.IFS(BP$3&lt;$B$2,SUMPRODUCT(('PA Fees Actual'!$B$5:$B$882=$E30)*('PA Fees Actual'!$A$5:$A$882&gt;=BP$3)*('PA Fees Actual'!$A$5:$A$882&lt;=EOMONTH(BP$3,0))*'PA Fees Actual'!$D$5:$D$882),BP$3&gt;=EOMONTH($X30,-1)+1,$Y30,TRUE,0)</f>
        <v>0</v>
      </c>
      <c r="BQ30" s="202" cm="1">
        <f t="array" ref="BQ30">_xlfn.IFS(BQ$3&lt;$B$2,SUMPRODUCT(('PA Fees Actual'!$B$5:$B$882=$E30)*('PA Fees Actual'!$A$5:$A$882&gt;=BQ$3)*('PA Fees Actual'!$A$5:$A$882&lt;=EOMONTH(BQ$3,0))*'PA Fees Actual'!$D$5:$D$882),BQ$3&gt;=EOMONTH($X30,-1)+1,$Y30,TRUE,0)</f>
        <v>0</v>
      </c>
      <c r="BR30" s="202" cm="1">
        <f t="array" ref="BR30">_xlfn.IFS(BR$3&lt;$B$2,SUMPRODUCT(('PA Fees Actual'!$B$5:$B$882=$E30)*('PA Fees Actual'!$A$5:$A$882&gt;=BR$3)*('PA Fees Actual'!$A$5:$A$882&lt;=EOMONTH(BR$3,0))*'PA Fees Actual'!$D$5:$D$882),BR$3&gt;=EOMONTH($X30,-1)+1,$Y30,TRUE,0)</f>
        <v>0</v>
      </c>
      <c r="BS30" s="202" cm="1">
        <f t="array" ref="BS30">_xlfn.IFS(BS$3&lt;$B$2,SUMPRODUCT(('PA Fees Actual'!$B$5:$B$882=$E30)*('PA Fees Actual'!$A$5:$A$882&gt;=BS$3)*('PA Fees Actual'!$A$5:$A$882&lt;=EOMONTH(BS$3,0))*'PA Fees Actual'!$D$5:$D$882),BS$3&gt;=EOMONTH($X30,-1)+1,$Y30,TRUE,0)</f>
        <v>0</v>
      </c>
      <c r="BT30" s="202" cm="1">
        <f t="array" ref="BT30">_xlfn.IFS(BT$3&lt;$B$2,SUMPRODUCT(('PA Fees Actual'!$B$5:$B$882=$E30)*('PA Fees Actual'!$A$5:$A$882&gt;=BT$3)*('PA Fees Actual'!$A$5:$A$882&lt;=EOMONTH(BT$3,0))*'PA Fees Actual'!$D$5:$D$882),BT$3&gt;=EOMONTH($X30,-1)+1,$Y30,TRUE,0)</f>
        <v>0</v>
      </c>
      <c r="BU30" s="202" cm="1">
        <f t="array" ref="BU30">_xlfn.IFS(BU$3&lt;$B$2,SUMPRODUCT(('PA Fees Actual'!$B$5:$B$882=$E30)*('PA Fees Actual'!$A$5:$A$882&gt;=BU$3)*('PA Fees Actual'!$A$5:$A$882&lt;=EOMONTH(BU$3,0))*'PA Fees Actual'!$D$5:$D$882),BU$3&gt;=EOMONTH($X30,-1)+1,$Y30,TRUE,0)</f>
        <v>0</v>
      </c>
      <c r="BV30" s="202" cm="1">
        <f t="array" ref="BV30">_xlfn.IFS(BV$3&lt;$B$2,SUMPRODUCT(('PA Fees Actual'!$B$5:$B$882=$E30)*('PA Fees Actual'!$A$5:$A$882&gt;=BV$3)*('PA Fees Actual'!$A$5:$A$882&lt;=EOMONTH(BV$3,0))*'PA Fees Actual'!$D$5:$D$882),BV$3&gt;=EOMONTH($X30,-1)+1,$Y30,TRUE,0)</f>
        <v>0</v>
      </c>
      <c r="BW30" s="202" cm="1">
        <f t="array" ref="BW30">_xlfn.IFS(BW$3&lt;$B$2,SUMPRODUCT(('PA Fees Actual'!$B$5:$B$882=$E30)*('PA Fees Actual'!$A$5:$A$882&gt;=BW$3)*('PA Fees Actual'!$A$5:$A$882&lt;=EOMONTH(BW$3,0))*'PA Fees Actual'!$D$5:$D$882),BW$3&gt;=EOMONTH($X30,-1)+1,$Y30,TRUE,0)</f>
        <v>0</v>
      </c>
      <c r="BX30" s="202" cm="1">
        <f t="array" ref="BX30">_xlfn.IFS(BX$3&lt;$B$2,SUMPRODUCT(('PA Fees Actual'!$B$5:$B$882=$E30)*('PA Fees Actual'!$A$5:$A$882&gt;=BX$3)*('PA Fees Actual'!$A$5:$A$882&lt;=EOMONTH(BX$3,0))*'PA Fees Actual'!$D$5:$D$882),BX$3&gt;=EOMONTH($X30,-1)+1,$Y30,TRUE,0)</f>
        <v>0</v>
      </c>
      <c r="BY30" s="202" cm="1">
        <f t="array" ref="BY30">_xlfn.IFS(BY$3&lt;$B$2,SUMPRODUCT(('PA Fees Actual'!$B$5:$B$882=$E30)*('PA Fees Actual'!$A$5:$A$882&gt;=BY$3)*('PA Fees Actual'!$A$5:$A$882&lt;=EOMONTH(BY$3,0))*'PA Fees Actual'!$D$5:$D$882),BY$3&gt;=EOMONTH($X30,-1)+1,$Y30,TRUE,0)</f>
        <v>0</v>
      </c>
      <c r="BZ30" s="202" cm="1">
        <f t="array" ref="BZ30">_xlfn.IFS(BZ$3&lt;$B$2,SUMPRODUCT(('PA Fees Actual'!$B$5:$B$882=$E30)*('PA Fees Actual'!$A$5:$A$882&gt;=BZ$3)*('PA Fees Actual'!$A$5:$A$882&lt;=EOMONTH(BZ$3,0))*'PA Fees Actual'!$D$5:$D$882),BZ$3&gt;=EOMONTH($X30,-1)+1,$Y30,TRUE,0)</f>
        <v>0</v>
      </c>
      <c r="CA30" s="202" cm="1">
        <f t="array" ref="CA30">_xlfn.IFS(CA$3&lt;$B$2,SUMPRODUCT(('PA Fees Actual'!$B$5:$B$882=$E30)*('PA Fees Actual'!$A$5:$A$882&gt;=CA$3)*('PA Fees Actual'!$A$5:$A$882&lt;=EOMONTH(CA$3,0))*'PA Fees Actual'!$D$5:$D$882),CA$3&gt;=EOMONTH($X30,-1)+1,$Y30,TRUE,0)</f>
        <v>0</v>
      </c>
      <c r="CB30" s="202" cm="1">
        <f t="array" ref="CB30">_xlfn.IFS(CB$3&lt;$B$2,SUMPRODUCT(('PA Fees Actual'!$B$5:$B$749=$E30)*('PA Fees Actual'!$A$5:$A$749&gt;=CB$3)*('PA Fees Actual'!$A$5:$A$749&lt;=EOMONTH(CB$3,0))*'PA Fees Actual'!$D$5:$D$749),CB$3&gt;=EOMONTH($X30,-1)+1,$Y30,TRUE,0)</f>
        <v>0</v>
      </c>
      <c r="CC30" s="202" cm="1">
        <f t="array" ref="CC30">_xlfn.IFS(CC$3&lt;$B$2,SUMPRODUCT(('PA Fees Actual'!$B$5:$B$749=$E30)*('PA Fees Actual'!$A$5:$A$749&gt;=CC$3)*('PA Fees Actual'!$A$5:$A$749&lt;=EOMONTH(CC$3,0))*'PA Fees Actual'!$D$5:$D$749),CC$3&gt;=EOMONTH($X30,-1)+1,$Y30,TRUE,0)</f>
        <v>0</v>
      </c>
      <c r="CD30" s="202" cm="1">
        <f t="array" ref="CD30">_xlfn.IFS(CD$3&lt;$B$2,SUMPRODUCT(('PA Fees Actual'!$B$5:$B$749=$E30)*('PA Fees Actual'!$A$5:$A$749&gt;=CD$3)*('PA Fees Actual'!$A$5:$A$749&lt;=EOMONTH(CD$3,0))*'PA Fees Actual'!$D$5:$D$749),CD$3&gt;=EOMONTH($X30,-1)+1,$Y30,TRUE,0)</f>
        <v>0</v>
      </c>
      <c r="CE30" s="202" cm="1">
        <f t="array" ref="CE30">_xlfn.IFS(CE$3&lt;$B$2,SUMPRODUCT(('PA Fees Actual'!$B$5:$B$749=$E30)*('PA Fees Actual'!$A$5:$A$749&gt;=CE$3)*('PA Fees Actual'!$A$5:$A$749&lt;=EOMONTH(CE$3,0))*'PA Fees Actual'!$D$5:$D$749),CE$3&gt;=EOMONTH($X30,-1)+1,$Y30,TRUE,0)</f>
        <v>0</v>
      </c>
      <c r="CF30" s="202" cm="1">
        <f t="array" ref="CF30">_xlfn.IFS(CF$3&lt;$B$2,SUMPRODUCT(('PA Fees Actual'!$B$5:$B$749=$E30)*('PA Fees Actual'!$A$5:$A$749&gt;=CF$3)*('PA Fees Actual'!$A$5:$A$749&lt;=EOMONTH(CF$3,0))*'PA Fees Actual'!$D$5:$D$749),CF$3&gt;=EOMONTH($X30,-1)+1,$Y30,TRUE,0)</f>
        <v>0</v>
      </c>
      <c r="CG30" s="202" cm="1">
        <f t="array" ref="CG30">_xlfn.IFS(CG$3&lt;$B$2,SUMPRODUCT(('PA Fees Actual'!$B$5:$B$749=$E30)*('PA Fees Actual'!$A$5:$A$749&gt;=CG$3)*('PA Fees Actual'!$A$5:$A$749&lt;=EOMONTH(CG$3,0))*'PA Fees Actual'!$D$5:$D$749),CG$3&gt;=EOMONTH($X30,-1)+1,$Y30,TRUE,0)</f>
        <v>0</v>
      </c>
      <c r="CI30" s="202" cm="1">
        <f t="array" ref="CI30">_xlfn.IFS(CI$3&lt;=YEAR($B$2),SUMPRODUCT(($E$4:$E$79=$E30)*($Z$2:$CG$2=CI$3)*($Z$2:$CG$2&lt;CJ$3)*$Z$4:$CG$79),CI$3&lt;YEAR($X30),0,CI$3=YEAR($X30),DATEDIF($X30,DATE(CI$3,12,31),"m")*$Y30,AND(CI$3&gt;YEAR($X30),CI$3-YEAR($X30)&lt;20),$Y30*12,CI$3-YEAR($X30)=20,DATEDIF(DATE(YEAR($X30),1,1),$X30,"m")*$Y30,CI$3-YEAR($X30)&gt;20,0)</f>
        <v>0</v>
      </c>
      <c r="CJ30" s="202" cm="1">
        <f t="array" ref="CJ30">_xlfn.IFS(CJ$3&lt;=YEAR($B$2),SUMPRODUCT(($E$4:$E$79=$E30)*($Z$2:$CG$2=CJ$3)*($Z$2:$CG$2&lt;CK$3)*$Z$4:$CG$79),CJ$3&lt;YEAR($X30),0,CJ$3=YEAR($X30),DATEDIF($X30,DATE(CJ$3,12,31),"m")*$Y30,AND(CJ$3&gt;YEAR($X30),CJ$3-YEAR($X30)&lt;20),$Y30*12,CJ$3-YEAR($X30)=20,DATEDIF(DATE(YEAR($X30),1,1),$X30,"m")*$Y30,CJ$3-YEAR($X30)&gt;20,0)</f>
        <v>0</v>
      </c>
      <c r="CK30" s="202" cm="1">
        <f t="array" ref="CK30">_xlfn.IFS(CK$3&lt;=YEAR($B$2),SUMPRODUCT(($E$4:$E$79=$E30)*($Z$2:$CG$2=CK$3)*($Z$2:$CG$2&lt;CL$3)*$Z$4:$CG$79),CK$3&lt;YEAR($X30),0,CK$3=YEAR($X30),DATEDIF($X30,DATE(CK$3,12,31),"m")*$Y30,AND(CK$3&gt;YEAR($X30),CK$3-YEAR($X30)&lt;20),$Y30*12,CK$3-YEAR($X30)=20,DATEDIF(DATE(YEAR($X30),1,1),$X30,"m")*$Y30,CK$3-YEAR($X30)&gt;20,0)</f>
        <v>0</v>
      </c>
      <c r="CL30" s="202" cm="1">
        <f t="array" ref="CL30">_xlfn.IFS(CL$3&lt;=YEAR($B$2),SUMPRODUCT(($E$4:$E$79=$E30)*($Z$2:$CG$2=CL$3)*($Z$2:$CG$2&lt;CM$3)*$Z$4:$CG$79),CL$3&lt;YEAR($X30),0,CL$3=YEAR($X30),DATEDIF($X30,DATE(CL$3,12,31),"m")*$Y30,AND(CL$3&gt;YEAR($X30),CL$3-YEAR($X30)&lt;20),$Y30*12,CL$3-YEAR($X30)=20,DATEDIF(DATE(YEAR($X30),1,1),$X30,"m")*$Y30,CL$3-YEAR($X30)&gt;20,0)</f>
        <v>0</v>
      </c>
      <c r="CM30" s="202" cm="1">
        <f t="array" ref="CM30">_xlfn.IFS(CM$3&lt;=YEAR($B$2),SUMPRODUCT(($E$4:$E$79=$E30)*($Z$2:$CG$2=CM$3)*($Z$2:$CG$2&lt;CN$3)*$Z$4:$CG$79),CM$3&lt;YEAR($X30),0,CM$3=YEAR($X30),DATEDIF($X30,DATE(CM$3,12,31),"m")*$Y30,AND(CM$3&gt;YEAR($X30),CM$3-YEAR($X30)&lt;20),$Y30*12,CM$3-YEAR($X30)=20,DATEDIF(DATE(YEAR($X30),1,1),$X30,"m")*$Y30,CM$3-YEAR($X30)&gt;20,0)</f>
        <v>0</v>
      </c>
      <c r="CN30" s="202" cm="1">
        <f t="array" ref="CN30">_xlfn.IFS(CN$3&lt;=YEAR($B$2),SUMPRODUCT(($E$4:$E$79=$E30)*($Z$2:$CG$2=CN$3)*($Z$2:$CG$2&lt;CO$3)*$Z$4:$CG$79),CN$3&lt;YEAR($X30),0,CN$3=YEAR($X30),DATEDIF($X30,DATE(CN$3,12,31),"m")*$Y30,AND(CN$3&gt;YEAR($X30),CN$3-YEAR($X30)&lt;20),$Y30*12,CN$3-YEAR($X30)=20,DATEDIF(DATE(YEAR($X30),1,1),$X30,"m")*$Y30,CN$3-YEAR($X30)&gt;20,0)</f>
        <v>15121.925000000001</v>
      </c>
      <c r="CO30" s="202" cm="1">
        <f t="array" ref="CO30">_xlfn.IFS(CO$3&lt;=YEAR($B$2),SUMPRODUCT(($E$4:$E$79=$E30)*($Z$2:$CG$2=CO$3)*($Z$2:$CG$2&lt;CP$3)*$Z$4:$CG$79),CO$3&lt;YEAR($X30),0,CO$3=YEAR($X30),DATEDIF($X30,DATE(CO$3,12,31),"m")*$Y30,AND(CO$3&gt;YEAR($X30),CO$3-YEAR($X30)&lt;20),$Y30*12,CO$3-YEAR($X30)=20,DATEDIF(DATE(YEAR($X30),1,1),$X30,"m")*$Y30,CO$3-YEAR($X30)&gt;20,0)</f>
        <v>25923.300000000003</v>
      </c>
      <c r="CP30" s="202" cm="1">
        <f t="array" ref="CP30">_xlfn.IFS(CP$3&lt;=YEAR($B$2),SUMPRODUCT(($E$4:$E$79=$E30)*($Z$2:$CG$2=CP$3)*($Z$2:$CG$2&lt;CQ$3)*$Z$4:$CG$79),CP$3&lt;YEAR($X30),0,CP$3=YEAR($X30),DATEDIF($X30,DATE(CP$3,12,31),"m")*$Y30,AND(CP$3&gt;YEAR($X30),CP$3-YEAR($X30)&lt;20),$Y30*12,CP$3-YEAR($X30)=20,DATEDIF(DATE(YEAR($X30),1,1),$X30,"m")*$Y30,CP$3-YEAR($X30)&gt;20,0)</f>
        <v>25923.300000000003</v>
      </c>
      <c r="CQ30" s="202" cm="1">
        <f t="array" ref="CQ30">_xlfn.IFS(CQ$3&lt;=YEAR($B$2),SUMPRODUCT(($E$4:$E$79=$E30)*($Z$2:$CG$2=CQ$3)*($Z$2:$CG$2&lt;CR$3)*$Z$4:$CG$79),CQ$3&lt;YEAR($X30),0,CQ$3=YEAR($X30),DATEDIF($X30,DATE(CQ$3,12,31),"m")*$Y30,AND(CQ$3&gt;YEAR($X30),CQ$3-YEAR($X30)&lt;20),$Y30*12,CQ$3-YEAR($X30)=20,DATEDIF(DATE(YEAR($X30),1,1),$X30,"m")*$Y30,CQ$3-YEAR($X30)&gt;20,0)</f>
        <v>25923.300000000003</v>
      </c>
      <c r="CR30" s="202" cm="1">
        <f t="array" ref="CR30">_xlfn.IFS(CR$3&lt;=YEAR($B$2),SUMPRODUCT(($E$4:$E$79=$E30)*($Z$2:$CG$2=CR$3)*($Z$2:$CG$2&lt;CS$3)*$Z$4:$CG$79),CR$3&lt;YEAR($X30),0,CR$3=YEAR($X30),DATEDIF($X30,DATE(CR$3,12,31),"m")*$Y30,AND(CR$3&gt;YEAR($X30),CR$3-YEAR($X30)&lt;20),$Y30*12,CR$3-YEAR($X30)=20,DATEDIF(DATE(YEAR($X30),1,1),$X30,"m")*$Y30,CR$3-YEAR($X30)&gt;20,0)</f>
        <v>25923.300000000003</v>
      </c>
      <c r="CS30" s="202" cm="1">
        <f t="array" ref="CS30">_xlfn.IFS(CS$3&lt;=YEAR($B$2),SUMPRODUCT(($E$4:$E$79=$E30)*($Z$2:$CG$2=CS$3)*($Z$2:$CG$2&lt;CT$3)*$Z$4:$CG$79),CS$3&lt;YEAR($X30),0,CS$3=YEAR($X30),DATEDIF($X30,DATE(CS$3,12,31),"m")*$Y30,AND(CS$3&gt;YEAR($X30),CS$3-YEAR($X30)&lt;20),$Y30*12,CS$3-YEAR($X30)=20,DATEDIF(DATE(YEAR($X30),1,1),$X30,"m")*$Y30,CS$3-YEAR($X30)&gt;20,0)</f>
        <v>25923.300000000003</v>
      </c>
      <c r="CT30" s="202" cm="1">
        <f t="array" ref="CT30">_xlfn.IFS(CT$3&lt;=YEAR($B$2),SUMPRODUCT(($E$4:$E$79=$E30)*($Z$2:$CG$2=CT$3)*($Z$2:$CG$2&lt;CU$3)*$Z$4:$CG$79),CT$3&lt;YEAR($X30),0,CT$3=YEAR($X30),DATEDIF($X30,DATE(CT$3,12,31),"m")*$Y30,AND(CT$3&gt;YEAR($X30),CT$3-YEAR($X30)&lt;20),$Y30*12,CT$3-YEAR($X30)=20,DATEDIF(DATE(YEAR($X30),1,1),$X30,"m")*$Y30,CT$3-YEAR($X30)&gt;20,0)</f>
        <v>25923.300000000003</v>
      </c>
      <c r="CU30" s="202" cm="1">
        <f t="array" ref="CU30">_xlfn.IFS(CU$3&lt;=YEAR($B$2),SUMPRODUCT(($E$4:$E$79=$E30)*($Z$2:$CG$2=CU$3)*($Z$2:$CG$2&lt;CV$3)*$Z$4:$CG$79),CU$3&lt;YEAR($X30),0,CU$3=YEAR($X30),DATEDIF($X30,DATE(CU$3,12,31),"m")*$Y30,AND(CU$3&gt;YEAR($X30),CU$3-YEAR($X30)&lt;20),$Y30*12,CU$3-YEAR($X30)=20,DATEDIF(DATE(YEAR($X30),1,1),$X30,"m")*$Y30,CU$3-YEAR($X30)&gt;20,0)</f>
        <v>25923.300000000003</v>
      </c>
      <c r="CV30" s="202" cm="1">
        <f t="array" ref="CV30">_xlfn.IFS(CV$3&lt;=YEAR($B$2),SUMPRODUCT(($E$4:$E$79=$E30)*($Z$2:$CG$2=CV$3)*($Z$2:$CG$2&lt;CW$3)*$Z$4:$CG$79),CV$3&lt;YEAR($X30),0,CV$3=YEAR($X30),DATEDIF($X30,DATE(CV$3,12,31),"m")*$Y30,AND(CV$3&gt;YEAR($X30),CV$3-YEAR($X30)&lt;20),$Y30*12,CV$3-YEAR($X30)=20,DATEDIF(DATE(YEAR($X30),1,1),$X30,"m")*$Y30,CV$3-YEAR($X30)&gt;20,0)</f>
        <v>25923.300000000003</v>
      </c>
      <c r="CW30" s="202" cm="1">
        <f t="array" ref="CW30">_xlfn.IFS(CW$3&lt;=YEAR($B$2),SUMPRODUCT(($E$4:$E$79=$E30)*($Z$2:$CG$2=CW$3)*($Z$2:$CG$2&lt;CX$3)*$Z$4:$CG$79),CW$3&lt;YEAR($X30),0,CW$3=YEAR($X30),DATEDIF($X30,DATE(CW$3,12,31),"m")*$Y30,AND(CW$3&gt;YEAR($X30),CW$3-YEAR($X30)&lt;20),$Y30*12,CW$3-YEAR($X30)=20,DATEDIF(DATE(YEAR($X30),1,1),$X30,"m")*$Y30,CW$3-YEAR($X30)&gt;20,0)</f>
        <v>25923.300000000003</v>
      </c>
      <c r="CX30" s="202" cm="1">
        <f t="array" ref="CX30">_xlfn.IFS(CX$3&lt;=YEAR($B$2),SUMPRODUCT(($E$4:$E$79=$E30)*($Z$2:$CG$2=CX$3)*($Z$2:$CG$2&lt;CY$3)*$Z$4:$CG$79),CX$3&lt;YEAR($X30),0,CX$3=YEAR($X30),DATEDIF($X30,DATE(CX$3,12,31),"m")*$Y30,AND(CX$3&gt;YEAR($X30),CX$3-YEAR($X30)&lt;20),$Y30*12,CX$3-YEAR($X30)=20,DATEDIF(DATE(YEAR($X30),1,1),$X30,"m")*$Y30,CX$3-YEAR($X30)&gt;20,0)</f>
        <v>25923.300000000003</v>
      </c>
      <c r="CY30" s="202" cm="1">
        <f t="array" ref="CY30">_xlfn.IFS(CY$3&lt;=YEAR($B$2),SUMPRODUCT(($E$4:$E$79=$E30)*($Z$2:$CG$2=CY$3)*($Z$2:$CG$2&lt;CZ$3)*$Z$4:$CG$79),CY$3&lt;YEAR($X30),0,CY$3=YEAR($X30),DATEDIF($X30,DATE(CY$3,12,31),"m")*$Y30,AND(CY$3&gt;YEAR($X30),CY$3-YEAR($X30)&lt;20),$Y30*12,CY$3-YEAR($X30)=20,DATEDIF(DATE(YEAR($X30),1,1),$X30,"m")*$Y30,CY$3-YEAR($X30)&gt;20,0)</f>
        <v>25923.300000000003</v>
      </c>
      <c r="CZ30" s="202" cm="1">
        <f t="array" ref="CZ30">_xlfn.IFS(CZ$3&lt;=YEAR($B$2),SUMPRODUCT(($E$4:$E$79=$E30)*($Z$2:$CG$2=CZ$3)*($Z$2:$CG$2&lt;DA$3)*$Z$4:$CG$79),CZ$3&lt;YEAR($X30),0,CZ$3=YEAR($X30),DATEDIF($X30,DATE(CZ$3,12,31),"m")*$Y30,AND(CZ$3&gt;YEAR($X30),CZ$3-YEAR($X30)&lt;20),$Y30*12,CZ$3-YEAR($X30)=20,DATEDIF(DATE(YEAR($X30),1,1),$X30,"m")*$Y30,CZ$3-YEAR($X30)&gt;20,0)</f>
        <v>25923.300000000003</v>
      </c>
      <c r="DA30" s="202" cm="1">
        <f t="array" ref="DA30">_xlfn.IFS(DA$3&lt;=YEAR($B$2),SUMPRODUCT(($E$4:$E$79=$E30)*($Z$2:$CG$2=DA$3)*($Z$2:$CG$2&lt;DB$3)*$Z$4:$CG$79),DA$3&lt;YEAR($X30),0,DA$3=YEAR($X30),DATEDIF($X30,DATE(DA$3,12,31),"m")*$Y30,AND(DA$3&gt;YEAR($X30),DA$3-YEAR($X30)&lt;20),$Y30*12,DA$3-YEAR($X30)=20,DATEDIF(DATE(YEAR($X30),1,1),$X30,"m")*$Y30,DA$3-YEAR($X30)&gt;20,0)</f>
        <v>25923.300000000003</v>
      </c>
      <c r="DB30" s="202" cm="1">
        <f t="array" ref="DB30">_xlfn.IFS(DB$3&lt;=YEAR($B$2),SUMPRODUCT(($E$4:$E$79=$E30)*($Z$2:$CG$2=DB$3)*($Z$2:$CG$2&lt;DC$3)*$Z$4:$CG$79),DB$3&lt;YEAR($X30),0,DB$3=YEAR($X30),DATEDIF($X30,DATE(DB$3,12,31),"m")*$Y30,AND(DB$3&gt;YEAR($X30),DB$3-YEAR($X30)&lt;20),$Y30*12,DB$3-YEAR($X30)=20,DATEDIF(DATE(YEAR($X30),1,1),$X30,"m")*$Y30,DB$3-YEAR($X30)&gt;20,0)</f>
        <v>25923.300000000003</v>
      </c>
      <c r="DC30" s="202" cm="1">
        <f t="array" ref="DC30">_xlfn.IFS(DC$3&lt;=YEAR($B$2),SUMPRODUCT(($E$4:$E$79=$E30)*($Z$2:$CG$2=DC$3)*($Z$2:$CG$2&lt;DD$3)*$Z$4:$CG$79),DC$3&lt;YEAR($X30),0,DC$3=YEAR($X30),DATEDIF($X30,DATE(DC$3,12,31),"m")*$Y30,AND(DC$3&gt;YEAR($X30),DC$3-YEAR($X30)&lt;20),$Y30*12,DC$3-YEAR($X30)=20,DATEDIF(DATE(YEAR($X30),1,1),$X30,"m")*$Y30,DC$3-YEAR($X30)&gt;20,0)</f>
        <v>25923.300000000003</v>
      </c>
      <c r="DD30" s="202" cm="1">
        <f t="array" ref="DD30">_xlfn.IFS(DD$3&lt;=YEAR($B$2),SUMPRODUCT(($E$4:$E$79=$E30)*($Z$2:$CG$2=DD$3)*($Z$2:$CG$2&lt;DE$3)*$Z$4:$CG$79),DD$3&lt;YEAR($X30),0,DD$3=YEAR($X30),DATEDIF($X30,DATE(DD$3,12,31),"m")*$Y30,AND(DD$3&gt;YEAR($X30),DD$3-YEAR($X30)&lt;20),$Y30*12,DD$3-YEAR($X30)=20,DATEDIF(DATE(YEAR($X30),1,1),$X30,"m")*$Y30,DD$3-YEAR($X30)&gt;20,0)</f>
        <v>25923.300000000003</v>
      </c>
      <c r="DE30" s="202" cm="1">
        <f t="array" ref="DE30">_xlfn.IFS(DE$3&lt;=YEAR($B$2),SUMPRODUCT(($E$4:$E$79=$E30)*($Z$2:$CG$2=DE$3)*($Z$2:$CG$2&lt;DF$3)*$Z$4:$CG$79),DE$3&lt;YEAR($X30),0,DE$3=YEAR($X30),DATEDIF($X30,DATE(DE$3,12,31),"m")*$Y30,AND(DE$3&gt;YEAR($X30),DE$3-YEAR($X30)&lt;20),$Y30*12,DE$3-YEAR($X30)=20,DATEDIF(DATE(YEAR($X30),1,1),$X30,"m")*$Y30,DE$3-YEAR($X30)&gt;20,0)</f>
        <v>25923.300000000003</v>
      </c>
      <c r="DF30" s="202" cm="1">
        <f t="array" ref="DF30">_xlfn.IFS(DF$3&lt;=YEAR($B$2),SUMPRODUCT(($E$4:$E$79=$E30)*($Z$2:$CG$2=DF$3)*($Z$2:$CG$2&lt;DG$3)*$Z$4:$CG$79),DF$3&lt;YEAR($X30),0,DF$3=YEAR($X30),DATEDIF($X30,DATE(DF$3,12,31),"m")*$Y30,AND(DF$3&gt;YEAR($X30),DF$3-YEAR($X30)&lt;20),$Y30*12,DF$3-YEAR($X30)=20,DATEDIF(DATE(YEAR($X30),1,1),$X30,"m")*$Y30,DF$3-YEAR($X30)&gt;20,0)</f>
        <v>25923.300000000003</v>
      </c>
      <c r="DG30" s="202" cm="1">
        <f t="array" ref="DG30">_xlfn.IFS(DG$3&lt;=YEAR($B$2),SUMPRODUCT(($E$4:$E$79=$E30)*($Z$2:$CG$2=DG$3)*($Z$2:$CG$2&lt;DH$3)*$Z$4:$CG$79),DG$3&lt;YEAR($X30),0,DG$3=YEAR($X30),DATEDIF($X30,DATE(DG$3,12,31),"m")*$Y30,AND(DG$3&gt;YEAR($X30),DG$3-YEAR($X30)&lt;20),$Y30*12,DG$3-YEAR($X30)=20,DATEDIF(DATE(YEAR($X30),1,1),$X30,"m")*$Y30,DG$3-YEAR($X30)&gt;20,0)</f>
        <v>25923.300000000003</v>
      </c>
      <c r="DH30" s="202" cm="1">
        <f t="array" ref="DH30">_xlfn.IFS(DH$3&lt;=YEAR($B$2),SUMPRODUCT(($E$4:$E$79=$E30)*($Z$2:$CG$2=DH$3)*($Z$2:$CG$2&lt;DI$3)*$Z$4:$CG$79),DH$3&lt;YEAR($X30),0,DH$3=YEAR($X30),DATEDIF($X30,DATE(DH$3,12,31),"m")*$Y30,AND(DH$3&gt;YEAR($X30),DH$3-YEAR($X30)&lt;20),$Y30*12,DH$3-YEAR($X30)=20,DATEDIF(DATE(YEAR($X30),1,1),$X30,"m")*$Y30,DH$3-YEAR($X30)&gt;20,0)</f>
        <v>8641.1</v>
      </c>
      <c r="DI30" s="202" cm="1">
        <f t="array" ref="DI30">_xlfn.IFS(DI$3&lt;=YEAR($B$2),SUMPRODUCT(($E$4:$E$79=$E30)*($Z$2:$CG$2=DI$3)*($Z$2:$CG$2&lt;DJ$3)*$Z$4:$CG$79),DI$3&lt;YEAR($X30),0,DI$3=YEAR($X30),DATEDIF($X30,DATE(DI$3,12,31),"m")*$Y30,AND(DI$3&gt;YEAR($X30),DI$3-YEAR($X30)&lt;20),$Y30*12,DI$3-YEAR($X30)=20,DATEDIF(DATE(YEAR($X30),1,1),$X30,"m")*$Y30,DI$3-YEAR($X30)&gt;20,0)</f>
        <v>0</v>
      </c>
      <c r="DJ30" s="202" cm="1">
        <f t="array" ref="DJ30">_xlfn.IFS(DJ$3&lt;=YEAR($B$2),SUMPRODUCT(($E$4:$E$79=$E30)*($Z$2:$CG$2=DJ$3)*($Z$2:$CG$2&lt;DK$3)*$Z$4:$CG$79),DJ$3&lt;YEAR($X30),0,DJ$3=YEAR($X30),DATEDIF($X30,DATE(DJ$3,12,31),"m")*$Y30,AND(DJ$3&gt;YEAR($X30),DJ$3-YEAR($X30)&lt;20),$Y30*12,DJ$3-YEAR($X30)=20,DATEDIF(DATE(YEAR($X30),1,1),$X30,"m")*$Y30,DJ$3-YEAR($X30)&gt;20,0)</f>
        <v>0</v>
      </c>
      <c r="DK30" s="202" cm="1">
        <f t="array" ref="DK30">_xlfn.IFS(DK$3&lt;=YEAR($B$2),SUMPRODUCT(($E$4:$E$79=$E30)*($Z$2:$CG$2=DK$3)*($Z$2:$CG$2&lt;DL$3)*$Z$4:$CG$79),DK$3&lt;YEAR($X30),0,DK$3=YEAR($X30),DATEDIF($X30,DATE(DK$3,12,31),"m")*$Y30,AND(DK$3&gt;YEAR($X30),DK$3-YEAR($X30)&lt;20),$Y30*12,DK$3-YEAR($X30)=20,DATEDIF(DATE(YEAR($X30),1,1),$X30,"m")*$Y30,DK$3-YEAR($X30)&gt;20,0)</f>
        <v>0</v>
      </c>
      <c r="DL30" s="202" cm="1">
        <f t="array" ref="DL30">_xlfn.IFS(DL$3&lt;=YEAR($B$2),SUMPRODUCT(($E$4:$E$79=$E30)*($Z$2:$CG$2=DL$3)*($Z$2:$CG$2&lt;DM$3)*$Z$4:$CG$79),DL$3&lt;YEAR($X30),0,DL$3=YEAR($X30),DATEDIF($X30,DATE(DL$3,12,31),"m")*$Y30,AND(DL$3&gt;YEAR($X30),DL$3-YEAR($X30)&lt;20),$Y30*12,DL$3-YEAR($X30)=20,DATEDIF(DATE(YEAR($X30),1,1),$X30,"m")*$Y30,DL$3-YEAR($X30)&gt;20,0)</f>
        <v>0</v>
      </c>
      <c r="DO30" s="166">
        <f t="shared" si="26"/>
        <v>2039</v>
      </c>
      <c r="DP30" s="158">
        <v>660421.95000000019</v>
      </c>
      <c r="DQ30" s="158">
        <v>462971.99729999999</v>
      </c>
      <c r="DR30" s="158">
        <v>25576.5</v>
      </c>
      <c r="DS30" s="158">
        <f t="shared" si="27"/>
        <v>1148970.4473000001</v>
      </c>
    </row>
    <row r="31" spans="1:636">
      <c r="A31" s="155" t="str" cm="1">
        <f t="array" ref="A31">INDEX('Monthly Report July 2025'!C:C,MATCH(E31,'Monthly Report July 2025'!E:E,0),0)</f>
        <v>Q0666</v>
      </c>
      <c r="B31" s="155" t="str" cm="1">
        <f t="array" ref="B31">_xlfn.IFS(LEFT(E31,3)="PGE","PGE",LEFT(E31,2)="PP","PAC",TRUE,"IP")</f>
        <v>PAC</v>
      </c>
      <c r="C31" s="155" t="str">
        <f>IF(ISNA(MATCH(E31,'Monthly Report July 2025'!E:E,0)),"Missing","Present")</f>
        <v>Present</v>
      </c>
      <c r="D31" s="155" t="str">
        <f>IF(ISNA(MATCH(E31,'Project Operational Timelines'!C:C,0))=TRUE,"Missing","Present")</f>
        <v>Present</v>
      </c>
      <c r="E31" s="155" t="s">
        <v>139</v>
      </c>
      <c r="F31" s="155" t="str" cm="1">
        <f t="array" ref="F31">INDEX('Monthly Report July 2025'!F:F,MATCH(E31,'Monthly Report July 2025'!E:E,),0)</f>
        <v>Pilot Rock Solar 1</v>
      </c>
      <c r="G31" s="155" t="str" cm="1">
        <f t="array" ref="G31">_xlfn.IFS(INDEX('Monthly Report July 2025'!O:O,MATCH(E31,'Monthly Report July 2025'!E:E,0),0)="Operational","Operational",INDEX('Monthly Report July 2025'!O:O,MATCH(E31,'Monthly Report July 2025'!E:E,0),0)="Certified","Certified",TRUE,"Pre-Certified")</f>
        <v>Certified</v>
      </c>
      <c r="H31" s="155" t="str" cm="1">
        <f t="array" ref="H31">INDEX('Monthly Report July 2025'!H:H,MATCH($E31,'Monthly Report July 2025'!$E:$E,0),0)</f>
        <v>Sunthurst</v>
      </c>
      <c r="I31" s="155" t="str" cm="1">
        <f t="array" ref="I31">INDEX('Monthly Report July 2025'!I:I,MATCH($E31,'Monthly Report July 2025'!$E:$E,0),0)</f>
        <v>Sunthurst</v>
      </c>
      <c r="J31" s="174" cm="1">
        <f t="array" ref="J31">INDEX('Monthly Report July 2025'!J:J,MATCH($E31,'Monthly Report July 2025'!$E:$E,0),0)</f>
        <v>1</v>
      </c>
      <c r="K31" s="174" t="str" cm="1">
        <f t="array" ref="K31">INDEX('Monthly Report July 2025'!K:K,MATCH($E31,'Monthly Report July 2025'!$E:$E,0),0)</f>
        <v>No</v>
      </c>
      <c r="L31" s="174" t="b" cm="1">
        <f t="array" ref="L31">INDEX('Monthly Report July 2025'!L:L,MATCH(E31,'Monthly Report July 2025'!E:E,0),0)=M31</f>
        <v>1</v>
      </c>
      <c r="M31" s="273" cm="1">
        <f t="array" ref="M31">INDEX('Monthly Report July 2025'!L:L,MATCH($E31,'Monthly Report July 2025'!$E:$E,0),0)</f>
        <v>1980</v>
      </c>
      <c r="N31" s="175" cm="1">
        <f t="array" ref="N31">INDEX('Monthly Report July 2025'!M:M,MATCH($E31,'Monthly Report July 2025'!$E:$E,0),0)</f>
        <v>43901</v>
      </c>
      <c r="O31" s="175" t="str" cm="1">
        <f t="array" ref="O31">_xlfn.IFS(G31="Operational","Operational",G31="Certified","Certified",TRUE,INDEX('Monthly Report July 2025'!O:O,MATCH(E31,'Monthly Report July 2025'!E:E,0),0))</f>
        <v>Certified</v>
      </c>
      <c r="P31" s="175" t="b" cm="1">
        <f t="array" ref="P31">_xlfn.IFS(G31="Operational",O31="Operational",G31="Certified",O31="Certified",TRUE,G31="Pre-Certified")</f>
        <v>1</v>
      </c>
      <c r="Q31" s="175" t="str" cm="1">
        <f t="array" ref="Q31">IF(O31="Operational",INDEX('Monthly Report July 2025'!R:R,MATCH(E31,'Monthly Report July 2025'!E:E,0),0),"")</f>
        <v/>
      </c>
      <c r="R31" s="175" cm="1">
        <f t="array" ref="R31">INDEX('Monthly Report July 2025'!P:P,MATCH(E31,'Monthly Report July 2025'!E:E,0),0)</f>
        <v>45776</v>
      </c>
      <c r="S31" s="175" t="b">
        <f t="shared" si="5"/>
        <v>1</v>
      </c>
      <c r="T31" s="175" cm="1">
        <f t="array" ref="T31">INDEX('Monthly Report July 2025'!U:U,MATCH(E31,'Monthly Report July 2025'!E:E,0),0)</f>
        <v>45930</v>
      </c>
      <c r="U31" s="175" t="str">
        <f t="shared" si="6"/>
        <v>IGNORE</v>
      </c>
      <c r="V31" s="156">
        <f t="shared" si="7"/>
        <v>45776</v>
      </c>
      <c r="W31" s="156" cm="1">
        <f t="array" ref="W31">_xlfn.IFS(U31=TRUE,EDATE(O31,6),U31=FALSE,T31,O31="Operational",Q31,AND(O31="Certified",EDATE(R31,6)&gt;T31),EDATE(R31,6),TRUE,T31)</f>
        <v>45959</v>
      </c>
      <c r="X31" s="156">
        <f t="shared" si="8"/>
        <v>46020</v>
      </c>
      <c r="Y31" s="157">
        <f t="shared" si="9"/>
        <v>1430.55</v>
      </c>
      <c r="Z31" s="202" cm="1">
        <f t="array" ref="Z31">_xlfn.IFS(Z$3&lt;$B$2,SUMPRODUCT(('PA Fees Actual'!$B$5:$B$882=$E31)*('PA Fees Actual'!$A$5:$A$882&gt;=Z$3)*('PA Fees Actual'!$A$5:$A$882&lt;=EOMONTH(Z$3,0))*'PA Fees Actual'!$D$5:$D$882),Z$3&gt;=EOMONTH($X31,-1)+1,$Y31,TRUE,0)</f>
        <v>0</v>
      </c>
      <c r="AA31" s="202" cm="1">
        <f t="array" ref="AA31">_xlfn.IFS(AA$3&lt;$B$2,SUMPRODUCT(('PA Fees Actual'!$B$5:$B$882=$E31)*('PA Fees Actual'!$A$5:$A$882&gt;=AA$3)*('PA Fees Actual'!$A$5:$A$882&lt;=EOMONTH(AA$3,0))*'PA Fees Actual'!$D$5:$D$882),AA$3&gt;=EOMONTH($X31,-1)+1,$Y31,TRUE,0)</f>
        <v>0</v>
      </c>
      <c r="AB31" s="202" cm="1">
        <f t="array" ref="AB31">_xlfn.IFS(AB$3&lt;$B$2,SUMPRODUCT(('PA Fees Actual'!$B$5:$B$882=$E31)*('PA Fees Actual'!$A$5:$A$882&gt;=AB$3)*('PA Fees Actual'!$A$5:$A$882&lt;=EOMONTH(AB$3,0))*'PA Fees Actual'!$D$5:$D$882),AB$3&gt;=EOMONTH($X31,-1)+1,$Y31,TRUE,0)</f>
        <v>0</v>
      </c>
      <c r="AC31" s="202" cm="1">
        <f t="array" ref="AC31">_xlfn.IFS(AC$3&lt;$B$2,SUMPRODUCT(('PA Fees Actual'!$B$5:$B$882=$E31)*('PA Fees Actual'!$A$5:$A$882&gt;=AC$3)*('PA Fees Actual'!$A$5:$A$882&lt;=EOMONTH(AC$3,0))*'PA Fees Actual'!$D$5:$D$882),AC$3&gt;=EOMONTH($X31,-1)+1,$Y31,TRUE,0)</f>
        <v>0</v>
      </c>
      <c r="AD31" s="202" cm="1">
        <f t="array" ref="AD31">_xlfn.IFS(AD$3&lt;$B$2,SUMPRODUCT(('PA Fees Actual'!$B$5:$B$882=$E31)*('PA Fees Actual'!$A$5:$A$882&gt;=AD$3)*('PA Fees Actual'!$A$5:$A$882&lt;=EOMONTH(AD$3,0))*'PA Fees Actual'!$D$5:$D$882),AD$3&gt;=EOMONTH($X31,-1)+1,$Y31,TRUE,0)</f>
        <v>0</v>
      </c>
      <c r="AE31" s="202" cm="1">
        <f t="array" ref="AE31">_xlfn.IFS(AE$3&lt;$B$2,SUMPRODUCT(('PA Fees Actual'!$B$5:$B$882=$E31)*('PA Fees Actual'!$A$5:$A$882&gt;=AE$3)*('PA Fees Actual'!$A$5:$A$882&lt;=EOMONTH(AE$3,0))*'PA Fees Actual'!$D$5:$D$882),AE$3&gt;=EOMONTH($X31,-1)+1,$Y31,TRUE,0)</f>
        <v>0</v>
      </c>
      <c r="AF31" s="202" cm="1">
        <f t="array" ref="AF31">_xlfn.IFS(AF$3&lt;$B$2,SUMPRODUCT(('PA Fees Actual'!$B$5:$B$882=$E31)*('PA Fees Actual'!$A$5:$A$882&gt;=AF$3)*('PA Fees Actual'!$A$5:$A$882&lt;=EOMONTH(AF$3,0))*'PA Fees Actual'!$D$5:$D$882),AF$3&gt;=EOMONTH($X31,-1)+1,$Y31,TRUE,0)</f>
        <v>0</v>
      </c>
      <c r="AG31" s="202" cm="1">
        <f t="array" ref="AG31">_xlfn.IFS(AG$3&lt;$B$2,SUMPRODUCT(('PA Fees Actual'!$B$5:$B$882=$E31)*('PA Fees Actual'!$A$5:$A$882&gt;=AG$3)*('PA Fees Actual'!$A$5:$A$882&lt;=EOMONTH(AG$3,0))*'PA Fees Actual'!$D$5:$D$882),AG$3&gt;=EOMONTH($X31,-1)+1,$Y31,TRUE,0)</f>
        <v>0</v>
      </c>
      <c r="AH31" s="202" cm="1">
        <f t="array" ref="AH31">_xlfn.IFS(AH$3&lt;$B$2,SUMPRODUCT(('PA Fees Actual'!$B$5:$B$882=$E31)*('PA Fees Actual'!$A$5:$A$882&gt;=AH$3)*('PA Fees Actual'!$A$5:$A$882&lt;=EOMONTH(AH$3,0))*'PA Fees Actual'!$D$5:$D$882),AH$3&gt;=EOMONTH($X31,-1)+1,$Y31,TRUE,0)</f>
        <v>0</v>
      </c>
      <c r="AI31" s="202" cm="1">
        <f t="array" ref="AI31">_xlfn.IFS(AI$3&lt;$B$2,SUMPRODUCT(('PA Fees Actual'!$B$5:$B$882=$E31)*('PA Fees Actual'!$A$5:$A$882&gt;=AI$3)*('PA Fees Actual'!$A$5:$A$882&lt;=EOMONTH(AI$3,0))*'PA Fees Actual'!$D$5:$D$882),AI$3&gt;=EOMONTH($X31,-1)+1,$Y31,TRUE,0)</f>
        <v>0</v>
      </c>
      <c r="AJ31" s="202" cm="1">
        <f t="array" ref="AJ31">_xlfn.IFS(AJ$3&lt;$B$2,SUMPRODUCT(('PA Fees Actual'!$B$5:$B$882=$E31)*('PA Fees Actual'!$A$5:$A$882&gt;=AJ$3)*('PA Fees Actual'!$A$5:$A$882&lt;=EOMONTH(AJ$3,0))*'PA Fees Actual'!$D$5:$D$882),AJ$3&gt;=EOMONTH($X31,-1)+1,$Y31,TRUE,0)</f>
        <v>0</v>
      </c>
      <c r="AK31" s="202" cm="1">
        <f t="array" ref="AK31">_xlfn.IFS(AK$3&lt;$B$2,SUMPRODUCT(('PA Fees Actual'!$B$5:$B$882=$E31)*('PA Fees Actual'!$A$5:$A$882&gt;=AK$3)*('PA Fees Actual'!$A$5:$A$882&lt;=EOMONTH(AK$3,0))*'PA Fees Actual'!$D$5:$D$882),AK$3&gt;=EOMONTH($X31,-1)+1,$Y31,TRUE,0)</f>
        <v>0</v>
      </c>
      <c r="AL31" s="202" cm="1">
        <f t="array" ref="AL31">_xlfn.IFS(AL$3&lt;$B$2,SUMPRODUCT(('PA Fees Actual'!$B$5:$B$882=$E31)*('PA Fees Actual'!$A$5:$A$882&gt;=AL$3)*('PA Fees Actual'!$A$5:$A$882&lt;=EOMONTH(AL$3,0))*'PA Fees Actual'!$D$5:$D$882),AL$3&gt;=EOMONTH($X31,-1)+1,$Y31,TRUE,0)</f>
        <v>0</v>
      </c>
      <c r="AM31" s="202" cm="1">
        <f t="array" ref="AM31">_xlfn.IFS(AM$3&lt;$B$2,SUMPRODUCT(('PA Fees Actual'!$B$5:$B$882=$E31)*('PA Fees Actual'!$A$5:$A$882&gt;=AM$3)*('PA Fees Actual'!$A$5:$A$882&lt;=EOMONTH(AM$3,0))*'PA Fees Actual'!$D$5:$D$882),AM$3&gt;=EOMONTH($X31,-1)+1,$Y31,TRUE,0)</f>
        <v>0</v>
      </c>
      <c r="AN31" s="202" cm="1">
        <f t="array" ref="AN31">_xlfn.IFS(AN$3&lt;$B$2,SUMPRODUCT(('PA Fees Actual'!$B$5:$B$882=$E31)*('PA Fees Actual'!$A$5:$A$882&gt;=AN$3)*('PA Fees Actual'!$A$5:$A$882&lt;=EOMONTH(AN$3,0))*'PA Fees Actual'!$D$5:$D$882),AN$3&gt;=EOMONTH($X31,-1)+1,$Y31,TRUE,0)</f>
        <v>0</v>
      </c>
      <c r="AO31" s="202" cm="1">
        <f t="array" ref="AO31">_xlfn.IFS(AO$3&lt;$B$2,SUMPRODUCT(('PA Fees Actual'!$B$5:$B$882=$E31)*('PA Fees Actual'!$A$5:$A$882&gt;=AO$3)*('PA Fees Actual'!$A$5:$A$882&lt;=EOMONTH(AO$3,0))*'PA Fees Actual'!$D$5:$D$882),AO$3&gt;=EOMONTH($X31,-1)+1,$Y31,TRUE,0)</f>
        <v>0</v>
      </c>
      <c r="AP31" s="202" cm="1">
        <f t="array" ref="AP31">_xlfn.IFS(AP$3&lt;$B$2,SUMPRODUCT(('PA Fees Actual'!$B$5:$B$882=$E31)*('PA Fees Actual'!$A$5:$A$882&gt;=AP$3)*('PA Fees Actual'!$A$5:$A$882&lt;=EOMONTH(AP$3,0))*'PA Fees Actual'!$D$5:$D$882),AP$3&gt;=EOMONTH($X31,-1)+1,$Y31,TRUE,0)</f>
        <v>0</v>
      </c>
      <c r="AQ31" s="202" cm="1">
        <f t="array" ref="AQ31">_xlfn.IFS(AQ$3&lt;$B$2,SUMPRODUCT(('PA Fees Actual'!$B$5:$B$882=$E31)*('PA Fees Actual'!$A$5:$A$882&gt;=AQ$3)*('PA Fees Actual'!$A$5:$A$882&lt;=EOMONTH(AQ$3,0))*'PA Fees Actual'!$D$5:$D$882),AQ$3&gt;=EOMONTH($X31,-1)+1,$Y31,TRUE,0)</f>
        <v>0</v>
      </c>
      <c r="AR31" s="202" cm="1">
        <f t="array" ref="AR31">_xlfn.IFS(AR$3&lt;$B$2,SUMPRODUCT(('PA Fees Actual'!$B$5:$B$882=$E31)*('PA Fees Actual'!$A$5:$A$882&gt;=AR$3)*('PA Fees Actual'!$A$5:$A$882&lt;=EOMONTH(AR$3,0))*'PA Fees Actual'!$D$5:$D$882),AR$3&gt;=EOMONTH($X31,-1)+1,$Y31,TRUE,0)</f>
        <v>0</v>
      </c>
      <c r="AS31" s="202" cm="1">
        <f t="array" ref="AS31">_xlfn.IFS(AS$3&lt;$B$2,SUMPRODUCT(('PA Fees Actual'!$B$5:$B$882=$E31)*('PA Fees Actual'!$A$5:$A$882&gt;=AS$3)*('PA Fees Actual'!$A$5:$A$882&lt;=EOMONTH(AS$3,0))*'PA Fees Actual'!$D$5:$D$882),AS$3&gt;=EOMONTH($X31,-1)+1,$Y31,TRUE,0)</f>
        <v>0</v>
      </c>
      <c r="AT31" s="202" cm="1">
        <f t="array" ref="AT31">_xlfn.IFS(AT$3&lt;$B$2,SUMPRODUCT(('PA Fees Actual'!$B$5:$B$882=$E31)*('PA Fees Actual'!$A$5:$A$882&gt;=AT$3)*('PA Fees Actual'!$A$5:$A$882&lt;=EOMONTH(AT$3,0))*'PA Fees Actual'!$D$5:$D$882),AT$3&gt;=EOMONTH($X31,-1)+1,$Y31,TRUE,0)</f>
        <v>0</v>
      </c>
      <c r="AU31" s="202" cm="1">
        <f t="array" ref="AU31">_xlfn.IFS(AU$3&lt;$B$2,SUMPRODUCT(('PA Fees Actual'!$B$5:$B$882=$E31)*('PA Fees Actual'!$A$5:$A$882&gt;=AU$3)*('PA Fees Actual'!$A$5:$A$882&lt;=EOMONTH(AU$3,0))*'PA Fees Actual'!$D$5:$D$882),AU$3&gt;=EOMONTH($X31,-1)+1,$Y31,TRUE,0)</f>
        <v>0</v>
      </c>
      <c r="AV31" s="202" cm="1">
        <f t="array" ref="AV31">_xlfn.IFS(AV$3&lt;$B$2,SUMPRODUCT(('PA Fees Actual'!$B$5:$B$882=$E31)*('PA Fees Actual'!$A$5:$A$882&gt;=AV$3)*('PA Fees Actual'!$A$5:$A$882&lt;=EOMONTH(AV$3,0))*'PA Fees Actual'!$D$5:$D$882),AV$3&gt;=EOMONTH($X31,-1)+1,$Y31,TRUE,0)</f>
        <v>0</v>
      </c>
      <c r="AW31" s="202" cm="1">
        <f t="array" ref="AW31">_xlfn.IFS(AW$3&lt;$B$2,SUMPRODUCT(('PA Fees Actual'!$B$5:$B$882=$E31)*('PA Fees Actual'!$A$5:$A$882&gt;=AW$3)*('PA Fees Actual'!$A$5:$A$882&lt;=EOMONTH(AW$3,0))*'PA Fees Actual'!$D$5:$D$882),AW$3&gt;=EOMONTH($X31,-1)+1,$Y31,TRUE,0)</f>
        <v>0</v>
      </c>
      <c r="AX31" s="202" cm="1">
        <f t="array" ref="AX31">_xlfn.IFS(AX$3&lt;$B$2,SUMPRODUCT(('PA Fees Actual'!$B$5:$B$882=$E31)*('PA Fees Actual'!$A$5:$A$882&gt;=AX$3)*('PA Fees Actual'!$A$5:$A$882&lt;=EOMONTH(AX$3,0))*'PA Fees Actual'!$D$5:$D$882),AX$3&gt;=EOMONTH($X31,-1)+1,$Y31,TRUE,0)</f>
        <v>0</v>
      </c>
      <c r="AY31" s="202" cm="1">
        <f t="array" ref="AY31">_xlfn.IFS(AY$3&lt;$B$2,SUMPRODUCT(('PA Fees Actual'!$B$5:$B$882=$E31)*('PA Fees Actual'!$A$5:$A$882&gt;=AY$3)*('PA Fees Actual'!$A$5:$A$882&lt;=EOMONTH(AY$3,0))*'PA Fees Actual'!$D$5:$D$882),AY$3&gt;=EOMONTH($X31,-1)+1,$Y31,TRUE,0)</f>
        <v>0</v>
      </c>
      <c r="AZ31" s="202" cm="1">
        <f t="array" ref="AZ31">_xlfn.IFS(AZ$3&lt;$B$2,SUMPRODUCT(('PA Fees Actual'!$B$5:$B$882=$E31)*('PA Fees Actual'!$A$5:$A$882&gt;=AZ$3)*('PA Fees Actual'!$A$5:$A$882&lt;=EOMONTH(AZ$3,0))*'PA Fees Actual'!$D$5:$D$882),AZ$3&gt;=EOMONTH($X31,-1)+1,$Y31,TRUE,0)</f>
        <v>0</v>
      </c>
      <c r="BA31" s="202" cm="1">
        <f t="array" ref="BA31">_xlfn.IFS(BA$3&lt;$B$2,SUMPRODUCT(('PA Fees Actual'!$B$5:$B$882=$E31)*('PA Fees Actual'!$A$5:$A$882&gt;=BA$3)*('PA Fees Actual'!$A$5:$A$882&lt;=EOMONTH(BA$3,0))*'PA Fees Actual'!$D$5:$D$882),BA$3&gt;=EOMONTH($X31,-1)+1,$Y31,TRUE,0)</f>
        <v>0</v>
      </c>
      <c r="BB31" s="202" cm="1">
        <f t="array" ref="BB31">_xlfn.IFS(BB$3&lt;$B$2,SUMPRODUCT(('PA Fees Actual'!$B$5:$B$882=$E31)*('PA Fees Actual'!$A$5:$A$882&gt;=BB$3)*('PA Fees Actual'!$A$5:$A$882&lt;=EOMONTH(BB$3,0))*'PA Fees Actual'!$D$5:$D$882),BB$3&gt;=EOMONTH($X31,-1)+1,$Y31,TRUE,0)</f>
        <v>0</v>
      </c>
      <c r="BC31" s="202" cm="1">
        <f t="array" ref="BC31">_xlfn.IFS(BC$3&lt;$B$2,SUMPRODUCT(('PA Fees Actual'!$B$5:$B$882=$E31)*('PA Fees Actual'!$A$5:$A$882&gt;=BC$3)*('PA Fees Actual'!$A$5:$A$882&lt;=EOMONTH(BC$3,0))*'PA Fees Actual'!$D$5:$D$882),BC$3&gt;=EOMONTH($X31,-1)+1,$Y31,TRUE,0)</f>
        <v>0</v>
      </c>
      <c r="BD31" s="202" cm="1">
        <f t="array" ref="BD31">_xlfn.IFS(BD$3&lt;$B$2,SUMPRODUCT(('PA Fees Actual'!$B$5:$B$882=$E31)*('PA Fees Actual'!$A$5:$A$882&gt;=BD$3)*('PA Fees Actual'!$A$5:$A$882&lt;=EOMONTH(BD$3,0))*'PA Fees Actual'!$D$5:$D$882),BD$3&gt;=EOMONTH($X31,-1)+1,$Y31,TRUE,0)</f>
        <v>0</v>
      </c>
      <c r="BE31" s="202" cm="1">
        <f t="array" ref="BE31">_xlfn.IFS(BE$3&lt;$B$2,SUMPRODUCT(('PA Fees Actual'!$B$5:$B$882=$E31)*('PA Fees Actual'!$A$5:$A$882&gt;=BE$3)*('PA Fees Actual'!$A$5:$A$882&lt;=EOMONTH(BE$3,0))*'PA Fees Actual'!$D$5:$D$882),BE$3&gt;=EOMONTH($X31,-1)+1,$Y31,TRUE,0)</f>
        <v>0</v>
      </c>
      <c r="BF31" s="202" cm="1">
        <f t="array" ref="BF31">_xlfn.IFS(BF$3&lt;$B$2,SUMPRODUCT(('PA Fees Actual'!$B$5:$B$882=$E31)*('PA Fees Actual'!$A$5:$A$882&gt;=BF$3)*('PA Fees Actual'!$A$5:$A$882&lt;=EOMONTH(BF$3,0))*'PA Fees Actual'!$D$5:$D$882),BF$3&gt;=EOMONTH($X31,-1)+1,$Y31,TRUE,0)</f>
        <v>0</v>
      </c>
      <c r="BG31" s="202" cm="1">
        <f t="array" ref="BG31">_xlfn.IFS(BG$3&lt;$B$2,SUMPRODUCT(('PA Fees Actual'!$B$5:$B$882=$E31)*('PA Fees Actual'!$A$5:$A$882&gt;=BG$3)*('PA Fees Actual'!$A$5:$A$882&lt;=EOMONTH(BG$3,0))*'PA Fees Actual'!$D$5:$D$882),BG$3&gt;=EOMONTH($X31,-1)+1,$Y31,TRUE,0)</f>
        <v>0</v>
      </c>
      <c r="BH31" s="202" cm="1">
        <f t="array" ref="BH31">_xlfn.IFS(BH$3&lt;$B$2,SUMPRODUCT(('PA Fees Actual'!$B$5:$B$882=$E31)*('PA Fees Actual'!$A$5:$A$882&gt;=BH$3)*('PA Fees Actual'!$A$5:$A$882&lt;=EOMONTH(BH$3,0))*'PA Fees Actual'!$D$5:$D$882),BH$3&gt;=EOMONTH($X31,-1)+1,$Y31,TRUE,0)</f>
        <v>0</v>
      </c>
      <c r="BI31" s="202" cm="1">
        <f t="array" ref="BI31">_xlfn.IFS(BI$3&lt;$B$2,SUMPRODUCT(('PA Fees Actual'!$B$5:$B$882=$E31)*('PA Fees Actual'!$A$5:$A$882&gt;=BI$3)*('PA Fees Actual'!$A$5:$A$882&lt;=EOMONTH(BI$3,0))*'PA Fees Actual'!$D$5:$D$882),BI$3&gt;=EOMONTH($X31,-1)+1,$Y31,TRUE,0)</f>
        <v>0</v>
      </c>
      <c r="BJ31" s="202" cm="1">
        <f t="array" ref="BJ31">_xlfn.IFS(BJ$3&lt;$B$2,SUMPRODUCT(('PA Fees Actual'!$B$5:$B$882=$E31)*('PA Fees Actual'!$A$5:$A$882&gt;=BJ$3)*('PA Fees Actual'!$A$5:$A$882&lt;=EOMONTH(BJ$3,0))*'PA Fees Actual'!$D$5:$D$882),BJ$3&gt;=EOMONTH($X31,-1)+1,$Y31,TRUE,0)</f>
        <v>0</v>
      </c>
      <c r="BK31" s="202" cm="1">
        <f t="array" ref="BK31">_xlfn.IFS(BK$3&lt;$B$2,SUMPRODUCT(('PA Fees Actual'!$B$5:$B$882=$E31)*('PA Fees Actual'!$A$5:$A$882&gt;=BK$3)*('PA Fees Actual'!$A$5:$A$882&lt;=EOMONTH(BK$3,0))*'PA Fees Actual'!$D$5:$D$882),BK$3&gt;=EOMONTH($X31,-1)+1,$Y31,TRUE,0)</f>
        <v>0</v>
      </c>
      <c r="BL31" s="202" cm="1">
        <f t="array" ref="BL31">_xlfn.IFS(BL$3&lt;$B$2,SUMPRODUCT(('PA Fees Actual'!$B$5:$B$882=$E31)*('PA Fees Actual'!$A$5:$A$882&gt;=BL$3)*('PA Fees Actual'!$A$5:$A$882&lt;=EOMONTH(BL$3,0))*'PA Fees Actual'!$D$5:$D$882),BL$3&gt;=EOMONTH($X31,-1)+1,$Y31,TRUE,0)</f>
        <v>0</v>
      </c>
      <c r="BM31" s="202" cm="1">
        <f t="array" ref="BM31">_xlfn.IFS(BM$3&lt;$B$2,SUMPRODUCT(('PA Fees Actual'!$B$5:$B$882=$E31)*('PA Fees Actual'!$A$5:$A$882&gt;=BM$3)*('PA Fees Actual'!$A$5:$A$882&lt;=EOMONTH(BM$3,0))*'PA Fees Actual'!$D$5:$D$882),BM$3&gt;=EOMONTH($X31,-1)+1,$Y31,TRUE,0)</f>
        <v>0</v>
      </c>
      <c r="BN31" s="202" cm="1">
        <f t="array" ref="BN31">_xlfn.IFS(BN$3&lt;$B$2,SUMPRODUCT(('PA Fees Actual'!$B$5:$B$882=$E31)*('PA Fees Actual'!$A$5:$A$882&gt;=BN$3)*('PA Fees Actual'!$A$5:$A$882&lt;=EOMONTH(BN$3,0))*'PA Fees Actual'!$D$5:$D$882),BN$3&gt;=EOMONTH($X31,-1)+1,$Y31,TRUE,0)</f>
        <v>0</v>
      </c>
      <c r="BO31" s="202" cm="1">
        <f t="array" ref="BO31">_xlfn.IFS(BO$3&lt;$B$2,SUMPRODUCT(('PA Fees Actual'!$B$5:$B$882=$E31)*('PA Fees Actual'!$A$5:$A$882&gt;=BO$3)*('PA Fees Actual'!$A$5:$A$882&lt;=EOMONTH(BO$3,0))*'PA Fees Actual'!$D$5:$D$882),BO$3&gt;=EOMONTH($X31,-1)+1,$Y31,TRUE,0)</f>
        <v>0</v>
      </c>
      <c r="BP31" s="202" cm="1">
        <f t="array" ref="BP31">_xlfn.IFS(BP$3&lt;$B$2,SUMPRODUCT(('PA Fees Actual'!$B$5:$B$882=$E31)*('PA Fees Actual'!$A$5:$A$882&gt;=BP$3)*('PA Fees Actual'!$A$5:$A$882&lt;=EOMONTH(BP$3,0))*'PA Fees Actual'!$D$5:$D$882),BP$3&gt;=EOMONTH($X31,-1)+1,$Y31,TRUE,0)</f>
        <v>0</v>
      </c>
      <c r="BQ31" s="202" cm="1">
        <f t="array" ref="BQ31">_xlfn.IFS(BQ$3&lt;$B$2,SUMPRODUCT(('PA Fees Actual'!$B$5:$B$882=$E31)*('PA Fees Actual'!$A$5:$A$882&gt;=BQ$3)*('PA Fees Actual'!$A$5:$A$882&lt;=EOMONTH(BQ$3,0))*'PA Fees Actual'!$D$5:$D$882),BQ$3&gt;=EOMONTH($X31,-1)+1,$Y31,TRUE,0)</f>
        <v>0</v>
      </c>
      <c r="BR31" s="202" cm="1">
        <f t="array" ref="BR31">_xlfn.IFS(BR$3&lt;$B$2,SUMPRODUCT(('PA Fees Actual'!$B$5:$B$882=$E31)*('PA Fees Actual'!$A$5:$A$882&gt;=BR$3)*('PA Fees Actual'!$A$5:$A$882&lt;=EOMONTH(BR$3,0))*'PA Fees Actual'!$D$5:$D$882),BR$3&gt;=EOMONTH($X31,-1)+1,$Y31,TRUE,0)</f>
        <v>0</v>
      </c>
      <c r="BS31" s="202" cm="1">
        <f t="array" ref="BS31">_xlfn.IFS(BS$3&lt;$B$2,SUMPRODUCT(('PA Fees Actual'!$B$5:$B$882=$E31)*('PA Fees Actual'!$A$5:$A$882&gt;=BS$3)*('PA Fees Actual'!$A$5:$A$882&lt;=EOMONTH(BS$3,0))*'PA Fees Actual'!$D$5:$D$882),BS$3&gt;=EOMONTH($X31,-1)+1,$Y31,TRUE,0)</f>
        <v>0</v>
      </c>
      <c r="BT31" s="202" cm="1">
        <f t="array" ref="BT31">_xlfn.IFS(BT$3&lt;$B$2,SUMPRODUCT(('PA Fees Actual'!$B$5:$B$882=$E31)*('PA Fees Actual'!$A$5:$A$882&gt;=BT$3)*('PA Fees Actual'!$A$5:$A$882&lt;=EOMONTH(BT$3,0))*'PA Fees Actual'!$D$5:$D$882),BT$3&gt;=EOMONTH($X31,-1)+1,$Y31,TRUE,0)</f>
        <v>0</v>
      </c>
      <c r="BU31" s="202" cm="1">
        <f t="array" ref="BU31">_xlfn.IFS(BU$3&lt;$B$2,SUMPRODUCT(('PA Fees Actual'!$B$5:$B$882=$E31)*('PA Fees Actual'!$A$5:$A$882&gt;=BU$3)*('PA Fees Actual'!$A$5:$A$882&lt;=EOMONTH(BU$3,0))*'PA Fees Actual'!$D$5:$D$882),BU$3&gt;=EOMONTH($X31,-1)+1,$Y31,TRUE,0)</f>
        <v>0</v>
      </c>
      <c r="BV31" s="202" cm="1">
        <f t="array" ref="BV31">_xlfn.IFS(BV$3&lt;$B$2,SUMPRODUCT(('PA Fees Actual'!$B$5:$B$882=$E31)*('PA Fees Actual'!$A$5:$A$882&gt;=BV$3)*('PA Fees Actual'!$A$5:$A$882&lt;=EOMONTH(BV$3,0))*'PA Fees Actual'!$D$5:$D$882),BV$3&gt;=EOMONTH($X31,-1)+1,$Y31,TRUE,0)</f>
        <v>0</v>
      </c>
      <c r="BW31" s="202" cm="1">
        <f t="array" ref="BW31">_xlfn.IFS(BW$3&lt;$B$2,SUMPRODUCT(('PA Fees Actual'!$B$5:$B$882=$E31)*('PA Fees Actual'!$A$5:$A$882&gt;=BW$3)*('PA Fees Actual'!$A$5:$A$882&lt;=EOMONTH(BW$3,0))*'PA Fees Actual'!$D$5:$D$882),BW$3&gt;=EOMONTH($X31,-1)+1,$Y31,TRUE,0)</f>
        <v>0</v>
      </c>
      <c r="BX31" s="202" cm="1">
        <f t="array" ref="BX31">_xlfn.IFS(BX$3&lt;$B$2,SUMPRODUCT(('PA Fees Actual'!$B$5:$B$882=$E31)*('PA Fees Actual'!$A$5:$A$882&gt;=BX$3)*('PA Fees Actual'!$A$5:$A$882&lt;=EOMONTH(BX$3,0))*'PA Fees Actual'!$D$5:$D$882),BX$3&gt;=EOMONTH($X31,-1)+1,$Y31,TRUE,0)</f>
        <v>0</v>
      </c>
      <c r="BY31" s="202" cm="1">
        <f t="array" ref="BY31">_xlfn.IFS(BY$3&lt;$B$2,SUMPRODUCT(('PA Fees Actual'!$B$5:$B$882=$E31)*('PA Fees Actual'!$A$5:$A$882&gt;=BY$3)*('PA Fees Actual'!$A$5:$A$882&lt;=EOMONTH(BY$3,0))*'PA Fees Actual'!$D$5:$D$882),BY$3&gt;=EOMONTH($X31,-1)+1,$Y31,TRUE,0)</f>
        <v>0</v>
      </c>
      <c r="BZ31" s="202" cm="1">
        <f t="array" ref="BZ31">_xlfn.IFS(BZ$3&lt;$B$2,SUMPRODUCT(('PA Fees Actual'!$B$5:$B$882=$E31)*('PA Fees Actual'!$A$5:$A$882&gt;=BZ$3)*('PA Fees Actual'!$A$5:$A$882&lt;=EOMONTH(BZ$3,0))*'PA Fees Actual'!$D$5:$D$882),BZ$3&gt;=EOMONTH($X31,-1)+1,$Y31,TRUE,0)</f>
        <v>0</v>
      </c>
      <c r="CA31" s="202" cm="1">
        <f t="array" ref="CA31">_xlfn.IFS(CA$3&lt;$B$2,SUMPRODUCT(('PA Fees Actual'!$B$5:$B$882=$E31)*('PA Fees Actual'!$A$5:$A$882&gt;=CA$3)*('PA Fees Actual'!$A$5:$A$882&lt;=EOMONTH(CA$3,0))*'PA Fees Actual'!$D$5:$D$882),CA$3&gt;=EOMONTH($X31,-1)+1,$Y31,TRUE,0)</f>
        <v>0</v>
      </c>
      <c r="CB31" s="202" cm="1">
        <f t="array" ref="CB31">_xlfn.IFS(CB$3&lt;$B$2,SUMPRODUCT(('PA Fees Actual'!$B$5:$B$749=$E31)*('PA Fees Actual'!$A$5:$A$749&gt;=CB$3)*('PA Fees Actual'!$A$5:$A$749&lt;=EOMONTH(CB$3,0))*'PA Fees Actual'!$D$5:$D$749),CB$3&gt;=EOMONTH($X31,-1)+1,$Y31,TRUE,0)</f>
        <v>0</v>
      </c>
      <c r="CC31" s="202" cm="1">
        <f t="array" ref="CC31">_xlfn.IFS(CC$3&lt;$B$2,SUMPRODUCT(('PA Fees Actual'!$B$5:$B$749=$E31)*('PA Fees Actual'!$A$5:$A$749&gt;=CC$3)*('PA Fees Actual'!$A$5:$A$749&lt;=EOMONTH(CC$3,0))*'PA Fees Actual'!$D$5:$D$749),CC$3&gt;=EOMONTH($X31,-1)+1,$Y31,TRUE,0)</f>
        <v>0</v>
      </c>
      <c r="CD31" s="202" cm="1">
        <f t="array" ref="CD31">_xlfn.IFS(CD$3&lt;$B$2,SUMPRODUCT(('PA Fees Actual'!$B$5:$B$749=$E31)*('PA Fees Actual'!$A$5:$A$749&gt;=CD$3)*('PA Fees Actual'!$A$5:$A$749&lt;=EOMONTH(CD$3,0))*'PA Fees Actual'!$D$5:$D$749),CD$3&gt;=EOMONTH($X31,-1)+1,$Y31,TRUE,0)</f>
        <v>0</v>
      </c>
      <c r="CE31" s="202" cm="1">
        <f t="array" ref="CE31">_xlfn.IFS(CE$3&lt;$B$2,SUMPRODUCT(('PA Fees Actual'!$B$5:$B$749=$E31)*('PA Fees Actual'!$A$5:$A$749&gt;=CE$3)*('PA Fees Actual'!$A$5:$A$749&lt;=EOMONTH(CE$3,0))*'PA Fees Actual'!$D$5:$D$749),CE$3&gt;=EOMONTH($X31,-1)+1,$Y31,TRUE,0)</f>
        <v>0</v>
      </c>
      <c r="CF31" s="202" cm="1">
        <f t="array" ref="CF31">_xlfn.IFS(CF$3&lt;$B$2,SUMPRODUCT(('PA Fees Actual'!$B$5:$B$749=$E31)*('PA Fees Actual'!$A$5:$A$749&gt;=CF$3)*('PA Fees Actual'!$A$5:$A$749&lt;=EOMONTH(CF$3,0))*'PA Fees Actual'!$D$5:$D$749),CF$3&gt;=EOMONTH($X31,-1)+1,$Y31,TRUE,0)</f>
        <v>0</v>
      </c>
      <c r="CG31" s="202" cm="1">
        <f t="array" ref="CG31">_xlfn.IFS(CG$3&lt;$B$2,SUMPRODUCT(('PA Fees Actual'!$B$5:$B$749=$E31)*('PA Fees Actual'!$A$5:$A$749&gt;=CG$3)*('PA Fees Actual'!$A$5:$A$749&lt;=EOMONTH(CG$3,0))*'PA Fees Actual'!$D$5:$D$749),CG$3&gt;=EOMONTH($X31,-1)+1,$Y31,TRUE,0)</f>
        <v>1430.55</v>
      </c>
      <c r="CI31" s="202" cm="1">
        <f t="array" ref="CI31">_xlfn.IFS(CI$3&lt;=YEAR($B$2),SUMPRODUCT(($E$4:$E$79=$E31)*($Z$2:$CG$2=CI$3)*($Z$2:$CG$2&lt;CJ$3)*$Z$4:$CG$79),CI$3&lt;YEAR($X31),0,CI$3=YEAR($X31),DATEDIF($X31,DATE(CI$3,12,31),"m")*$Y31,AND(CI$3&gt;YEAR($X31),CI$3-YEAR($X31)&lt;20),$Y31*12,CI$3-YEAR($X31)=20,DATEDIF(DATE(YEAR($X31),1,1),$X31,"m")*$Y31,CI$3-YEAR($X31)&gt;20,0)</f>
        <v>0</v>
      </c>
      <c r="CJ31" s="202" cm="1">
        <f t="array" ref="CJ31">_xlfn.IFS(CJ$3&lt;=YEAR($B$2),SUMPRODUCT(($E$4:$E$79=$E31)*($Z$2:$CG$2=CJ$3)*($Z$2:$CG$2&lt;CK$3)*$Z$4:$CG$79),CJ$3&lt;YEAR($X31),0,CJ$3=YEAR($X31),DATEDIF($X31,DATE(CJ$3,12,31),"m")*$Y31,AND(CJ$3&gt;YEAR($X31),CJ$3-YEAR($X31)&lt;20),$Y31*12,CJ$3-YEAR($X31)=20,DATEDIF(DATE(YEAR($X31),1,1),$X31,"m")*$Y31,CJ$3-YEAR($X31)&gt;20,0)</f>
        <v>0</v>
      </c>
      <c r="CK31" s="202" cm="1">
        <f t="array" ref="CK31">_xlfn.IFS(CK$3&lt;=YEAR($B$2),SUMPRODUCT(($E$4:$E$79=$E31)*($Z$2:$CG$2=CK$3)*($Z$2:$CG$2&lt;CL$3)*$Z$4:$CG$79),CK$3&lt;YEAR($X31),0,CK$3=YEAR($X31),DATEDIF($X31,DATE(CK$3,12,31),"m")*$Y31,AND(CK$3&gt;YEAR($X31),CK$3-YEAR($X31)&lt;20),$Y31*12,CK$3-YEAR($X31)=20,DATEDIF(DATE(YEAR($X31),1,1),$X31,"m")*$Y31,CK$3-YEAR($X31)&gt;20,0)</f>
        <v>0</v>
      </c>
      <c r="CL31" s="202" cm="1">
        <f t="array" ref="CL31">_xlfn.IFS(CL$3&lt;=YEAR($B$2),SUMPRODUCT(($E$4:$E$79=$E31)*($Z$2:$CG$2=CL$3)*($Z$2:$CG$2&lt;CM$3)*$Z$4:$CG$79),CL$3&lt;YEAR($X31),0,CL$3=YEAR($X31),DATEDIF($X31,DATE(CL$3,12,31),"m")*$Y31,AND(CL$3&gt;YEAR($X31),CL$3-YEAR($X31)&lt;20),$Y31*12,CL$3-YEAR($X31)=20,DATEDIF(DATE(YEAR($X31),1,1),$X31,"m")*$Y31,CL$3-YEAR($X31)&gt;20,0)</f>
        <v>0</v>
      </c>
      <c r="CM31" s="202" cm="1">
        <f t="array" ref="CM31">_xlfn.IFS(CM$3&lt;=YEAR($B$2),SUMPRODUCT(($E$4:$E$79=$E31)*($Z$2:$CG$2=CM$3)*($Z$2:$CG$2&lt;CN$3)*$Z$4:$CG$79),CM$3&lt;YEAR($X31),0,CM$3=YEAR($X31),DATEDIF($X31,DATE(CM$3,12,31),"m")*$Y31,AND(CM$3&gt;YEAR($X31),CM$3-YEAR($X31)&lt;20),$Y31*12,CM$3-YEAR($X31)=20,DATEDIF(DATE(YEAR($X31),1,1),$X31,"m")*$Y31,CM$3-YEAR($X31)&gt;20,0)</f>
        <v>1430.55</v>
      </c>
      <c r="CN31" s="202" cm="1">
        <f t="array" ref="CN31">_xlfn.IFS(CN$3&lt;=YEAR($B$2),SUMPRODUCT(($E$4:$E$79=$E31)*($Z$2:$CG$2=CN$3)*($Z$2:$CG$2&lt;CO$3)*$Z$4:$CG$79),CN$3&lt;YEAR($X31),0,CN$3=YEAR($X31),DATEDIF($X31,DATE(CN$3,12,31),"m")*$Y31,AND(CN$3&gt;YEAR($X31),CN$3-YEAR($X31)&lt;20),$Y31*12,CN$3-YEAR($X31)=20,DATEDIF(DATE(YEAR($X31),1,1),$X31,"m")*$Y31,CN$3-YEAR($X31)&gt;20,0)</f>
        <v>17166.599999999999</v>
      </c>
      <c r="CO31" s="202" cm="1">
        <f t="array" ref="CO31">_xlfn.IFS(CO$3&lt;=YEAR($B$2),SUMPRODUCT(($E$4:$E$79=$E31)*($Z$2:$CG$2=CO$3)*($Z$2:$CG$2&lt;CP$3)*$Z$4:$CG$79),CO$3&lt;YEAR($X31),0,CO$3=YEAR($X31),DATEDIF($X31,DATE(CO$3,12,31),"m")*$Y31,AND(CO$3&gt;YEAR($X31),CO$3-YEAR($X31)&lt;20),$Y31*12,CO$3-YEAR($X31)=20,DATEDIF(DATE(YEAR($X31),1,1),$X31,"m")*$Y31,CO$3-YEAR($X31)&gt;20,0)</f>
        <v>17166.599999999999</v>
      </c>
      <c r="CP31" s="202" cm="1">
        <f t="array" ref="CP31">_xlfn.IFS(CP$3&lt;=YEAR($B$2),SUMPRODUCT(($E$4:$E$79=$E31)*($Z$2:$CG$2=CP$3)*($Z$2:$CG$2&lt;CQ$3)*$Z$4:$CG$79),CP$3&lt;YEAR($X31),0,CP$3=YEAR($X31),DATEDIF($X31,DATE(CP$3,12,31),"m")*$Y31,AND(CP$3&gt;YEAR($X31),CP$3-YEAR($X31)&lt;20),$Y31*12,CP$3-YEAR($X31)=20,DATEDIF(DATE(YEAR($X31),1,1),$X31,"m")*$Y31,CP$3-YEAR($X31)&gt;20,0)</f>
        <v>17166.599999999999</v>
      </c>
      <c r="CQ31" s="202" cm="1">
        <f t="array" ref="CQ31">_xlfn.IFS(CQ$3&lt;=YEAR($B$2),SUMPRODUCT(($E$4:$E$79=$E31)*($Z$2:$CG$2=CQ$3)*($Z$2:$CG$2&lt;CR$3)*$Z$4:$CG$79),CQ$3&lt;YEAR($X31),0,CQ$3=YEAR($X31),DATEDIF($X31,DATE(CQ$3,12,31),"m")*$Y31,AND(CQ$3&gt;YEAR($X31),CQ$3-YEAR($X31)&lt;20),$Y31*12,CQ$3-YEAR($X31)=20,DATEDIF(DATE(YEAR($X31),1,1),$X31,"m")*$Y31,CQ$3-YEAR($X31)&gt;20,0)</f>
        <v>17166.599999999999</v>
      </c>
      <c r="CR31" s="202" cm="1">
        <f t="array" ref="CR31">_xlfn.IFS(CR$3&lt;=YEAR($B$2),SUMPRODUCT(($E$4:$E$79=$E31)*($Z$2:$CG$2=CR$3)*($Z$2:$CG$2&lt;CS$3)*$Z$4:$CG$79),CR$3&lt;YEAR($X31),0,CR$3=YEAR($X31),DATEDIF($X31,DATE(CR$3,12,31),"m")*$Y31,AND(CR$3&gt;YEAR($X31),CR$3-YEAR($X31)&lt;20),$Y31*12,CR$3-YEAR($X31)=20,DATEDIF(DATE(YEAR($X31),1,1),$X31,"m")*$Y31,CR$3-YEAR($X31)&gt;20,0)</f>
        <v>17166.599999999999</v>
      </c>
      <c r="CS31" s="202" cm="1">
        <f t="array" ref="CS31">_xlfn.IFS(CS$3&lt;=YEAR($B$2),SUMPRODUCT(($E$4:$E$79=$E31)*($Z$2:$CG$2=CS$3)*($Z$2:$CG$2&lt;CT$3)*$Z$4:$CG$79),CS$3&lt;YEAR($X31),0,CS$3=YEAR($X31),DATEDIF($X31,DATE(CS$3,12,31),"m")*$Y31,AND(CS$3&gt;YEAR($X31),CS$3-YEAR($X31)&lt;20),$Y31*12,CS$3-YEAR($X31)=20,DATEDIF(DATE(YEAR($X31),1,1),$X31,"m")*$Y31,CS$3-YEAR($X31)&gt;20,0)</f>
        <v>17166.599999999999</v>
      </c>
      <c r="CT31" s="202" cm="1">
        <f t="array" ref="CT31">_xlfn.IFS(CT$3&lt;=YEAR($B$2),SUMPRODUCT(($E$4:$E$79=$E31)*($Z$2:$CG$2=CT$3)*($Z$2:$CG$2&lt;CU$3)*$Z$4:$CG$79),CT$3&lt;YEAR($X31),0,CT$3=YEAR($X31),DATEDIF($X31,DATE(CT$3,12,31),"m")*$Y31,AND(CT$3&gt;YEAR($X31),CT$3-YEAR($X31)&lt;20),$Y31*12,CT$3-YEAR($X31)=20,DATEDIF(DATE(YEAR($X31),1,1),$X31,"m")*$Y31,CT$3-YEAR($X31)&gt;20,0)</f>
        <v>17166.599999999999</v>
      </c>
      <c r="CU31" s="202" cm="1">
        <f t="array" ref="CU31">_xlfn.IFS(CU$3&lt;=YEAR($B$2),SUMPRODUCT(($E$4:$E$79=$E31)*($Z$2:$CG$2=CU$3)*($Z$2:$CG$2&lt;CV$3)*$Z$4:$CG$79),CU$3&lt;YEAR($X31),0,CU$3=YEAR($X31),DATEDIF($X31,DATE(CU$3,12,31),"m")*$Y31,AND(CU$3&gt;YEAR($X31),CU$3-YEAR($X31)&lt;20),$Y31*12,CU$3-YEAR($X31)=20,DATEDIF(DATE(YEAR($X31),1,1),$X31,"m")*$Y31,CU$3-YEAR($X31)&gt;20,0)</f>
        <v>17166.599999999999</v>
      </c>
      <c r="CV31" s="202" cm="1">
        <f t="array" ref="CV31">_xlfn.IFS(CV$3&lt;=YEAR($B$2),SUMPRODUCT(($E$4:$E$79=$E31)*($Z$2:$CG$2=CV$3)*($Z$2:$CG$2&lt;CW$3)*$Z$4:$CG$79),CV$3&lt;YEAR($X31),0,CV$3=YEAR($X31),DATEDIF($X31,DATE(CV$3,12,31),"m")*$Y31,AND(CV$3&gt;YEAR($X31),CV$3-YEAR($X31)&lt;20),$Y31*12,CV$3-YEAR($X31)=20,DATEDIF(DATE(YEAR($X31),1,1),$X31,"m")*$Y31,CV$3-YEAR($X31)&gt;20,0)</f>
        <v>17166.599999999999</v>
      </c>
      <c r="CW31" s="202" cm="1">
        <f t="array" ref="CW31">_xlfn.IFS(CW$3&lt;=YEAR($B$2),SUMPRODUCT(($E$4:$E$79=$E31)*($Z$2:$CG$2=CW$3)*($Z$2:$CG$2&lt;CX$3)*$Z$4:$CG$79),CW$3&lt;YEAR($X31),0,CW$3=YEAR($X31),DATEDIF($X31,DATE(CW$3,12,31),"m")*$Y31,AND(CW$3&gt;YEAR($X31),CW$3-YEAR($X31)&lt;20),$Y31*12,CW$3-YEAR($X31)=20,DATEDIF(DATE(YEAR($X31),1,1),$X31,"m")*$Y31,CW$3-YEAR($X31)&gt;20,0)</f>
        <v>17166.599999999999</v>
      </c>
      <c r="CX31" s="202" cm="1">
        <f t="array" ref="CX31">_xlfn.IFS(CX$3&lt;=YEAR($B$2),SUMPRODUCT(($E$4:$E$79=$E31)*($Z$2:$CG$2=CX$3)*($Z$2:$CG$2&lt;CY$3)*$Z$4:$CG$79),CX$3&lt;YEAR($X31),0,CX$3=YEAR($X31),DATEDIF($X31,DATE(CX$3,12,31),"m")*$Y31,AND(CX$3&gt;YEAR($X31),CX$3-YEAR($X31)&lt;20),$Y31*12,CX$3-YEAR($X31)=20,DATEDIF(DATE(YEAR($X31),1,1),$X31,"m")*$Y31,CX$3-YEAR($X31)&gt;20,0)</f>
        <v>17166.599999999999</v>
      </c>
      <c r="CY31" s="202" cm="1">
        <f t="array" ref="CY31">_xlfn.IFS(CY$3&lt;=YEAR($B$2),SUMPRODUCT(($E$4:$E$79=$E31)*($Z$2:$CG$2=CY$3)*($Z$2:$CG$2&lt;CZ$3)*$Z$4:$CG$79),CY$3&lt;YEAR($X31),0,CY$3=YEAR($X31),DATEDIF($X31,DATE(CY$3,12,31),"m")*$Y31,AND(CY$3&gt;YEAR($X31),CY$3-YEAR($X31)&lt;20),$Y31*12,CY$3-YEAR($X31)=20,DATEDIF(DATE(YEAR($X31),1,1),$X31,"m")*$Y31,CY$3-YEAR($X31)&gt;20,0)</f>
        <v>17166.599999999999</v>
      </c>
      <c r="CZ31" s="202" cm="1">
        <f t="array" ref="CZ31">_xlfn.IFS(CZ$3&lt;=YEAR($B$2),SUMPRODUCT(($E$4:$E$79=$E31)*($Z$2:$CG$2=CZ$3)*($Z$2:$CG$2&lt;DA$3)*$Z$4:$CG$79),CZ$3&lt;YEAR($X31),0,CZ$3=YEAR($X31),DATEDIF($X31,DATE(CZ$3,12,31),"m")*$Y31,AND(CZ$3&gt;YEAR($X31),CZ$3-YEAR($X31)&lt;20),$Y31*12,CZ$3-YEAR($X31)=20,DATEDIF(DATE(YEAR($X31),1,1),$X31,"m")*$Y31,CZ$3-YEAR($X31)&gt;20,0)</f>
        <v>17166.599999999999</v>
      </c>
      <c r="DA31" s="202" cm="1">
        <f t="array" ref="DA31">_xlfn.IFS(DA$3&lt;=YEAR($B$2),SUMPRODUCT(($E$4:$E$79=$E31)*($Z$2:$CG$2=DA$3)*($Z$2:$CG$2&lt;DB$3)*$Z$4:$CG$79),DA$3&lt;YEAR($X31),0,DA$3=YEAR($X31),DATEDIF($X31,DATE(DA$3,12,31),"m")*$Y31,AND(DA$3&gt;YEAR($X31),DA$3-YEAR($X31)&lt;20),$Y31*12,DA$3-YEAR($X31)=20,DATEDIF(DATE(YEAR($X31),1,1),$X31,"m")*$Y31,DA$3-YEAR($X31)&gt;20,0)</f>
        <v>17166.599999999999</v>
      </c>
      <c r="DB31" s="202" cm="1">
        <f t="array" ref="DB31">_xlfn.IFS(DB$3&lt;=YEAR($B$2),SUMPRODUCT(($E$4:$E$79=$E31)*($Z$2:$CG$2=DB$3)*($Z$2:$CG$2&lt;DC$3)*$Z$4:$CG$79),DB$3&lt;YEAR($X31),0,DB$3=YEAR($X31),DATEDIF($X31,DATE(DB$3,12,31),"m")*$Y31,AND(DB$3&gt;YEAR($X31),DB$3-YEAR($X31)&lt;20),$Y31*12,DB$3-YEAR($X31)=20,DATEDIF(DATE(YEAR($X31),1,1),$X31,"m")*$Y31,DB$3-YEAR($X31)&gt;20,0)</f>
        <v>17166.599999999999</v>
      </c>
      <c r="DC31" s="202" cm="1">
        <f t="array" ref="DC31">_xlfn.IFS(DC$3&lt;=YEAR($B$2),SUMPRODUCT(($E$4:$E$79=$E31)*($Z$2:$CG$2=DC$3)*($Z$2:$CG$2&lt;DD$3)*$Z$4:$CG$79),DC$3&lt;YEAR($X31),0,DC$3=YEAR($X31),DATEDIF($X31,DATE(DC$3,12,31),"m")*$Y31,AND(DC$3&gt;YEAR($X31),DC$3-YEAR($X31)&lt;20),$Y31*12,DC$3-YEAR($X31)=20,DATEDIF(DATE(YEAR($X31),1,1),$X31,"m")*$Y31,DC$3-YEAR($X31)&gt;20,0)</f>
        <v>17166.599999999999</v>
      </c>
      <c r="DD31" s="202" cm="1">
        <f t="array" ref="DD31">_xlfn.IFS(DD$3&lt;=YEAR($B$2),SUMPRODUCT(($E$4:$E$79=$E31)*($Z$2:$CG$2=DD$3)*($Z$2:$CG$2&lt;DE$3)*$Z$4:$CG$79),DD$3&lt;YEAR($X31),0,DD$3=YEAR($X31),DATEDIF($X31,DATE(DD$3,12,31),"m")*$Y31,AND(DD$3&gt;YEAR($X31),DD$3-YEAR($X31)&lt;20),$Y31*12,DD$3-YEAR($X31)=20,DATEDIF(DATE(YEAR($X31),1,1),$X31,"m")*$Y31,DD$3-YEAR($X31)&gt;20,0)</f>
        <v>17166.599999999999</v>
      </c>
      <c r="DE31" s="202" cm="1">
        <f t="array" ref="DE31">_xlfn.IFS(DE$3&lt;=YEAR($B$2),SUMPRODUCT(($E$4:$E$79=$E31)*($Z$2:$CG$2=DE$3)*($Z$2:$CG$2&lt;DF$3)*$Z$4:$CG$79),DE$3&lt;YEAR($X31),0,DE$3=YEAR($X31),DATEDIF($X31,DATE(DE$3,12,31),"m")*$Y31,AND(DE$3&gt;YEAR($X31),DE$3-YEAR($X31)&lt;20),$Y31*12,DE$3-YEAR($X31)=20,DATEDIF(DATE(YEAR($X31),1,1),$X31,"m")*$Y31,DE$3-YEAR($X31)&gt;20,0)</f>
        <v>17166.599999999999</v>
      </c>
      <c r="DF31" s="202" cm="1">
        <f t="array" ref="DF31">_xlfn.IFS(DF$3&lt;=YEAR($B$2),SUMPRODUCT(($E$4:$E$79=$E31)*($Z$2:$CG$2=DF$3)*($Z$2:$CG$2&lt;DG$3)*$Z$4:$CG$79),DF$3&lt;YEAR($X31),0,DF$3=YEAR($X31),DATEDIF($X31,DATE(DF$3,12,31),"m")*$Y31,AND(DF$3&gt;YEAR($X31),DF$3-YEAR($X31)&lt;20),$Y31*12,DF$3-YEAR($X31)=20,DATEDIF(DATE(YEAR($X31),1,1),$X31,"m")*$Y31,DF$3-YEAR($X31)&gt;20,0)</f>
        <v>17166.599999999999</v>
      </c>
      <c r="DG31" s="202" cm="1">
        <f t="array" ref="DG31">_xlfn.IFS(DG$3&lt;=YEAR($B$2),SUMPRODUCT(($E$4:$E$79=$E31)*($Z$2:$CG$2=DG$3)*($Z$2:$CG$2&lt;DH$3)*$Z$4:$CG$79),DG$3&lt;YEAR($X31),0,DG$3=YEAR($X31),DATEDIF($X31,DATE(DG$3,12,31),"m")*$Y31,AND(DG$3&gt;YEAR($X31),DG$3-YEAR($X31)&lt;20),$Y31*12,DG$3-YEAR($X31)=20,DATEDIF(DATE(YEAR($X31),1,1),$X31,"m")*$Y31,DG$3-YEAR($X31)&gt;20,0)</f>
        <v>15736.05</v>
      </c>
      <c r="DH31" s="202" cm="1">
        <f t="array" ref="DH31">_xlfn.IFS(DH$3&lt;=YEAR($B$2),SUMPRODUCT(($E$4:$E$79=$E31)*($Z$2:$CG$2=DH$3)*($Z$2:$CG$2&lt;DI$3)*$Z$4:$CG$79),DH$3&lt;YEAR($X31),0,DH$3=YEAR($X31),DATEDIF($X31,DATE(DH$3,12,31),"m")*$Y31,AND(DH$3&gt;YEAR($X31),DH$3-YEAR($X31)&lt;20),$Y31*12,DH$3-YEAR($X31)=20,DATEDIF(DATE(YEAR($X31),1,1),$X31,"m")*$Y31,DH$3-YEAR($X31)&gt;20,0)</f>
        <v>0</v>
      </c>
      <c r="DI31" s="202" cm="1">
        <f t="array" ref="DI31">_xlfn.IFS(DI$3&lt;=YEAR($B$2),SUMPRODUCT(($E$4:$E$79=$E31)*($Z$2:$CG$2=DI$3)*($Z$2:$CG$2&lt;DJ$3)*$Z$4:$CG$79),DI$3&lt;YEAR($X31),0,DI$3=YEAR($X31),DATEDIF($X31,DATE(DI$3,12,31),"m")*$Y31,AND(DI$3&gt;YEAR($X31),DI$3-YEAR($X31)&lt;20),$Y31*12,DI$3-YEAR($X31)=20,DATEDIF(DATE(YEAR($X31),1,1),$X31,"m")*$Y31,DI$3-YEAR($X31)&gt;20,0)</f>
        <v>0</v>
      </c>
      <c r="DJ31" s="202" cm="1">
        <f t="array" ref="DJ31">_xlfn.IFS(DJ$3&lt;=YEAR($B$2),SUMPRODUCT(($E$4:$E$79=$E31)*($Z$2:$CG$2=DJ$3)*($Z$2:$CG$2&lt;DK$3)*$Z$4:$CG$79),DJ$3&lt;YEAR($X31),0,DJ$3=YEAR($X31),DATEDIF($X31,DATE(DJ$3,12,31),"m")*$Y31,AND(DJ$3&gt;YEAR($X31),DJ$3-YEAR($X31)&lt;20),$Y31*12,DJ$3-YEAR($X31)=20,DATEDIF(DATE(YEAR($X31),1,1),$X31,"m")*$Y31,DJ$3-YEAR($X31)&gt;20,0)</f>
        <v>0</v>
      </c>
      <c r="DK31" s="202" cm="1">
        <f t="array" ref="DK31">_xlfn.IFS(DK$3&lt;=YEAR($B$2),SUMPRODUCT(($E$4:$E$79=$E31)*($Z$2:$CG$2=DK$3)*($Z$2:$CG$2&lt;DL$3)*$Z$4:$CG$79),DK$3&lt;YEAR($X31),0,DK$3=YEAR($X31),DATEDIF($X31,DATE(DK$3,12,31),"m")*$Y31,AND(DK$3&gt;YEAR($X31),DK$3-YEAR($X31)&lt;20),$Y31*12,DK$3-YEAR($X31)=20,DATEDIF(DATE(YEAR($X31),1,1),$X31,"m")*$Y31,DK$3-YEAR($X31)&gt;20,0)</f>
        <v>0</v>
      </c>
      <c r="DL31" s="202" cm="1">
        <f t="array" ref="DL31">_xlfn.IFS(DL$3&lt;=YEAR($B$2),SUMPRODUCT(($E$4:$E$79=$E31)*($Z$2:$CG$2=DL$3)*($Z$2:$CG$2&lt;DM$3)*$Z$4:$CG$79),DL$3&lt;YEAR($X31),0,DL$3=YEAR($X31),DATEDIF($X31,DATE(DL$3,12,31),"m")*$Y31,AND(DL$3&gt;YEAR($X31),DL$3-YEAR($X31)&lt;20),$Y31*12,DL$3-YEAR($X31)=20,DATEDIF(DATE(YEAR($X31),1,1),$X31,"m")*$Y31,DL$3-YEAR($X31)&gt;20,0)</f>
        <v>0</v>
      </c>
      <c r="DO31" s="166">
        <f t="shared" si="26"/>
        <v>2040</v>
      </c>
      <c r="DP31" s="158">
        <v>660421.95000000019</v>
      </c>
      <c r="DQ31" s="158">
        <v>462971.99729999999</v>
      </c>
      <c r="DR31" s="158">
        <v>25576.5</v>
      </c>
      <c r="DS31" s="158">
        <f t="shared" si="27"/>
        <v>1148970.4473000001</v>
      </c>
    </row>
    <row r="32" spans="1:636">
      <c r="A32" s="155" t="str" cm="1">
        <f t="array" ref="A32">INDEX('Monthly Report July 2025'!C:C,MATCH(E32,'Monthly Report July 2025'!E:E,0),0)</f>
        <v>Q1045</v>
      </c>
      <c r="B32" s="155" t="str" cm="1">
        <f t="array" ref="B32">_xlfn.IFS(LEFT(E32,3)="PGE","PGE",LEFT(E32,2)="PP","PAC",TRUE,"IP")</f>
        <v>PAC</v>
      </c>
      <c r="C32" s="155" t="str">
        <f>IF(ISNA(MATCH(E32,'Monthly Report July 2025'!E:E,0)),"Missing","Present")</f>
        <v>Present</v>
      </c>
      <c r="D32" s="155" t="str">
        <f>IF(ISNA(MATCH(E32,'Project Operational Timelines'!C:C,0))=TRUE,"Missing","Present")</f>
        <v>Present</v>
      </c>
      <c r="E32" s="155" t="s">
        <v>140</v>
      </c>
      <c r="F32" s="155" t="str" cm="1">
        <f t="array" ref="F32">INDEX('Monthly Report July 2025'!F:F,MATCH(E32,'Monthly Report July 2025'!E:E,),0)</f>
        <v>Pilot Rock Solar 2</v>
      </c>
      <c r="G32" s="155" t="str" cm="1">
        <f t="array" ref="G32">_xlfn.IFS(INDEX('Monthly Report July 2025'!O:O,MATCH(E32,'Monthly Report July 2025'!E:E,0),0)="Operational","Operational",INDEX('Monthly Report July 2025'!O:O,MATCH(E32,'Monthly Report July 2025'!E:E,0),0)="Certified","Certified",TRUE,"Pre-Certified")</f>
        <v>Certified</v>
      </c>
      <c r="H32" s="155" t="str" cm="1">
        <f t="array" ref="H32">INDEX('Monthly Report July 2025'!H:H,MATCH($E32,'Monthly Report July 2025'!$E:$E,0),0)</f>
        <v>Sunthurst</v>
      </c>
      <c r="I32" s="155" t="str" cm="1">
        <f t="array" ref="I32">INDEX('Monthly Report July 2025'!I:I,MATCH($E32,'Monthly Report July 2025'!$E:$E,0),0)</f>
        <v>Sunthurst</v>
      </c>
      <c r="J32" s="174" cm="1">
        <f t="array" ref="J32">INDEX('Monthly Report July 2025'!J:J,MATCH($E32,'Monthly Report July 2025'!$E:$E,0),0)</f>
        <v>1</v>
      </c>
      <c r="K32" s="174" t="str" cm="1">
        <f t="array" ref="K32">INDEX('Monthly Report July 2025'!K:K,MATCH($E32,'Monthly Report July 2025'!$E:$E,0),0)</f>
        <v>No</v>
      </c>
      <c r="L32" s="174" t="b" cm="1">
        <f t="array" ref="L32">INDEX('Monthly Report July 2025'!L:L,MATCH(E32,'Monthly Report July 2025'!E:E,0),0)=M32</f>
        <v>1</v>
      </c>
      <c r="M32" s="273" cm="1">
        <f t="array" ref="M32">INDEX('Monthly Report July 2025'!L:L,MATCH($E32,'Monthly Report July 2025'!$E:$E,0),0)</f>
        <v>2990</v>
      </c>
      <c r="N32" s="175" cm="1">
        <f t="array" ref="N32">INDEX('Monthly Report July 2025'!M:M,MATCH($E32,'Monthly Report July 2025'!$E:$E,0),0)</f>
        <v>43948</v>
      </c>
      <c r="O32" s="175" t="str" cm="1">
        <f t="array" ref="O32">_xlfn.IFS(G32="Operational","Operational",G32="Certified","Certified",TRUE,INDEX('Monthly Report July 2025'!O:O,MATCH(E32,'Monthly Report July 2025'!E:E,0),0))</f>
        <v>Certified</v>
      </c>
      <c r="P32" s="175" t="b" cm="1">
        <f t="array" ref="P32">_xlfn.IFS(G32="Operational",O32="Operational",G32="Certified",O32="Certified",TRUE,G32="Pre-Certified")</f>
        <v>1</v>
      </c>
      <c r="Q32" s="175" t="str" cm="1">
        <f t="array" ref="Q32">IF(O32="Operational",INDEX('Monthly Report July 2025'!R:R,MATCH(E32,'Monthly Report July 2025'!E:E,0),0),"")</f>
        <v/>
      </c>
      <c r="R32" s="175" cm="1">
        <f t="array" ref="R32">INDEX('Monthly Report July 2025'!P:P,MATCH(E32,'Monthly Report July 2025'!E:E,0),0)</f>
        <v>45776</v>
      </c>
      <c r="S32" s="175" t="b">
        <f t="shared" si="5"/>
        <v>1</v>
      </c>
      <c r="T32" s="175" cm="1">
        <f t="array" ref="T32">INDEX('Monthly Report July 2025'!U:U,MATCH(E32,'Monthly Report July 2025'!E:E,0),0)</f>
        <v>45930</v>
      </c>
      <c r="U32" s="175" t="str">
        <f t="shared" si="6"/>
        <v>IGNORE</v>
      </c>
      <c r="V32" s="156">
        <f t="shared" si="7"/>
        <v>45776</v>
      </c>
      <c r="W32" s="156" cm="1">
        <f t="array" ref="W32">_xlfn.IFS(U32=TRUE,EDATE(O32,6),U32=FALSE,T32,O32="Operational",Q32,AND(O32="Certified",EDATE(R32,6)&gt;T32),EDATE(R32,6),TRUE,T32)</f>
        <v>45959</v>
      </c>
      <c r="X32" s="156">
        <f t="shared" si="8"/>
        <v>46020</v>
      </c>
      <c r="Y32" s="157">
        <f t="shared" si="9"/>
        <v>2160.2750000000001</v>
      </c>
      <c r="Z32" s="202" cm="1">
        <f t="array" ref="Z32">_xlfn.IFS(Z$3&lt;$B$2,SUMPRODUCT(('PA Fees Actual'!$B$5:$B$882=$E32)*('PA Fees Actual'!$A$5:$A$882&gt;=Z$3)*('PA Fees Actual'!$A$5:$A$882&lt;=EOMONTH(Z$3,0))*'PA Fees Actual'!$D$5:$D$882),Z$3&gt;=EOMONTH($X32,-1)+1,$Y32,TRUE,0)</f>
        <v>0</v>
      </c>
      <c r="AA32" s="202" cm="1">
        <f t="array" ref="AA32">_xlfn.IFS(AA$3&lt;$B$2,SUMPRODUCT(('PA Fees Actual'!$B$5:$B$882=$E32)*('PA Fees Actual'!$A$5:$A$882&gt;=AA$3)*('PA Fees Actual'!$A$5:$A$882&lt;=EOMONTH(AA$3,0))*'PA Fees Actual'!$D$5:$D$882),AA$3&gt;=EOMONTH($X32,-1)+1,$Y32,TRUE,0)</f>
        <v>0</v>
      </c>
      <c r="AB32" s="202" cm="1">
        <f t="array" ref="AB32">_xlfn.IFS(AB$3&lt;$B$2,SUMPRODUCT(('PA Fees Actual'!$B$5:$B$882=$E32)*('PA Fees Actual'!$A$5:$A$882&gt;=AB$3)*('PA Fees Actual'!$A$5:$A$882&lt;=EOMONTH(AB$3,0))*'PA Fees Actual'!$D$5:$D$882),AB$3&gt;=EOMONTH($X32,-1)+1,$Y32,TRUE,0)</f>
        <v>0</v>
      </c>
      <c r="AC32" s="202" cm="1">
        <f t="array" ref="AC32">_xlfn.IFS(AC$3&lt;$B$2,SUMPRODUCT(('PA Fees Actual'!$B$5:$B$882=$E32)*('PA Fees Actual'!$A$5:$A$882&gt;=AC$3)*('PA Fees Actual'!$A$5:$A$882&lt;=EOMONTH(AC$3,0))*'PA Fees Actual'!$D$5:$D$882),AC$3&gt;=EOMONTH($X32,-1)+1,$Y32,TRUE,0)</f>
        <v>0</v>
      </c>
      <c r="AD32" s="202" cm="1">
        <f t="array" ref="AD32">_xlfn.IFS(AD$3&lt;$B$2,SUMPRODUCT(('PA Fees Actual'!$B$5:$B$882=$E32)*('PA Fees Actual'!$A$5:$A$882&gt;=AD$3)*('PA Fees Actual'!$A$5:$A$882&lt;=EOMONTH(AD$3,0))*'PA Fees Actual'!$D$5:$D$882),AD$3&gt;=EOMONTH($X32,-1)+1,$Y32,TRUE,0)</f>
        <v>0</v>
      </c>
      <c r="AE32" s="202" cm="1">
        <f t="array" ref="AE32">_xlfn.IFS(AE$3&lt;$B$2,SUMPRODUCT(('PA Fees Actual'!$B$5:$B$882=$E32)*('PA Fees Actual'!$A$5:$A$882&gt;=AE$3)*('PA Fees Actual'!$A$5:$A$882&lt;=EOMONTH(AE$3,0))*'PA Fees Actual'!$D$5:$D$882),AE$3&gt;=EOMONTH($X32,-1)+1,$Y32,TRUE,0)</f>
        <v>0</v>
      </c>
      <c r="AF32" s="202" cm="1">
        <f t="array" ref="AF32">_xlfn.IFS(AF$3&lt;$B$2,SUMPRODUCT(('PA Fees Actual'!$B$5:$B$882=$E32)*('PA Fees Actual'!$A$5:$A$882&gt;=AF$3)*('PA Fees Actual'!$A$5:$A$882&lt;=EOMONTH(AF$3,0))*'PA Fees Actual'!$D$5:$D$882),AF$3&gt;=EOMONTH($X32,-1)+1,$Y32,TRUE,0)</f>
        <v>0</v>
      </c>
      <c r="AG32" s="202" cm="1">
        <f t="array" ref="AG32">_xlfn.IFS(AG$3&lt;$B$2,SUMPRODUCT(('PA Fees Actual'!$B$5:$B$882=$E32)*('PA Fees Actual'!$A$5:$A$882&gt;=AG$3)*('PA Fees Actual'!$A$5:$A$882&lt;=EOMONTH(AG$3,0))*'PA Fees Actual'!$D$5:$D$882),AG$3&gt;=EOMONTH($X32,-1)+1,$Y32,TRUE,0)</f>
        <v>0</v>
      </c>
      <c r="AH32" s="202" cm="1">
        <f t="array" ref="AH32">_xlfn.IFS(AH$3&lt;$B$2,SUMPRODUCT(('PA Fees Actual'!$B$5:$B$882=$E32)*('PA Fees Actual'!$A$5:$A$882&gt;=AH$3)*('PA Fees Actual'!$A$5:$A$882&lt;=EOMONTH(AH$3,0))*'PA Fees Actual'!$D$5:$D$882),AH$3&gt;=EOMONTH($X32,-1)+1,$Y32,TRUE,0)</f>
        <v>0</v>
      </c>
      <c r="AI32" s="202" cm="1">
        <f t="array" ref="AI32">_xlfn.IFS(AI$3&lt;$B$2,SUMPRODUCT(('PA Fees Actual'!$B$5:$B$882=$E32)*('PA Fees Actual'!$A$5:$A$882&gt;=AI$3)*('PA Fees Actual'!$A$5:$A$882&lt;=EOMONTH(AI$3,0))*'PA Fees Actual'!$D$5:$D$882),AI$3&gt;=EOMONTH($X32,-1)+1,$Y32,TRUE,0)</f>
        <v>0</v>
      </c>
      <c r="AJ32" s="202" cm="1">
        <f t="array" ref="AJ32">_xlfn.IFS(AJ$3&lt;$B$2,SUMPRODUCT(('PA Fees Actual'!$B$5:$B$882=$E32)*('PA Fees Actual'!$A$5:$A$882&gt;=AJ$3)*('PA Fees Actual'!$A$5:$A$882&lt;=EOMONTH(AJ$3,0))*'PA Fees Actual'!$D$5:$D$882),AJ$3&gt;=EOMONTH($X32,-1)+1,$Y32,TRUE,0)</f>
        <v>0</v>
      </c>
      <c r="AK32" s="202" cm="1">
        <f t="array" ref="AK32">_xlfn.IFS(AK$3&lt;$B$2,SUMPRODUCT(('PA Fees Actual'!$B$5:$B$882=$E32)*('PA Fees Actual'!$A$5:$A$882&gt;=AK$3)*('PA Fees Actual'!$A$5:$A$882&lt;=EOMONTH(AK$3,0))*'PA Fees Actual'!$D$5:$D$882),AK$3&gt;=EOMONTH($X32,-1)+1,$Y32,TRUE,0)</f>
        <v>0</v>
      </c>
      <c r="AL32" s="202" cm="1">
        <f t="array" ref="AL32">_xlfn.IFS(AL$3&lt;$B$2,SUMPRODUCT(('PA Fees Actual'!$B$5:$B$882=$E32)*('PA Fees Actual'!$A$5:$A$882&gt;=AL$3)*('PA Fees Actual'!$A$5:$A$882&lt;=EOMONTH(AL$3,0))*'PA Fees Actual'!$D$5:$D$882),AL$3&gt;=EOMONTH($X32,-1)+1,$Y32,TRUE,0)</f>
        <v>0</v>
      </c>
      <c r="AM32" s="202" cm="1">
        <f t="array" ref="AM32">_xlfn.IFS(AM$3&lt;$B$2,SUMPRODUCT(('PA Fees Actual'!$B$5:$B$882=$E32)*('PA Fees Actual'!$A$5:$A$882&gt;=AM$3)*('PA Fees Actual'!$A$5:$A$882&lt;=EOMONTH(AM$3,0))*'PA Fees Actual'!$D$5:$D$882),AM$3&gt;=EOMONTH($X32,-1)+1,$Y32,TRUE,0)</f>
        <v>0</v>
      </c>
      <c r="AN32" s="202" cm="1">
        <f t="array" ref="AN32">_xlfn.IFS(AN$3&lt;$B$2,SUMPRODUCT(('PA Fees Actual'!$B$5:$B$882=$E32)*('PA Fees Actual'!$A$5:$A$882&gt;=AN$3)*('PA Fees Actual'!$A$5:$A$882&lt;=EOMONTH(AN$3,0))*'PA Fees Actual'!$D$5:$D$882),AN$3&gt;=EOMONTH($X32,-1)+1,$Y32,TRUE,0)</f>
        <v>0</v>
      </c>
      <c r="AO32" s="202" cm="1">
        <f t="array" ref="AO32">_xlfn.IFS(AO$3&lt;$B$2,SUMPRODUCT(('PA Fees Actual'!$B$5:$B$882=$E32)*('PA Fees Actual'!$A$5:$A$882&gt;=AO$3)*('PA Fees Actual'!$A$5:$A$882&lt;=EOMONTH(AO$3,0))*'PA Fees Actual'!$D$5:$D$882),AO$3&gt;=EOMONTH($X32,-1)+1,$Y32,TRUE,0)</f>
        <v>0</v>
      </c>
      <c r="AP32" s="202" cm="1">
        <f t="array" ref="AP32">_xlfn.IFS(AP$3&lt;$B$2,SUMPRODUCT(('PA Fees Actual'!$B$5:$B$882=$E32)*('PA Fees Actual'!$A$5:$A$882&gt;=AP$3)*('PA Fees Actual'!$A$5:$A$882&lt;=EOMONTH(AP$3,0))*'PA Fees Actual'!$D$5:$D$882),AP$3&gt;=EOMONTH($X32,-1)+1,$Y32,TRUE,0)</f>
        <v>0</v>
      </c>
      <c r="AQ32" s="202" cm="1">
        <f t="array" ref="AQ32">_xlfn.IFS(AQ$3&lt;$B$2,SUMPRODUCT(('PA Fees Actual'!$B$5:$B$882=$E32)*('PA Fees Actual'!$A$5:$A$882&gt;=AQ$3)*('PA Fees Actual'!$A$5:$A$882&lt;=EOMONTH(AQ$3,0))*'PA Fees Actual'!$D$5:$D$882),AQ$3&gt;=EOMONTH($X32,-1)+1,$Y32,TRUE,0)</f>
        <v>0</v>
      </c>
      <c r="AR32" s="202" cm="1">
        <f t="array" ref="AR32">_xlfn.IFS(AR$3&lt;$B$2,SUMPRODUCT(('PA Fees Actual'!$B$5:$B$882=$E32)*('PA Fees Actual'!$A$5:$A$882&gt;=AR$3)*('PA Fees Actual'!$A$5:$A$882&lt;=EOMONTH(AR$3,0))*'PA Fees Actual'!$D$5:$D$882),AR$3&gt;=EOMONTH($X32,-1)+1,$Y32,TRUE,0)</f>
        <v>0</v>
      </c>
      <c r="AS32" s="202" cm="1">
        <f t="array" ref="AS32">_xlfn.IFS(AS$3&lt;$B$2,SUMPRODUCT(('PA Fees Actual'!$B$5:$B$882=$E32)*('PA Fees Actual'!$A$5:$A$882&gt;=AS$3)*('PA Fees Actual'!$A$5:$A$882&lt;=EOMONTH(AS$3,0))*'PA Fees Actual'!$D$5:$D$882),AS$3&gt;=EOMONTH($X32,-1)+1,$Y32,TRUE,0)</f>
        <v>0</v>
      </c>
      <c r="AT32" s="202" cm="1">
        <f t="array" ref="AT32">_xlfn.IFS(AT$3&lt;$B$2,SUMPRODUCT(('PA Fees Actual'!$B$5:$B$882=$E32)*('PA Fees Actual'!$A$5:$A$882&gt;=AT$3)*('PA Fees Actual'!$A$5:$A$882&lt;=EOMONTH(AT$3,0))*'PA Fees Actual'!$D$5:$D$882),AT$3&gt;=EOMONTH($X32,-1)+1,$Y32,TRUE,0)</f>
        <v>0</v>
      </c>
      <c r="AU32" s="202" cm="1">
        <f t="array" ref="AU32">_xlfn.IFS(AU$3&lt;$B$2,SUMPRODUCT(('PA Fees Actual'!$B$5:$B$882=$E32)*('PA Fees Actual'!$A$5:$A$882&gt;=AU$3)*('PA Fees Actual'!$A$5:$A$882&lt;=EOMONTH(AU$3,0))*'PA Fees Actual'!$D$5:$D$882),AU$3&gt;=EOMONTH($X32,-1)+1,$Y32,TRUE,0)</f>
        <v>0</v>
      </c>
      <c r="AV32" s="202" cm="1">
        <f t="array" ref="AV32">_xlfn.IFS(AV$3&lt;$B$2,SUMPRODUCT(('PA Fees Actual'!$B$5:$B$882=$E32)*('PA Fees Actual'!$A$5:$A$882&gt;=AV$3)*('PA Fees Actual'!$A$5:$A$882&lt;=EOMONTH(AV$3,0))*'PA Fees Actual'!$D$5:$D$882),AV$3&gt;=EOMONTH($X32,-1)+1,$Y32,TRUE,0)</f>
        <v>0</v>
      </c>
      <c r="AW32" s="202" cm="1">
        <f t="array" ref="AW32">_xlfn.IFS(AW$3&lt;$B$2,SUMPRODUCT(('PA Fees Actual'!$B$5:$B$882=$E32)*('PA Fees Actual'!$A$5:$A$882&gt;=AW$3)*('PA Fees Actual'!$A$5:$A$882&lt;=EOMONTH(AW$3,0))*'PA Fees Actual'!$D$5:$D$882),AW$3&gt;=EOMONTH($X32,-1)+1,$Y32,TRUE,0)</f>
        <v>0</v>
      </c>
      <c r="AX32" s="202" cm="1">
        <f t="array" ref="AX32">_xlfn.IFS(AX$3&lt;$B$2,SUMPRODUCT(('PA Fees Actual'!$B$5:$B$882=$E32)*('PA Fees Actual'!$A$5:$A$882&gt;=AX$3)*('PA Fees Actual'!$A$5:$A$882&lt;=EOMONTH(AX$3,0))*'PA Fees Actual'!$D$5:$D$882),AX$3&gt;=EOMONTH($X32,-1)+1,$Y32,TRUE,0)</f>
        <v>0</v>
      </c>
      <c r="AY32" s="202" cm="1">
        <f t="array" ref="AY32">_xlfn.IFS(AY$3&lt;$B$2,SUMPRODUCT(('PA Fees Actual'!$B$5:$B$882=$E32)*('PA Fees Actual'!$A$5:$A$882&gt;=AY$3)*('PA Fees Actual'!$A$5:$A$882&lt;=EOMONTH(AY$3,0))*'PA Fees Actual'!$D$5:$D$882),AY$3&gt;=EOMONTH($X32,-1)+1,$Y32,TRUE,0)</f>
        <v>0</v>
      </c>
      <c r="AZ32" s="202" cm="1">
        <f t="array" ref="AZ32">_xlfn.IFS(AZ$3&lt;$B$2,SUMPRODUCT(('PA Fees Actual'!$B$5:$B$882=$E32)*('PA Fees Actual'!$A$5:$A$882&gt;=AZ$3)*('PA Fees Actual'!$A$5:$A$882&lt;=EOMONTH(AZ$3,0))*'PA Fees Actual'!$D$5:$D$882),AZ$3&gt;=EOMONTH($X32,-1)+1,$Y32,TRUE,0)</f>
        <v>0</v>
      </c>
      <c r="BA32" s="202" cm="1">
        <f t="array" ref="BA32">_xlfn.IFS(BA$3&lt;$B$2,SUMPRODUCT(('PA Fees Actual'!$B$5:$B$882=$E32)*('PA Fees Actual'!$A$5:$A$882&gt;=BA$3)*('PA Fees Actual'!$A$5:$A$882&lt;=EOMONTH(BA$3,0))*'PA Fees Actual'!$D$5:$D$882),BA$3&gt;=EOMONTH($X32,-1)+1,$Y32,TRUE,0)</f>
        <v>0</v>
      </c>
      <c r="BB32" s="202" cm="1">
        <f t="array" ref="BB32">_xlfn.IFS(BB$3&lt;$B$2,SUMPRODUCT(('PA Fees Actual'!$B$5:$B$882=$E32)*('PA Fees Actual'!$A$5:$A$882&gt;=BB$3)*('PA Fees Actual'!$A$5:$A$882&lt;=EOMONTH(BB$3,0))*'PA Fees Actual'!$D$5:$D$882),BB$3&gt;=EOMONTH($X32,-1)+1,$Y32,TRUE,0)</f>
        <v>0</v>
      </c>
      <c r="BC32" s="202" cm="1">
        <f t="array" ref="BC32">_xlfn.IFS(BC$3&lt;$B$2,SUMPRODUCT(('PA Fees Actual'!$B$5:$B$882=$E32)*('PA Fees Actual'!$A$5:$A$882&gt;=BC$3)*('PA Fees Actual'!$A$5:$A$882&lt;=EOMONTH(BC$3,0))*'PA Fees Actual'!$D$5:$D$882),BC$3&gt;=EOMONTH($X32,-1)+1,$Y32,TRUE,0)</f>
        <v>0</v>
      </c>
      <c r="BD32" s="202" cm="1">
        <f t="array" ref="BD32">_xlfn.IFS(BD$3&lt;$B$2,SUMPRODUCT(('PA Fees Actual'!$B$5:$B$882=$E32)*('PA Fees Actual'!$A$5:$A$882&gt;=BD$3)*('PA Fees Actual'!$A$5:$A$882&lt;=EOMONTH(BD$3,0))*'PA Fees Actual'!$D$5:$D$882),BD$3&gt;=EOMONTH($X32,-1)+1,$Y32,TRUE,0)</f>
        <v>0</v>
      </c>
      <c r="BE32" s="202" cm="1">
        <f t="array" ref="BE32">_xlfn.IFS(BE$3&lt;$B$2,SUMPRODUCT(('PA Fees Actual'!$B$5:$B$882=$E32)*('PA Fees Actual'!$A$5:$A$882&gt;=BE$3)*('PA Fees Actual'!$A$5:$A$882&lt;=EOMONTH(BE$3,0))*'PA Fees Actual'!$D$5:$D$882),BE$3&gt;=EOMONTH($X32,-1)+1,$Y32,TRUE,0)</f>
        <v>0</v>
      </c>
      <c r="BF32" s="202" cm="1">
        <f t="array" ref="BF32">_xlfn.IFS(BF$3&lt;$B$2,SUMPRODUCT(('PA Fees Actual'!$B$5:$B$882=$E32)*('PA Fees Actual'!$A$5:$A$882&gt;=BF$3)*('PA Fees Actual'!$A$5:$A$882&lt;=EOMONTH(BF$3,0))*'PA Fees Actual'!$D$5:$D$882),BF$3&gt;=EOMONTH($X32,-1)+1,$Y32,TRUE,0)</f>
        <v>0</v>
      </c>
      <c r="BG32" s="202" cm="1">
        <f t="array" ref="BG32">_xlfn.IFS(BG$3&lt;$B$2,SUMPRODUCT(('PA Fees Actual'!$B$5:$B$882=$E32)*('PA Fees Actual'!$A$5:$A$882&gt;=BG$3)*('PA Fees Actual'!$A$5:$A$882&lt;=EOMONTH(BG$3,0))*'PA Fees Actual'!$D$5:$D$882),BG$3&gt;=EOMONTH($X32,-1)+1,$Y32,TRUE,0)</f>
        <v>0</v>
      </c>
      <c r="BH32" s="202" cm="1">
        <f t="array" ref="BH32">_xlfn.IFS(BH$3&lt;$B$2,SUMPRODUCT(('PA Fees Actual'!$B$5:$B$882=$E32)*('PA Fees Actual'!$A$5:$A$882&gt;=BH$3)*('PA Fees Actual'!$A$5:$A$882&lt;=EOMONTH(BH$3,0))*'PA Fees Actual'!$D$5:$D$882),BH$3&gt;=EOMONTH($X32,-1)+1,$Y32,TRUE,0)</f>
        <v>0</v>
      </c>
      <c r="BI32" s="202" cm="1">
        <f t="array" ref="BI32">_xlfn.IFS(BI$3&lt;$B$2,SUMPRODUCT(('PA Fees Actual'!$B$5:$B$882=$E32)*('PA Fees Actual'!$A$5:$A$882&gt;=BI$3)*('PA Fees Actual'!$A$5:$A$882&lt;=EOMONTH(BI$3,0))*'PA Fees Actual'!$D$5:$D$882),BI$3&gt;=EOMONTH($X32,-1)+1,$Y32,TRUE,0)</f>
        <v>0</v>
      </c>
      <c r="BJ32" s="202" cm="1">
        <f t="array" ref="BJ32">_xlfn.IFS(BJ$3&lt;$B$2,SUMPRODUCT(('PA Fees Actual'!$B$5:$B$882=$E32)*('PA Fees Actual'!$A$5:$A$882&gt;=BJ$3)*('PA Fees Actual'!$A$5:$A$882&lt;=EOMONTH(BJ$3,0))*'PA Fees Actual'!$D$5:$D$882),BJ$3&gt;=EOMONTH($X32,-1)+1,$Y32,TRUE,0)</f>
        <v>0</v>
      </c>
      <c r="BK32" s="202" cm="1">
        <f t="array" ref="BK32">_xlfn.IFS(BK$3&lt;$B$2,SUMPRODUCT(('PA Fees Actual'!$B$5:$B$882=$E32)*('PA Fees Actual'!$A$5:$A$882&gt;=BK$3)*('PA Fees Actual'!$A$5:$A$882&lt;=EOMONTH(BK$3,0))*'PA Fees Actual'!$D$5:$D$882),BK$3&gt;=EOMONTH($X32,-1)+1,$Y32,TRUE,0)</f>
        <v>0</v>
      </c>
      <c r="BL32" s="202" cm="1">
        <f t="array" ref="BL32">_xlfn.IFS(BL$3&lt;$B$2,SUMPRODUCT(('PA Fees Actual'!$B$5:$B$882=$E32)*('PA Fees Actual'!$A$5:$A$882&gt;=BL$3)*('PA Fees Actual'!$A$5:$A$882&lt;=EOMONTH(BL$3,0))*'PA Fees Actual'!$D$5:$D$882),BL$3&gt;=EOMONTH($X32,-1)+1,$Y32,TRUE,0)</f>
        <v>0</v>
      </c>
      <c r="BM32" s="202" cm="1">
        <f t="array" ref="BM32">_xlfn.IFS(BM$3&lt;$B$2,SUMPRODUCT(('PA Fees Actual'!$B$5:$B$882=$E32)*('PA Fees Actual'!$A$5:$A$882&gt;=BM$3)*('PA Fees Actual'!$A$5:$A$882&lt;=EOMONTH(BM$3,0))*'PA Fees Actual'!$D$5:$D$882),BM$3&gt;=EOMONTH($X32,-1)+1,$Y32,TRUE,0)</f>
        <v>0</v>
      </c>
      <c r="BN32" s="202" cm="1">
        <f t="array" ref="BN32">_xlfn.IFS(BN$3&lt;$B$2,SUMPRODUCT(('PA Fees Actual'!$B$5:$B$882=$E32)*('PA Fees Actual'!$A$5:$A$882&gt;=BN$3)*('PA Fees Actual'!$A$5:$A$882&lt;=EOMONTH(BN$3,0))*'PA Fees Actual'!$D$5:$D$882),BN$3&gt;=EOMONTH($X32,-1)+1,$Y32,TRUE,0)</f>
        <v>0</v>
      </c>
      <c r="BO32" s="202" cm="1">
        <f t="array" ref="BO32">_xlfn.IFS(BO$3&lt;$B$2,SUMPRODUCT(('PA Fees Actual'!$B$5:$B$882=$E32)*('PA Fees Actual'!$A$5:$A$882&gt;=BO$3)*('PA Fees Actual'!$A$5:$A$882&lt;=EOMONTH(BO$3,0))*'PA Fees Actual'!$D$5:$D$882),BO$3&gt;=EOMONTH($X32,-1)+1,$Y32,TRUE,0)</f>
        <v>0</v>
      </c>
      <c r="BP32" s="202" cm="1">
        <f t="array" ref="BP32">_xlfn.IFS(BP$3&lt;$B$2,SUMPRODUCT(('PA Fees Actual'!$B$5:$B$882=$E32)*('PA Fees Actual'!$A$5:$A$882&gt;=BP$3)*('PA Fees Actual'!$A$5:$A$882&lt;=EOMONTH(BP$3,0))*'PA Fees Actual'!$D$5:$D$882),BP$3&gt;=EOMONTH($X32,-1)+1,$Y32,TRUE,0)</f>
        <v>0</v>
      </c>
      <c r="BQ32" s="202" cm="1">
        <f t="array" ref="BQ32">_xlfn.IFS(BQ$3&lt;$B$2,SUMPRODUCT(('PA Fees Actual'!$B$5:$B$882=$E32)*('PA Fees Actual'!$A$5:$A$882&gt;=BQ$3)*('PA Fees Actual'!$A$5:$A$882&lt;=EOMONTH(BQ$3,0))*'PA Fees Actual'!$D$5:$D$882),BQ$3&gt;=EOMONTH($X32,-1)+1,$Y32,TRUE,0)</f>
        <v>0</v>
      </c>
      <c r="BR32" s="202" cm="1">
        <f t="array" ref="BR32">_xlfn.IFS(BR$3&lt;$B$2,SUMPRODUCT(('PA Fees Actual'!$B$5:$B$882=$E32)*('PA Fees Actual'!$A$5:$A$882&gt;=BR$3)*('PA Fees Actual'!$A$5:$A$882&lt;=EOMONTH(BR$3,0))*'PA Fees Actual'!$D$5:$D$882),BR$3&gt;=EOMONTH($X32,-1)+1,$Y32,TRUE,0)</f>
        <v>0</v>
      </c>
      <c r="BS32" s="202" cm="1">
        <f t="array" ref="BS32">_xlfn.IFS(BS$3&lt;$B$2,SUMPRODUCT(('PA Fees Actual'!$B$5:$B$882=$E32)*('PA Fees Actual'!$A$5:$A$882&gt;=BS$3)*('PA Fees Actual'!$A$5:$A$882&lt;=EOMONTH(BS$3,0))*'PA Fees Actual'!$D$5:$D$882),BS$3&gt;=EOMONTH($X32,-1)+1,$Y32,TRUE,0)</f>
        <v>0</v>
      </c>
      <c r="BT32" s="202" cm="1">
        <f t="array" ref="BT32">_xlfn.IFS(BT$3&lt;$B$2,SUMPRODUCT(('PA Fees Actual'!$B$5:$B$882=$E32)*('PA Fees Actual'!$A$5:$A$882&gt;=BT$3)*('PA Fees Actual'!$A$5:$A$882&lt;=EOMONTH(BT$3,0))*'PA Fees Actual'!$D$5:$D$882),BT$3&gt;=EOMONTH($X32,-1)+1,$Y32,TRUE,0)</f>
        <v>0</v>
      </c>
      <c r="BU32" s="202" cm="1">
        <f t="array" ref="BU32">_xlfn.IFS(BU$3&lt;$B$2,SUMPRODUCT(('PA Fees Actual'!$B$5:$B$882=$E32)*('PA Fees Actual'!$A$5:$A$882&gt;=BU$3)*('PA Fees Actual'!$A$5:$A$882&lt;=EOMONTH(BU$3,0))*'PA Fees Actual'!$D$5:$D$882),BU$3&gt;=EOMONTH($X32,-1)+1,$Y32,TRUE,0)</f>
        <v>0</v>
      </c>
      <c r="BV32" s="202" cm="1">
        <f t="array" ref="BV32">_xlfn.IFS(BV$3&lt;$B$2,SUMPRODUCT(('PA Fees Actual'!$B$5:$B$882=$E32)*('PA Fees Actual'!$A$5:$A$882&gt;=BV$3)*('PA Fees Actual'!$A$5:$A$882&lt;=EOMONTH(BV$3,0))*'PA Fees Actual'!$D$5:$D$882),BV$3&gt;=EOMONTH($X32,-1)+1,$Y32,TRUE,0)</f>
        <v>0</v>
      </c>
      <c r="BW32" s="202" cm="1">
        <f t="array" ref="BW32">_xlfn.IFS(BW$3&lt;$B$2,SUMPRODUCT(('PA Fees Actual'!$B$5:$B$882=$E32)*('PA Fees Actual'!$A$5:$A$882&gt;=BW$3)*('PA Fees Actual'!$A$5:$A$882&lt;=EOMONTH(BW$3,0))*'PA Fees Actual'!$D$5:$D$882),BW$3&gt;=EOMONTH($X32,-1)+1,$Y32,TRUE,0)</f>
        <v>0</v>
      </c>
      <c r="BX32" s="202" cm="1">
        <f t="array" ref="BX32">_xlfn.IFS(BX$3&lt;$B$2,SUMPRODUCT(('PA Fees Actual'!$B$5:$B$882=$E32)*('PA Fees Actual'!$A$5:$A$882&gt;=BX$3)*('PA Fees Actual'!$A$5:$A$882&lt;=EOMONTH(BX$3,0))*'PA Fees Actual'!$D$5:$D$882),BX$3&gt;=EOMONTH($X32,-1)+1,$Y32,TRUE,0)</f>
        <v>0</v>
      </c>
      <c r="BY32" s="202" cm="1">
        <f t="array" ref="BY32">_xlfn.IFS(BY$3&lt;$B$2,SUMPRODUCT(('PA Fees Actual'!$B$5:$B$882=$E32)*('PA Fees Actual'!$A$5:$A$882&gt;=BY$3)*('PA Fees Actual'!$A$5:$A$882&lt;=EOMONTH(BY$3,0))*'PA Fees Actual'!$D$5:$D$882),BY$3&gt;=EOMONTH($X32,-1)+1,$Y32,TRUE,0)</f>
        <v>0</v>
      </c>
      <c r="BZ32" s="202" cm="1">
        <f t="array" ref="BZ32">_xlfn.IFS(BZ$3&lt;$B$2,SUMPRODUCT(('PA Fees Actual'!$B$5:$B$882=$E32)*('PA Fees Actual'!$A$5:$A$882&gt;=BZ$3)*('PA Fees Actual'!$A$5:$A$882&lt;=EOMONTH(BZ$3,0))*'PA Fees Actual'!$D$5:$D$882),BZ$3&gt;=EOMONTH($X32,-1)+1,$Y32,TRUE,0)</f>
        <v>0</v>
      </c>
      <c r="CA32" s="202" cm="1">
        <f t="array" ref="CA32">_xlfn.IFS(CA$3&lt;$B$2,SUMPRODUCT(('PA Fees Actual'!$B$5:$B$882=$E32)*('PA Fees Actual'!$A$5:$A$882&gt;=CA$3)*('PA Fees Actual'!$A$5:$A$882&lt;=EOMONTH(CA$3,0))*'PA Fees Actual'!$D$5:$D$882),CA$3&gt;=EOMONTH($X32,-1)+1,$Y32,TRUE,0)</f>
        <v>0</v>
      </c>
      <c r="CB32" s="202" cm="1">
        <f t="array" ref="CB32">_xlfn.IFS(CB$3&lt;$B$2,SUMPRODUCT(('PA Fees Actual'!$B$5:$B$749=$E32)*('PA Fees Actual'!$A$5:$A$749&gt;=CB$3)*('PA Fees Actual'!$A$5:$A$749&lt;=EOMONTH(CB$3,0))*'PA Fees Actual'!$D$5:$D$749),CB$3&gt;=EOMONTH($X32,-1)+1,$Y32,TRUE,0)</f>
        <v>0</v>
      </c>
      <c r="CC32" s="202" cm="1">
        <f t="array" ref="CC32">_xlfn.IFS(CC$3&lt;$B$2,SUMPRODUCT(('PA Fees Actual'!$B$5:$B$749=$E32)*('PA Fees Actual'!$A$5:$A$749&gt;=CC$3)*('PA Fees Actual'!$A$5:$A$749&lt;=EOMONTH(CC$3,0))*'PA Fees Actual'!$D$5:$D$749),CC$3&gt;=EOMONTH($X32,-1)+1,$Y32,TRUE,0)</f>
        <v>0</v>
      </c>
      <c r="CD32" s="202" cm="1">
        <f t="array" ref="CD32">_xlfn.IFS(CD$3&lt;$B$2,SUMPRODUCT(('PA Fees Actual'!$B$5:$B$749=$E32)*('PA Fees Actual'!$A$5:$A$749&gt;=CD$3)*('PA Fees Actual'!$A$5:$A$749&lt;=EOMONTH(CD$3,0))*'PA Fees Actual'!$D$5:$D$749),CD$3&gt;=EOMONTH($X32,-1)+1,$Y32,TRUE,0)</f>
        <v>0</v>
      </c>
      <c r="CE32" s="202" cm="1">
        <f t="array" ref="CE32">_xlfn.IFS(CE$3&lt;$B$2,SUMPRODUCT(('PA Fees Actual'!$B$5:$B$749=$E32)*('PA Fees Actual'!$A$5:$A$749&gt;=CE$3)*('PA Fees Actual'!$A$5:$A$749&lt;=EOMONTH(CE$3,0))*'PA Fees Actual'!$D$5:$D$749),CE$3&gt;=EOMONTH($X32,-1)+1,$Y32,TRUE,0)</f>
        <v>0</v>
      </c>
      <c r="CF32" s="202" cm="1">
        <f t="array" ref="CF32">_xlfn.IFS(CF$3&lt;$B$2,SUMPRODUCT(('PA Fees Actual'!$B$5:$B$749=$E32)*('PA Fees Actual'!$A$5:$A$749&gt;=CF$3)*('PA Fees Actual'!$A$5:$A$749&lt;=EOMONTH(CF$3,0))*'PA Fees Actual'!$D$5:$D$749),CF$3&gt;=EOMONTH($X32,-1)+1,$Y32,TRUE,0)</f>
        <v>0</v>
      </c>
      <c r="CG32" s="202" cm="1">
        <f t="array" ref="CG32">_xlfn.IFS(CG$3&lt;$B$2,SUMPRODUCT(('PA Fees Actual'!$B$5:$B$749=$E32)*('PA Fees Actual'!$A$5:$A$749&gt;=CG$3)*('PA Fees Actual'!$A$5:$A$749&lt;=EOMONTH(CG$3,0))*'PA Fees Actual'!$D$5:$D$749),CG$3&gt;=EOMONTH($X32,-1)+1,$Y32,TRUE,0)</f>
        <v>2160.2750000000001</v>
      </c>
      <c r="CI32" s="202" cm="1">
        <f t="array" ref="CI32">_xlfn.IFS(CI$3&lt;=YEAR($B$2),SUMPRODUCT(($E$4:$E$79=$E32)*($Z$2:$CG$2=CI$3)*($Z$2:$CG$2&lt;CJ$3)*$Z$4:$CG$79),CI$3&lt;YEAR($X32),0,CI$3=YEAR($X32),DATEDIF($X32,DATE(CI$3,12,31),"m")*$Y32,AND(CI$3&gt;YEAR($X32),CI$3-YEAR($X32)&lt;20),$Y32*12,CI$3-YEAR($X32)=20,DATEDIF(DATE(YEAR($X32),1,1),$X32,"m")*$Y32,CI$3-YEAR($X32)&gt;20,0)</f>
        <v>0</v>
      </c>
      <c r="CJ32" s="202" cm="1">
        <f t="array" ref="CJ32">_xlfn.IFS(CJ$3&lt;=YEAR($B$2),SUMPRODUCT(($E$4:$E$79=$E32)*($Z$2:$CG$2=CJ$3)*($Z$2:$CG$2&lt;CK$3)*$Z$4:$CG$79),CJ$3&lt;YEAR($X32),0,CJ$3=YEAR($X32),DATEDIF($X32,DATE(CJ$3,12,31),"m")*$Y32,AND(CJ$3&gt;YEAR($X32),CJ$3-YEAR($X32)&lt;20),$Y32*12,CJ$3-YEAR($X32)=20,DATEDIF(DATE(YEAR($X32),1,1),$X32,"m")*$Y32,CJ$3-YEAR($X32)&gt;20,0)</f>
        <v>0</v>
      </c>
      <c r="CK32" s="202" cm="1">
        <f t="array" ref="CK32">_xlfn.IFS(CK$3&lt;=YEAR($B$2),SUMPRODUCT(($E$4:$E$79=$E32)*($Z$2:$CG$2=CK$3)*($Z$2:$CG$2&lt;CL$3)*$Z$4:$CG$79),CK$3&lt;YEAR($X32),0,CK$3=YEAR($X32),DATEDIF($X32,DATE(CK$3,12,31),"m")*$Y32,AND(CK$3&gt;YEAR($X32),CK$3-YEAR($X32)&lt;20),$Y32*12,CK$3-YEAR($X32)=20,DATEDIF(DATE(YEAR($X32),1,1),$X32,"m")*$Y32,CK$3-YEAR($X32)&gt;20,0)</f>
        <v>0</v>
      </c>
      <c r="CL32" s="202" cm="1">
        <f t="array" ref="CL32">_xlfn.IFS(CL$3&lt;=YEAR($B$2),SUMPRODUCT(($E$4:$E$79=$E32)*($Z$2:$CG$2=CL$3)*($Z$2:$CG$2&lt;CM$3)*$Z$4:$CG$79),CL$3&lt;YEAR($X32),0,CL$3=YEAR($X32),DATEDIF($X32,DATE(CL$3,12,31),"m")*$Y32,AND(CL$3&gt;YEAR($X32),CL$3-YEAR($X32)&lt;20),$Y32*12,CL$3-YEAR($X32)=20,DATEDIF(DATE(YEAR($X32),1,1),$X32,"m")*$Y32,CL$3-YEAR($X32)&gt;20,0)</f>
        <v>0</v>
      </c>
      <c r="CM32" s="202" cm="1">
        <f t="array" ref="CM32">_xlfn.IFS(CM$3&lt;=YEAR($B$2),SUMPRODUCT(($E$4:$E$79=$E32)*($Z$2:$CG$2=CM$3)*($Z$2:$CG$2&lt;CN$3)*$Z$4:$CG$79),CM$3&lt;YEAR($X32),0,CM$3=YEAR($X32),DATEDIF($X32,DATE(CM$3,12,31),"m")*$Y32,AND(CM$3&gt;YEAR($X32),CM$3-YEAR($X32)&lt;20),$Y32*12,CM$3-YEAR($X32)=20,DATEDIF(DATE(YEAR($X32),1,1),$X32,"m")*$Y32,CM$3-YEAR($X32)&gt;20,0)</f>
        <v>2160.2750000000001</v>
      </c>
      <c r="CN32" s="202" cm="1">
        <f t="array" ref="CN32">_xlfn.IFS(CN$3&lt;=YEAR($B$2),SUMPRODUCT(($E$4:$E$79=$E32)*($Z$2:$CG$2=CN$3)*($Z$2:$CG$2&lt;CO$3)*$Z$4:$CG$79),CN$3&lt;YEAR($X32),0,CN$3=YEAR($X32),DATEDIF($X32,DATE(CN$3,12,31),"m")*$Y32,AND(CN$3&gt;YEAR($X32),CN$3-YEAR($X32)&lt;20),$Y32*12,CN$3-YEAR($X32)=20,DATEDIF(DATE(YEAR($X32),1,1),$X32,"m")*$Y32,CN$3-YEAR($X32)&gt;20,0)</f>
        <v>25923.300000000003</v>
      </c>
      <c r="CO32" s="202" cm="1">
        <f t="array" ref="CO32">_xlfn.IFS(CO$3&lt;=YEAR($B$2),SUMPRODUCT(($E$4:$E$79=$E32)*($Z$2:$CG$2=CO$3)*($Z$2:$CG$2&lt;CP$3)*$Z$4:$CG$79),CO$3&lt;YEAR($X32),0,CO$3=YEAR($X32),DATEDIF($X32,DATE(CO$3,12,31),"m")*$Y32,AND(CO$3&gt;YEAR($X32),CO$3-YEAR($X32)&lt;20),$Y32*12,CO$3-YEAR($X32)=20,DATEDIF(DATE(YEAR($X32),1,1),$X32,"m")*$Y32,CO$3-YEAR($X32)&gt;20,0)</f>
        <v>25923.300000000003</v>
      </c>
      <c r="CP32" s="202" cm="1">
        <f t="array" ref="CP32">_xlfn.IFS(CP$3&lt;=YEAR($B$2),SUMPRODUCT(($E$4:$E$79=$E32)*($Z$2:$CG$2=CP$3)*($Z$2:$CG$2&lt;CQ$3)*$Z$4:$CG$79),CP$3&lt;YEAR($X32),0,CP$3=YEAR($X32),DATEDIF($X32,DATE(CP$3,12,31),"m")*$Y32,AND(CP$3&gt;YEAR($X32),CP$3-YEAR($X32)&lt;20),$Y32*12,CP$3-YEAR($X32)=20,DATEDIF(DATE(YEAR($X32),1,1),$X32,"m")*$Y32,CP$3-YEAR($X32)&gt;20,0)</f>
        <v>25923.300000000003</v>
      </c>
      <c r="CQ32" s="202" cm="1">
        <f t="array" ref="CQ32">_xlfn.IFS(CQ$3&lt;=YEAR($B$2),SUMPRODUCT(($E$4:$E$79=$E32)*($Z$2:$CG$2=CQ$3)*($Z$2:$CG$2&lt;CR$3)*$Z$4:$CG$79),CQ$3&lt;YEAR($X32),0,CQ$3=YEAR($X32),DATEDIF($X32,DATE(CQ$3,12,31),"m")*$Y32,AND(CQ$3&gt;YEAR($X32),CQ$3-YEAR($X32)&lt;20),$Y32*12,CQ$3-YEAR($X32)=20,DATEDIF(DATE(YEAR($X32),1,1),$X32,"m")*$Y32,CQ$3-YEAR($X32)&gt;20,0)</f>
        <v>25923.300000000003</v>
      </c>
      <c r="CR32" s="202" cm="1">
        <f t="array" ref="CR32">_xlfn.IFS(CR$3&lt;=YEAR($B$2),SUMPRODUCT(($E$4:$E$79=$E32)*($Z$2:$CG$2=CR$3)*($Z$2:$CG$2&lt;CS$3)*$Z$4:$CG$79),CR$3&lt;YEAR($X32),0,CR$3=YEAR($X32),DATEDIF($X32,DATE(CR$3,12,31),"m")*$Y32,AND(CR$3&gt;YEAR($X32),CR$3-YEAR($X32)&lt;20),$Y32*12,CR$3-YEAR($X32)=20,DATEDIF(DATE(YEAR($X32),1,1),$X32,"m")*$Y32,CR$3-YEAR($X32)&gt;20,0)</f>
        <v>25923.300000000003</v>
      </c>
      <c r="CS32" s="202" cm="1">
        <f t="array" ref="CS32">_xlfn.IFS(CS$3&lt;=YEAR($B$2),SUMPRODUCT(($E$4:$E$79=$E32)*($Z$2:$CG$2=CS$3)*($Z$2:$CG$2&lt;CT$3)*$Z$4:$CG$79),CS$3&lt;YEAR($X32),0,CS$3=YEAR($X32),DATEDIF($X32,DATE(CS$3,12,31),"m")*$Y32,AND(CS$3&gt;YEAR($X32),CS$3-YEAR($X32)&lt;20),$Y32*12,CS$3-YEAR($X32)=20,DATEDIF(DATE(YEAR($X32),1,1),$X32,"m")*$Y32,CS$3-YEAR($X32)&gt;20,0)</f>
        <v>25923.300000000003</v>
      </c>
      <c r="CT32" s="202" cm="1">
        <f t="array" ref="CT32">_xlfn.IFS(CT$3&lt;=YEAR($B$2),SUMPRODUCT(($E$4:$E$79=$E32)*($Z$2:$CG$2=CT$3)*($Z$2:$CG$2&lt;CU$3)*$Z$4:$CG$79),CT$3&lt;YEAR($X32),0,CT$3=YEAR($X32),DATEDIF($X32,DATE(CT$3,12,31),"m")*$Y32,AND(CT$3&gt;YEAR($X32),CT$3-YEAR($X32)&lt;20),$Y32*12,CT$3-YEAR($X32)=20,DATEDIF(DATE(YEAR($X32),1,1),$X32,"m")*$Y32,CT$3-YEAR($X32)&gt;20,0)</f>
        <v>25923.300000000003</v>
      </c>
      <c r="CU32" s="202" cm="1">
        <f t="array" ref="CU32">_xlfn.IFS(CU$3&lt;=YEAR($B$2),SUMPRODUCT(($E$4:$E$79=$E32)*($Z$2:$CG$2=CU$3)*($Z$2:$CG$2&lt;CV$3)*$Z$4:$CG$79),CU$3&lt;YEAR($X32),0,CU$3=YEAR($X32),DATEDIF($X32,DATE(CU$3,12,31),"m")*$Y32,AND(CU$3&gt;YEAR($X32),CU$3-YEAR($X32)&lt;20),$Y32*12,CU$3-YEAR($X32)=20,DATEDIF(DATE(YEAR($X32),1,1),$X32,"m")*$Y32,CU$3-YEAR($X32)&gt;20,0)</f>
        <v>25923.300000000003</v>
      </c>
      <c r="CV32" s="202" cm="1">
        <f t="array" ref="CV32">_xlfn.IFS(CV$3&lt;=YEAR($B$2),SUMPRODUCT(($E$4:$E$79=$E32)*($Z$2:$CG$2=CV$3)*($Z$2:$CG$2&lt;CW$3)*$Z$4:$CG$79),CV$3&lt;YEAR($X32),0,CV$3=YEAR($X32),DATEDIF($X32,DATE(CV$3,12,31),"m")*$Y32,AND(CV$3&gt;YEAR($X32),CV$3-YEAR($X32)&lt;20),$Y32*12,CV$3-YEAR($X32)=20,DATEDIF(DATE(YEAR($X32),1,1),$X32,"m")*$Y32,CV$3-YEAR($X32)&gt;20,0)</f>
        <v>25923.300000000003</v>
      </c>
      <c r="CW32" s="202" cm="1">
        <f t="array" ref="CW32">_xlfn.IFS(CW$3&lt;=YEAR($B$2),SUMPRODUCT(($E$4:$E$79=$E32)*($Z$2:$CG$2=CW$3)*($Z$2:$CG$2&lt;CX$3)*$Z$4:$CG$79),CW$3&lt;YEAR($X32),0,CW$3=YEAR($X32),DATEDIF($X32,DATE(CW$3,12,31),"m")*$Y32,AND(CW$3&gt;YEAR($X32),CW$3-YEAR($X32)&lt;20),$Y32*12,CW$3-YEAR($X32)=20,DATEDIF(DATE(YEAR($X32),1,1),$X32,"m")*$Y32,CW$3-YEAR($X32)&gt;20,0)</f>
        <v>25923.300000000003</v>
      </c>
      <c r="CX32" s="202" cm="1">
        <f t="array" ref="CX32">_xlfn.IFS(CX$3&lt;=YEAR($B$2),SUMPRODUCT(($E$4:$E$79=$E32)*($Z$2:$CG$2=CX$3)*($Z$2:$CG$2&lt;CY$3)*$Z$4:$CG$79),CX$3&lt;YEAR($X32),0,CX$3=YEAR($X32),DATEDIF($X32,DATE(CX$3,12,31),"m")*$Y32,AND(CX$3&gt;YEAR($X32),CX$3-YEAR($X32)&lt;20),$Y32*12,CX$3-YEAR($X32)=20,DATEDIF(DATE(YEAR($X32),1,1),$X32,"m")*$Y32,CX$3-YEAR($X32)&gt;20,0)</f>
        <v>25923.300000000003</v>
      </c>
      <c r="CY32" s="202" cm="1">
        <f t="array" ref="CY32">_xlfn.IFS(CY$3&lt;=YEAR($B$2),SUMPRODUCT(($E$4:$E$79=$E32)*($Z$2:$CG$2=CY$3)*($Z$2:$CG$2&lt;CZ$3)*$Z$4:$CG$79),CY$3&lt;YEAR($X32),0,CY$3=YEAR($X32),DATEDIF($X32,DATE(CY$3,12,31),"m")*$Y32,AND(CY$3&gt;YEAR($X32),CY$3-YEAR($X32)&lt;20),$Y32*12,CY$3-YEAR($X32)=20,DATEDIF(DATE(YEAR($X32),1,1),$X32,"m")*$Y32,CY$3-YEAR($X32)&gt;20,0)</f>
        <v>25923.300000000003</v>
      </c>
      <c r="CZ32" s="202" cm="1">
        <f t="array" ref="CZ32">_xlfn.IFS(CZ$3&lt;=YEAR($B$2),SUMPRODUCT(($E$4:$E$79=$E32)*($Z$2:$CG$2=CZ$3)*($Z$2:$CG$2&lt;DA$3)*$Z$4:$CG$79),CZ$3&lt;YEAR($X32),0,CZ$3=YEAR($X32),DATEDIF($X32,DATE(CZ$3,12,31),"m")*$Y32,AND(CZ$3&gt;YEAR($X32),CZ$3-YEAR($X32)&lt;20),$Y32*12,CZ$3-YEAR($X32)=20,DATEDIF(DATE(YEAR($X32),1,1),$X32,"m")*$Y32,CZ$3-YEAR($X32)&gt;20,0)</f>
        <v>25923.300000000003</v>
      </c>
      <c r="DA32" s="202" cm="1">
        <f t="array" ref="DA32">_xlfn.IFS(DA$3&lt;=YEAR($B$2),SUMPRODUCT(($E$4:$E$79=$E32)*($Z$2:$CG$2=DA$3)*($Z$2:$CG$2&lt;DB$3)*$Z$4:$CG$79),DA$3&lt;YEAR($X32),0,DA$3=YEAR($X32),DATEDIF($X32,DATE(DA$3,12,31),"m")*$Y32,AND(DA$3&gt;YEAR($X32),DA$3-YEAR($X32)&lt;20),$Y32*12,DA$3-YEAR($X32)=20,DATEDIF(DATE(YEAR($X32),1,1),$X32,"m")*$Y32,DA$3-YEAR($X32)&gt;20,0)</f>
        <v>25923.300000000003</v>
      </c>
      <c r="DB32" s="202" cm="1">
        <f t="array" ref="DB32">_xlfn.IFS(DB$3&lt;=YEAR($B$2),SUMPRODUCT(($E$4:$E$79=$E32)*($Z$2:$CG$2=DB$3)*($Z$2:$CG$2&lt;DC$3)*$Z$4:$CG$79),DB$3&lt;YEAR($X32),0,DB$3=YEAR($X32),DATEDIF($X32,DATE(DB$3,12,31),"m")*$Y32,AND(DB$3&gt;YEAR($X32),DB$3-YEAR($X32)&lt;20),$Y32*12,DB$3-YEAR($X32)=20,DATEDIF(DATE(YEAR($X32),1,1),$X32,"m")*$Y32,DB$3-YEAR($X32)&gt;20,0)</f>
        <v>25923.300000000003</v>
      </c>
      <c r="DC32" s="202" cm="1">
        <f t="array" ref="DC32">_xlfn.IFS(DC$3&lt;=YEAR($B$2),SUMPRODUCT(($E$4:$E$79=$E32)*($Z$2:$CG$2=DC$3)*($Z$2:$CG$2&lt;DD$3)*$Z$4:$CG$79),DC$3&lt;YEAR($X32),0,DC$3=YEAR($X32),DATEDIF($X32,DATE(DC$3,12,31),"m")*$Y32,AND(DC$3&gt;YEAR($X32),DC$3-YEAR($X32)&lt;20),$Y32*12,DC$3-YEAR($X32)=20,DATEDIF(DATE(YEAR($X32),1,1),$X32,"m")*$Y32,DC$3-YEAR($X32)&gt;20,0)</f>
        <v>25923.300000000003</v>
      </c>
      <c r="DD32" s="202" cm="1">
        <f t="array" ref="DD32">_xlfn.IFS(DD$3&lt;=YEAR($B$2),SUMPRODUCT(($E$4:$E$79=$E32)*($Z$2:$CG$2=DD$3)*($Z$2:$CG$2&lt;DE$3)*$Z$4:$CG$79),DD$3&lt;YEAR($X32),0,DD$3=YEAR($X32),DATEDIF($X32,DATE(DD$3,12,31),"m")*$Y32,AND(DD$3&gt;YEAR($X32),DD$3-YEAR($X32)&lt;20),$Y32*12,DD$3-YEAR($X32)=20,DATEDIF(DATE(YEAR($X32),1,1),$X32,"m")*$Y32,DD$3-YEAR($X32)&gt;20,0)</f>
        <v>25923.300000000003</v>
      </c>
      <c r="DE32" s="202" cm="1">
        <f t="array" ref="DE32">_xlfn.IFS(DE$3&lt;=YEAR($B$2),SUMPRODUCT(($E$4:$E$79=$E32)*($Z$2:$CG$2=DE$3)*($Z$2:$CG$2&lt;DF$3)*$Z$4:$CG$79),DE$3&lt;YEAR($X32),0,DE$3=YEAR($X32),DATEDIF($X32,DATE(DE$3,12,31),"m")*$Y32,AND(DE$3&gt;YEAR($X32),DE$3-YEAR($X32)&lt;20),$Y32*12,DE$3-YEAR($X32)=20,DATEDIF(DATE(YEAR($X32),1,1),$X32,"m")*$Y32,DE$3-YEAR($X32)&gt;20,0)</f>
        <v>25923.300000000003</v>
      </c>
      <c r="DF32" s="202" cm="1">
        <f t="array" ref="DF32">_xlfn.IFS(DF$3&lt;=YEAR($B$2),SUMPRODUCT(($E$4:$E$79=$E32)*($Z$2:$CG$2=DF$3)*($Z$2:$CG$2&lt;DG$3)*$Z$4:$CG$79),DF$3&lt;YEAR($X32),0,DF$3=YEAR($X32),DATEDIF($X32,DATE(DF$3,12,31),"m")*$Y32,AND(DF$3&gt;YEAR($X32),DF$3-YEAR($X32)&lt;20),$Y32*12,DF$3-YEAR($X32)=20,DATEDIF(DATE(YEAR($X32),1,1),$X32,"m")*$Y32,DF$3-YEAR($X32)&gt;20,0)</f>
        <v>25923.300000000003</v>
      </c>
      <c r="DG32" s="202" cm="1">
        <f t="array" ref="DG32">_xlfn.IFS(DG$3&lt;=YEAR($B$2),SUMPRODUCT(($E$4:$E$79=$E32)*($Z$2:$CG$2=DG$3)*($Z$2:$CG$2&lt;DH$3)*$Z$4:$CG$79),DG$3&lt;YEAR($X32),0,DG$3=YEAR($X32),DATEDIF($X32,DATE(DG$3,12,31),"m")*$Y32,AND(DG$3&gt;YEAR($X32),DG$3-YEAR($X32)&lt;20),$Y32*12,DG$3-YEAR($X32)=20,DATEDIF(DATE(YEAR($X32),1,1),$X32,"m")*$Y32,DG$3-YEAR($X32)&gt;20,0)</f>
        <v>23763.025000000001</v>
      </c>
      <c r="DH32" s="202" cm="1">
        <f t="array" ref="DH32">_xlfn.IFS(DH$3&lt;=YEAR($B$2),SUMPRODUCT(($E$4:$E$79=$E32)*($Z$2:$CG$2=DH$3)*($Z$2:$CG$2&lt;DI$3)*$Z$4:$CG$79),DH$3&lt;YEAR($X32),0,DH$3=YEAR($X32),DATEDIF($X32,DATE(DH$3,12,31),"m")*$Y32,AND(DH$3&gt;YEAR($X32),DH$3-YEAR($X32)&lt;20),$Y32*12,DH$3-YEAR($X32)=20,DATEDIF(DATE(YEAR($X32),1,1),$X32,"m")*$Y32,DH$3-YEAR($X32)&gt;20,0)</f>
        <v>0</v>
      </c>
      <c r="DI32" s="202" cm="1">
        <f t="array" ref="DI32">_xlfn.IFS(DI$3&lt;=YEAR($B$2),SUMPRODUCT(($E$4:$E$79=$E32)*($Z$2:$CG$2=DI$3)*($Z$2:$CG$2&lt;DJ$3)*$Z$4:$CG$79),DI$3&lt;YEAR($X32),0,DI$3=YEAR($X32),DATEDIF($X32,DATE(DI$3,12,31),"m")*$Y32,AND(DI$3&gt;YEAR($X32),DI$3-YEAR($X32)&lt;20),$Y32*12,DI$3-YEAR($X32)=20,DATEDIF(DATE(YEAR($X32),1,1),$X32,"m")*$Y32,DI$3-YEAR($X32)&gt;20,0)</f>
        <v>0</v>
      </c>
      <c r="DJ32" s="202" cm="1">
        <f t="array" ref="DJ32">_xlfn.IFS(DJ$3&lt;=YEAR($B$2),SUMPRODUCT(($E$4:$E$79=$E32)*($Z$2:$CG$2=DJ$3)*($Z$2:$CG$2&lt;DK$3)*$Z$4:$CG$79),DJ$3&lt;YEAR($X32),0,DJ$3=YEAR($X32),DATEDIF($X32,DATE(DJ$3,12,31),"m")*$Y32,AND(DJ$3&gt;YEAR($X32),DJ$3-YEAR($X32)&lt;20),$Y32*12,DJ$3-YEAR($X32)=20,DATEDIF(DATE(YEAR($X32),1,1),$X32,"m")*$Y32,DJ$3-YEAR($X32)&gt;20,0)</f>
        <v>0</v>
      </c>
      <c r="DK32" s="202" cm="1">
        <f t="array" ref="DK32">_xlfn.IFS(DK$3&lt;=YEAR($B$2),SUMPRODUCT(($E$4:$E$79=$E32)*($Z$2:$CG$2=DK$3)*($Z$2:$CG$2&lt;DL$3)*$Z$4:$CG$79),DK$3&lt;YEAR($X32),0,DK$3=YEAR($X32),DATEDIF($X32,DATE(DK$3,12,31),"m")*$Y32,AND(DK$3&gt;YEAR($X32),DK$3-YEAR($X32)&lt;20),$Y32*12,DK$3-YEAR($X32)=20,DATEDIF(DATE(YEAR($X32),1,1),$X32,"m")*$Y32,DK$3-YEAR($X32)&gt;20,0)</f>
        <v>0</v>
      </c>
      <c r="DL32" s="202" cm="1">
        <f t="array" ref="DL32">_xlfn.IFS(DL$3&lt;=YEAR($B$2),SUMPRODUCT(($E$4:$E$79=$E32)*($Z$2:$CG$2=DL$3)*($Z$2:$CG$2&lt;DM$3)*$Z$4:$CG$79),DL$3&lt;YEAR($X32),0,DL$3=YEAR($X32),DATEDIF($X32,DATE(DL$3,12,31),"m")*$Y32,AND(DL$3&gt;YEAR($X32),DL$3-YEAR($X32)&lt;20),$Y32*12,DL$3-YEAR($X32)=20,DATEDIF(DATE(YEAR($X32),1,1),$X32,"m")*$Y32,DL$3-YEAR($X32)&gt;20,0)</f>
        <v>0</v>
      </c>
      <c r="DO32" s="166">
        <f t="shared" si="26"/>
        <v>2041</v>
      </c>
      <c r="DP32" s="158">
        <v>621035.58500000008</v>
      </c>
      <c r="DQ32" s="158">
        <v>462971.99729999999</v>
      </c>
      <c r="DR32" s="158">
        <v>25576.5</v>
      </c>
      <c r="DS32" s="158">
        <f t="shared" si="27"/>
        <v>1109584.0823000001</v>
      </c>
    </row>
    <row r="33" spans="1:123">
      <c r="A33" s="155" t="str" cm="1">
        <f t="array" ref="A33">INDEX('Monthly Report July 2025'!C:C,MATCH(E33,'Monthly Report July 2025'!E:E,0),0)</f>
        <v>OCS062</v>
      </c>
      <c r="B33" s="155" t="str" cm="1">
        <f t="array" ref="B33">_xlfn.IFS(LEFT(E33,3)="PGE","PGE",LEFT(E33,2)="PP","PAC",TRUE,"IP")</f>
        <v>PAC</v>
      </c>
      <c r="C33" s="155" t="str">
        <f>IF(ISNA(MATCH(E33,'Monthly Report July 2025'!E:E,0)),"Missing","Present")</f>
        <v>Present</v>
      </c>
      <c r="D33" s="155" t="str">
        <f>IF(ISNA(MATCH(E33,'Project Operational Timelines'!C:C,0))=TRUE,"Missing","Present")</f>
        <v>Present</v>
      </c>
      <c r="E33" s="155" t="s">
        <v>141</v>
      </c>
      <c r="F33" s="155" t="str" cm="1">
        <f t="array" ref="F33">INDEX('Monthly Report July 2025'!F:F,MATCH(E33,'Monthly Report July 2025'!E:E,),0)</f>
        <v>Buckaroo Solar 1 LLC</v>
      </c>
      <c r="G33" s="155" t="str" cm="1">
        <f t="array" ref="G33">_xlfn.IFS(INDEX('Monthly Report July 2025'!O:O,MATCH(E33,'Monthly Report July 2025'!E:E,0),0)="Operational","Operational",INDEX('Monthly Report July 2025'!O:O,MATCH(E33,'Monthly Report July 2025'!E:E,0),0)="Certified","Certified",TRUE,"Pre-Certified")</f>
        <v>Pre-Certified</v>
      </c>
      <c r="H33" s="155" t="str" cm="1">
        <f t="array" ref="H33">INDEX('Monthly Report July 2025'!H:H,MATCH($E33,'Monthly Report July 2025'!$E:$E,0),0)</f>
        <v>Sunthurst</v>
      </c>
      <c r="I33" s="155" t="str" cm="1">
        <f t="array" ref="I33">INDEX('Monthly Report July 2025'!I:I,MATCH($E33,'Monthly Report July 2025'!$E:$E,0),0)</f>
        <v>Sunthurst</v>
      </c>
      <c r="J33" s="174" cm="1">
        <f t="array" ref="J33">INDEX('Monthly Report July 2025'!J:J,MATCH($E33,'Monthly Report July 2025'!$E:$E,0),0)</f>
        <v>2</v>
      </c>
      <c r="K33" s="174" t="str" cm="1">
        <f t="array" ref="K33">INDEX('Monthly Report July 2025'!K:K,MATCH($E33,'Monthly Report July 2025'!$E:$E,0),0)</f>
        <v>No</v>
      </c>
      <c r="L33" s="174" t="b" cm="1">
        <f t="array" ref="L33">INDEX('Monthly Report July 2025'!L:L,MATCH(E33,'Monthly Report July 2025'!E:E,0),0)=M33</f>
        <v>1</v>
      </c>
      <c r="M33" s="273" cm="1">
        <f t="array" ref="M33">INDEX('Monthly Report July 2025'!L:L,MATCH($E33,'Monthly Report July 2025'!$E:$E,0),0)</f>
        <v>2400</v>
      </c>
      <c r="N33" s="175" cm="1">
        <f t="array" ref="N33">INDEX('Monthly Report July 2025'!M:M,MATCH($E33,'Monthly Report July 2025'!$E:$E,0),0)</f>
        <v>44681</v>
      </c>
      <c r="O33" s="175" cm="1">
        <f t="array" ref="O33">_xlfn.IFS(G33="Operational","Operational",G33="Certified","Certified",TRUE,INDEX('Monthly Report July 2025'!O:O,MATCH(E33,'Monthly Report July 2025'!E:E,0),0))</f>
        <v>45925</v>
      </c>
      <c r="P33" s="175" t="b" cm="1">
        <f t="array" ref="P33">_xlfn.IFS(G33="Operational",O33="Operational",G33="Certified",O33="Certified",TRUE,G33="Pre-Certified")</f>
        <v>1</v>
      </c>
      <c r="Q33" s="175" t="str" cm="1">
        <f t="array" ref="Q33">IF(O33="Operational",INDEX('Monthly Report July 2025'!R:R,MATCH(E33,'Monthly Report July 2025'!E:E,0),0),"")</f>
        <v/>
      </c>
      <c r="R33" s="175" t="str" cm="1">
        <f t="array" ref="R33">INDEX('Monthly Report July 2025'!P:P,MATCH(E33,'Monthly Report July 2025'!E:E,0),0)</f>
        <v>Not Yet Certified</v>
      </c>
      <c r="S33" s="175" t="b">
        <f t="shared" si="5"/>
        <v>1</v>
      </c>
      <c r="T33" s="175" cm="1">
        <f t="array" ref="T33">INDEX('Monthly Report July 2025'!U:U,MATCH(E33,'Monthly Report July 2025'!E:E,0),0)</f>
        <v>45930</v>
      </c>
      <c r="U33" s="175" t="b">
        <f t="shared" si="6"/>
        <v>1</v>
      </c>
      <c r="V33" s="156">
        <f t="shared" si="7"/>
        <v>45925</v>
      </c>
      <c r="W33" s="156" cm="1">
        <f t="array" ref="W33">_xlfn.IFS(U33=TRUE,EDATE(O33,6),U33=FALSE,T33,O33="Operational",Q33,AND(O33="Certified",EDATE(R33,6)&gt;T33),EDATE(R33,6),TRUE,T33)</f>
        <v>46106</v>
      </c>
      <c r="X33" s="156">
        <f t="shared" si="8"/>
        <v>46167</v>
      </c>
      <c r="Y33" s="157">
        <f t="shared" si="9"/>
        <v>1734</v>
      </c>
      <c r="Z33" s="202" cm="1">
        <f t="array" ref="Z33">_xlfn.IFS(Z$3&lt;$B$2,SUMPRODUCT(('PA Fees Actual'!$B$5:$B$882=$E33)*('PA Fees Actual'!$A$5:$A$882&gt;=Z$3)*('PA Fees Actual'!$A$5:$A$882&lt;=EOMONTH(Z$3,0))*'PA Fees Actual'!$D$5:$D$882),Z$3&gt;=EOMONTH($X33,-1)+1,$Y33,TRUE,0)</f>
        <v>0</v>
      </c>
      <c r="AA33" s="202" cm="1">
        <f t="array" ref="AA33">_xlfn.IFS(AA$3&lt;$B$2,SUMPRODUCT(('PA Fees Actual'!$B$5:$B$882=$E33)*('PA Fees Actual'!$A$5:$A$882&gt;=AA$3)*('PA Fees Actual'!$A$5:$A$882&lt;=EOMONTH(AA$3,0))*'PA Fees Actual'!$D$5:$D$882),AA$3&gt;=EOMONTH($X33,-1)+1,$Y33,TRUE,0)</f>
        <v>0</v>
      </c>
      <c r="AB33" s="202" cm="1">
        <f t="array" ref="AB33">_xlfn.IFS(AB$3&lt;$B$2,SUMPRODUCT(('PA Fees Actual'!$B$5:$B$882=$E33)*('PA Fees Actual'!$A$5:$A$882&gt;=AB$3)*('PA Fees Actual'!$A$5:$A$882&lt;=EOMONTH(AB$3,0))*'PA Fees Actual'!$D$5:$D$882),AB$3&gt;=EOMONTH($X33,-1)+1,$Y33,TRUE,0)</f>
        <v>0</v>
      </c>
      <c r="AC33" s="202" cm="1">
        <f t="array" ref="AC33">_xlfn.IFS(AC$3&lt;$B$2,SUMPRODUCT(('PA Fees Actual'!$B$5:$B$882=$E33)*('PA Fees Actual'!$A$5:$A$882&gt;=AC$3)*('PA Fees Actual'!$A$5:$A$882&lt;=EOMONTH(AC$3,0))*'PA Fees Actual'!$D$5:$D$882),AC$3&gt;=EOMONTH($X33,-1)+1,$Y33,TRUE,0)</f>
        <v>0</v>
      </c>
      <c r="AD33" s="202" cm="1">
        <f t="array" ref="AD33">_xlfn.IFS(AD$3&lt;$B$2,SUMPRODUCT(('PA Fees Actual'!$B$5:$B$882=$E33)*('PA Fees Actual'!$A$5:$A$882&gt;=AD$3)*('PA Fees Actual'!$A$5:$A$882&lt;=EOMONTH(AD$3,0))*'PA Fees Actual'!$D$5:$D$882),AD$3&gt;=EOMONTH($X33,-1)+1,$Y33,TRUE,0)</f>
        <v>0</v>
      </c>
      <c r="AE33" s="202" cm="1">
        <f t="array" ref="AE33">_xlfn.IFS(AE$3&lt;$B$2,SUMPRODUCT(('PA Fees Actual'!$B$5:$B$882=$E33)*('PA Fees Actual'!$A$5:$A$882&gt;=AE$3)*('PA Fees Actual'!$A$5:$A$882&lt;=EOMONTH(AE$3,0))*'PA Fees Actual'!$D$5:$D$882),AE$3&gt;=EOMONTH($X33,-1)+1,$Y33,TRUE,0)</f>
        <v>0</v>
      </c>
      <c r="AF33" s="202" cm="1">
        <f t="array" ref="AF33">_xlfn.IFS(AF$3&lt;$B$2,SUMPRODUCT(('PA Fees Actual'!$B$5:$B$882=$E33)*('PA Fees Actual'!$A$5:$A$882&gt;=AF$3)*('PA Fees Actual'!$A$5:$A$882&lt;=EOMONTH(AF$3,0))*'PA Fees Actual'!$D$5:$D$882),AF$3&gt;=EOMONTH($X33,-1)+1,$Y33,TRUE,0)</f>
        <v>0</v>
      </c>
      <c r="AG33" s="202" cm="1">
        <f t="array" ref="AG33">_xlfn.IFS(AG$3&lt;$B$2,SUMPRODUCT(('PA Fees Actual'!$B$5:$B$882=$E33)*('PA Fees Actual'!$A$5:$A$882&gt;=AG$3)*('PA Fees Actual'!$A$5:$A$882&lt;=EOMONTH(AG$3,0))*'PA Fees Actual'!$D$5:$D$882),AG$3&gt;=EOMONTH($X33,-1)+1,$Y33,TRUE,0)</f>
        <v>0</v>
      </c>
      <c r="AH33" s="202" cm="1">
        <f t="array" ref="AH33">_xlfn.IFS(AH$3&lt;$B$2,SUMPRODUCT(('PA Fees Actual'!$B$5:$B$882=$E33)*('PA Fees Actual'!$A$5:$A$882&gt;=AH$3)*('PA Fees Actual'!$A$5:$A$882&lt;=EOMONTH(AH$3,0))*'PA Fees Actual'!$D$5:$D$882),AH$3&gt;=EOMONTH($X33,-1)+1,$Y33,TRUE,0)</f>
        <v>0</v>
      </c>
      <c r="AI33" s="202" cm="1">
        <f t="array" ref="AI33">_xlfn.IFS(AI$3&lt;$B$2,SUMPRODUCT(('PA Fees Actual'!$B$5:$B$882=$E33)*('PA Fees Actual'!$A$5:$A$882&gt;=AI$3)*('PA Fees Actual'!$A$5:$A$882&lt;=EOMONTH(AI$3,0))*'PA Fees Actual'!$D$5:$D$882),AI$3&gt;=EOMONTH($X33,-1)+1,$Y33,TRUE,0)</f>
        <v>0</v>
      </c>
      <c r="AJ33" s="202" cm="1">
        <f t="array" ref="AJ33">_xlfn.IFS(AJ$3&lt;$B$2,SUMPRODUCT(('PA Fees Actual'!$B$5:$B$882=$E33)*('PA Fees Actual'!$A$5:$A$882&gt;=AJ$3)*('PA Fees Actual'!$A$5:$A$882&lt;=EOMONTH(AJ$3,0))*'PA Fees Actual'!$D$5:$D$882),AJ$3&gt;=EOMONTH($X33,-1)+1,$Y33,TRUE,0)</f>
        <v>0</v>
      </c>
      <c r="AK33" s="202" cm="1">
        <f t="array" ref="AK33">_xlfn.IFS(AK$3&lt;$B$2,SUMPRODUCT(('PA Fees Actual'!$B$5:$B$882=$E33)*('PA Fees Actual'!$A$5:$A$882&gt;=AK$3)*('PA Fees Actual'!$A$5:$A$882&lt;=EOMONTH(AK$3,0))*'PA Fees Actual'!$D$5:$D$882),AK$3&gt;=EOMONTH($X33,-1)+1,$Y33,TRUE,0)</f>
        <v>0</v>
      </c>
      <c r="AL33" s="202" cm="1">
        <f t="array" ref="AL33">_xlfn.IFS(AL$3&lt;$B$2,SUMPRODUCT(('PA Fees Actual'!$B$5:$B$882=$E33)*('PA Fees Actual'!$A$5:$A$882&gt;=AL$3)*('PA Fees Actual'!$A$5:$A$882&lt;=EOMONTH(AL$3,0))*'PA Fees Actual'!$D$5:$D$882),AL$3&gt;=EOMONTH($X33,-1)+1,$Y33,TRUE,0)</f>
        <v>0</v>
      </c>
      <c r="AM33" s="202" cm="1">
        <f t="array" ref="AM33">_xlfn.IFS(AM$3&lt;$B$2,SUMPRODUCT(('PA Fees Actual'!$B$5:$B$882=$E33)*('PA Fees Actual'!$A$5:$A$882&gt;=AM$3)*('PA Fees Actual'!$A$5:$A$882&lt;=EOMONTH(AM$3,0))*'PA Fees Actual'!$D$5:$D$882),AM$3&gt;=EOMONTH($X33,-1)+1,$Y33,TRUE,0)</f>
        <v>0</v>
      </c>
      <c r="AN33" s="202" cm="1">
        <f t="array" ref="AN33">_xlfn.IFS(AN$3&lt;$B$2,SUMPRODUCT(('PA Fees Actual'!$B$5:$B$882=$E33)*('PA Fees Actual'!$A$5:$A$882&gt;=AN$3)*('PA Fees Actual'!$A$5:$A$882&lt;=EOMONTH(AN$3,0))*'PA Fees Actual'!$D$5:$D$882),AN$3&gt;=EOMONTH($X33,-1)+1,$Y33,TRUE,0)</f>
        <v>0</v>
      </c>
      <c r="AO33" s="202" cm="1">
        <f t="array" ref="AO33">_xlfn.IFS(AO$3&lt;$B$2,SUMPRODUCT(('PA Fees Actual'!$B$5:$B$882=$E33)*('PA Fees Actual'!$A$5:$A$882&gt;=AO$3)*('PA Fees Actual'!$A$5:$A$882&lt;=EOMONTH(AO$3,0))*'PA Fees Actual'!$D$5:$D$882),AO$3&gt;=EOMONTH($X33,-1)+1,$Y33,TRUE,0)</f>
        <v>0</v>
      </c>
      <c r="AP33" s="202" cm="1">
        <f t="array" ref="AP33">_xlfn.IFS(AP$3&lt;$B$2,SUMPRODUCT(('PA Fees Actual'!$B$5:$B$882=$E33)*('PA Fees Actual'!$A$5:$A$882&gt;=AP$3)*('PA Fees Actual'!$A$5:$A$882&lt;=EOMONTH(AP$3,0))*'PA Fees Actual'!$D$5:$D$882),AP$3&gt;=EOMONTH($X33,-1)+1,$Y33,TRUE,0)</f>
        <v>0</v>
      </c>
      <c r="AQ33" s="202" cm="1">
        <f t="array" ref="AQ33">_xlfn.IFS(AQ$3&lt;$B$2,SUMPRODUCT(('PA Fees Actual'!$B$5:$B$882=$E33)*('PA Fees Actual'!$A$5:$A$882&gt;=AQ$3)*('PA Fees Actual'!$A$5:$A$882&lt;=EOMONTH(AQ$3,0))*'PA Fees Actual'!$D$5:$D$882),AQ$3&gt;=EOMONTH($X33,-1)+1,$Y33,TRUE,0)</f>
        <v>0</v>
      </c>
      <c r="AR33" s="202" cm="1">
        <f t="array" ref="AR33">_xlfn.IFS(AR$3&lt;$B$2,SUMPRODUCT(('PA Fees Actual'!$B$5:$B$882=$E33)*('PA Fees Actual'!$A$5:$A$882&gt;=AR$3)*('PA Fees Actual'!$A$5:$A$882&lt;=EOMONTH(AR$3,0))*'PA Fees Actual'!$D$5:$D$882),AR$3&gt;=EOMONTH($X33,-1)+1,$Y33,TRUE,0)</f>
        <v>0</v>
      </c>
      <c r="AS33" s="202" cm="1">
        <f t="array" ref="AS33">_xlfn.IFS(AS$3&lt;$B$2,SUMPRODUCT(('PA Fees Actual'!$B$5:$B$882=$E33)*('PA Fees Actual'!$A$5:$A$882&gt;=AS$3)*('PA Fees Actual'!$A$5:$A$882&lt;=EOMONTH(AS$3,0))*'PA Fees Actual'!$D$5:$D$882),AS$3&gt;=EOMONTH($X33,-1)+1,$Y33,TRUE,0)</f>
        <v>0</v>
      </c>
      <c r="AT33" s="202" cm="1">
        <f t="array" ref="AT33">_xlfn.IFS(AT$3&lt;$B$2,SUMPRODUCT(('PA Fees Actual'!$B$5:$B$882=$E33)*('PA Fees Actual'!$A$5:$A$882&gt;=AT$3)*('PA Fees Actual'!$A$5:$A$882&lt;=EOMONTH(AT$3,0))*'PA Fees Actual'!$D$5:$D$882),AT$3&gt;=EOMONTH($X33,-1)+1,$Y33,TRUE,0)</f>
        <v>0</v>
      </c>
      <c r="AU33" s="202" cm="1">
        <f t="array" ref="AU33">_xlfn.IFS(AU$3&lt;$B$2,SUMPRODUCT(('PA Fees Actual'!$B$5:$B$882=$E33)*('PA Fees Actual'!$A$5:$A$882&gt;=AU$3)*('PA Fees Actual'!$A$5:$A$882&lt;=EOMONTH(AU$3,0))*'PA Fees Actual'!$D$5:$D$882),AU$3&gt;=EOMONTH($X33,-1)+1,$Y33,TRUE,0)</f>
        <v>0</v>
      </c>
      <c r="AV33" s="202" cm="1">
        <f t="array" ref="AV33">_xlfn.IFS(AV$3&lt;$B$2,SUMPRODUCT(('PA Fees Actual'!$B$5:$B$882=$E33)*('PA Fees Actual'!$A$5:$A$882&gt;=AV$3)*('PA Fees Actual'!$A$5:$A$882&lt;=EOMONTH(AV$3,0))*'PA Fees Actual'!$D$5:$D$882),AV$3&gt;=EOMONTH($X33,-1)+1,$Y33,TRUE,0)</f>
        <v>0</v>
      </c>
      <c r="AW33" s="202" cm="1">
        <f t="array" ref="AW33">_xlfn.IFS(AW$3&lt;$B$2,SUMPRODUCT(('PA Fees Actual'!$B$5:$B$882=$E33)*('PA Fees Actual'!$A$5:$A$882&gt;=AW$3)*('PA Fees Actual'!$A$5:$A$882&lt;=EOMONTH(AW$3,0))*'PA Fees Actual'!$D$5:$D$882),AW$3&gt;=EOMONTH($X33,-1)+1,$Y33,TRUE,0)</f>
        <v>0</v>
      </c>
      <c r="AX33" s="202" cm="1">
        <f t="array" ref="AX33">_xlfn.IFS(AX$3&lt;$B$2,SUMPRODUCT(('PA Fees Actual'!$B$5:$B$882=$E33)*('PA Fees Actual'!$A$5:$A$882&gt;=AX$3)*('PA Fees Actual'!$A$5:$A$882&lt;=EOMONTH(AX$3,0))*'PA Fees Actual'!$D$5:$D$882),AX$3&gt;=EOMONTH($X33,-1)+1,$Y33,TRUE,0)</f>
        <v>0</v>
      </c>
      <c r="AY33" s="202" cm="1">
        <f t="array" ref="AY33">_xlfn.IFS(AY$3&lt;$B$2,SUMPRODUCT(('PA Fees Actual'!$B$5:$B$882=$E33)*('PA Fees Actual'!$A$5:$A$882&gt;=AY$3)*('PA Fees Actual'!$A$5:$A$882&lt;=EOMONTH(AY$3,0))*'PA Fees Actual'!$D$5:$D$882),AY$3&gt;=EOMONTH($X33,-1)+1,$Y33,TRUE,0)</f>
        <v>0</v>
      </c>
      <c r="AZ33" s="202" cm="1">
        <f t="array" ref="AZ33">_xlfn.IFS(AZ$3&lt;$B$2,SUMPRODUCT(('PA Fees Actual'!$B$5:$B$882=$E33)*('PA Fees Actual'!$A$5:$A$882&gt;=AZ$3)*('PA Fees Actual'!$A$5:$A$882&lt;=EOMONTH(AZ$3,0))*'PA Fees Actual'!$D$5:$D$882),AZ$3&gt;=EOMONTH($X33,-1)+1,$Y33,TRUE,0)</f>
        <v>0</v>
      </c>
      <c r="BA33" s="202" cm="1">
        <f t="array" ref="BA33">_xlfn.IFS(BA$3&lt;$B$2,SUMPRODUCT(('PA Fees Actual'!$B$5:$B$882=$E33)*('PA Fees Actual'!$A$5:$A$882&gt;=BA$3)*('PA Fees Actual'!$A$5:$A$882&lt;=EOMONTH(BA$3,0))*'PA Fees Actual'!$D$5:$D$882),BA$3&gt;=EOMONTH($X33,-1)+1,$Y33,TRUE,0)</f>
        <v>0</v>
      </c>
      <c r="BB33" s="202" cm="1">
        <f t="array" ref="BB33">_xlfn.IFS(BB$3&lt;$B$2,SUMPRODUCT(('PA Fees Actual'!$B$5:$B$882=$E33)*('PA Fees Actual'!$A$5:$A$882&gt;=BB$3)*('PA Fees Actual'!$A$5:$A$882&lt;=EOMONTH(BB$3,0))*'PA Fees Actual'!$D$5:$D$882),BB$3&gt;=EOMONTH($X33,-1)+1,$Y33,TRUE,0)</f>
        <v>0</v>
      </c>
      <c r="BC33" s="202" cm="1">
        <f t="array" ref="BC33">_xlfn.IFS(BC$3&lt;$B$2,SUMPRODUCT(('PA Fees Actual'!$B$5:$B$882=$E33)*('PA Fees Actual'!$A$5:$A$882&gt;=BC$3)*('PA Fees Actual'!$A$5:$A$882&lt;=EOMONTH(BC$3,0))*'PA Fees Actual'!$D$5:$D$882),BC$3&gt;=EOMONTH($X33,-1)+1,$Y33,TRUE,0)</f>
        <v>0</v>
      </c>
      <c r="BD33" s="202" cm="1">
        <f t="array" ref="BD33">_xlfn.IFS(BD$3&lt;$B$2,SUMPRODUCT(('PA Fees Actual'!$B$5:$B$882=$E33)*('PA Fees Actual'!$A$5:$A$882&gt;=BD$3)*('PA Fees Actual'!$A$5:$A$882&lt;=EOMONTH(BD$3,0))*'PA Fees Actual'!$D$5:$D$882),BD$3&gt;=EOMONTH($X33,-1)+1,$Y33,TRUE,0)</f>
        <v>0</v>
      </c>
      <c r="BE33" s="202" cm="1">
        <f t="array" ref="BE33">_xlfn.IFS(BE$3&lt;$B$2,SUMPRODUCT(('PA Fees Actual'!$B$5:$B$882=$E33)*('PA Fees Actual'!$A$5:$A$882&gt;=BE$3)*('PA Fees Actual'!$A$5:$A$882&lt;=EOMONTH(BE$3,0))*'PA Fees Actual'!$D$5:$D$882),BE$3&gt;=EOMONTH($X33,-1)+1,$Y33,TRUE,0)</f>
        <v>0</v>
      </c>
      <c r="BF33" s="202" cm="1">
        <f t="array" ref="BF33">_xlfn.IFS(BF$3&lt;$B$2,SUMPRODUCT(('PA Fees Actual'!$B$5:$B$882=$E33)*('PA Fees Actual'!$A$5:$A$882&gt;=BF$3)*('PA Fees Actual'!$A$5:$A$882&lt;=EOMONTH(BF$3,0))*'PA Fees Actual'!$D$5:$D$882),BF$3&gt;=EOMONTH($X33,-1)+1,$Y33,TRUE,0)</f>
        <v>0</v>
      </c>
      <c r="BG33" s="202" cm="1">
        <f t="array" ref="BG33">_xlfn.IFS(BG$3&lt;$B$2,SUMPRODUCT(('PA Fees Actual'!$B$5:$B$882=$E33)*('PA Fees Actual'!$A$5:$A$882&gt;=BG$3)*('PA Fees Actual'!$A$5:$A$882&lt;=EOMONTH(BG$3,0))*'PA Fees Actual'!$D$5:$D$882),BG$3&gt;=EOMONTH($X33,-1)+1,$Y33,TRUE,0)</f>
        <v>0</v>
      </c>
      <c r="BH33" s="202" cm="1">
        <f t="array" ref="BH33">_xlfn.IFS(BH$3&lt;$B$2,SUMPRODUCT(('PA Fees Actual'!$B$5:$B$882=$E33)*('PA Fees Actual'!$A$5:$A$882&gt;=BH$3)*('PA Fees Actual'!$A$5:$A$882&lt;=EOMONTH(BH$3,0))*'PA Fees Actual'!$D$5:$D$882),BH$3&gt;=EOMONTH($X33,-1)+1,$Y33,TRUE,0)</f>
        <v>0</v>
      </c>
      <c r="BI33" s="202" cm="1">
        <f t="array" ref="BI33">_xlfn.IFS(BI$3&lt;$B$2,SUMPRODUCT(('PA Fees Actual'!$B$5:$B$882=$E33)*('PA Fees Actual'!$A$5:$A$882&gt;=BI$3)*('PA Fees Actual'!$A$5:$A$882&lt;=EOMONTH(BI$3,0))*'PA Fees Actual'!$D$5:$D$882),BI$3&gt;=EOMONTH($X33,-1)+1,$Y33,TRUE,0)</f>
        <v>0</v>
      </c>
      <c r="BJ33" s="202" cm="1">
        <f t="array" ref="BJ33">_xlfn.IFS(BJ$3&lt;$B$2,SUMPRODUCT(('PA Fees Actual'!$B$5:$B$882=$E33)*('PA Fees Actual'!$A$5:$A$882&gt;=BJ$3)*('PA Fees Actual'!$A$5:$A$882&lt;=EOMONTH(BJ$3,0))*'PA Fees Actual'!$D$5:$D$882),BJ$3&gt;=EOMONTH($X33,-1)+1,$Y33,TRUE,0)</f>
        <v>0</v>
      </c>
      <c r="BK33" s="202" cm="1">
        <f t="array" ref="BK33">_xlfn.IFS(BK$3&lt;$B$2,SUMPRODUCT(('PA Fees Actual'!$B$5:$B$882=$E33)*('PA Fees Actual'!$A$5:$A$882&gt;=BK$3)*('PA Fees Actual'!$A$5:$A$882&lt;=EOMONTH(BK$3,0))*'PA Fees Actual'!$D$5:$D$882),BK$3&gt;=EOMONTH($X33,-1)+1,$Y33,TRUE,0)</f>
        <v>0</v>
      </c>
      <c r="BL33" s="202" cm="1">
        <f t="array" ref="BL33">_xlfn.IFS(BL$3&lt;$B$2,SUMPRODUCT(('PA Fees Actual'!$B$5:$B$882=$E33)*('PA Fees Actual'!$A$5:$A$882&gt;=BL$3)*('PA Fees Actual'!$A$5:$A$882&lt;=EOMONTH(BL$3,0))*'PA Fees Actual'!$D$5:$D$882),BL$3&gt;=EOMONTH($X33,-1)+1,$Y33,TRUE,0)</f>
        <v>0</v>
      </c>
      <c r="BM33" s="202" cm="1">
        <f t="array" ref="BM33">_xlfn.IFS(BM$3&lt;$B$2,SUMPRODUCT(('PA Fees Actual'!$B$5:$B$882=$E33)*('PA Fees Actual'!$A$5:$A$882&gt;=BM$3)*('PA Fees Actual'!$A$5:$A$882&lt;=EOMONTH(BM$3,0))*'PA Fees Actual'!$D$5:$D$882),BM$3&gt;=EOMONTH($X33,-1)+1,$Y33,TRUE,0)</f>
        <v>0</v>
      </c>
      <c r="BN33" s="202" cm="1">
        <f t="array" ref="BN33">_xlfn.IFS(BN$3&lt;$B$2,SUMPRODUCT(('PA Fees Actual'!$B$5:$B$882=$E33)*('PA Fees Actual'!$A$5:$A$882&gt;=BN$3)*('PA Fees Actual'!$A$5:$A$882&lt;=EOMONTH(BN$3,0))*'PA Fees Actual'!$D$5:$D$882),BN$3&gt;=EOMONTH($X33,-1)+1,$Y33,TRUE,0)</f>
        <v>0</v>
      </c>
      <c r="BO33" s="202" cm="1">
        <f t="array" ref="BO33">_xlfn.IFS(BO$3&lt;$B$2,SUMPRODUCT(('PA Fees Actual'!$B$5:$B$882=$E33)*('PA Fees Actual'!$A$5:$A$882&gt;=BO$3)*('PA Fees Actual'!$A$5:$A$882&lt;=EOMONTH(BO$3,0))*'PA Fees Actual'!$D$5:$D$882),BO$3&gt;=EOMONTH($X33,-1)+1,$Y33,TRUE,0)</f>
        <v>0</v>
      </c>
      <c r="BP33" s="202" cm="1">
        <f t="array" ref="BP33">_xlfn.IFS(BP$3&lt;$B$2,SUMPRODUCT(('PA Fees Actual'!$B$5:$B$882=$E33)*('PA Fees Actual'!$A$5:$A$882&gt;=BP$3)*('PA Fees Actual'!$A$5:$A$882&lt;=EOMONTH(BP$3,0))*'PA Fees Actual'!$D$5:$D$882),BP$3&gt;=EOMONTH($X33,-1)+1,$Y33,TRUE,0)</f>
        <v>0</v>
      </c>
      <c r="BQ33" s="202" cm="1">
        <f t="array" ref="BQ33">_xlfn.IFS(BQ$3&lt;$B$2,SUMPRODUCT(('PA Fees Actual'!$B$5:$B$882=$E33)*('PA Fees Actual'!$A$5:$A$882&gt;=BQ$3)*('PA Fees Actual'!$A$5:$A$882&lt;=EOMONTH(BQ$3,0))*'PA Fees Actual'!$D$5:$D$882),BQ$3&gt;=EOMONTH($X33,-1)+1,$Y33,TRUE,0)</f>
        <v>0</v>
      </c>
      <c r="BR33" s="202" cm="1">
        <f t="array" ref="BR33">_xlfn.IFS(BR$3&lt;$B$2,SUMPRODUCT(('PA Fees Actual'!$B$5:$B$882=$E33)*('PA Fees Actual'!$A$5:$A$882&gt;=BR$3)*('PA Fees Actual'!$A$5:$A$882&lt;=EOMONTH(BR$3,0))*'PA Fees Actual'!$D$5:$D$882),BR$3&gt;=EOMONTH($X33,-1)+1,$Y33,TRUE,0)</f>
        <v>0</v>
      </c>
      <c r="BS33" s="202" cm="1">
        <f t="array" ref="BS33">_xlfn.IFS(BS$3&lt;$B$2,SUMPRODUCT(('PA Fees Actual'!$B$5:$B$882=$E33)*('PA Fees Actual'!$A$5:$A$882&gt;=BS$3)*('PA Fees Actual'!$A$5:$A$882&lt;=EOMONTH(BS$3,0))*'PA Fees Actual'!$D$5:$D$882),BS$3&gt;=EOMONTH($X33,-1)+1,$Y33,TRUE,0)</f>
        <v>0</v>
      </c>
      <c r="BT33" s="202" cm="1">
        <f t="array" ref="BT33">_xlfn.IFS(BT$3&lt;$B$2,SUMPRODUCT(('PA Fees Actual'!$B$5:$B$882=$E33)*('PA Fees Actual'!$A$5:$A$882&gt;=BT$3)*('PA Fees Actual'!$A$5:$A$882&lt;=EOMONTH(BT$3,0))*'PA Fees Actual'!$D$5:$D$882),BT$3&gt;=EOMONTH($X33,-1)+1,$Y33,TRUE,0)</f>
        <v>0</v>
      </c>
      <c r="BU33" s="202" cm="1">
        <f t="array" ref="BU33">_xlfn.IFS(BU$3&lt;$B$2,SUMPRODUCT(('PA Fees Actual'!$B$5:$B$882=$E33)*('PA Fees Actual'!$A$5:$A$882&gt;=BU$3)*('PA Fees Actual'!$A$5:$A$882&lt;=EOMONTH(BU$3,0))*'PA Fees Actual'!$D$5:$D$882),BU$3&gt;=EOMONTH($X33,-1)+1,$Y33,TRUE,0)</f>
        <v>0</v>
      </c>
      <c r="BV33" s="202" cm="1">
        <f t="array" ref="BV33">_xlfn.IFS(BV$3&lt;$B$2,SUMPRODUCT(('PA Fees Actual'!$B$5:$B$882=$E33)*('PA Fees Actual'!$A$5:$A$882&gt;=BV$3)*('PA Fees Actual'!$A$5:$A$882&lt;=EOMONTH(BV$3,0))*'PA Fees Actual'!$D$5:$D$882),BV$3&gt;=EOMONTH($X33,-1)+1,$Y33,TRUE,0)</f>
        <v>0</v>
      </c>
      <c r="BW33" s="202" cm="1">
        <f t="array" ref="BW33">_xlfn.IFS(BW$3&lt;$B$2,SUMPRODUCT(('PA Fees Actual'!$B$5:$B$882=$E33)*('PA Fees Actual'!$A$5:$A$882&gt;=BW$3)*('PA Fees Actual'!$A$5:$A$882&lt;=EOMONTH(BW$3,0))*'PA Fees Actual'!$D$5:$D$882),BW$3&gt;=EOMONTH($X33,-1)+1,$Y33,TRUE,0)</f>
        <v>0</v>
      </c>
      <c r="BX33" s="202" cm="1">
        <f t="array" ref="BX33">_xlfn.IFS(BX$3&lt;$B$2,SUMPRODUCT(('PA Fees Actual'!$B$5:$B$882=$E33)*('PA Fees Actual'!$A$5:$A$882&gt;=BX$3)*('PA Fees Actual'!$A$5:$A$882&lt;=EOMONTH(BX$3,0))*'PA Fees Actual'!$D$5:$D$882),BX$3&gt;=EOMONTH($X33,-1)+1,$Y33,TRUE,0)</f>
        <v>0</v>
      </c>
      <c r="BY33" s="202" cm="1">
        <f t="array" ref="BY33">_xlfn.IFS(BY$3&lt;$B$2,SUMPRODUCT(('PA Fees Actual'!$B$5:$B$882=$E33)*('PA Fees Actual'!$A$5:$A$882&gt;=BY$3)*('PA Fees Actual'!$A$5:$A$882&lt;=EOMONTH(BY$3,0))*'PA Fees Actual'!$D$5:$D$882),BY$3&gt;=EOMONTH($X33,-1)+1,$Y33,TRUE,0)</f>
        <v>0</v>
      </c>
      <c r="BZ33" s="202" cm="1">
        <f t="array" ref="BZ33">_xlfn.IFS(BZ$3&lt;$B$2,SUMPRODUCT(('PA Fees Actual'!$B$5:$B$882=$E33)*('PA Fees Actual'!$A$5:$A$882&gt;=BZ$3)*('PA Fees Actual'!$A$5:$A$882&lt;=EOMONTH(BZ$3,0))*'PA Fees Actual'!$D$5:$D$882),BZ$3&gt;=EOMONTH($X33,-1)+1,$Y33,TRUE,0)</f>
        <v>0</v>
      </c>
      <c r="CA33" s="202" cm="1">
        <f t="array" ref="CA33">_xlfn.IFS(CA$3&lt;$B$2,SUMPRODUCT(('PA Fees Actual'!$B$5:$B$882=$E33)*('PA Fees Actual'!$A$5:$A$882&gt;=CA$3)*('PA Fees Actual'!$A$5:$A$882&lt;=EOMONTH(CA$3,0))*'PA Fees Actual'!$D$5:$D$882),CA$3&gt;=EOMONTH($X33,-1)+1,$Y33,TRUE,0)</f>
        <v>0</v>
      </c>
      <c r="CB33" s="202" cm="1">
        <f t="array" ref="CB33">_xlfn.IFS(CB$3&lt;$B$2,SUMPRODUCT(('PA Fees Actual'!$B$5:$B$749=$E33)*('PA Fees Actual'!$A$5:$A$749&gt;=CB$3)*('PA Fees Actual'!$A$5:$A$749&lt;=EOMONTH(CB$3,0))*'PA Fees Actual'!$D$5:$D$749),CB$3&gt;=EOMONTH($X33,-1)+1,$Y33,TRUE,0)</f>
        <v>0</v>
      </c>
      <c r="CC33" s="202" cm="1">
        <f t="array" ref="CC33">_xlfn.IFS(CC$3&lt;$B$2,SUMPRODUCT(('PA Fees Actual'!$B$5:$B$749=$E33)*('PA Fees Actual'!$A$5:$A$749&gt;=CC$3)*('PA Fees Actual'!$A$5:$A$749&lt;=EOMONTH(CC$3,0))*'PA Fees Actual'!$D$5:$D$749),CC$3&gt;=EOMONTH($X33,-1)+1,$Y33,TRUE,0)</f>
        <v>0</v>
      </c>
      <c r="CD33" s="202" cm="1">
        <f t="array" ref="CD33">_xlfn.IFS(CD$3&lt;$B$2,SUMPRODUCT(('PA Fees Actual'!$B$5:$B$749=$E33)*('PA Fees Actual'!$A$5:$A$749&gt;=CD$3)*('PA Fees Actual'!$A$5:$A$749&lt;=EOMONTH(CD$3,0))*'PA Fees Actual'!$D$5:$D$749),CD$3&gt;=EOMONTH($X33,-1)+1,$Y33,TRUE,0)</f>
        <v>0</v>
      </c>
      <c r="CE33" s="202" cm="1">
        <f t="array" ref="CE33">_xlfn.IFS(CE$3&lt;$B$2,SUMPRODUCT(('PA Fees Actual'!$B$5:$B$749=$E33)*('PA Fees Actual'!$A$5:$A$749&gt;=CE$3)*('PA Fees Actual'!$A$5:$A$749&lt;=EOMONTH(CE$3,0))*'PA Fees Actual'!$D$5:$D$749),CE$3&gt;=EOMONTH($X33,-1)+1,$Y33,TRUE,0)</f>
        <v>0</v>
      </c>
      <c r="CF33" s="202" cm="1">
        <f t="array" ref="CF33">_xlfn.IFS(CF$3&lt;$B$2,SUMPRODUCT(('PA Fees Actual'!$B$5:$B$749=$E33)*('PA Fees Actual'!$A$5:$A$749&gt;=CF$3)*('PA Fees Actual'!$A$5:$A$749&lt;=EOMONTH(CF$3,0))*'PA Fees Actual'!$D$5:$D$749),CF$3&gt;=EOMONTH($X33,-1)+1,$Y33,TRUE,0)</f>
        <v>0</v>
      </c>
      <c r="CG33" s="202" cm="1">
        <f t="array" ref="CG33">_xlfn.IFS(CG$3&lt;$B$2,SUMPRODUCT(('PA Fees Actual'!$B$5:$B$749=$E33)*('PA Fees Actual'!$A$5:$A$749&gt;=CG$3)*('PA Fees Actual'!$A$5:$A$749&lt;=EOMONTH(CG$3,0))*'PA Fees Actual'!$D$5:$D$749),CG$3&gt;=EOMONTH($X33,-1)+1,$Y33,TRUE,0)</f>
        <v>0</v>
      </c>
      <c r="CI33" s="202" cm="1">
        <f t="array" ref="CI33">_xlfn.IFS(CI$3&lt;=YEAR($B$2),SUMPRODUCT(($E$4:$E$79=$E33)*($Z$2:$CG$2=CI$3)*($Z$2:$CG$2&lt;CJ$3)*$Z$4:$CG$79),CI$3&lt;YEAR($X33),0,CI$3=YEAR($X33),DATEDIF($X33,DATE(CI$3,12,31),"m")*$Y33,AND(CI$3&gt;YEAR($X33),CI$3-YEAR($X33)&lt;20),$Y33*12,CI$3-YEAR($X33)=20,DATEDIF(DATE(YEAR($X33),1,1),$X33,"m")*$Y33,CI$3-YEAR($X33)&gt;20,0)</f>
        <v>0</v>
      </c>
      <c r="CJ33" s="202" cm="1">
        <f t="array" ref="CJ33">_xlfn.IFS(CJ$3&lt;=YEAR($B$2),SUMPRODUCT(($E$4:$E$79=$E33)*($Z$2:$CG$2=CJ$3)*($Z$2:$CG$2&lt;CK$3)*$Z$4:$CG$79),CJ$3&lt;YEAR($X33),0,CJ$3=YEAR($X33),DATEDIF($X33,DATE(CJ$3,12,31),"m")*$Y33,AND(CJ$3&gt;YEAR($X33),CJ$3-YEAR($X33)&lt;20),$Y33*12,CJ$3-YEAR($X33)=20,DATEDIF(DATE(YEAR($X33),1,1),$X33,"m")*$Y33,CJ$3-YEAR($X33)&gt;20,0)</f>
        <v>0</v>
      </c>
      <c r="CK33" s="202" cm="1">
        <f t="array" ref="CK33">_xlfn.IFS(CK$3&lt;=YEAR($B$2),SUMPRODUCT(($E$4:$E$79=$E33)*($Z$2:$CG$2=CK$3)*($Z$2:$CG$2&lt;CL$3)*$Z$4:$CG$79),CK$3&lt;YEAR($X33),0,CK$3=YEAR($X33),DATEDIF($X33,DATE(CK$3,12,31),"m")*$Y33,AND(CK$3&gt;YEAR($X33),CK$3-YEAR($X33)&lt;20),$Y33*12,CK$3-YEAR($X33)=20,DATEDIF(DATE(YEAR($X33),1,1),$X33,"m")*$Y33,CK$3-YEAR($X33)&gt;20,0)</f>
        <v>0</v>
      </c>
      <c r="CL33" s="202" cm="1">
        <f t="array" ref="CL33">_xlfn.IFS(CL$3&lt;=YEAR($B$2),SUMPRODUCT(($E$4:$E$79=$E33)*($Z$2:$CG$2=CL$3)*($Z$2:$CG$2&lt;CM$3)*$Z$4:$CG$79),CL$3&lt;YEAR($X33),0,CL$3=YEAR($X33),DATEDIF($X33,DATE(CL$3,12,31),"m")*$Y33,AND(CL$3&gt;YEAR($X33),CL$3-YEAR($X33)&lt;20),$Y33*12,CL$3-YEAR($X33)=20,DATEDIF(DATE(YEAR($X33),1,1),$X33,"m")*$Y33,CL$3-YEAR($X33)&gt;20,0)</f>
        <v>0</v>
      </c>
      <c r="CM33" s="202" cm="1">
        <f t="array" ref="CM33">_xlfn.IFS(CM$3&lt;=YEAR($B$2),SUMPRODUCT(($E$4:$E$79=$E33)*($Z$2:$CG$2=CM$3)*($Z$2:$CG$2&lt;CN$3)*$Z$4:$CG$79),CM$3&lt;YEAR($X33),0,CM$3=YEAR($X33),DATEDIF($X33,DATE(CM$3,12,31),"m")*$Y33,AND(CM$3&gt;YEAR($X33),CM$3-YEAR($X33)&lt;20),$Y33*12,CM$3-YEAR($X33)=20,DATEDIF(DATE(YEAR($X33),1,1),$X33,"m")*$Y33,CM$3-YEAR($X33)&gt;20,0)</f>
        <v>0</v>
      </c>
      <c r="CN33" s="202" cm="1">
        <f t="array" ref="CN33">_xlfn.IFS(CN$3&lt;=YEAR($B$2),SUMPRODUCT(($E$4:$E$79=$E33)*($Z$2:$CG$2=CN$3)*($Z$2:$CG$2&lt;CO$3)*$Z$4:$CG$79),CN$3&lt;YEAR($X33),0,CN$3=YEAR($X33),DATEDIF($X33,DATE(CN$3,12,31),"m")*$Y33,AND(CN$3&gt;YEAR($X33),CN$3-YEAR($X33)&lt;20),$Y33*12,CN$3-YEAR($X33)=20,DATEDIF(DATE(YEAR($X33),1,1),$X33,"m")*$Y33,CN$3-YEAR($X33)&gt;20,0)</f>
        <v>12138</v>
      </c>
      <c r="CO33" s="202" cm="1">
        <f t="array" ref="CO33">_xlfn.IFS(CO$3&lt;=YEAR($B$2),SUMPRODUCT(($E$4:$E$79=$E33)*($Z$2:$CG$2=CO$3)*($Z$2:$CG$2&lt;CP$3)*$Z$4:$CG$79),CO$3&lt;YEAR($X33),0,CO$3=YEAR($X33),DATEDIF($X33,DATE(CO$3,12,31),"m")*$Y33,AND(CO$3&gt;YEAR($X33),CO$3-YEAR($X33)&lt;20),$Y33*12,CO$3-YEAR($X33)=20,DATEDIF(DATE(YEAR($X33),1,1),$X33,"m")*$Y33,CO$3-YEAR($X33)&gt;20,0)</f>
        <v>20808</v>
      </c>
      <c r="CP33" s="202" cm="1">
        <f t="array" ref="CP33">_xlfn.IFS(CP$3&lt;=YEAR($B$2),SUMPRODUCT(($E$4:$E$79=$E33)*($Z$2:$CG$2=CP$3)*($Z$2:$CG$2&lt;CQ$3)*$Z$4:$CG$79),CP$3&lt;YEAR($X33),0,CP$3=YEAR($X33),DATEDIF($X33,DATE(CP$3,12,31),"m")*$Y33,AND(CP$3&gt;YEAR($X33),CP$3-YEAR($X33)&lt;20),$Y33*12,CP$3-YEAR($X33)=20,DATEDIF(DATE(YEAR($X33),1,1),$X33,"m")*$Y33,CP$3-YEAR($X33)&gt;20,0)</f>
        <v>20808</v>
      </c>
      <c r="CQ33" s="202" cm="1">
        <f t="array" ref="CQ33">_xlfn.IFS(CQ$3&lt;=YEAR($B$2),SUMPRODUCT(($E$4:$E$79=$E33)*($Z$2:$CG$2=CQ$3)*($Z$2:$CG$2&lt;CR$3)*$Z$4:$CG$79),CQ$3&lt;YEAR($X33),0,CQ$3=YEAR($X33),DATEDIF($X33,DATE(CQ$3,12,31),"m")*$Y33,AND(CQ$3&gt;YEAR($X33),CQ$3-YEAR($X33)&lt;20),$Y33*12,CQ$3-YEAR($X33)=20,DATEDIF(DATE(YEAR($X33),1,1),$X33,"m")*$Y33,CQ$3-YEAR($X33)&gt;20,0)</f>
        <v>20808</v>
      </c>
      <c r="CR33" s="202" cm="1">
        <f t="array" ref="CR33">_xlfn.IFS(CR$3&lt;=YEAR($B$2),SUMPRODUCT(($E$4:$E$79=$E33)*($Z$2:$CG$2=CR$3)*($Z$2:$CG$2&lt;CS$3)*$Z$4:$CG$79),CR$3&lt;YEAR($X33),0,CR$3=YEAR($X33),DATEDIF($X33,DATE(CR$3,12,31),"m")*$Y33,AND(CR$3&gt;YEAR($X33),CR$3-YEAR($X33)&lt;20),$Y33*12,CR$3-YEAR($X33)=20,DATEDIF(DATE(YEAR($X33),1,1),$X33,"m")*$Y33,CR$3-YEAR($X33)&gt;20,0)</f>
        <v>20808</v>
      </c>
      <c r="CS33" s="202" cm="1">
        <f t="array" ref="CS33">_xlfn.IFS(CS$3&lt;=YEAR($B$2),SUMPRODUCT(($E$4:$E$79=$E33)*($Z$2:$CG$2=CS$3)*($Z$2:$CG$2&lt;CT$3)*$Z$4:$CG$79),CS$3&lt;YEAR($X33),0,CS$3=YEAR($X33),DATEDIF($X33,DATE(CS$3,12,31),"m")*$Y33,AND(CS$3&gt;YEAR($X33),CS$3-YEAR($X33)&lt;20),$Y33*12,CS$3-YEAR($X33)=20,DATEDIF(DATE(YEAR($X33),1,1),$X33,"m")*$Y33,CS$3-YEAR($X33)&gt;20,0)</f>
        <v>20808</v>
      </c>
      <c r="CT33" s="202" cm="1">
        <f t="array" ref="CT33">_xlfn.IFS(CT$3&lt;=YEAR($B$2),SUMPRODUCT(($E$4:$E$79=$E33)*($Z$2:$CG$2=CT$3)*($Z$2:$CG$2&lt;CU$3)*$Z$4:$CG$79),CT$3&lt;YEAR($X33),0,CT$3=YEAR($X33),DATEDIF($X33,DATE(CT$3,12,31),"m")*$Y33,AND(CT$3&gt;YEAR($X33),CT$3-YEAR($X33)&lt;20),$Y33*12,CT$3-YEAR($X33)=20,DATEDIF(DATE(YEAR($X33),1,1),$X33,"m")*$Y33,CT$3-YEAR($X33)&gt;20,0)</f>
        <v>20808</v>
      </c>
      <c r="CU33" s="202" cm="1">
        <f t="array" ref="CU33">_xlfn.IFS(CU$3&lt;=YEAR($B$2),SUMPRODUCT(($E$4:$E$79=$E33)*($Z$2:$CG$2=CU$3)*($Z$2:$CG$2&lt;CV$3)*$Z$4:$CG$79),CU$3&lt;YEAR($X33),0,CU$3=YEAR($X33),DATEDIF($X33,DATE(CU$3,12,31),"m")*$Y33,AND(CU$3&gt;YEAR($X33),CU$3-YEAR($X33)&lt;20),$Y33*12,CU$3-YEAR($X33)=20,DATEDIF(DATE(YEAR($X33),1,1),$X33,"m")*$Y33,CU$3-YEAR($X33)&gt;20,0)</f>
        <v>20808</v>
      </c>
      <c r="CV33" s="202" cm="1">
        <f t="array" ref="CV33">_xlfn.IFS(CV$3&lt;=YEAR($B$2),SUMPRODUCT(($E$4:$E$79=$E33)*($Z$2:$CG$2=CV$3)*($Z$2:$CG$2&lt;CW$3)*$Z$4:$CG$79),CV$3&lt;YEAR($X33),0,CV$3=YEAR($X33),DATEDIF($X33,DATE(CV$3,12,31),"m")*$Y33,AND(CV$3&gt;YEAR($X33),CV$3-YEAR($X33)&lt;20),$Y33*12,CV$3-YEAR($X33)=20,DATEDIF(DATE(YEAR($X33),1,1),$X33,"m")*$Y33,CV$3-YEAR($X33)&gt;20,0)</f>
        <v>20808</v>
      </c>
      <c r="CW33" s="202" cm="1">
        <f t="array" ref="CW33">_xlfn.IFS(CW$3&lt;=YEAR($B$2),SUMPRODUCT(($E$4:$E$79=$E33)*($Z$2:$CG$2=CW$3)*($Z$2:$CG$2&lt;CX$3)*$Z$4:$CG$79),CW$3&lt;YEAR($X33),0,CW$3=YEAR($X33),DATEDIF($X33,DATE(CW$3,12,31),"m")*$Y33,AND(CW$3&gt;YEAR($X33),CW$3-YEAR($X33)&lt;20),$Y33*12,CW$3-YEAR($X33)=20,DATEDIF(DATE(YEAR($X33),1,1),$X33,"m")*$Y33,CW$3-YEAR($X33)&gt;20,0)</f>
        <v>20808</v>
      </c>
      <c r="CX33" s="202" cm="1">
        <f t="array" ref="CX33">_xlfn.IFS(CX$3&lt;=YEAR($B$2),SUMPRODUCT(($E$4:$E$79=$E33)*($Z$2:$CG$2=CX$3)*($Z$2:$CG$2&lt;CY$3)*$Z$4:$CG$79),CX$3&lt;YEAR($X33),0,CX$3=YEAR($X33),DATEDIF($X33,DATE(CX$3,12,31),"m")*$Y33,AND(CX$3&gt;YEAR($X33),CX$3-YEAR($X33)&lt;20),$Y33*12,CX$3-YEAR($X33)=20,DATEDIF(DATE(YEAR($X33),1,1),$X33,"m")*$Y33,CX$3-YEAR($X33)&gt;20,0)</f>
        <v>20808</v>
      </c>
      <c r="CY33" s="202" cm="1">
        <f t="array" ref="CY33">_xlfn.IFS(CY$3&lt;=YEAR($B$2),SUMPRODUCT(($E$4:$E$79=$E33)*($Z$2:$CG$2=CY$3)*($Z$2:$CG$2&lt;CZ$3)*$Z$4:$CG$79),CY$3&lt;YEAR($X33),0,CY$3=YEAR($X33),DATEDIF($X33,DATE(CY$3,12,31),"m")*$Y33,AND(CY$3&gt;YEAR($X33),CY$3-YEAR($X33)&lt;20),$Y33*12,CY$3-YEAR($X33)=20,DATEDIF(DATE(YEAR($X33),1,1),$X33,"m")*$Y33,CY$3-YEAR($X33)&gt;20,0)</f>
        <v>20808</v>
      </c>
      <c r="CZ33" s="202" cm="1">
        <f t="array" ref="CZ33">_xlfn.IFS(CZ$3&lt;=YEAR($B$2),SUMPRODUCT(($E$4:$E$79=$E33)*($Z$2:$CG$2=CZ$3)*($Z$2:$CG$2&lt;DA$3)*$Z$4:$CG$79),CZ$3&lt;YEAR($X33),0,CZ$3=YEAR($X33),DATEDIF($X33,DATE(CZ$3,12,31),"m")*$Y33,AND(CZ$3&gt;YEAR($X33),CZ$3-YEAR($X33)&lt;20),$Y33*12,CZ$3-YEAR($X33)=20,DATEDIF(DATE(YEAR($X33),1,1),$X33,"m")*$Y33,CZ$3-YEAR($X33)&gt;20,0)</f>
        <v>20808</v>
      </c>
      <c r="DA33" s="202" cm="1">
        <f t="array" ref="DA33">_xlfn.IFS(DA$3&lt;=YEAR($B$2),SUMPRODUCT(($E$4:$E$79=$E33)*($Z$2:$CG$2=DA$3)*($Z$2:$CG$2&lt;DB$3)*$Z$4:$CG$79),DA$3&lt;YEAR($X33),0,DA$3=YEAR($X33),DATEDIF($X33,DATE(DA$3,12,31),"m")*$Y33,AND(DA$3&gt;YEAR($X33),DA$3-YEAR($X33)&lt;20),$Y33*12,DA$3-YEAR($X33)=20,DATEDIF(DATE(YEAR($X33),1,1),$X33,"m")*$Y33,DA$3-YEAR($X33)&gt;20,0)</f>
        <v>20808</v>
      </c>
      <c r="DB33" s="202" cm="1">
        <f t="array" ref="DB33">_xlfn.IFS(DB$3&lt;=YEAR($B$2),SUMPRODUCT(($E$4:$E$79=$E33)*($Z$2:$CG$2=DB$3)*($Z$2:$CG$2&lt;DC$3)*$Z$4:$CG$79),DB$3&lt;YEAR($X33),0,DB$3=YEAR($X33),DATEDIF($X33,DATE(DB$3,12,31),"m")*$Y33,AND(DB$3&gt;YEAR($X33),DB$3-YEAR($X33)&lt;20),$Y33*12,DB$3-YEAR($X33)=20,DATEDIF(DATE(YEAR($X33),1,1),$X33,"m")*$Y33,DB$3-YEAR($X33)&gt;20,0)</f>
        <v>20808</v>
      </c>
      <c r="DC33" s="202" cm="1">
        <f t="array" ref="DC33">_xlfn.IFS(DC$3&lt;=YEAR($B$2),SUMPRODUCT(($E$4:$E$79=$E33)*($Z$2:$CG$2=DC$3)*($Z$2:$CG$2&lt;DD$3)*$Z$4:$CG$79),DC$3&lt;YEAR($X33),0,DC$3=YEAR($X33),DATEDIF($X33,DATE(DC$3,12,31),"m")*$Y33,AND(DC$3&gt;YEAR($X33),DC$3-YEAR($X33)&lt;20),$Y33*12,DC$3-YEAR($X33)=20,DATEDIF(DATE(YEAR($X33),1,1),$X33,"m")*$Y33,DC$3-YEAR($X33)&gt;20,0)</f>
        <v>20808</v>
      </c>
      <c r="DD33" s="202" cm="1">
        <f t="array" ref="DD33">_xlfn.IFS(DD$3&lt;=YEAR($B$2),SUMPRODUCT(($E$4:$E$79=$E33)*($Z$2:$CG$2=DD$3)*($Z$2:$CG$2&lt;DE$3)*$Z$4:$CG$79),DD$3&lt;YEAR($X33),0,DD$3=YEAR($X33),DATEDIF($X33,DATE(DD$3,12,31),"m")*$Y33,AND(DD$3&gt;YEAR($X33),DD$3-YEAR($X33)&lt;20),$Y33*12,DD$3-YEAR($X33)=20,DATEDIF(DATE(YEAR($X33),1,1),$X33,"m")*$Y33,DD$3-YEAR($X33)&gt;20,0)</f>
        <v>20808</v>
      </c>
      <c r="DE33" s="202" cm="1">
        <f t="array" ref="DE33">_xlfn.IFS(DE$3&lt;=YEAR($B$2),SUMPRODUCT(($E$4:$E$79=$E33)*($Z$2:$CG$2=DE$3)*($Z$2:$CG$2&lt;DF$3)*$Z$4:$CG$79),DE$3&lt;YEAR($X33),0,DE$3=YEAR($X33),DATEDIF($X33,DATE(DE$3,12,31),"m")*$Y33,AND(DE$3&gt;YEAR($X33),DE$3-YEAR($X33)&lt;20),$Y33*12,DE$3-YEAR($X33)=20,DATEDIF(DATE(YEAR($X33),1,1),$X33,"m")*$Y33,DE$3-YEAR($X33)&gt;20,0)</f>
        <v>20808</v>
      </c>
      <c r="DF33" s="202" cm="1">
        <f t="array" ref="DF33">_xlfn.IFS(DF$3&lt;=YEAR($B$2),SUMPRODUCT(($E$4:$E$79=$E33)*($Z$2:$CG$2=DF$3)*($Z$2:$CG$2&lt;DG$3)*$Z$4:$CG$79),DF$3&lt;YEAR($X33),0,DF$3=YEAR($X33),DATEDIF($X33,DATE(DF$3,12,31),"m")*$Y33,AND(DF$3&gt;YEAR($X33),DF$3-YEAR($X33)&lt;20),$Y33*12,DF$3-YEAR($X33)=20,DATEDIF(DATE(YEAR($X33),1,1),$X33,"m")*$Y33,DF$3-YEAR($X33)&gt;20,0)</f>
        <v>20808</v>
      </c>
      <c r="DG33" s="202" cm="1">
        <f t="array" ref="DG33">_xlfn.IFS(DG$3&lt;=YEAR($B$2),SUMPRODUCT(($E$4:$E$79=$E33)*($Z$2:$CG$2=DG$3)*($Z$2:$CG$2&lt;DH$3)*$Z$4:$CG$79),DG$3&lt;YEAR($X33),0,DG$3=YEAR($X33),DATEDIF($X33,DATE(DG$3,12,31),"m")*$Y33,AND(DG$3&gt;YEAR($X33),DG$3-YEAR($X33)&lt;20),$Y33*12,DG$3-YEAR($X33)=20,DATEDIF(DATE(YEAR($X33),1,1),$X33,"m")*$Y33,DG$3-YEAR($X33)&gt;20,0)</f>
        <v>20808</v>
      </c>
      <c r="DH33" s="202" cm="1">
        <f t="array" ref="DH33">_xlfn.IFS(DH$3&lt;=YEAR($B$2),SUMPRODUCT(($E$4:$E$79=$E33)*($Z$2:$CG$2=DH$3)*($Z$2:$CG$2&lt;DI$3)*$Z$4:$CG$79),DH$3&lt;YEAR($X33),0,DH$3=YEAR($X33),DATEDIF($X33,DATE(DH$3,12,31),"m")*$Y33,AND(DH$3&gt;YEAR($X33),DH$3-YEAR($X33)&lt;20),$Y33*12,DH$3-YEAR($X33)=20,DATEDIF(DATE(YEAR($X33),1,1),$X33,"m")*$Y33,DH$3-YEAR($X33)&gt;20,0)</f>
        <v>6936</v>
      </c>
      <c r="DI33" s="202" cm="1">
        <f t="array" ref="DI33">_xlfn.IFS(DI$3&lt;=YEAR($B$2),SUMPRODUCT(($E$4:$E$79=$E33)*($Z$2:$CG$2=DI$3)*($Z$2:$CG$2&lt;DJ$3)*$Z$4:$CG$79),DI$3&lt;YEAR($X33),0,DI$3=YEAR($X33),DATEDIF($X33,DATE(DI$3,12,31),"m")*$Y33,AND(DI$3&gt;YEAR($X33),DI$3-YEAR($X33)&lt;20),$Y33*12,DI$3-YEAR($X33)=20,DATEDIF(DATE(YEAR($X33),1,1),$X33,"m")*$Y33,DI$3-YEAR($X33)&gt;20,0)</f>
        <v>0</v>
      </c>
      <c r="DJ33" s="202" cm="1">
        <f t="array" ref="DJ33">_xlfn.IFS(DJ$3&lt;=YEAR($B$2),SUMPRODUCT(($E$4:$E$79=$E33)*($Z$2:$CG$2=DJ$3)*($Z$2:$CG$2&lt;DK$3)*$Z$4:$CG$79),DJ$3&lt;YEAR($X33),0,DJ$3=YEAR($X33),DATEDIF($X33,DATE(DJ$3,12,31),"m")*$Y33,AND(DJ$3&gt;YEAR($X33),DJ$3-YEAR($X33)&lt;20),$Y33*12,DJ$3-YEAR($X33)=20,DATEDIF(DATE(YEAR($X33),1,1),$X33,"m")*$Y33,DJ$3-YEAR($X33)&gt;20,0)</f>
        <v>0</v>
      </c>
      <c r="DK33" s="202" cm="1">
        <f t="array" ref="DK33">_xlfn.IFS(DK$3&lt;=YEAR($B$2),SUMPRODUCT(($E$4:$E$79=$E33)*($Z$2:$CG$2=DK$3)*($Z$2:$CG$2&lt;DL$3)*$Z$4:$CG$79),DK$3&lt;YEAR($X33),0,DK$3=YEAR($X33),DATEDIF($X33,DATE(DK$3,12,31),"m")*$Y33,AND(DK$3&gt;YEAR($X33),DK$3-YEAR($X33)&lt;20),$Y33*12,DK$3-YEAR($X33)=20,DATEDIF(DATE(YEAR($X33),1,1),$X33,"m")*$Y33,DK$3-YEAR($X33)&gt;20,0)</f>
        <v>0</v>
      </c>
      <c r="DL33" s="202" cm="1">
        <f t="array" ref="DL33">_xlfn.IFS(DL$3&lt;=YEAR($B$2),SUMPRODUCT(($E$4:$E$79=$E33)*($Z$2:$CG$2=DL$3)*($Z$2:$CG$2&lt;DM$3)*$Z$4:$CG$79),DL$3&lt;YEAR($X33),0,DL$3=YEAR($X33),DATEDIF($X33,DATE(DL$3,12,31),"m")*$Y33,AND(DL$3&gt;YEAR($X33),DL$3-YEAR($X33)&lt;20),$Y33*12,DL$3-YEAR($X33)=20,DATEDIF(DATE(YEAR($X33),1,1),$X33,"m")*$Y33,DL$3-YEAR($X33)&gt;20,0)</f>
        <v>0</v>
      </c>
      <c r="DO33" s="166">
        <f t="shared" si="26"/>
        <v>2042</v>
      </c>
      <c r="DP33" s="158">
        <v>581864.6100000001</v>
      </c>
      <c r="DQ33" s="158">
        <v>462024.6213</v>
      </c>
      <c r="DR33" s="158">
        <v>25576.5</v>
      </c>
      <c r="DS33" s="158">
        <f t="shared" si="27"/>
        <v>1069465.7313000001</v>
      </c>
    </row>
    <row r="34" spans="1:123">
      <c r="A34" s="155" t="str" cm="1">
        <f t="array" ref="A34">INDEX('Monthly Report July 2025'!C:C,MATCH(E34,'Monthly Report July 2025'!E:E,0),0)</f>
        <v>SPQ0272</v>
      </c>
      <c r="B34" s="155" t="str" cm="1">
        <f t="array" ref="B34">_xlfn.IFS(LEFT(E34,3)="PGE","PGE",LEFT(E34,2)="PP","PAC",TRUE,"IP")</f>
        <v>PGE</v>
      </c>
      <c r="C34" s="155" t="str">
        <f>IF(ISNA(MATCH(E34,'Monthly Report July 2025'!E:E,0)),"Missing","Present")</f>
        <v>Present</v>
      </c>
      <c r="D34" s="155" t="str">
        <f>IF(ISNA(MATCH(E34,'Project Operational Timelines'!C:C,0))=TRUE,"Missing","Present")</f>
        <v>Present</v>
      </c>
      <c r="E34" s="155" t="s">
        <v>142</v>
      </c>
      <c r="F34" s="155" t="str" cm="1">
        <f t="array" ref="F34">INDEX('Monthly Report July 2025'!F:F,MATCH(E34,'Monthly Report July 2025'!E:E,),0)</f>
        <v>Lincoln Solar LLC</v>
      </c>
      <c r="G34" s="155" t="str" cm="1">
        <f t="array" ref="G34">_xlfn.IFS(INDEX('Monthly Report July 2025'!O:O,MATCH(E34,'Monthly Report July 2025'!E:E,0),0)="Operational","Operational",INDEX('Monthly Report July 2025'!O:O,MATCH(E34,'Monthly Report July 2025'!E:E,0),0)="Certified","Certified",TRUE,"Pre-Certified")</f>
        <v>Pre-Certified</v>
      </c>
      <c r="H34" s="155" t="str" cm="1">
        <f t="array" ref="H34">INDEX('Monthly Report July 2025'!H:H,MATCH($E34,'Monthly Report July 2025'!$E:$E,0),0)</f>
        <v>Conifer Energy Partners</v>
      </c>
      <c r="I34" s="155" t="str" cm="1">
        <f t="array" ref="I34">INDEX('Monthly Report July 2025'!I:I,MATCH($E34,'Monthly Report July 2025'!$E:$E,0),0)</f>
        <v>Kendall Sustainable Infrastructure</v>
      </c>
      <c r="J34" s="174" cm="1">
        <f t="array" ref="J34">INDEX('Monthly Report July 2025'!J:J,MATCH($E34,'Monthly Report July 2025'!$E:$E,0),0)</f>
        <v>2</v>
      </c>
      <c r="K34" s="174" t="str" cm="1">
        <f t="array" ref="K34">INDEX('Monthly Report July 2025'!K:K,MATCH($E34,'Monthly Report July 2025'!$E:$E,0),0)</f>
        <v>No</v>
      </c>
      <c r="L34" s="174" t="b" cm="1">
        <f t="array" ref="L34">INDEX('Monthly Report July 2025'!L:L,MATCH(E34,'Monthly Report July 2025'!E:E,0),0)=M34</f>
        <v>1</v>
      </c>
      <c r="M34" s="273" cm="1">
        <f t="array" ref="M34">INDEX('Monthly Report July 2025'!L:L,MATCH($E34,'Monthly Report July 2025'!$E:$E,0),0)</f>
        <v>2985</v>
      </c>
      <c r="N34" s="175" cm="1">
        <f t="array" ref="N34">INDEX('Monthly Report July 2025'!M:M,MATCH($E34,'Monthly Report July 2025'!$E:$E,0),0)</f>
        <v>45283</v>
      </c>
      <c r="O34" s="175" cm="1">
        <f t="array" ref="O34">_xlfn.IFS(G34="Operational","Operational",G34="Certified","Certified",TRUE,INDEX('Monthly Report July 2025'!O:O,MATCH(E34,'Monthly Report July 2025'!E:E,0),0))</f>
        <v>46014</v>
      </c>
      <c r="P34" s="175" t="b" cm="1">
        <f t="array" ref="P34">_xlfn.IFS(G34="Operational",O34="Operational",G34="Certified",O34="Certified",TRUE,G34="Pre-Certified")</f>
        <v>1</v>
      </c>
      <c r="Q34" s="175" t="str" cm="1">
        <f t="array" ref="Q34">IF(O34="Operational",INDEX('Monthly Report July 2025'!R:R,MATCH(E34,'Monthly Report July 2025'!E:E,0),0),"")</f>
        <v/>
      </c>
      <c r="R34" s="175" t="str" cm="1">
        <f t="array" ref="R34">INDEX('Monthly Report July 2025'!P:P,MATCH(E34,'Monthly Report July 2025'!E:E,0),0)</f>
        <v>Not Yet Certified</v>
      </c>
      <c r="S34" s="175" t="b">
        <f t="shared" si="5"/>
        <v>1</v>
      </c>
      <c r="T34" s="175" t="str" cm="1">
        <f t="array" ref="T34">INDEX('Monthly Report July 2025'!U:U,MATCH(E34,'Monthly Report July 2025'!E:E,0),0)</f>
        <v>Project is still under the  study process</v>
      </c>
      <c r="U34" s="175" t="b">
        <f t="shared" si="6"/>
        <v>0</v>
      </c>
      <c r="V34" s="156">
        <f t="shared" si="7"/>
        <v>46014</v>
      </c>
      <c r="W34" s="156" t="str" cm="1">
        <f t="array" ref="W34">_xlfn.IFS(U34=TRUE,EDATE(O34,6),U34=FALSE,T34,O34="Operational",Q34,AND(O34="Certified",EDATE(R34,6)&gt;T34),EDATE(R34,6),TRUE,T34)</f>
        <v>Project is still under the  study process</v>
      </c>
      <c r="X34" s="156">
        <f t="shared" si="8"/>
        <v>46257</v>
      </c>
      <c r="Y34" s="157">
        <f t="shared" si="9"/>
        <v>2156.6624999999999</v>
      </c>
      <c r="Z34" s="202" cm="1">
        <f t="array" ref="Z34">_xlfn.IFS(Z$3&lt;$B$2,SUMPRODUCT(('PA Fees Actual'!$B$5:$B$882=$E34)*('PA Fees Actual'!$A$5:$A$882&gt;=Z$3)*('PA Fees Actual'!$A$5:$A$882&lt;=EOMONTH(Z$3,0))*'PA Fees Actual'!$D$5:$D$882),Z$3&gt;=EOMONTH($X34,-1)+1,$Y34,TRUE,0)</f>
        <v>0</v>
      </c>
      <c r="AA34" s="202" cm="1">
        <f t="array" ref="AA34">_xlfn.IFS(AA$3&lt;$B$2,SUMPRODUCT(('PA Fees Actual'!$B$5:$B$882=$E34)*('PA Fees Actual'!$A$5:$A$882&gt;=AA$3)*('PA Fees Actual'!$A$5:$A$882&lt;=EOMONTH(AA$3,0))*'PA Fees Actual'!$D$5:$D$882),AA$3&gt;=EOMONTH($X34,-1)+1,$Y34,TRUE,0)</f>
        <v>0</v>
      </c>
      <c r="AB34" s="202" cm="1">
        <f t="array" ref="AB34">_xlfn.IFS(AB$3&lt;$B$2,SUMPRODUCT(('PA Fees Actual'!$B$5:$B$882=$E34)*('PA Fees Actual'!$A$5:$A$882&gt;=AB$3)*('PA Fees Actual'!$A$5:$A$882&lt;=EOMONTH(AB$3,0))*'PA Fees Actual'!$D$5:$D$882),AB$3&gt;=EOMONTH($X34,-1)+1,$Y34,TRUE,0)</f>
        <v>0</v>
      </c>
      <c r="AC34" s="202" cm="1">
        <f t="array" ref="AC34">_xlfn.IFS(AC$3&lt;$B$2,SUMPRODUCT(('PA Fees Actual'!$B$5:$B$882=$E34)*('PA Fees Actual'!$A$5:$A$882&gt;=AC$3)*('PA Fees Actual'!$A$5:$A$882&lt;=EOMONTH(AC$3,0))*'PA Fees Actual'!$D$5:$D$882),AC$3&gt;=EOMONTH($X34,-1)+1,$Y34,TRUE,0)</f>
        <v>0</v>
      </c>
      <c r="AD34" s="202" cm="1">
        <f t="array" ref="AD34">_xlfn.IFS(AD$3&lt;$B$2,SUMPRODUCT(('PA Fees Actual'!$B$5:$B$882=$E34)*('PA Fees Actual'!$A$5:$A$882&gt;=AD$3)*('PA Fees Actual'!$A$5:$A$882&lt;=EOMONTH(AD$3,0))*'PA Fees Actual'!$D$5:$D$882),AD$3&gt;=EOMONTH($X34,-1)+1,$Y34,TRUE,0)</f>
        <v>0</v>
      </c>
      <c r="AE34" s="202" cm="1">
        <f t="array" ref="AE34">_xlfn.IFS(AE$3&lt;$B$2,SUMPRODUCT(('PA Fees Actual'!$B$5:$B$882=$E34)*('PA Fees Actual'!$A$5:$A$882&gt;=AE$3)*('PA Fees Actual'!$A$5:$A$882&lt;=EOMONTH(AE$3,0))*'PA Fees Actual'!$D$5:$D$882),AE$3&gt;=EOMONTH($X34,-1)+1,$Y34,TRUE,0)</f>
        <v>0</v>
      </c>
      <c r="AF34" s="202" cm="1">
        <f t="array" ref="AF34">_xlfn.IFS(AF$3&lt;$B$2,SUMPRODUCT(('PA Fees Actual'!$B$5:$B$882=$E34)*('PA Fees Actual'!$A$5:$A$882&gt;=AF$3)*('PA Fees Actual'!$A$5:$A$882&lt;=EOMONTH(AF$3,0))*'PA Fees Actual'!$D$5:$D$882),AF$3&gt;=EOMONTH($X34,-1)+1,$Y34,TRUE,0)</f>
        <v>0</v>
      </c>
      <c r="AG34" s="202" cm="1">
        <f t="array" ref="AG34">_xlfn.IFS(AG$3&lt;$B$2,SUMPRODUCT(('PA Fees Actual'!$B$5:$B$882=$E34)*('PA Fees Actual'!$A$5:$A$882&gt;=AG$3)*('PA Fees Actual'!$A$5:$A$882&lt;=EOMONTH(AG$3,0))*'PA Fees Actual'!$D$5:$D$882),AG$3&gt;=EOMONTH($X34,-1)+1,$Y34,TRUE,0)</f>
        <v>0</v>
      </c>
      <c r="AH34" s="202" cm="1">
        <f t="array" ref="AH34">_xlfn.IFS(AH$3&lt;$B$2,SUMPRODUCT(('PA Fees Actual'!$B$5:$B$882=$E34)*('PA Fees Actual'!$A$5:$A$882&gt;=AH$3)*('PA Fees Actual'!$A$5:$A$882&lt;=EOMONTH(AH$3,0))*'PA Fees Actual'!$D$5:$D$882),AH$3&gt;=EOMONTH($X34,-1)+1,$Y34,TRUE,0)</f>
        <v>0</v>
      </c>
      <c r="AI34" s="202" cm="1">
        <f t="array" ref="AI34">_xlfn.IFS(AI$3&lt;$B$2,SUMPRODUCT(('PA Fees Actual'!$B$5:$B$882=$E34)*('PA Fees Actual'!$A$5:$A$882&gt;=AI$3)*('PA Fees Actual'!$A$5:$A$882&lt;=EOMONTH(AI$3,0))*'PA Fees Actual'!$D$5:$D$882),AI$3&gt;=EOMONTH($X34,-1)+1,$Y34,TRUE,0)</f>
        <v>0</v>
      </c>
      <c r="AJ34" s="202" cm="1">
        <f t="array" ref="AJ34">_xlfn.IFS(AJ$3&lt;$B$2,SUMPRODUCT(('PA Fees Actual'!$B$5:$B$882=$E34)*('PA Fees Actual'!$A$5:$A$882&gt;=AJ$3)*('PA Fees Actual'!$A$5:$A$882&lt;=EOMONTH(AJ$3,0))*'PA Fees Actual'!$D$5:$D$882),AJ$3&gt;=EOMONTH($X34,-1)+1,$Y34,TRUE,0)</f>
        <v>0</v>
      </c>
      <c r="AK34" s="202" cm="1">
        <f t="array" ref="AK34">_xlfn.IFS(AK$3&lt;$B$2,SUMPRODUCT(('PA Fees Actual'!$B$5:$B$882=$E34)*('PA Fees Actual'!$A$5:$A$882&gt;=AK$3)*('PA Fees Actual'!$A$5:$A$882&lt;=EOMONTH(AK$3,0))*'PA Fees Actual'!$D$5:$D$882),AK$3&gt;=EOMONTH($X34,-1)+1,$Y34,TRUE,0)</f>
        <v>0</v>
      </c>
      <c r="AL34" s="202" cm="1">
        <f t="array" ref="AL34">_xlfn.IFS(AL$3&lt;$B$2,SUMPRODUCT(('PA Fees Actual'!$B$5:$B$882=$E34)*('PA Fees Actual'!$A$5:$A$882&gt;=AL$3)*('PA Fees Actual'!$A$5:$A$882&lt;=EOMONTH(AL$3,0))*'PA Fees Actual'!$D$5:$D$882),AL$3&gt;=EOMONTH($X34,-1)+1,$Y34,TRUE,0)</f>
        <v>0</v>
      </c>
      <c r="AM34" s="202" cm="1">
        <f t="array" ref="AM34">_xlfn.IFS(AM$3&lt;$B$2,SUMPRODUCT(('PA Fees Actual'!$B$5:$B$882=$E34)*('PA Fees Actual'!$A$5:$A$882&gt;=AM$3)*('PA Fees Actual'!$A$5:$A$882&lt;=EOMONTH(AM$3,0))*'PA Fees Actual'!$D$5:$D$882),AM$3&gt;=EOMONTH($X34,-1)+1,$Y34,TRUE,0)</f>
        <v>0</v>
      </c>
      <c r="AN34" s="202" cm="1">
        <f t="array" ref="AN34">_xlfn.IFS(AN$3&lt;$B$2,SUMPRODUCT(('PA Fees Actual'!$B$5:$B$882=$E34)*('PA Fees Actual'!$A$5:$A$882&gt;=AN$3)*('PA Fees Actual'!$A$5:$A$882&lt;=EOMONTH(AN$3,0))*'PA Fees Actual'!$D$5:$D$882),AN$3&gt;=EOMONTH($X34,-1)+1,$Y34,TRUE,0)</f>
        <v>0</v>
      </c>
      <c r="AO34" s="202" cm="1">
        <f t="array" ref="AO34">_xlfn.IFS(AO$3&lt;$B$2,SUMPRODUCT(('PA Fees Actual'!$B$5:$B$882=$E34)*('PA Fees Actual'!$A$5:$A$882&gt;=AO$3)*('PA Fees Actual'!$A$5:$A$882&lt;=EOMONTH(AO$3,0))*'PA Fees Actual'!$D$5:$D$882),AO$3&gt;=EOMONTH($X34,-1)+1,$Y34,TRUE,0)</f>
        <v>0</v>
      </c>
      <c r="AP34" s="202" cm="1">
        <f t="array" ref="AP34">_xlfn.IFS(AP$3&lt;$B$2,SUMPRODUCT(('PA Fees Actual'!$B$5:$B$882=$E34)*('PA Fees Actual'!$A$5:$A$882&gt;=AP$3)*('PA Fees Actual'!$A$5:$A$882&lt;=EOMONTH(AP$3,0))*'PA Fees Actual'!$D$5:$D$882),AP$3&gt;=EOMONTH($X34,-1)+1,$Y34,TRUE,0)</f>
        <v>0</v>
      </c>
      <c r="AQ34" s="202" cm="1">
        <f t="array" ref="AQ34">_xlfn.IFS(AQ$3&lt;$B$2,SUMPRODUCT(('PA Fees Actual'!$B$5:$B$882=$E34)*('PA Fees Actual'!$A$5:$A$882&gt;=AQ$3)*('PA Fees Actual'!$A$5:$A$882&lt;=EOMONTH(AQ$3,0))*'PA Fees Actual'!$D$5:$D$882),AQ$3&gt;=EOMONTH($X34,-1)+1,$Y34,TRUE,0)</f>
        <v>0</v>
      </c>
      <c r="AR34" s="202" cm="1">
        <f t="array" ref="AR34">_xlfn.IFS(AR$3&lt;$B$2,SUMPRODUCT(('PA Fees Actual'!$B$5:$B$882=$E34)*('PA Fees Actual'!$A$5:$A$882&gt;=AR$3)*('PA Fees Actual'!$A$5:$A$882&lt;=EOMONTH(AR$3,0))*'PA Fees Actual'!$D$5:$D$882),AR$3&gt;=EOMONTH($X34,-1)+1,$Y34,TRUE,0)</f>
        <v>0</v>
      </c>
      <c r="AS34" s="202" cm="1">
        <f t="array" ref="AS34">_xlfn.IFS(AS$3&lt;$B$2,SUMPRODUCT(('PA Fees Actual'!$B$5:$B$882=$E34)*('PA Fees Actual'!$A$5:$A$882&gt;=AS$3)*('PA Fees Actual'!$A$5:$A$882&lt;=EOMONTH(AS$3,0))*'PA Fees Actual'!$D$5:$D$882),AS$3&gt;=EOMONTH($X34,-1)+1,$Y34,TRUE,0)</f>
        <v>0</v>
      </c>
      <c r="AT34" s="202" cm="1">
        <f t="array" ref="AT34">_xlfn.IFS(AT$3&lt;$B$2,SUMPRODUCT(('PA Fees Actual'!$B$5:$B$882=$E34)*('PA Fees Actual'!$A$5:$A$882&gt;=AT$3)*('PA Fees Actual'!$A$5:$A$882&lt;=EOMONTH(AT$3,0))*'PA Fees Actual'!$D$5:$D$882),AT$3&gt;=EOMONTH($X34,-1)+1,$Y34,TRUE,0)</f>
        <v>0</v>
      </c>
      <c r="AU34" s="202" cm="1">
        <f t="array" ref="AU34">_xlfn.IFS(AU$3&lt;$B$2,SUMPRODUCT(('PA Fees Actual'!$B$5:$B$882=$E34)*('PA Fees Actual'!$A$5:$A$882&gt;=AU$3)*('PA Fees Actual'!$A$5:$A$882&lt;=EOMONTH(AU$3,0))*'PA Fees Actual'!$D$5:$D$882),AU$3&gt;=EOMONTH($X34,-1)+1,$Y34,TRUE,0)</f>
        <v>0</v>
      </c>
      <c r="AV34" s="202" cm="1">
        <f t="array" ref="AV34">_xlfn.IFS(AV$3&lt;$B$2,SUMPRODUCT(('PA Fees Actual'!$B$5:$B$882=$E34)*('PA Fees Actual'!$A$5:$A$882&gt;=AV$3)*('PA Fees Actual'!$A$5:$A$882&lt;=EOMONTH(AV$3,0))*'PA Fees Actual'!$D$5:$D$882),AV$3&gt;=EOMONTH($X34,-1)+1,$Y34,TRUE,0)</f>
        <v>0</v>
      </c>
      <c r="AW34" s="202" cm="1">
        <f t="array" ref="AW34">_xlfn.IFS(AW$3&lt;$B$2,SUMPRODUCT(('PA Fees Actual'!$B$5:$B$882=$E34)*('PA Fees Actual'!$A$5:$A$882&gt;=AW$3)*('PA Fees Actual'!$A$5:$A$882&lt;=EOMONTH(AW$3,0))*'PA Fees Actual'!$D$5:$D$882),AW$3&gt;=EOMONTH($X34,-1)+1,$Y34,TRUE,0)</f>
        <v>0</v>
      </c>
      <c r="AX34" s="202" cm="1">
        <f t="array" ref="AX34">_xlfn.IFS(AX$3&lt;$B$2,SUMPRODUCT(('PA Fees Actual'!$B$5:$B$882=$E34)*('PA Fees Actual'!$A$5:$A$882&gt;=AX$3)*('PA Fees Actual'!$A$5:$A$882&lt;=EOMONTH(AX$3,0))*'PA Fees Actual'!$D$5:$D$882),AX$3&gt;=EOMONTH($X34,-1)+1,$Y34,TRUE,0)</f>
        <v>0</v>
      </c>
      <c r="AY34" s="202" cm="1">
        <f t="array" ref="AY34">_xlfn.IFS(AY$3&lt;$B$2,SUMPRODUCT(('PA Fees Actual'!$B$5:$B$882=$E34)*('PA Fees Actual'!$A$5:$A$882&gt;=AY$3)*('PA Fees Actual'!$A$5:$A$882&lt;=EOMONTH(AY$3,0))*'PA Fees Actual'!$D$5:$D$882),AY$3&gt;=EOMONTH($X34,-1)+1,$Y34,TRUE,0)</f>
        <v>0</v>
      </c>
      <c r="AZ34" s="202" cm="1">
        <f t="array" ref="AZ34">_xlfn.IFS(AZ$3&lt;$B$2,SUMPRODUCT(('PA Fees Actual'!$B$5:$B$882=$E34)*('PA Fees Actual'!$A$5:$A$882&gt;=AZ$3)*('PA Fees Actual'!$A$5:$A$882&lt;=EOMONTH(AZ$3,0))*'PA Fees Actual'!$D$5:$D$882),AZ$3&gt;=EOMONTH($X34,-1)+1,$Y34,TRUE,0)</f>
        <v>0</v>
      </c>
      <c r="BA34" s="202" cm="1">
        <f t="array" ref="BA34">_xlfn.IFS(BA$3&lt;$B$2,SUMPRODUCT(('PA Fees Actual'!$B$5:$B$882=$E34)*('PA Fees Actual'!$A$5:$A$882&gt;=BA$3)*('PA Fees Actual'!$A$5:$A$882&lt;=EOMONTH(BA$3,0))*'PA Fees Actual'!$D$5:$D$882),BA$3&gt;=EOMONTH($X34,-1)+1,$Y34,TRUE,0)</f>
        <v>0</v>
      </c>
      <c r="BB34" s="202" cm="1">
        <f t="array" ref="BB34">_xlfn.IFS(BB$3&lt;$B$2,SUMPRODUCT(('PA Fees Actual'!$B$5:$B$882=$E34)*('PA Fees Actual'!$A$5:$A$882&gt;=BB$3)*('PA Fees Actual'!$A$5:$A$882&lt;=EOMONTH(BB$3,0))*'PA Fees Actual'!$D$5:$D$882),BB$3&gt;=EOMONTH($X34,-1)+1,$Y34,TRUE,0)</f>
        <v>0</v>
      </c>
      <c r="BC34" s="202" cm="1">
        <f t="array" ref="BC34">_xlfn.IFS(BC$3&lt;$B$2,SUMPRODUCT(('PA Fees Actual'!$B$5:$B$882=$E34)*('PA Fees Actual'!$A$5:$A$882&gt;=BC$3)*('PA Fees Actual'!$A$5:$A$882&lt;=EOMONTH(BC$3,0))*'PA Fees Actual'!$D$5:$D$882),BC$3&gt;=EOMONTH($X34,-1)+1,$Y34,TRUE,0)</f>
        <v>0</v>
      </c>
      <c r="BD34" s="202" cm="1">
        <f t="array" ref="BD34">_xlfn.IFS(BD$3&lt;$B$2,SUMPRODUCT(('PA Fees Actual'!$B$5:$B$882=$E34)*('PA Fees Actual'!$A$5:$A$882&gt;=BD$3)*('PA Fees Actual'!$A$5:$A$882&lt;=EOMONTH(BD$3,0))*'PA Fees Actual'!$D$5:$D$882),BD$3&gt;=EOMONTH($X34,-1)+1,$Y34,TRUE,0)</f>
        <v>0</v>
      </c>
      <c r="BE34" s="202" cm="1">
        <f t="array" ref="BE34">_xlfn.IFS(BE$3&lt;$B$2,SUMPRODUCT(('PA Fees Actual'!$B$5:$B$882=$E34)*('PA Fees Actual'!$A$5:$A$882&gt;=BE$3)*('PA Fees Actual'!$A$5:$A$882&lt;=EOMONTH(BE$3,0))*'PA Fees Actual'!$D$5:$D$882),BE$3&gt;=EOMONTH($X34,-1)+1,$Y34,TRUE,0)</f>
        <v>0</v>
      </c>
      <c r="BF34" s="202" cm="1">
        <f t="array" ref="BF34">_xlfn.IFS(BF$3&lt;$B$2,SUMPRODUCT(('PA Fees Actual'!$B$5:$B$882=$E34)*('PA Fees Actual'!$A$5:$A$882&gt;=BF$3)*('PA Fees Actual'!$A$5:$A$882&lt;=EOMONTH(BF$3,0))*'PA Fees Actual'!$D$5:$D$882),BF$3&gt;=EOMONTH($X34,-1)+1,$Y34,TRUE,0)</f>
        <v>0</v>
      </c>
      <c r="BG34" s="202" cm="1">
        <f t="array" ref="BG34">_xlfn.IFS(BG$3&lt;$B$2,SUMPRODUCT(('PA Fees Actual'!$B$5:$B$882=$E34)*('PA Fees Actual'!$A$5:$A$882&gt;=BG$3)*('PA Fees Actual'!$A$5:$A$882&lt;=EOMONTH(BG$3,0))*'PA Fees Actual'!$D$5:$D$882),BG$3&gt;=EOMONTH($X34,-1)+1,$Y34,TRUE,0)</f>
        <v>0</v>
      </c>
      <c r="BH34" s="202" cm="1">
        <f t="array" ref="BH34">_xlfn.IFS(BH$3&lt;$B$2,SUMPRODUCT(('PA Fees Actual'!$B$5:$B$882=$E34)*('PA Fees Actual'!$A$5:$A$882&gt;=BH$3)*('PA Fees Actual'!$A$5:$A$882&lt;=EOMONTH(BH$3,0))*'PA Fees Actual'!$D$5:$D$882),BH$3&gt;=EOMONTH($X34,-1)+1,$Y34,TRUE,0)</f>
        <v>0</v>
      </c>
      <c r="BI34" s="202" cm="1">
        <f t="array" ref="BI34">_xlfn.IFS(BI$3&lt;$B$2,SUMPRODUCT(('PA Fees Actual'!$B$5:$B$882=$E34)*('PA Fees Actual'!$A$5:$A$882&gt;=BI$3)*('PA Fees Actual'!$A$5:$A$882&lt;=EOMONTH(BI$3,0))*'PA Fees Actual'!$D$5:$D$882),BI$3&gt;=EOMONTH($X34,-1)+1,$Y34,TRUE,0)</f>
        <v>0</v>
      </c>
      <c r="BJ34" s="202" cm="1">
        <f t="array" ref="BJ34">_xlfn.IFS(BJ$3&lt;$B$2,SUMPRODUCT(('PA Fees Actual'!$B$5:$B$882=$E34)*('PA Fees Actual'!$A$5:$A$882&gt;=BJ$3)*('PA Fees Actual'!$A$5:$A$882&lt;=EOMONTH(BJ$3,0))*'PA Fees Actual'!$D$5:$D$882),BJ$3&gt;=EOMONTH($X34,-1)+1,$Y34,TRUE,0)</f>
        <v>0</v>
      </c>
      <c r="BK34" s="202" cm="1">
        <f t="array" ref="BK34">_xlfn.IFS(BK$3&lt;$B$2,SUMPRODUCT(('PA Fees Actual'!$B$5:$B$882=$E34)*('PA Fees Actual'!$A$5:$A$882&gt;=BK$3)*('PA Fees Actual'!$A$5:$A$882&lt;=EOMONTH(BK$3,0))*'PA Fees Actual'!$D$5:$D$882),BK$3&gt;=EOMONTH($X34,-1)+1,$Y34,TRUE,0)</f>
        <v>0</v>
      </c>
      <c r="BL34" s="202" cm="1">
        <f t="array" ref="BL34">_xlfn.IFS(BL$3&lt;$B$2,SUMPRODUCT(('PA Fees Actual'!$B$5:$B$882=$E34)*('PA Fees Actual'!$A$5:$A$882&gt;=BL$3)*('PA Fees Actual'!$A$5:$A$882&lt;=EOMONTH(BL$3,0))*'PA Fees Actual'!$D$5:$D$882),BL$3&gt;=EOMONTH($X34,-1)+1,$Y34,TRUE,0)</f>
        <v>0</v>
      </c>
      <c r="BM34" s="202" cm="1">
        <f t="array" ref="BM34">_xlfn.IFS(BM$3&lt;$B$2,SUMPRODUCT(('PA Fees Actual'!$B$5:$B$882=$E34)*('PA Fees Actual'!$A$5:$A$882&gt;=BM$3)*('PA Fees Actual'!$A$5:$A$882&lt;=EOMONTH(BM$3,0))*'PA Fees Actual'!$D$5:$D$882),BM$3&gt;=EOMONTH($X34,-1)+1,$Y34,TRUE,0)</f>
        <v>0</v>
      </c>
      <c r="BN34" s="202" cm="1">
        <f t="array" ref="BN34">_xlfn.IFS(BN$3&lt;$B$2,SUMPRODUCT(('PA Fees Actual'!$B$5:$B$882=$E34)*('PA Fees Actual'!$A$5:$A$882&gt;=BN$3)*('PA Fees Actual'!$A$5:$A$882&lt;=EOMONTH(BN$3,0))*'PA Fees Actual'!$D$5:$D$882),BN$3&gt;=EOMONTH($X34,-1)+1,$Y34,TRUE,0)</f>
        <v>0</v>
      </c>
      <c r="BO34" s="202" cm="1">
        <f t="array" ref="BO34">_xlfn.IFS(BO$3&lt;$B$2,SUMPRODUCT(('PA Fees Actual'!$B$5:$B$882=$E34)*('PA Fees Actual'!$A$5:$A$882&gt;=BO$3)*('PA Fees Actual'!$A$5:$A$882&lt;=EOMONTH(BO$3,0))*'PA Fees Actual'!$D$5:$D$882),BO$3&gt;=EOMONTH($X34,-1)+1,$Y34,TRUE,0)</f>
        <v>0</v>
      </c>
      <c r="BP34" s="202" cm="1">
        <f t="array" ref="BP34">_xlfn.IFS(BP$3&lt;$B$2,SUMPRODUCT(('PA Fees Actual'!$B$5:$B$882=$E34)*('PA Fees Actual'!$A$5:$A$882&gt;=BP$3)*('PA Fees Actual'!$A$5:$A$882&lt;=EOMONTH(BP$3,0))*'PA Fees Actual'!$D$5:$D$882),BP$3&gt;=EOMONTH($X34,-1)+1,$Y34,TRUE,0)</f>
        <v>0</v>
      </c>
      <c r="BQ34" s="202" cm="1">
        <f t="array" ref="BQ34">_xlfn.IFS(BQ$3&lt;$B$2,SUMPRODUCT(('PA Fees Actual'!$B$5:$B$882=$E34)*('PA Fees Actual'!$A$5:$A$882&gt;=BQ$3)*('PA Fees Actual'!$A$5:$A$882&lt;=EOMONTH(BQ$3,0))*'PA Fees Actual'!$D$5:$D$882),BQ$3&gt;=EOMONTH($X34,-1)+1,$Y34,TRUE,0)</f>
        <v>0</v>
      </c>
      <c r="BR34" s="202" cm="1">
        <f t="array" ref="BR34">_xlfn.IFS(BR$3&lt;$B$2,SUMPRODUCT(('PA Fees Actual'!$B$5:$B$882=$E34)*('PA Fees Actual'!$A$5:$A$882&gt;=BR$3)*('PA Fees Actual'!$A$5:$A$882&lt;=EOMONTH(BR$3,0))*'PA Fees Actual'!$D$5:$D$882),BR$3&gt;=EOMONTH($X34,-1)+1,$Y34,TRUE,0)</f>
        <v>0</v>
      </c>
      <c r="BS34" s="202" cm="1">
        <f t="array" ref="BS34">_xlfn.IFS(BS$3&lt;$B$2,SUMPRODUCT(('PA Fees Actual'!$B$5:$B$882=$E34)*('PA Fees Actual'!$A$5:$A$882&gt;=BS$3)*('PA Fees Actual'!$A$5:$A$882&lt;=EOMONTH(BS$3,0))*'PA Fees Actual'!$D$5:$D$882),BS$3&gt;=EOMONTH($X34,-1)+1,$Y34,TRUE,0)</f>
        <v>0</v>
      </c>
      <c r="BT34" s="202" cm="1">
        <f t="array" ref="BT34">_xlfn.IFS(BT$3&lt;$B$2,SUMPRODUCT(('PA Fees Actual'!$B$5:$B$882=$E34)*('PA Fees Actual'!$A$5:$A$882&gt;=BT$3)*('PA Fees Actual'!$A$5:$A$882&lt;=EOMONTH(BT$3,0))*'PA Fees Actual'!$D$5:$D$882),BT$3&gt;=EOMONTH($X34,-1)+1,$Y34,TRUE,0)</f>
        <v>0</v>
      </c>
      <c r="BU34" s="202" cm="1">
        <f t="array" ref="BU34">_xlfn.IFS(BU$3&lt;$B$2,SUMPRODUCT(('PA Fees Actual'!$B$5:$B$882=$E34)*('PA Fees Actual'!$A$5:$A$882&gt;=BU$3)*('PA Fees Actual'!$A$5:$A$882&lt;=EOMONTH(BU$3,0))*'PA Fees Actual'!$D$5:$D$882),BU$3&gt;=EOMONTH($X34,-1)+1,$Y34,TRUE,0)</f>
        <v>0</v>
      </c>
      <c r="BV34" s="202" cm="1">
        <f t="array" ref="BV34">_xlfn.IFS(BV$3&lt;$B$2,SUMPRODUCT(('PA Fees Actual'!$B$5:$B$882=$E34)*('PA Fees Actual'!$A$5:$A$882&gt;=BV$3)*('PA Fees Actual'!$A$5:$A$882&lt;=EOMONTH(BV$3,0))*'PA Fees Actual'!$D$5:$D$882),BV$3&gt;=EOMONTH($X34,-1)+1,$Y34,TRUE,0)</f>
        <v>0</v>
      </c>
      <c r="BW34" s="202" cm="1">
        <f t="array" ref="BW34">_xlfn.IFS(BW$3&lt;$B$2,SUMPRODUCT(('PA Fees Actual'!$B$5:$B$882=$E34)*('PA Fees Actual'!$A$5:$A$882&gt;=BW$3)*('PA Fees Actual'!$A$5:$A$882&lt;=EOMONTH(BW$3,0))*'PA Fees Actual'!$D$5:$D$882),BW$3&gt;=EOMONTH($X34,-1)+1,$Y34,TRUE,0)</f>
        <v>0</v>
      </c>
      <c r="BX34" s="202" cm="1">
        <f t="array" ref="BX34">_xlfn.IFS(BX$3&lt;$B$2,SUMPRODUCT(('PA Fees Actual'!$B$5:$B$882=$E34)*('PA Fees Actual'!$A$5:$A$882&gt;=BX$3)*('PA Fees Actual'!$A$5:$A$882&lt;=EOMONTH(BX$3,0))*'PA Fees Actual'!$D$5:$D$882),BX$3&gt;=EOMONTH($X34,-1)+1,$Y34,TRUE,0)</f>
        <v>0</v>
      </c>
      <c r="BY34" s="202" cm="1">
        <f t="array" ref="BY34">_xlfn.IFS(BY$3&lt;$B$2,SUMPRODUCT(('PA Fees Actual'!$B$5:$B$882=$E34)*('PA Fees Actual'!$A$5:$A$882&gt;=BY$3)*('PA Fees Actual'!$A$5:$A$882&lt;=EOMONTH(BY$3,0))*'PA Fees Actual'!$D$5:$D$882),BY$3&gt;=EOMONTH($X34,-1)+1,$Y34,TRUE,0)</f>
        <v>0</v>
      </c>
      <c r="BZ34" s="202" cm="1">
        <f t="array" ref="BZ34">_xlfn.IFS(BZ$3&lt;$B$2,SUMPRODUCT(('PA Fees Actual'!$B$5:$B$882=$E34)*('PA Fees Actual'!$A$5:$A$882&gt;=BZ$3)*('PA Fees Actual'!$A$5:$A$882&lt;=EOMONTH(BZ$3,0))*'PA Fees Actual'!$D$5:$D$882),BZ$3&gt;=EOMONTH($X34,-1)+1,$Y34,TRUE,0)</f>
        <v>0</v>
      </c>
      <c r="CA34" s="202" cm="1">
        <f t="array" ref="CA34">_xlfn.IFS(CA$3&lt;$B$2,SUMPRODUCT(('PA Fees Actual'!$B$5:$B$882=$E34)*('PA Fees Actual'!$A$5:$A$882&gt;=CA$3)*('PA Fees Actual'!$A$5:$A$882&lt;=EOMONTH(CA$3,0))*'PA Fees Actual'!$D$5:$D$882),CA$3&gt;=EOMONTH($X34,-1)+1,$Y34,TRUE,0)</f>
        <v>0</v>
      </c>
      <c r="CB34" s="202" cm="1">
        <f t="array" ref="CB34">_xlfn.IFS(CB$3&lt;$B$2,SUMPRODUCT(('PA Fees Actual'!$B$5:$B$749=$E34)*('PA Fees Actual'!$A$5:$A$749&gt;=CB$3)*('PA Fees Actual'!$A$5:$A$749&lt;=EOMONTH(CB$3,0))*'PA Fees Actual'!$D$5:$D$749),CB$3&gt;=EOMONTH($X34,-1)+1,$Y34,TRUE,0)</f>
        <v>0</v>
      </c>
      <c r="CC34" s="202" cm="1">
        <f t="array" ref="CC34">_xlfn.IFS(CC$3&lt;$B$2,SUMPRODUCT(('PA Fees Actual'!$B$5:$B$749=$E34)*('PA Fees Actual'!$A$5:$A$749&gt;=CC$3)*('PA Fees Actual'!$A$5:$A$749&lt;=EOMONTH(CC$3,0))*'PA Fees Actual'!$D$5:$D$749),CC$3&gt;=EOMONTH($X34,-1)+1,$Y34,TRUE,0)</f>
        <v>0</v>
      </c>
      <c r="CD34" s="202" cm="1">
        <f t="array" ref="CD34">_xlfn.IFS(CD$3&lt;$B$2,SUMPRODUCT(('PA Fees Actual'!$B$5:$B$749=$E34)*('PA Fees Actual'!$A$5:$A$749&gt;=CD$3)*('PA Fees Actual'!$A$5:$A$749&lt;=EOMONTH(CD$3,0))*'PA Fees Actual'!$D$5:$D$749),CD$3&gt;=EOMONTH($X34,-1)+1,$Y34,TRUE,0)</f>
        <v>0</v>
      </c>
      <c r="CE34" s="202" cm="1">
        <f t="array" ref="CE34">_xlfn.IFS(CE$3&lt;$B$2,SUMPRODUCT(('PA Fees Actual'!$B$5:$B$749=$E34)*('PA Fees Actual'!$A$5:$A$749&gt;=CE$3)*('PA Fees Actual'!$A$5:$A$749&lt;=EOMONTH(CE$3,0))*'PA Fees Actual'!$D$5:$D$749),CE$3&gt;=EOMONTH($X34,-1)+1,$Y34,TRUE,0)</f>
        <v>0</v>
      </c>
      <c r="CF34" s="202" cm="1">
        <f t="array" ref="CF34">_xlfn.IFS(CF$3&lt;$B$2,SUMPRODUCT(('PA Fees Actual'!$B$5:$B$749=$E34)*('PA Fees Actual'!$A$5:$A$749&gt;=CF$3)*('PA Fees Actual'!$A$5:$A$749&lt;=EOMONTH(CF$3,0))*'PA Fees Actual'!$D$5:$D$749),CF$3&gt;=EOMONTH($X34,-1)+1,$Y34,TRUE,0)</f>
        <v>0</v>
      </c>
      <c r="CG34" s="202" cm="1">
        <f t="array" ref="CG34">_xlfn.IFS(CG$3&lt;$B$2,SUMPRODUCT(('PA Fees Actual'!$B$5:$B$749=$E34)*('PA Fees Actual'!$A$5:$A$749&gt;=CG$3)*('PA Fees Actual'!$A$5:$A$749&lt;=EOMONTH(CG$3,0))*'PA Fees Actual'!$D$5:$D$749),CG$3&gt;=EOMONTH($X34,-1)+1,$Y34,TRUE,0)</f>
        <v>0</v>
      </c>
      <c r="CI34" s="202" cm="1">
        <f t="array" ref="CI34">_xlfn.IFS(CI$3&lt;=YEAR($B$2),SUMPRODUCT(($E$4:$E$79=$E34)*($Z$2:$CG$2=CI$3)*($Z$2:$CG$2&lt;CJ$3)*$Z$4:$CG$79),CI$3&lt;YEAR($X34),0,CI$3=YEAR($X34),DATEDIF($X34,DATE(CI$3,12,31),"m")*$Y34,AND(CI$3&gt;YEAR($X34),CI$3-YEAR($X34)&lt;20),$Y34*12,CI$3-YEAR($X34)=20,DATEDIF(DATE(YEAR($X34),1,1),$X34,"m")*$Y34,CI$3-YEAR($X34)&gt;20,0)</f>
        <v>0</v>
      </c>
      <c r="CJ34" s="202" cm="1">
        <f t="array" ref="CJ34">_xlfn.IFS(CJ$3&lt;=YEAR($B$2),SUMPRODUCT(($E$4:$E$79=$E34)*($Z$2:$CG$2=CJ$3)*($Z$2:$CG$2&lt;CK$3)*$Z$4:$CG$79),CJ$3&lt;YEAR($X34),0,CJ$3=YEAR($X34),DATEDIF($X34,DATE(CJ$3,12,31),"m")*$Y34,AND(CJ$3&gt;YEAR($X34),CJ$3-YEAR($X34)&lt;20),$Y34*12,CJ$3-YEAR($X34)=20,DATEDIF(DATE(YEAR($X34),1,1),$X34,"m")*$Y34,CJ$3-YEAR($X34)&gt;20,0)</f>
        <v>0</v>
      </c>
      <c r="CK34" s="202" cm="1">
        <f t="array" ref="CK34">_xlfn.IFS(CK$3&lt;=YEAR($B$2),SUMPRODUCT(($E$4:$E$79=$E34)*($Z$2:$CG$2=CK$3)*($Z$2:$CG$2&lt;CL$3)*$Z$4:$CG$79),CK$3&lt;YEAR($X34),0,CK$3=YEAR($X34),DATEDIF($X34,DATE(CK$3,12,31),"m")*$Y34,AND(CK$3&gt;YEAR($X34),CK$3-YEAR($X34)&lt;20),$Y34*12,CK$3-YEAR($X34)=20,DATEDIF(DATE(YEAR($X34),1,1),$X34,"m")*$Y34,CK$3-YEAR($X34)&gt;20,0)</f>
        <v>0</v>
      </c>
      <c r="CL34" s="202" cm="1">
        <f t="array" ref="CL34">_xlfn.IFS(CL$3&lt;=YEAR($B$2),SUMPRODUCT(($E$4:$E$79=$E34)*($Z$2:$CG$2=CL$3)*($Z$2:$CG$2&lt;CM$3)*$Z$4:$CG$79),CL$3&lt;YEAR($X34),0,CL$3=YEAR($X34),DATEDIF($X34,DATE(CL$3,12,31),"m")*$Y34,AND(CL$3&gt;YEAR($X34),CL$3-YEAR($X34)&lt;20),$Y34*12,CL$3-YEAR($X34)=20,DATEDIF(DATE(YEAR($X34),1,1),$X34,"m")*$Y34,CL$3-YEAR($X34)&gt;20,0)</f>
        <v>0</v>
      </c>
      <c r="CM34" s="202" cm="1">
        <f t="array" ref="CM34">_xlfn.IFS(CM$3&lt;=YEAR($B$2),SUMPRODUCT(($E$4:$E$79=$E34)*($Z$2:$CG$2=CM$3)*($Z$2:$CG$2&lt;CN$3)*$Z$4:$CG$79),CM$3&lt;YEAR($X34),0,CM$3=YEAR($X34),DATEDIF($X34,DATE(CM$3,12,31),"m")*$Y34,AND(CM$3&gt;YEAR($X34),CM$3-YEAR($X34)&lt;20),$Y34*12,CM$3-YEAR($X34)=20,DATEDIF(DATE(YEAR($X34),1,1),$X34,"m")*$Y34,CM$3-YEAR($X34)&gt;20,0)</f>
        <v>0</v>
      </c>
      <c r="CN34" s="202" cm="1">
        <f t="array" ref="CN34">_xlfn.IFS(CN$3&lt;=YEAR($B$2),SUMPRODUCT(($E$4:$E$79=$E34)*($Z$2:$CG$2=CN$3)*($Z$2:$CG$2&lt;CO$3)*$Z$4:$CG$79),CN$3&lt;YEAR($X34),0,CN$3=YEAR($X34),DATEDIF($X34,DATE(CN$3,12,31),"m")*$Y34,AND(CN$3&gt;YEAR($X34),CN$3-YEAR($X34)&lt;20),$Y34*12,CN$3-YEAR($X34)=20,DATEDIF(DATE(YEAR($X34),1,1),$X34,"m")*$Y34,CN$3-YEAR($X34)&gt;20,0)</f>
        <v>8626.65</v>
      </c>
      <c r="CO34" s="202" cm="1">
        <f t="array" ref="CO34">_xlfn.IFS(CO$3&lt;=YEAR($B$2),SUMPRODUCT(($E$4:$E$79=$E34)*($Z$2:$CG$2=CO$3)*($Z$2:$CG$2&lt;CP$3)*$Z$4:$CG$79),CO$3&lt;YEAR($X34),0,CO$3=YEAR($X34),DATEDIF($X34,DATE(CO$3,12,31),"m")*$Y34,AND(CO$3&gt;YEAR($X34),CO$3-YEAR($X34)&lt;20),$Y34*12,CO$3-YEAR($X34)=20,DATEDIF(DATE(YEAR($X34),1,1),$X34,"m")*$Y34,CO$3-YEAR($X34)&gt;20,0)</f>
        <v>25879.949999999997</v>
      </c>
      <c r="CP34" s="202" cm="1">
        <f t="array" ref="CP34">_xlfn.IFS(CP$3&lt;=YEAR($B$2),SUMPRODUCT(($E$4:$E$79=$E34)*($Z$2:$CG$2=CP$3)*($Z$2:$CG$2&lt;CQ$3)*$Z$4:$CG$79),CP$3&lt;YEAR($X34),0,CP$3=YEAR($X34),DATEDIF($X34,DATE(CP$3,12,31),"m")*$Y34,AND(CP$3&gt;YEAR($X34),CP$3-YEAR($X34)&lt;20),$Y34*12,CP$3-YEAR($X34)=20,DATEDIF(DATE(YEAR($X34),1,1),$X34,"m")*$Y34,CP$3-YEAR($X34)&gt;20,0)</f>
        <v>25879.949999999997</v>
      </c>
      <c r="CQ34" s="202" cm="1">
        <f t="array" ref="CQ34">_xlfn.IFS(CQ$3&lt;=YEAR($B$2),SUMPRODUCT(($E$4:$E$79=$E34)*($Z$2:$CG$2=CQ$3)*($Z$2:$CG$2&lt;CR$3)*$Z$4:$CG$79),CQ$3&lt;YEAR($X34),0,CQ$3=YEAR($X34),DATEDIF($X34,DATE(CQ$3,12,31),"m")*$Y34,AND(CQ$3&gt;YEAR($X34),CQ$3-YEAR($X34)&lt;20),$Y34*12,CQ$3-YEAR($X34)=20,DATEDIF(DATE(YEAR($X34),1,1),$X34,"m")*$Y34,CQ$3-YEAR($X34)&gt;20,0)</f>
        <v>25879.949999999997</v>
      </c>
      <c r="CR34" s="202" cm="1">
        <f t="array" ref="CR34">_xlfn.IFS(CR$3&lt;=YEAR($B$2),SUMPRODUCT(($E$4:$E$79=$E34)*($Z$2:$CG$2=CR$3)*($Z$2:$CG$2&lt;CS$3)*$Z$4:$CG$79),CR$3&lt;YEAR($X34),0,CR$3=YEAR($X34),DATEDIF($X34,DATE(CR$3,12,31),"m")*$Y34,AND(CR$3&gt;YEAR($X34),CR$3-YEAR($X34)&lt;20),$Y34*12,CR$3-YEAR($X34)=20,DATEDIF(DATE(YEAR($X34),1,1),$X34,"m")*$Y34,CR$3-YEAR($X34)&gt;20,0)</f>
        <v>25879.949999999997</v>
      </c>
      <c r="CS34" s="202" cm="1">
        <f t="array" ref="CS34">_xlfn.IFS(CS$3&lt;=YEAR($B$2),SUMPRODUCT(($E$4:$E$79=$E34)*($Z$2:$CG$2=CS$3)*($Z$2:$CG$2&lt;CT$3)*$Z$4:$CG$79),CS$3&lt;YEAR($X34),0,CS$3=YEAR($X34),DATEDIF($X34,DATE(CS$3,12,31),"m")*$Y34,AND(CS$3&gt;YEAR($X34),CS$3-YEAR($X34)&lt;20),$Y34*12,CS$3-YEAR($X34)=20,DATEDIF(DATE(YEAR($X34),1,1),$X34,"m")*$Y34,CS$3-YEAR($X34)&gt;20,0)</f>
        <v>25879.949999999997</v>
      </c>
      <c r="CT34" s="202" cm="1">
        <f t="array" ref="CT34">_xlfn.IFS(CT$3&lt;=YEAR($B$2),SUMPRODUCT(($E$4:$E$79=$E34)*($Z$2:$CG$2=CT$3)*($Z$2:$CG$2&lt;CU$3)*$Z$4:$CG$79),CT$3&lt;YEAR($X34),0,CT$3=YEAR($X34),DATEDIF($X34,DATE(CT$3,12,31),"m")*$Y34,AND(CT$3&gt;YEAR($X34),CT$3-YEAR($X34)&lt;20),$Y34*12,CT$3-YEAR($X34)=20,DATEDIF(DATE(YEAR($X34),1,1),$X34,"m")*$Y34,CT$3-YEAR($X34)&gt;20,0)</f>
        <v>25879.949999999997</v>
      </c>
      <c r="CU34" s="202" cm="1">
        <f t="array" ref="CU34">_xlfn.IFS(CU$3&lt;=YEAR($B$2),SUMPRODUCT(($E$4:$E$79=$E34)*($Z$2:$CG$2=CU$3)*($Z$2:$CG$2&lt;CV$3)*$Z$4:$CG$79),CU$3&lt;YEAR($X34),0,CU$3=YEAR($X34),DATEDIF($X34,DATE(CU$3,12,31),"m")*$Y34,AND(CU$3&gt;YEAR($X34),CU$3-YEAR($X34)&lt;20),$Y34*12,CU$3-YEAR($X34)=20,DATEDIF(DATE(YEAR($X34),1,1),$X34,"m")*$Y34,CU$3-YEAR($X34)&gt;20,0)</f>
        <v>25879.949999999997</v>
      </c>
      <c r="CV34" s="202" cm="1">
        <f t="array" ref="CV34">_xlfn.IFS(CV$3&lt;=YEAR($B$2),SUMPRODUCT(($E$4:$E$79=$E34)*($Z$2:$CG$2=CV$3)*($Z$2:$CG$2&lt;CW$3)*$Z$4:$CG$79),CV$3&lt;YEAR($X34),0,CV$3=YEAR($X34),DATEDIF($X34,DATE(CV$3,12,31),"m")*$Y34,AND(CV$3&gt;YEAR($X34),CV$3-YEAR($X34)&lt;20),$Y34*12,CV$3-YEAR($X34)=20,DATEDIF(DATE(YEAR($X34),1,1),$X34,"m")*$Y34,CV$3-YEAR($X34)&gt;20,0)</f>
        <v>25879.949999999997</v>
      </c>
      <c r="CW34" s="202" cm="1">
        <f t="array" ref="CW34">_xlfn.IFS(CW$3&lt;=YEAR($B$2),SUMPRODUCT(($E$4:$E$79=$E34)*($Z$2:$CG$2=CW$3)*($Z$2:$CG$2&lt;CX$3)*$Z$4:$CG$79),CW$3&lt;YEAR($X34),0,CW$3=YEAR($X34),DATEDIF($X34,DATE(CW$3,12,31),"m")*$Y34,AND(CW$3&gt;YEAR($X34),CW$3-YEAR($X34)&lt;20),$Y34*12,CW$3-YEAR($X34)=20,DATEDIF(DATE(YEAR($X34),1,1),$X34,"m")*$Y34,CW$3-YEAR($X34)&gt;20,0)</f>
        <v>25879.949999999997</v>
      </c>
      <c r="CX34" s="202" cm="1">
        <f t="array" ref="CX34">_xlfn.IFS(CX$3&lt;=YEAR($B$2),SUMPRODUCT(($E$4:$E$79=$E34)*($Z$2:$CG$2=CX$3)*($Z$2:$CG$2&lt;CY$3)*$Z$4:$CG$79),CX$3&lt;YEAR($X34),0,CX$3=YEAR($X34),DATEDIF($X34,DATE(CX$3,12,31),"m")*$Y34,AND(CX$3&gt;YEAR($X34),CX$3-YEAR($X34)&lt;20),$Y34*12,CX$3-YEAR($X34)=20,DATEDIF(DATE(YEAR($X34),1,1),$X34,"m")*$Y34,CX$3-YEAR($X34)&gt;20,0)</f>
        <v>25879.949999999997</v>
      </c>
      <c r="CY34" s="202" cm="1">
        <f t="array" ref="CY34">_xlfn.IFS(CY$3&lt;=YEAR($B$2),SUMPRODUCT(($E$4:$E$79=$E34)*($Z$2:$CG$2=CY$3)*($Z$2:$CG$2&lt;CZ$3)*$Z$4:$CG$79),CY$3&lt;YEAR($X34),0,CY$3=YEAR($X34),DATEDIF($X34,DATE(CY$3,12,31),"m")*$Y34,AND(CY$3&gt;YEAR($X34),CY$3-YEAR($X34)&lt;20),$Y34*12,CY$3-YEAR($X34)=20,DATEDIF(DATE(YEAR($X34),1,1),$X34,"m")*$Y34,CY$3-YEAR($X34)&gt;20,0)</f>
        <v>25879.949999999997</v>
      </c>
      <c r="CZ34" s="202" cm="1">
        <f t="array" ref="CZ34">_xlfn.IFS(CZ$3&lt;=YEAR($B$2),SUMPRODUCT(($E$4:$E$79=$E34)*($Z$2:$CG$2=CZ$3)*($Z$2:$CG$2&lt;DA$3)*$Z$4:$CG$79),CZ$3&lt;YEAR($X34),0,CZ$3=YEAR($X34),DATEDIF($X34,DATE(CZ$3,12,31),"m")*$Y34,AND(CZ$3&gt;YEAR($X34),CZ$3-YEAR($X34)&lt;20),$Y34*12,CZ$3-YEAR($X34)=20,DATEDIF(DATE(YEAR($X34),1,1),$X34,"m")*$Y34,CZ$3-YEAR($X34)&gt;20,0)</f>
        <v>25879.949999999997</v>
      </c>
      <c r="DA34" s="202" cm="1">
        <f t="array" ref="DA34">_xlfn.IFS(DA$3&lt;=YEAR($B$2),SUMPRODUCT(($E$4:$E$79=$E34)*($Z$2:$CG$2=DA$3)*($Z$2:$CG$2&lt;DB$3)*$Z$4:$CG$79),DA$3&lt;YEAR($X34),0,DA$3=YEAR($X34),DATEDIF($X34,DATE(DA$3,12,31),"m")*$Y34,AND(DA$3&gt;YEAR($X34),DA$3-YEAR($X34)&lt;20),$Y34*12,DA$3-YEAR($X34)=20,DATEDIF(DATE(YEAR($X34),1,1),$X34,"m")*$Y34,DA$3-YEAR($X34)&gt;20,0)</f>
        <v>25879.949999999997</v>
      </c>
      <c r="DB34" s="202" cm="1">
        <f t="array" ref="DB34">_xlfn.IFS(DB$3&lt;=YEAR($B$2),SUMPRODUCT(($E$4:$E$79=$E34)*($Z$2:$CG$2=DB$3)*($Z$2:$CG$2&lt;DC$3)*$Z$4:$CG$79),DB$3&lt;YEAR($X34),0,DB$3=YEAR($X34),DATEDIF($X34,DATE(DB$3,12,31),"m")*$Y34,AND(DB$3&gt;YEAR($X34),DB$3-YEAR($X34)&lt;20),$Y34*12,DB$3-YEAR($X34)=20,DATEDIF(DATE(YEAR($X34),1,1),$X34,"m")*$Y34,DB$3-YEAR($X34)&gt;20,0)</f>
        <v>25879.949999999997</v>
      </c>
      <c r="DC34" s="202" cm="1">
        <f t="array" ref="DC34">_xlfn.IFS(DC$3&lt;=YEAR($B$2),SUMPRODUCT(($E$4:$E$79=$E34)*($Z$2:$CG$2=DC$3)*($Z$2:$CG$2&lt;DD$3)*$Z$4:$CG$79),DC$3&lt;YEAR($X34),0,DC$3=YEAR($X34),DATEDIF($X34,DATE(DC$3,12,31),"m")*$Y34,AND(DC$3&gt;YEAR($X34),DC$3-YEAR($X34)&lt;20),$Y34*12,DC$3-YEAR($X34)=20,DATEDIF(DATE(YEAR($X34),1,1),$X34,"m")*$Y34,DC$3-YEAR($X34)&gt;20,0)</f>
        <v>25879.949999999997</v>
      </c>
      <c r="DD34" s="202" cm="1">
        <f t="array" ref="DD34">_xlfn.IFS(DD$3&lt;=YEAR($B$2),SUMPRODUCT(($E$4:$E$79=$E34)*($Z$2:$CG$2=DD$3)*($Z$2:$CG$2&lt;DE$3)*$Z$4:$CG$79),DD$3&lt;YEAR($X34),0,DD$3=YEAR($X34),DATEDIF($X34,DATE(DD$3,12,31),"m")*$Y34,AND(DD$3&gt;YEAR($X34),DD$3-YEAR($X34)&lt;20),$Y34*12,DD$3-YEAR($X34)=20,DATEDIF(DATE(YEAR($X34),1,1),$X34,"m")*$Y34,DD$3-YEAR($X34)&gt;20,0)</f>
        <v>25879.949999999997</v>
      </c>
      <c r="DE34" s="202" cm="1">
        <f t="array" ref="DE34">_xlfn.IFS(DE$3&lt;=YEAR($B$2),SUMPRODUCT(($E$4:$E$79=$E34)*($Z$2:$CG$2=DE$3)*($Z$2:$CG$2&lt;DF$3)*$Z$4:$CG$79),DE$3&lt;YEAR($X34),0,DE$3=YEAR($X34),DATEDIF($X34,DATE(DE$3,12,31),"m")*$Y34,AND(DE$3&gt;YEAR($X34),DE$3-YEAR($X34)&lt;20),$Y34*12,DE$3-YEAR($X34)=20,DATEDIF(DATE(YEAR($X34),1,1),$X34,"m")*$Y34,DE$3-YEAR($X34)&gt;20,0)</f>
        <v>25879.949999999997</v>
      </c>
      <c r="DF34" s="202" cm="1">
        <f t="array" ref="DF34">_xlfn.IFS(DF$3&lt;=YEAR($B$2),SUMPRODUCT(($E$4:$E$79=$E34)*($Z$2:$CG$2=DF$3)*($Z$2:$CG$2&lt;DG$3)*$Z$4:$CG$79),DF$3&lt;YEAR($X34),0,DF$3=YEAR($X34),DATEDIF($X34,DATE(DF$3,12,31),"m")*$Y34,AND(DF$3&gt;YEAR($X34),DF$3-YEAR($X34)&lt;20),$Y34*12,DF$3-YEAR($X34)=20,DATEDIF(DATE(YEAR($X34),1,1),$X34,"m")*$Y34,DF$3-YEAR($X34)&gt;20,0)</f>
        <v>25879.949999999997</v>
      </c>
      <c r="DG34" s="202" cm="1">
        <f t="array" ref="DG34">_xlfn.IFS(DG$3&lt;=YEAR($B$2),SUMPRODUCT(($E$4:$E$79=$E34)*($Z$2:$CG$2=DG$3)*($Z$2:$CG$2&lt;DH$3)*$Z$4:$CG$79),DG$3&lt;YEAR($X34),0,DG$3=YEAR($X34),DATEDIF($X34,DATE(DG$3,12,31),"m")*$Y34,AND(DG$3&gt;YEAR($X34),DG$3-YEAR($X34)&lt;20),$Y34*12,DG$3-YEAR($X34)=20,DATEDIF(DATE(YEAR($X34),1,1),$X34,"m")*$Y34,DG$3-YEAR($X34)&gt;20,0)</f>
        <v>25879.949999999997</v>
      </c>
      <c r="DH34" s="202" cm="1">
        <f t="array" ref="DH34">_xlfn.IFS(DH$3&lt;=YEAR($B$2),SUMPRODUCT(($E$4:$E$79=$E34)*($Z$2:$CG$2=DH$3)*($Z$2:$CG$2&lt;DI$3)*$Z$4:$CG$79),DH$3&lt;YEAR($X34),0,DH$3=YEAR($X34),DATEDIF($X34,DATE(DH$3,12,31),"m")*$Y34,AND(DH$3&gt;YEAR($X34),DH$3-YEAR($X34)&lt;20),$Y34*12,DH$3-YEAR($X34)=20,DATEDIF(DATE(YEAR($X34),1,1),$X34,"m")*$Y34,DH$3-YEAR($X34)&gt;20,0)</f>
        <v>15096.637499999999</v>
      </c>
      <c r="DI34" s="202" cm="1">
        <f t="array" ref="DI34">_xlfn.IFS(DI$3&lt;=YEAR($B$2),SUMPRODUCT(($E$4:$E$79=$E34)*($Z$2:$CG$2=DI$3)*($Z$2:$CG$2&lt;DJ$3)*$Z$4:$CG$79),DI$3&lt;YEAR($X34),0,DI$3=YEAR($X34),DATEDIF($X34,DATE(DI$3,12,31),"m")*$Y34,AND(DI$3&gt;YEAR($X34),DI$3-YEAR($X34)&lt;20),$Y34*12,DI$3-YEAR($X34)=20,DATEDIF(DATE(YEAR($X34),1,1),$X34,"m")*$Y34,DI$3-YEAR($X34)&gt;20,0)</f>
        <v>0</v>
      </c>
      <c r="DJ34" s="202" cm="1">
        <f t="array" ref="DJ34">_xlfn.IFS(DJ$3&lt;=YEAR($B$2),SUMPRODUCT(($E$4:$E$79=$E34)*($Z$2:$CG$2=DJ$3)*($Z$2:$CG$2&lt;DK$3)*$Z$4:$CG$79),DJ$3&lt;YEAR($X34),0,DJ$3=YEAR($X34),DATEDIF($X34,DATE(DJ$3,12,31),"m")*$Y34,AND(DJ$3&gt;YEAR($X34),DJ$3-YEAR($X34)&lt;20),$Y34*12,DJ$3-YEAR($X34)=20,DATEDIF(DATE(YEAR($X34),1,1),$X34,"m")*$Y34,DJ$3-YEAR($X34)&gt;20,0)</f>
        <v>0</v>
      </c>
      <c r="DK34" s="202" cm="1">
        <f t="array" ref="DK34">_xlfn.IFS(DK$3&lt;=YEAR($B$2),SUMPRODUCT(($E$4:$E$79=$E34)*($Z$2:$CG$2=DK$3)*($Z$2:$CG$2&lt;DL$3)*$Z$4:$CG$79),DK$3&lt;YEAR($X34),0,DK$3=YEAR($X34),DATEDIF($X34,DATE(DK$3,12,31),"m")*$Y34,AND(DK$3&gt;YEAR($X34),DK$3-YEAR($X34)&lt;20),$Y34*12,DK$3-YEAR($X34)=20,DATEDIF(DATE(YEAR($X34),1,1),$X34,"m")*$Y34,DK$3-YEAR($X34)&gt;20,0)</f>
        <v>0</v>
      </c>
      <c r="DL34" s="202" cm="1">
        <f t="array" ref="DL34">_xlfn.IFS(DL$3&lt;=YEAR($B$2),SUMPRODUCT(($E$4:$E$79=$E34)*($Z$2:$CG$2=DL$3)*($Z$2:$CG$2&lt;DM$3)*$Z$4:$CG$79),DL$3&lt;YEAR($X34),0,DL$3=YEAR($X34),DATEDIF($X34,DATE(DL$3,12,31),"m")*$Y34,AND(DL$3&gt;YEAR($X34),DL$3-YEAR($X34)&lt;20),$Y34*12,DL$3-YEAR($X34)=20,DATEDIF(DATE(YEAR($X34),1,1),$X34,"m")*$Y34,DL$3-YEAR($X34)&gt;20,0)</f>
        <v>0</v>
      </c>
      <c r="DO34" s="166">
        <f t="shared" si="26"/>
        <v>2043</v>
      </c>
      <c r="DP34" s="158">
        <v>444784.51500000001</v>
      </c>
      <c r="DQ34" s="158">
        <v>456507.67080000002</v>
      </c>
      <c r="DR34" s="158">
        <v>25576.5</v>
      </c>
      <c r="DS34" s="158">
        <f t="shared" si="27"/>
        <v>926868.68580000009</v>
      </c>
    </row>
    <row r="35" spans="1:123">
      <c r="A35" s="155" t="str" cm="1">
        <f t="array" ref="A35">INDEX('Monthly Report July 2025'!C:C,MATCH(E35,'Monthly Report July 2025'!E:E,0),0)</f>
        <v>SPQ0261</v>
      </c>
      <c r="B35" s="155" t="str" cm="1">
        <f t="array" ref="B35">_xlfn.IFS(LEFT(E35,3)="PGE","PGE",LEFT(E35,2)="PP","PAC",TRUE,"IP")</f>
        <v>PGE</v>
      </c>
      <c r="C35" s="155" t="str">
        <f>IF(ISNA(MATCH(E35,'Monthly Report July 2025'!E:E,0)),"Missing","Present")</f>
        <v>Present</v>
      </c>
      <c r="D35" s="155" t="str">
        <f>IF(ISNA(MATCH(E35,'Project Operational Timelines'!C:C,0))=TRUE,"Missing","Present")</f>
        <v>Present</v>
      </c>
      <c r="E35" s="155" t="s">
        <v>143</v>
      </c>
      <c r="F35" s="155" t="str" cm="1">
        <f t="array" ref="F35">INDEX('Monthly Report July 2025'!F:F,MATCH(E35,'Monthly Report July 2025'!E:E,),0)</f>
        <v>Rodeo Solar</v>
      </c>
      <c r="G35" s="155" t="str" cm="1">
        <f t="array" ref="G35">_xlfn.IFS(INDEX('Monthly Report July 2025'!O:O,MATCH(E35,'Monthly Report July 2025'!E:E,0),0)="Operational","Operational",INDEX('Monthly Report July 2025'!O:O,MATCH(E35,'Monthly Report July 2025'!E:E,0),0)="Certified","Certified",TRUE,"Pre-Certified")</f>
        <v>Pre-Certified</v>
      </c>
      <c r="H35" s="155" t="str" cm="1">
        <f t="array" ref="H35">INDEX('Monthly Report July 2025'!H:H,MATCH($E35,'Monthly Report July 2025'!$E:$E,0),0)</f>
        <v>Conifer Energy Partners</v>
      </c>
      <c r="I35" s="155" t="str" cm="1">
        <f t="array" ref="I35">INDEX('Monthly Report July 2025'!I:I,MATCH($E35,'Monthly Report July 2025'!$E:$E,0),0)</f>
        <v>Kendall Sustainable Infrastructure</v>
      </c>
      <c r="J35" s="174" cm="1">
        <f t="array" ref="J35">INDEX('Monthly Report July 2025'!J:J,MATCH($E35,'Monthly Report July 2025'!$E:$E,0),0)</f>
        <v>2</v>
      </c>
      <c r="K35" s="174" t="str" cm="1">
        <f t="array" ref="K35">INDEX('Monthly Report July 2025'!K:K,MATCH($E35,'Monthly Report July 2025'!$E:$E,0),0)</f>
        <v>No</v>
      </c>
      <c r="L35" s="174" t="b" cm="1">
        <f t="array" ref="L35">INDEX('Monthly Report July 2025'!L:L,MATCH(E35,'Monthly Report July 2025'!E:E,0),0)=M35</f>
        <v>1</v>
      </c>
      <c r="M35" s="273" cm="1">
        <f t="array" ref="M35">INDEX('Monthly Report July 2025'!L:L,MATCH($E35,'Monthly Report July 2025'!$E:$E,0),0)</f>
        <v>2250</v>
      </c>
      <c r="N35" s="175" cm="1">
        <f t="array" ref="N35">INDEX('Monthly Report July 2025'!M:M,MATCH($E35,'Monthly Report July 2025'!$E:$E,0),0)</f>
        <v>45190</v>
      </c>
      <c r="O35" s="175" cm="1">
        <f t="array" ref="O35">_xlfn.IFS(G35="Operational","Operational",G35="Certified","Certified",TRUE,INDEX('Monthly Report July 2025'!O:O,MATCH(E35,'Monthly Report July 2025'!E:E,0),0))</f>
        <v>46003</v>
      </c>
      <c r="P35" s="175" t="b" cm="1">
        <f t="array" ref="P35">_xlfn.IFS(G35="Operational",O35="Operational",G35="Certified",O35="Certified",TRUE,G35="Pre-Certified")</f>
        <v>1</v>
      </c>
      <c r="Q35" s="175" t="str" cm="1">
        <f t="array" ref="Q35">IF(O35="Operational",INDEX('Monthly Report July 2025'!R:R,MATCH(E35,'Monthly Report July 2025'!E:E,0),0),"")</f>
        <v/>
      </c>
      <c r="R35" s="175" t="str" cm="1">
        <f t="array" ref="R35">INDEX('Monthly Report July 2025'!P:P,MATCH(E35,'Monthly Report July 2025'!E:E,0),0)</f>
        <v>Not Yet Certified</v>
      </c>
      <c r="S35" s="175" t="b">
        <f t="shared" si="5"/>
        <v>1</v>
      </c>
      <c r="T35" s="175" cm="1">
        <f t="array" ref="T35">INDEX('Monthly Report July 2025'!U:U,MATCH(E35,'Monthly Report July 2025'!E:E,0),0)</f>
        <v>46003</v>
      </c>
      <c r="U35" s="175" t="b">
        <f t="shared" si="6"/>
        <v>1</v>
      </c>
      <c r="V35" s="156">
        <f t="shared" si="7"/>
        <v>46003</v>
      </c>
      <c r="W35" s="156" cm="1">
        <f t="array" ref="W35">_xlfn.IFS(U35=TRUE,EDATE(O35,6),U35=FALSE,T35,O35="Operational",Q35,AND(O35="Certified",EDATE(R35,6)&gt;T35),EDATE(R35,6),TRUE,T35)</f>
        <v>46185</v>
      </c>
      <c r="X35" s="156">
        <f t="shared" si="8"/>
        <v>46246</v>
      </c>
      <c r="Y35" s="157">
        <f t="shared" si="9"/>
        <v>1625.625</v>
      </c>
      <c r="Z35" s="202" cm="1">
        <f t="array" ref="Z35">_xlfn.IFS(Z$3&lt;$B$2,SUMPRODUCT(('PA Fees Actual'!$B$5:$B$882=$E35)*('PA Fees Actual'!$A$5:$A$882&gt;=Z$3)*('PA Fees Actual'!$A$5:$A$882&lt;=EOMONTH(Z$3,0))*'PA Fees Actual'!$D$5:$D$882),Z$3&gt;=EOMONTH($X35,-1)+1,$Y35,TRUE,0)</f>
        <v>0</v>
      </c>
      <c r="AA35" s="202" cm="1">
        <f t="array" ref="AA35">_xlfn.IFS(AA$3&lt;$B$2,SUMPRODUCT(('PA Fees Actual'!$B$5:$B$882=$E35)*('PA Fees Actual'!$A$5:$A$882&gt;=AA$3)*('PA Fees Actual'!$A$5:$A$882&lt;=EOMONTH(AA$3,0))*'PA Fees Actual'!$D$5:$D$882),AA$3&gt;=EOMONTH($X35,-1)+1,$Y35,TRUE,0)</f>
        <v>0</v>
      </c>
      <c r="AB35" s="202" cm="1">
        <f t="array" ref="AB35">_xlfn.IFS(AB$3&lt;$B$2,SUMPRODUCT(('PA Fees Actual'!$B$5:$B$882=$E35)*('PA Fees Actual'!$A$5:$A$882&gt;=AB$3)*('PA Fees Actual'!$A$5:$A$882&lt;=EOMONTH(AB$3,0))*'PA Fees Actual'!$D$5:$D$882),AB$3&gt;=EOMONTH($X35,-1)+1,$Y35,TRUE,0)</f>
        <v>0</v>
      </c>
      <c r="AC35" s="202" cm="1">
        <f t="array" ref="AC35">_xlfn.IFS(AC$3&lt;$B$2,SUMPRODUCT(('PA Fees Actual'!$B$5:$B$882=$E35)*('PA Fees Actual'!$A$5:$A$882&gt;=AC$3)*('PA Fees Actual'!$A$5:$A$882&lt;=EOMONTH(AC$3,0))*'PA Fees Actual'!$D$5:$D$882),AC$3&gt;=EOMONTH($X35,-1)+1,$Y35,TRUE,0)</f>
        <v>0</v>
      </c>
      <c r="AD35" s="202" cm="1">
        <f t="array" ref="AD35">_xlfn.IFS(AD$3&lt;$B$2,SUMPRODUCT(('PA Fees Actual'!$B$5:$B$882=$E35)*('PA Fees Actual'!$A$5:$A$882&gt;=AD$3)*('PA Fees Actual'!$A$5:$A$882&lt;=EOMONTH(AD$3,0))*'PA Fees Actual'!$D$5:$D$882),AD$3&gt;=EOMONTH($X35,-1)+1,$Y35,TRUE,0)</f>
        <v>0</v>
      </c>
      <c r="AE35" s="202" cm="1">
        <f t="array" ref="AE35">_xlfn.IFS(AE$3&lt;$B$2,SUMPRODUCT(('PA Fees Actual'!$B$5:$B$882=$E35)*('PA Fees Actual'!$A$5:$A$882&gt;=AE$3)*('PA Fees Actual'!$A$5:$A$882&lt;=EOMONTH(AE$3,0))*'PA Fees Actual'!$D$5:$D$882),AE$3&gt;=EOMONTH($X35,-1)+1,$Y35,TRUE,0)</f>
        <v>0</v>
      </c>
      <c r="AF35" s="202" cm="1">
        <f t="array" ref="AF35">_xlfn.IFS(AF$3&lt;$B$2,SUMPRODUCT(('PA Fees Actual'!$B$5:$B$882=$E35)*('PA Fees Actual'!$A$5:$A$882&gt;=AF$3)*('PA Fees Actual'!$A$5:$A$882&lt;=EOMONTH(AF$3,0))*'PA Fees Actual'!$D$5:$D$882),AF$3&gt;=EOMONTH($X35,-1)+1,$Y35,TRUE,0)</f>
        <v>0</v>
      </c>
      <c r="AG35" s="202" cm="1">
        <f t="array" ref="AG35">_xlfn.IFS(AG$3&lt;$B$2,SUMPRODUCT(('PA Fees Actual'!$B$5:$B$882=$E35)*('PA Fees Actual'!$A$5:$A$882&gt;=AG$3)*('PA Fees Actual'!$A$5:$A$882&lt;=EOMONTH(AG$3,0))*'PA Fees Actual'!$D$5:$D$882),AG$3&gt;=EOMONTH($X35,-1)+1,$Y35,TRUE,0)</f>
        <v>0</v>
      </c>
      <c r="AH35" s="202" cm="1">
        <f t="array" ref="AH35">_xlfn.IFS(AH$3&lt;$B$2,SUMPRODUCT(('PA Fees Actual'!$B$5:$B$882=$E35)*('PA Fees Actual'!$A$5:$A$882&gt;=AH$3)*('PA Fees Actual'!$A$5:$A$882&lt;=EOMONTH(AH$3,0))*'PA Fees Actual'!$D$5:$D$882),AH$3&gt;=EOMONTH($X35,-1)+1,$Y35,TRUE,0)</f>
        <v>0</v>
      </c>
      <c r="AI35" s="202" cm="1">
        <f t="array" ref="AI35">_xlfn.IFS(AI$3&lt;$B$2,SUMPRODUCT(('PA Fees Actual'!$B$5:$B$882=$E35)*('PA Fees Actual'!$A$5:$A$882&gt;=AI$3)*('PA Fees Actual'!$A$5:$A$882&lt;=EOMONTH(AI$3,0))*'PA Fees Actual'!$D$5:$D$882),AI$3&gt;=EOMONTH($X35,-1)+1,$Y35,TRUE,0)</f>
        <v>0</v>
      </c>
      <c r="AJ35" s="202" cm="1">
        <f t="array" ref="AJ35">_xlfn.IFS(AJ$3&lt;$B$2,SUMPRODUCT(('PA Fees Actual'!$B$5:$B$882=$E35)*('PA Fees Actual'!$A$5:$A$882&gt;=AJ$3)*('PA Fees Actual'!$A$5:$A$882&lt;=EOMONTH(AJ$3,0))*'PA Fees Actual'!$D$5:$D$882),AJ$3&gt;=EOMONTH($X35,-1)+1,$Y35,TRUE,0)</f>
        <v>0</v>
      </c>
      <c r="AK35" s="202" cm="1">
        <f t="array" ref="AK35">_xlfn.IFS(AK$3&lt;$B$2,SUMPRODUCT(('PA Fees Actual'!$B$5:$B$882=$E35)*('PA Fees Actual'!$A$5:$A$882&gt;=AK$3)*('PA Fees Actual'!$A$5:$A$882&lt;=EOMONTH(AK$3,0))*'PA Fees Actual'!$D$5:$D$882),AK$3&gt;=EOMONTH($X35,-1)+1,$Y35,TRUE,0)</f>
        <v>0</v>
      </c>
      <c r="AL35" s="202" cm="1">
        <f t="array" ref="AL35">_xlfn.IFS(AL$3&lt;$B$2,SUMPRODUCT(('PA Fees Actual'!$B$5:$B$882=$E35)*('PA Fees Actual'!$A$5:$A$882&gt;=AL$3)*('PA Fees Actual'!$A$5:$A$882&lt;=EOMONTH(AL$3,0))*'PA Fees Actual'!$D$5:$D$882),AL$3&gt;=EOMONTH($X35,-1)+1,$Y35,TRUE,0)</f>
        <v>0</v>
      </c>
      <c r="AM35" s="202" cm="1">
        <f t="array" ref="AM35">_xlfn.IFS(AM$3&lt;$B$2,SUMPRODUCT(('PA Fees Actual'!$B$5:$B$882=$E35)*('PA Fees Actual'!$A$5:$A$882&gt;=AM$3)*('PA Fees Actual'!$A$5:$A$882&lt;=EOMONTH(AM$3,0))*'PA Fees Actual'!$D$5:$D$882),AM$3&gt;=EOMONTH($X35,-1)+1,$Y35,TRUE,0)</f>
        <v>0</v>
      </c>
      <c r="AN35" s="202" cm="1">
        <f t="array" ref="AN35">_xlfn.IFS(AN$3&lt;$B$2,SUMPRODUCT(('PA Fees Actual'!$B$5:$B$882=$E35)*('PA Fees Actual'!$A$5:$A$882&gt;=AN$3)*('PA Fees Actual'!$A$5:$A$882&lt;=EOMONTH(AN$3,0))*'PA Fees Actual'!$D$5:$D$882),AN$3&gt;=EOMONTH($X35,-1)+1,$Y35,TRUE,0)</f>
        <v>0</v>
      </c>
      <c r="AO35" s="202" cm="1">
        <f t="array" ref="AO35">_xlfn.IFS(AO$3&lt;$B$2,SUMPRODUCT(('PA Fees Actual'!$B$5:$B$882=$E35)*('PA Fees Actual'!$A$5:$A$882&gt;=AO$3)*('PA Fees Actual'!$A$5:$A$882&lt;=EOMONTH(AO$3,0))*'PA Fees Actual'!$D$5:$D$882),AO$3&gt;=EOMONTH($X35,-1)+1,$Y35,TRUE,0)</f>
        <v>0</v>
      </c>
      <c r="AP35" s="202" cm="1">
        <f t="array" ref="AP35">_xlfn.IFS(AP$3&lt;$B$2,SUMPRODUCT(('PA Fees Actual'!$B$5:$B$882=$E35)*('PA Fees Actual'!$A$5:$A$882&gt;=AP$3)*('PA Fees Actual'!$A$5:$A$882&lt;=EOMONTH(AP$3,0))*'PA Fees Actual'!$D$5:$D$882),AP$3&gt;=EOMONTH($X35,-1)+1,$Y35,TRUE,0)</f>
        <v>0</v>
      </c>
      <c r="AQ35" s="202" cm="1">
        <f t="array" ref="AQ35">_xlfn.IFS(AQ$3&lt;$B$2,SUMPRODUCT(('PA Fees Actual'!$B$5:$B$882=$E35)*('PA Fees Actual'!$A$5:$A$882&gt;=AQ$3)*('PA Fees Actual'!$A$5:$A$882&lt;=EOMONTH(AQ$3,0))*'PA Fees Actual'!$D$5:$D$882),AQ$3&gt;=EOMONTH($X35,-1)+1,$Y35,TRUE,0)</f>
        <v>0</v>
      </c>
      <c r="AR35" s="202" cm="1">
        <f t="array" ref="AR35">_xlfn.IFS(AR$3&lt;$B$2,SUMPRODUCT(('PA Fees Actual'!$B$5:$B$882=$E35)*('PA Fees Actual'!$A$5:$A$882&gt;=AR$3)*('PA Fees Actual'!$A$5:$A$882&lt;=EOMONTH(AR$3,0))*'PA Fees Actual'!$D$5:$D$882),AR$3&gt;=EOMONTH($X35,-1)+1,$Y35,TRUE,0)</f>
        <v>0</v>
      </c>
      <c r="AS35" s="202" cm="1">
        <f t="array" ref="AS35">_xlfn.IFS(AS$3&lt;$B$2,SUMPRODUCT(('PA Fees Actual'!$B$5:$B$882=$E35)*('PA Fees Actual'!$A$5:$A$882&gt;=AS$3)*('PA Fees Actual'!$A$5:$A$882&lt;=EOMONTH(AS$3,0))*'PA Fees Actual'!$D$5:$D$882),AS$3&gt;=EOMONTH($X35,-1)+1,$Y35,TRUE,0)</f>
        <v>0</v>
      </c>
      <c r="AT35" s="202" cm="1">
        <f t="array" ref="AT35">_xlfn.IFS(AT$3&lt;$B$2,SUMPRODUCT(('PA Fees Actual'!$B$5:$B$882=$E35)*('PA Fees Actual'!$A$5:$A$882&gt;=AT$3)*('PA Fees Actual'!$A$5:$A$882&lt;=EOMONTH(AT$3,0))*'PA Fees Actual'!$D$5:$D$882),AT$3&gt;=EOMONTH($X35,-1)+1,$Y35,TRUE,0)</f>
        <v>0</v>
      </c>
      <c r="AU35" s="202" cm="1">
        <f t="array" ref="AU35">_xlfn.IFS(AU$3&lt;$B$2,SUMPRODUCT(('PA Fees Actual'!$B$5:$B$882=$E35)*('PA Fees Actual'!$A$5:$A$882&gt;=AU$3)*('PA Fees Actual'!$A$5:$A$882&lt;=EOMONTH(AU$3,0))*'PA Fees Actual'!$D$5:$D$882),AU$3&gt;=EOMONTH($X35,-1)+1,$Y35,TRUE,0)</f>
        <v>0</v>
      </c>
      <c r="AV35" s="202" cm="1">
        <f t="array" ref="AV35">_xlfn.IFS(AV$3&lt;$B$2,SUMPRODUCT(('PA Fees Actual'!$B$5:$B$882=$E35)*('PA Fees Actual'!$A$5:$A$882&gt;=AV$3)*('PA Fees Actual'!$A$5:$A$882&lt;=EOMONTH(AV$3,0))*'PA Fees Actual'!$D$5:$D$882),AV$3&gt;=EOMONTH($X35,-1)+1,$Y35,TRUE,0)</f>
        <v>0</v>
      </c>
      <c r="AW35" s="202" cm="1">
        <f t="array" ref="AW35">_xlfn.IFS(AW$3&lt;$B$2,SUMPRODUCT(('PA Fees Actual'!$B$5:$B$882=$E35)*('PA Fees Actual'!$A$5:$A$882&gt;=AW$3)*('PA Fees Actual'!$A$5:$A$882&lt;=EOMONTH(AW$3,0))*'PA Fees Actual'!$D$5:$D$882),AW$3&gt;=EOMONTH($X35,-1)+1,$Y35,TRUE,0)</f>
        <v>0</v>
      </c>
      <c r="AX35" s="202" cm="1">
        <f t="array" ref="AX35">_xlfn.IFS(AX$3&lt;$B$2,SUMPRODUCT(('PA Fees Actual'!$B$5:$B$882=$E35)*('PA Fees Actual'!$A$5:$A$882&gt;=AX$3)*('PA Fees Actual'!$A$5:$A$882&lt;=EOMONTH(AX$3,0))*'PA Fees Actual'!$D$5:$D$882),AX$3&gt;=EOMONTH($X35,-1)+1,$Y35,TRUE,0)</f>
        <v>0</v>
      </c>
      <c r="AY35" s="202" cm="1">
        <f t="array" ref="AY35">_xlfn.IFS(AY$3&lt;$B$2,SUMPRODUCT(('PA Fees Actual'!$B$5:$B$882=$E35)*('PA Fees Actual'!$A$5:$A$882&gt;=AY$3)*('PA Fees Actual'!$A$5:$A$882&lt;=EOMONTH(AY$3,0))*'PA Fees Actual'!$D$5:$D$882),AY$3&gt;=EOMONTH($X35,-1)+1,$Y35,TRUE,0)</f>
        <v>0</v>
      </c>
      <c r="AZ35" s="202" cm="1">
        <f t="array" ref="AZ35">_xlfn.IFS(AZ$3&lt;$B$2,SUMPRODUCT(('PA Fees Actual'!$B$5:$B$882=$E35)*('PA Fees Actual'!$A$5:$A$882&gt;=AZ$3)*('PA Fees Actual'!$A$5:$A$882&lt;=EOMONTH(AZ$3,0))*'PA Fees Actual'!$D$5:$D$882),AZ$3&gt;=EOMONTH($X35,-1)+1,$Y35,TRUE,0)</f>
        <v>0</v>
      </c>
      <c r="BA35" s="202" cm="1">
        <f t="array" ref="BA35">_xlfn.IFS(BA$3&lt;$B$2,SUMPRODUCT(('PA Fees Actual'!$B$5:$B$882=$E35)*('PA Fees Actual'!$A$5:$A$882&gt;=BA$3)*('PA Fees Actual'!$A$5:$A$882&lt;=EOMONTH(BA$3,0))*'PA Fees Actual'!$D$5:$D$882),BA$3&gt;=EOMONTH($X35,-1)+1,$Y35,TRUE,0)</f>
        <v>0</v>
      </c>
      <c r="BB35" s="202" cm="1">
        <f t="array" ref="BB35">_xlfn.IFS(BB$3&lt;$B$2,SUMPRODUCT(('PA Fees Actual'!$B$5:$B$882=$E35)*('PA Fees Actual'!$A$5:$A$882&gt;=BB$3)*('PA Fees Actual'!$A$5:$A$882&lt;=EOMONTH(BB$3,0))*'PA Fees Actual'!$D$5:$D$882),BB$3&gt;=EOMONTH($X35,-1)+1,$Y35,TRUE,0)</f>
        <v>0</v>
      </c>
      <c r="BC35" s="202" cm="1">
        <f t="array" ref="BC35">_xlfn.IFS(BC$3&lt;$B$2,SUMPRODUCT(('PA Fees Actual'!$B$5:$B$882=$E35)*('PA Fees Actual'!$A$5:$A$882&gt;=BC$3)*('PA Fees Actual'!$A$5:$A$882&lt;=EOMONTH(BC$3,0))*'PA Fees Actual'!$D$5:$D$882),BC$3&gt;=EOMONTH($X35,-1)+1,$Y35,TRUE,0)</f>
        <v>0</v>
      </c>
      <c r="BD35" s="202" cm="1">
        <f t="array" ref="BD35">_xlfn.IFS(BD$3&lt;$B$2,SUMPRODUCT(('PA Fees Actual'!$B$5:$B$882=$E35)*('PA Fees Actual'!$A$5:$A$882&gt;=BD$3)*('PA Fees Actual'!$A$5:$A$882&lt;=EOMONTH(BD$3,0))*'PA Fees Actual'!$D$5:$D$882),BD$3&gt;=EOMONTH($X35,-1)+1,$Y35,TRUE,0)</f>
        <v>0</v>
      </c>
      <c r="BE35" s="202" cm="1">
        <f t="array" ref="BE35">_xlfn.IFS(BE$3&lt;$B$2,SUMPRODUCT(('PA Fees Actual'!$B$5:$B$882=$E35)*('PA Fees Actual'!$A$5:$A$882&gt;=BE$3)*('PA Fees Actual'!$A$5:$A$882&lt;=EOMONTH(BE$3,0))*'PA Fees Actual'!$D$5:$D$882),BE$3&gt;=EOMONTH($X35,-1)+1,$Y35,TRUE,0)</f>
        <v>0</v>
      </c>
      <c r="BF35" s="202" cm="1">
        <f t="array" ref="BF35">_xlfn.IFS(BF$3&lt;$B$2,SUMPRODUCT(('PA Fees Actual'!$B$5:$B$882=$E35)*('PA Fees Actual'!$A$5:$A$882&gt;=BF$3)*('PA Fees Actual'!$A$5:$A$882&lt;=EOMONTH(BF$3,0))*'PA Fees Actual'!$D$5:$D$882),BF$3&gt;=EOMONTH($X35,-1)+1,$Y35,TRUE,0)</f>
        <v>0</v>
      </c>
      <c r="BG35" s="202" cm="1">
        <f t="array" ref="BG35">_xlfn.IFS(BG$3&lt;$B$2,SUMPRODUCT(('PA Fees Actual'!$B$5:$B$882=$E35)*('PA Fees Actual'!$A$5:$A$882&gt;=BG$3)*('PA Fees Actual'!$A$5:$A$882&lt;=EOMONTH(BG$3,0))*'PA Fees Actual'!$D$5:$D$882),BG$3&gt;=EOMONTH($X35,-1)+1,$Y35,TRUE,0)</f>
        <v>0</v>
      </c>
      <c r="BH35" s="202" cm="1">
        <f t="array" ref="BH35">_xlfn.IFS(BH$3&lt;$B$2,SUMPRODUCT(('PA Fees Actual'!$B$5:$B$882=$E35)*('PA Fees Actual'!$A$5:$A$882&gt;=BH$3)*('PA Fees Actual'!$A$5:$A$882&lt;=EOMONTH(BH$3,0))*'PA Fees Actual'!$D$5:$D$882),BH$3&gt;=EOMONTH($X35,-1)+1,$Y35,TRUE,0)</f>
        <v>0</v>
      </c>
      <c r="BI35" s="202" cm="1">
        <f t="array" ref="BI35">_xlfn.IFS(BI$3&lt;$B$2,SUMPRODUCT(('PA Fees Actual'!$B$5:$B$882=$E35)*('PA Fees Actual'!$A$5:$A$882&gt;=BI$3)*('PA Fees Actual'!$A$5:$A$882&lt;=EOMONTH(BI$3,0))*'PA Fees Actual'!$D$5:$D$882),BI$3&gt;=EOMONTH($X35,-1)+1,$Y35,TRUE,0)</f>
        <v>0</v>
      </c>
      <c r="BJ35" s="202" cm="1">
        <f t="array" ref="BJ35">_xlfn.IFS(BJ$3&lt;$B$2,SUMPRODUCT(('PA Fees Actual'!$B$5:$B$882=$E35)*('PA Fees Actual'!$A$5:$A$882&gt;=BJ$3)*('PA Fees Actual'!$A$5:$A$882&lt;=EOMONTH(BJ$3,0))*'PA Fees Actual'!$D$5:$D$882),BJ$3&gt;=EOMONTH($X35,-1)+1,$Y35,TRUE,0)</f>
        <v>0</v>
      </c>
      <c r="BK35" s="202" cm="1">
        <f t="array" ref="BK35">_xlfn.IFS(BK$3&lt;$B$2,SUMPRODUCT(('PA Fees Actual'!$B$5:$B$882=$E35)*('PA Fees Actual'!$A$5:$A$882&gt;=BK$3)*('PA Fees Actual'!$A$5:$A$882&lt;=EOMONTH(BK$3,0))*'PA Fees Actual'!$D$5:$D$882),BK$3&gt;=EOMONTH($X35,-1)+1,$Y35,TRUE,0)</f>
        <v>0</v>
      </c>
      <c r="BL35" s="202" cm="1">
        <f t="array" ref="BL35">_xlfn.IFS(BL$3&lt;$B$2,SUMPRODUCT(('PA Fees Actual'!$B$5:$B$882=$E35)*('PA Fees Actual'!$A$5:$A$882&gt;=BL$3)*('PA Fees Actual'!$A$5:$A$882&lt;=EOMONTH(BL$3,0))*'PA Fees Actual'!$D$5:$D$882),BL$3&gt;=EOMONTH($X35,-1)+1,$Y35,TRUE,0)</f>
        <v>0</v>
      </c>
      <c r="BM35" s="202" cm="1">
        <f t="array" ref="BM35">_xlfn.IFS(BM$3&lt;$B$2,SUMPRODUCT(('PA Fees Actual'!$B$5:$B$882=$E35)*('PA Fees Actual'!$A$5:$A$882&gt;=BM$3)*('PA Fees Actual'!$A$5:$A$882&lt;=EOMONTH(BM$3,0))*'PA Fees Actual'!$D$5:$D$882),BM$3&gt;=EOMONTH($X35,-1)+1,$Y35,TRUE,0)</f>
        <v>0</v>
      </c>
      <c r="BN35" s="202" cm="1">
        <f t="array" ref="BN35">_xlfn.IFS(BN$3&lt;$B$2,SUMPRODUCT(('PA Fees Actual'!$B$5:$B$882=$E35)*('PA Fees Actual'!$A$5:$A$882&gt;=BN$3)*('PA Fees Actual'!$A$5:$A$882&lt;=EOMONTH(BN$3,0))*'PA Fees Actual'!$D$5:$D$882),BN$3&gt;=EOMONTH($X35,-1)+1,$Y35,TRUE,0)</f>
        <v>0</v>
      </c>
      <c r="BO35" s="202" cm="1">
        <f t="array" ref="BO35">_xlfn.IFS(BO$3&lt;$B$2,SUMPRODUCT(('PA Fees Actual'!$B$5:$B$882=$E35)*('PA Fees Actual'!$A$5:$A$882&gt;=BO$3)*('PA Fees Actual'!$A$5:$A$882&lt;=EOMONTH(BO$3,0))*'PA Fees Actual'!$D$5:$D$882),BO$3&gt;=EOMONTH($X35,-1)+1,$Y35,TRUE,0)</f>
        <v>0</v>
      </c>
      <c r="BP35" s="202" cm="1">
        <f t="array" ref="BP35">_xlfn.IFS(BP$3&lt;$B$2,SUMPRODUCT(('PA Fees Actual'!$B$5:$B$882=$E35)*('PA Fees Actual'!$A$5:$A$882&gt;=BP$3)*('PA Fees Actual'!$A$5:$A$882&lt;=EOMONTH(BP$3,0))*'PA Fees Actual'!$D$5:$D$882),BP$3&gt;=EOMONTH($X35,-1)+1,$Y35,TRUE,0)</f>
        <v>0</v>
      </c>
      <c r="BQ35" s="202" cm="1">
        <f t="array" ref="BQ35">_xlfn.IFS(BQ$3&lt;$B$2,SUMPRODUCT(('PA Fees Actual'!$B$5:$B$882=$E35)*('PA Fees Actual'!$A$5:$A$882&gt;=BQ$3)*('PA Fees Actual'!$A$5:$A$882&lt;=EOMONTH(BQ$3,0))*'PA Fees Actual'!$D$5:$D$882),BQ$3&gt;=EOMONTH($X35,-1)+1,$Y35,TRUE,0)</f>
        <v>0</v>
      </c>
      <c r="BR35" s="202" cm="1">
        <f t="array" ref="BR35">_xlfn.IFS(BR$3&lt;$B$2,SUMPRODUCT(('PA Fees Actual'!$B$5:$B$882=$E35)*('PA Fees Actual'!$A$5:$A$882&gt;=BR$3)*('PA Fees Actual'!$A$5:$A$882&lt;=EOMONTH(BR$3,0))*'PA Fees Actual'!$D$5:$D$882),BR$3&gt;=EOMONTH($X35,-1)+1,$Y35,TRUE,0)</f>
        <v>0</v>
      </c>
      <c r="BS35" s="202" cm="1">
        <f t="array" ref="BS35">_xlfn.IFS(BS$3&lt;$B$2,SUMPRODUCT(('PA Fees Actual'!$B$5:$B$882=$E35)*('PA Fees Actual'!$A$5:$A$882&gt;=BS$3)*('PA Fees Actual'!$A$5:$A$882&lt;=EOMONTH(BS$3,0))*'PA Fees Actual'!$D$5:$D$882),BS$3&gt;=EOMONTH($X35,-1)+1,$Y35,TRUE,0)</f>
        <v>0</v>
      </c>
      <c r="BT35" s="202" cm="1">
        <f t="array" ref="BT35">_xlfn.IFS(BT$3&lt;$B$2,SUMPRODUCT(('PA Fees Actual'!$B$5:$B$882=$E35)*('PA Fees Actual'!$A$5:$A$882&gt;=BT$3)*('PA Fees Actual'!$A$5:$A$882&lt;=EOMONTH(BT$3,0))*'PA Fees Actual'!$D$5:$D$882),BT$3&gt;=EOMONTH($X35,-1)+1,$Y35,TRUE,0)</f>
        <v>0</v>
      </c>
      <c r="BU35" s="202" cm="1">
        <f t="array" ref="BU35">_xlfn.IFS(BU$3&lt;$B$2,SUMPRODUCT(('PA Fees Actual'!$B$5:$B$882=$E35)*('PA Fees Actual'!$A$5:$A$882&gt;=BU$3)*('PA Fees Actual'!$A$5:$A$882&lt;=EOMONTH(BU$3,0))*'PA Fees Actual'!$D$5:$D$882),BU$3&gt;=EOMONTH($X35,-1)+1,$Y35,TRUE,0)</f>
        <v>0</v>
      </c>
      <c r="BV35" s="202" cm="1">
        <f t="array" ref="BV35">_xlfn.IFS(BV$3&lt;$B$2,SUMPRODUCT(('PA Fees Actual'!$B$5:$B$882=$E35)*('PA Fees Actual'!$A$5:$A$882&gt;=BV$3)*('PA Fees Actual'!$A$5:$A$882&lt;=EOMONTH(BV$3,0))*'PA Fees Actual'!$D$5:$D$882),BV$3&gt;=EOMONTH($X35,-1)+1,$Y35,TRUE,0)</f>
        <v>0</v>
      </c>
      <c r="BW35" s="202" cm="1">
        <f t="array" ref="BW35">_xlfn.IFS(BW$3&lt;$B$2,SUMPRODUCT(('PA Fees Actual'!$B$5:$B$882=$E35)*('PA Fees Actual'!$A$5:$A$882&gt;=BW$3)*('PA Fees Actual'!$A$5:$A$882&lt;=EOMONTH(BW$3,0))*'PA Fees Actual'!$D$5:$D$882),BW$3&gt;=EOMONTH($X35,-1)+1,$Y35,TRUE,0)</f>
        <v>0</v>
      </c>
      <c r="BX35" s="202" cm="1">
        <f t="array" ref="BX35">_xlfn.IFS(BX$3&lt;$B$2,SUMPRODUCT(('PA Fees Actual'!$B$5:$B$882=$E35)*('PA Fees Actual'!$A$5:$A$882&gt;=BX$3)*('PA Fees Actual'!$A$5:$A$882&lt;=EOMONTH(BX$3,0))*'PA Fees Actual'!$D$5:$D$882),BX$3&gt;=EOMONTH($X35,-1)+1,$Y35,TRUE,0)</f>
        <v>0</v>
      </c>
      <c r="BY35" s="202" cm="1">
        <f t="array" ref="BY35">_xlfn.IFS(BY$3&lt;$B$2,SUMPRODUCT(('PA Fees Actual'!$B$5:$B$882=$E35)*('PA Fees Actual'!$A$5:$A$882&gt;=BY$3)*('PA Fees Actual'!$A$5:$A$882&lt;=EOMONTH(BY$3,0))*'PA Fees Actual'!$D$5:$D$882),BY$3&gt;=EOMONTH($X35,-1)+1,$Y35,TRUE,0)</f>
        <v>0</v>
      </c>
      <c r="BZ35" s="202" cm="1">
        <f t="array" ref="BZ35">_xlfn.IFS(BZ$3&lt;$B$2,SUMPRODUCT(('PA Fees Actual'!$B$5:$B$882=$E35)*('PA Fees Actual'!$A$5:$A$882&gt;=BZ$3)*('PA Fees Actual'!$A$5:$A$882&lt;=EOMONTH(BZ$3,0))*'PA Fees Actual'!$D$5:$D$882),BZ$3&gt;=EOMONTH($X35,-1)+1,$Y35,TRUE,0)</f>
        <v>0</v>
      </c>
      <c r="CA35" s="202" cm="1">
        <f t="array" ref="CA35">_xlfn.IFS(CA$3&lt;$B$2,SUMPRODUCT(('PA Fees Actual'!$B$5:$B$882=$E35)*('PA Fees Actual'!$A$5:$A$882&gt;=CA$3)*('PA Fees Actual'!$A$5:$A$882&lt;=EOMONTH(CA$3,0))*'PA Fees Actual'!$D$5:$D$882),CA$3&gt;=EOMONTH($X35,-1)+1,$Y35,TRUE,0)</f>
        <v>0</v>
      </c>
      <c r="CB35" s="202" cm="1">
        <f t="array" ref="CB35">_xlfn.IFS(CB$3&lt;$B$2,SUMPRODUCT(('PA Fees Actual'!$B$5:$B$749=$E35)*('PA Fees Actual'!$A$5:$A$749&gt;=CB$3)*('PA Fees Actual'!$A$5:$A$749&lt;=EOMONTH(CB$3,0))*'PA Fees Actual'!$D$5:$D$749),CB$3&gt;=EOMONTH($X35,-1)+1,$Y35,TRUE,0)</f>
        <v>0</v>
      </c>
      <c r="CC35" s="202" cm="1">
        <f t="array" ref="CC35">_xlfn.IFS(CC$3&lt;$B$2,SUMPRODUCT(('PA Fees Actual'!$B$5:$B$749=$E35)*('PA Fees Actual'!$A$5:$A$749&gt;=CC$3)*('PA Fees Actual'!$A$5:$A$749&lt;=EOMONTH(CC$3,0))*'PA Fees Actual'!$D$5:$D$749),CC$3&gt;=EOMONTH($X35,-1)+1,$Y35,TRUE,0)</f>
        <v>0</v>
      </c>
      <c r="CD35" s="202" cm="1">
        <f t="array" ref="CD35">_xlfn.IFS(CD$3&lt;$B$2,SUMPRODUCT(('PA Fees Actual'!$B$5:$B$749=$E35)*('PA Fees Actual'!$A$5:$A$749&gt;=CD$3)*('PA Fees Actual'!$A$5:$A$749&lt;=EOMONTH(CD$3,0))*'PA Fees Actual'!$D$5:$D$749),CD$3&gt;=EOMONTH($X35,-1)+1,$Y35,TRUE,0)</f>
        <v>0</v>
      </c>
      <c r="CE35" s="202" cm="1">
        <f t="array" ref="CE35">_xlfn.IFS(CE$3&lt;$B$2,SUMPRODUCT(('PA Fees Actual'!$B$5:$B$749=$E35)*('PA Fees Actual'!$A$5:$A$749&gt;=CE$3)*('PA Fees Actual'!$A$5:$A$749&lt;=EOMONTH(CE$3,0))*'PA Fees Actual'!$D$5:$D$749),CE$3&gt;=EOMONTH($X35,-1)+1,$Y35,TRUE,0)</f>
        <v>0</v>
      </c>
      <c r="CF35" s="202" cm="1">
        <f t="array" ref="CF35">_xlfn.IFS(CF$3&lt;$B$2,SUMPRODUCT(('PA Fees Actual'!$B$5:$B$749=$E35)*('PA Fees Actual'!$A$5:$A$749&gt;=CF$3)*('PA Fees Actual'!$A$5:$A$749&lt;=EOMONTH(CF$3,0))*'PA Fees Actual'!$D$5:$D$749),CF$3&gt;=EOMONTH($X35,-1)+1,$Y35,TRUE,0)</f>
        <v>0</v>
      </c>
      <c r="CG35" s="202" cm="1">
        <f t="array" ref="CG35">_xlfn.IFS(CG$3&lt;$B$2,SUMPRODUCT(('PA Fees Actual'!$B$5:$B$749=$E35)*('PA Fees Actual'!$A$5:$A$749&gt;=CG$3)*('PA Fees Actual'!$A$5:$A$749&lt;=EOMONTH(CG$3,0))*'PA Fees Actual'!$D$5:$D$749),CG$3&gt;=EOMONTH($X35,-1)+1,$Y35,TRUE,0)</f>
        <v>0</v>
      </c>
      <c r="CI35" s="202" cm="1">
        <f t="array" ref="CI35">_xlfn.IFS(CI$3&lt;=YEAR($B$2),SUMPRODUCT(($E$4:$E$79=$E35)*($Z$2:$CG$2=CI$3)*($Z$2:$CG$2&lt;CJ$3)*$Z$4:$CG$79),CI$3&lt;YEAR($X35),0,CI$3=YEAR($X35),DATEDIF($X35,DATE(CI$3,12,31),"m")*$Y35,AND(CI$3&gt;YEAR($X35),CI$3-YEAR($X35)&lt;20),$Y35*12,CI$3-YEAR($X35)=20,DATEDIF(DATE(YEAR($X35),1,1),$X35,"m")*$Y35,CI$3-YEAR($X35)&gt;20,0)</f>
        <v>0</v>
      </c>
      <c r="CJ35" s="202" cm="1">
        <f t="array" ref="CJ35">_xlfn.IFS(CJ$3&lt;=YEAR($B$2),SUMPRODUCT(($E$4:$E$79=$E35)*($Z$2:$CG$2=CJ$3)*($Z$2:$CG$2&lt;CK$3)*$Z$4:$CG$79),CJ$3&lt;YEAR($X35),0,CJ$3=YEAR($X35),DATEDIF($X35,DATE(CJ$3,12,31),"m")*$Y35,AND(CJ$3&gt;YEAR($X35),CJ$3-YEAR($X35)&lt;20),$Y35*12,CJ$3-YEAR($X35)=20,DATEDIF(DATE(YEAR($X35),1,1),$X35,"m")*$Y35,CJ$3-YEAR($X35)&gt;20,0)</f>
        <v>0</v>
      </c>
      <c r="CK35" s="202" cm="1">
        <f t="array" ref="CK35">_xlfn.IFS(CK$3&lt;=YEAR($B$2),SUMPRODUCT(($E$4:$E$79=$E35)*($Z$2:$CG$2=CK$3)*($Z$2:$CG$2&lt;CL$3)*$Z$4:$CG$79),CK$3&lt;YEAR($X35),0,CK$3=YEAR($X35),DATEDIF($X35,DATE(CK$3,12,31),"m")*$Y35,AND(CK$3&gt;YEAR($X35),CK$3-YEAR($X35)&lt;20),$Y35*12,CK$3-YEAR($X35)=20,DATEDIF(DATE(YEAR($X35),1,1),$X35,"m")*$Y35,CK$3-YEAR($X35)&gt;20,0)</f>
        <v>0</v>
      </c>
      <c r="CL35" s="202" cm="1">
        <f t="array" ref="CL35">_xlfn.IFS(CL$3&lt;=YEAR($B$2),SUMPRODUCT(($E$4:$E$79=$E35)*($Z$2:$CG$2=CL$3)*($Z$2:$CG$2&lt;CM$3)*$Z$4:$CG$79),CL$3&lt;YEAR($X35),0,CL$3=YEAR($X35),DATEDIF($X35,DATE(CL$3,12,31),"m")*$Y35,AND(CL$3&gt;YEAR($X35),CL$3-YEAR($X35)&lt;20),$Y35*12,CL$3-YEAR($X35)=20,DATEDIF(DATE(YEAR($X35),1,1),$X35,"m")*$Y35,CL$3-YEAR($X35)&gt;20,0)</f>
        <v>0</v>
      </c>
      <c r="CM35" s="202" cm="1">
        <f t="array" ref="CM35">_xlfn.IFS(CM$3&lt;=YEAR($B$2),SUMPRODUCT(($E$4:$E$79=$E35)*($Z$2:$CG$2=CM$3)*($Z$2:$CG$2&lt;CN$3)*$Z$4:$CG$79),CM$3&lt;YEAR($X35),0,CM$3=YEAR($X35),DATEDIF($X35,DATE(CM$3,12,31),"m")*$Y35,AND(CM$3&gt;YEAR($X35),CM$3-YEAR($X35)&lt;20),$Y35*12,CM$3-YEAR($X35)=20,DATEDIF(DATE(YEAR($X35),1,1),$X35,"m")*$Y35,CM$3-YEAR($X35)&gt;20,0)</f>
        <v>0</v>
      </c>
      <c r="CN35" s="202" cm="1">
        <f t="array" ref="CN35">_xlfn.IFS(CN$3&lt;=YEAR($B$2),SUMPRODUCT(($E$4:$E$79=$E35)*($Z$2:$CG$2=CN$3)*($Z$2:$CG$2&lt;CO$3)*$Z$4:$CG$79),CN$3&lt;YEAR($X35),0,CN$3=YEAR($X35),DATEDIF($X35,DATE(CN$3,12,31),"m")*$Y35,AND(CN$3&gt;YEAR($X35),CN$3-YEAR($X35)&lt;20),$Y35*12,CN$3-YEAR($X35)=20,DATEDIF(DATE(YEAR($X35),1,1),$X35,"m")*$Y35,CN$3-YEAR($X35)&gt;20,0)</f>
        <v>6502.5</v>
      </c>
      <c r="CO35" s="202" cm="1">
        <f t="array" ref="CO35">_xlfn.IFS(CO$3&lt;=YEAR($B$2),SUMPRODUCT(($E$4:$E$79=$E35)*($Z$2:$CG$2=CO$3)*($Z$2:$CG$2&lt;CP$3)*$Z$4:$CG$79),CO$3&lt;YEAR($X35),0,CO$3=YEAR($X35),DATEDIF($X35,DATE(CO$3,12,31),"m")*$Y35,AND(CO$3&gt;YEAR($X35),CO$3-YEAR($X35)&lt;20),$Y35*12,CO$3-YEAR($X35)=20,DATEDIF(DATE(YEAR($X35),1,1),$X35,"m")*$Y35,CO$3-YEAR($X35)&gt;20,0)</f>
        <v>19507.5</v>
      </c>
      <c r="CP35" s="202" cm="1">
        <f t="array" ref="CP35">_xlfn.IFS(CP$3&lt;=YEAR($B$2),SUMPRODUCT(($E$4:$E$79=$E35)*($Z$2:$CG$2=CP$3)*($Z$2:$CG$2&lt;CQ$3)*$Z$4:$CG$79),CP$3&lt;YEAR($X35),0,CP$3=YEAR($X35),DATEDIF($X35,DATE(CP$3,12,31),"m")*$Y35,AND(CP$3&gt;YEAR($X35),CP$3-YEAR($X35)&lt;20),$Y35*12,CP$3-YEAR($X35)=20,DATEDIF(DATE(YEAR($X35),1,1),$X35,"m")*$Y35,CP$3-YEAR($X35)&gt;20,0)</f>
        <v>19507.5</v>
      </c>
      <c r="CQ35" s="202" cm="1">
        <f t="array" ref="CQ35">_xlfn.IFS(CQ$3&lt;=YEAR($B$2),SUMPRODUCT(($E$4:$E$79=$E35)*($Z$2:$CG$2=CQ$3)*($Z$2:$CG$2&lt;CR$3)*$Z$4:$CG$79),CQ$3&lt;YEAR($X35),0,CQ$3=YEAR($X35),DATEDIF($X35,DATE(CQ$3,12,31),"m")*$Y35,AND(CQ$3&gt;YEAR($X35),CQ$3-YEAR($X35)&lt;20),$Y35*12,CQ$3-YEAR($X35)=20,DATEDIF(DATE(YEAR($X35),1,1),$X35,"m")*$Y35,CQ$3-YEAR($X35)&gt;20,0)</f>
        <v>19507.5</v>
      </c>
      <c r="CR35" s="202" cm="1">
        <f t="array" ref="CR35">_xlfn.IFS(CR$3&lt;=YEAR($B$2),SUMPRODUCT(($E$4:$E$79=$E35)*($Z$2:$CG$2=CR$3)*($Z$2:$CG$2&lt;CS$3)*$Z$4:$CG$79),CR$3&lt;YEAR($X35),0,CR$3=YEAR($X35),DATEDIF($X35,DATE(CR$3,12,31),"m")*$Y35,AND(CR$3&gt;YEAR($X35),CR$3-YEAR($X35)&lt;20),$Y35*12,CR$3-YEAR($X35)=20,DATEDIF(DATE(YEAR($X35),1,1),$X35,"m")*$Y35,CR$3-YEAR($X35)&gt;20,0)</f>
        <v>19507.5</v>
      </c>
      <c r="CS35" s="202" cm="1">
        <f t="array" ref="CS35">_xlfn.IFS(CS$3&lt;=YEAR($B$2),SUMPRODUCT(($E$4:$E$79=$E35)*($Z$2:$CG$2=CS$3)*($Z$2:$CG$2&lt;CT$3)*$Z$4:$CG$79),CS$3&lt;YEAR($X35),0,CS$3=YEAR($X35),DATEDIF($X35,DATE(CS$3,12,31),"m")*$Y35,AND(CS$3&gt;YEAR($X35),CS$3-YEAR($X35)&lt;20),$Y35*12,CS$3-YEAR($X35)=20,DATEDIF(DATE(YEAR($X35),1,1),$X35,"m")*$Y35,CS$3-YEAR($X35)&gt;20,0)</f>
        <v>19507.5</v>
      </c>
      <c r="CT35" s="202" cm="1">
        <f t="array" ref="CT35">_xlfn.IFS(CT$3&lt;=YEAR($B$2),SUMPRODUCT(($E$4:$E$79=$E35)*($Z$2:$CG$2=CT$3)*($Z$2:$CG$2&lt;CU$3)*$Z$4:$CG$79),CT$3&lt;YEAR($X35),0,CT$3=YEAR($X35),DATEDIF($X35,DATE(CT$3,12,31),"m")*$Y35,AND(CT$3&gt;YEAR($X35),CT$3-YEAR($X35)&lt;20),$Y35*12,CT$3-YEAR($X35)=20,DATEDIF(DATE(YEAR($X35),1,1),$X35,"m")*$Y35,CT$3-YEAR($X35)&gt;20,0)</f>
        <v>19507.5</v>
      </c>
      <c r="CU35" s="202" cm="1">
        <f t="array" ref="CU35">_xlfn.IFS(CU$3&lt;=YEAR($B$2),SUMPRODUCT(($E$4:$E$79=$E35)*($Z$2:$CG$2=CU$3)*($Z$2:$CG$2&lt;CV$3)*$Z$4:$CG$79),CU$3&lt;YEAR($X35),0,CU$3=YEAR($X35),DATEDIF($X35,DATE(CU$3,12,31),"m")*$Y35,AND(CU$3&gt;YEAR($X35),CU$3-YEAR($X35)&lt;20),$Y35*12,CU$3-YEAR($X35)=20,DATEDIF(DATE(YEAR($X35),1,1),$X35,"m")*$Y35,CU$3-YEAR($X35)&gt;20,0)</f>
        <v>19507.5</v>
      </c>
      <c r="CV35" s="202" cm="1">
        <f t="array" ref="CV35">_xlfn.IFS(CV$3&lt;=YEAR($B$2),SUMPRODUCT(($E$4:$E$79=$E35)*($Z$2:$CG$2=CV$3)*($Z$2:$CG$2&lt;CW$3)*$Z$4:$CG$79),CV$3&lt;YEAR($X35),0,CV$3=YEAR($X35),DATEDIF($X35,DATE(CV$3,12,31),"m")*$Y35,AND(CV$3&gt;YEAR($X35),CV$3-YEAR($X35)&lt;20),$Y35*12,CV$3-YEAR($X35)=20,DATEDIF(DATE(YEAR($X35),1,1),$X35,"m")*$Y35,CV$3-YEAR($X35)&gt;20,0)</f>
        <v>19507.5</v>
      </c>
      <c r="CW35" s="202" cm="1">
        <f t="array" ref="CW35">_xlfn.IFS(CW$3&lt;=YEAR($B$2),SUMPRODUCT(($E$4:$E$79=$E35)*($Z$2:$CG$2=CW$3)*($Z$2:$CG$2&lt;CX$3)*$Z$4:$CG$79),CW$3&lt;YEAR($X35),0,CW$3=YEAR($X35),DATEDIF($X35,DATE(CW$3,12,31),"m")*$Y35,AND(CW$3&gt;YEAR($X35),CW$3-YEAR($X35)&lt;20),$Y35*12,CW$3-YEAR($X35)=20,DATEDIF(DATE(YEAR($X35),1,1),$X35,"m")*$Y35,CW$3-YEAR($X35)&gt;20,0)</f>
        <v>19507.5</v>
      </c>
      <c r="CX35" s="202" cm="1">
        <f t="array" ref="CX35">_xlfn.IFS(CX$3&lt;=YEAR($B$2),SUMPRODUCT(($E$4:$E$79=$E35)*($Z$2:$CG$2=CX$3)*($Z$2:$CG$2&lt;CY$3)*$Z$4:$CG$79),CX$3&lt;YEAR($X35),0,CX$3=YEAR($X35),DATEDIF($X35,DATE(CX$3,12,31),"m")*$Y35,AND(CX$3&gt;YEAR($X35),CX$3-YEAR($X35)&lt;20),$Y35*12,CX$3-YEAR($X35)=20,DATEDIF(DATE(YEAR($X35),1,1),$X35,"m")*$Y35,CX$3-YEAR($X35)&gt;20,0)</f>
        <v>19507.5</v>
      </c>
      <c r="CY35" s="202" cm="1">
        <f t="array" ref="CY35">_xlfn.IFS(CY$3&lt;=YEAR($B$2),SUMPRODUCT(($E$4:$E$79=$E35)*($Z$2:$CG$2=CY$3)*($Z$2:$CG$2&lt;CZ$3)*$Z$4:$CG$79),CY$3&lt;YEAR($X35),0,CY$3=YEAR($X35),DATEDIF($X35,DATE(CY$3,12,31),"m")*$Y35,AND(CY$3&gt;YEAR($X35),CY$3-YEAR($X35)&lt;20),$Y35*12,CY$3-YEAR($X35)=20,DATEDIF(DATE(YEAR($X35),1,1),$X35,"m")*$Y35,CY$3-YEAR($X35)&gt;20,0)</f>
        <v>19507.5</v>
      </c>
      <c r="CZ35" s="202" cm="1">
        <f t="array" ref="CZ35">_xlfn.IFS(CZ$3&lt;=YEAR($B$2),SUMPRODUCT(($E$4:$E$79=$E35)*($Z$2:$CG$2=CZ$3)*($Z$2:$CG$2&lt;DA$3)*$Z$4:$CG$79),CZ$3&lt;YEAR($X35),0,CZ$3=YEAR($X35),DATEDIF($X35,DATE(CZ$3,12,31),"m")*$Y35,AND(CZ$3&gt;YEAR($X35),CZ$3-YEAR($X35)&lt;20),$Y35*12,CZ$3-YEAR($X35)=20,DATEDIF(DATE(YEAR($X35),1,1),$X35,"m")*$Y35,CZ$3-YEAR($X35)&gt;20,0)</f>
        <v>19507.5</v>
      </c>
      <c r="DA35" s="202" cm="1">
        <f t="array" ref="DA35">_xlfn.IFS(DA$3&lt;=YEAR($B$2),SUMPRODUCT(($E$4:$E$79=$E35)*($Z$2:$CG$2=DA$3)*($Z$2:$CG$2&lt;DB$3)*$Z$4:$CG$79),DA$3&lt;YEAR($X35),0,DA$3=YEAR($X35),DATEDIF($X35,DATE(DA$3,12,31),"m")*$Y35,AND(DA$3&gt;YEAR($X35),DA$3-YEAR($X35)&lt;20),$Y35*12,DA$3-YEAR($X35)=20,DATEDIF(DATE(YEAR($X35),1,1),$X35,"m")*$Y35,DA$3-YEAR($X35)&gt;20,0)</f>
        <v>19507.5</v>
      </c>
      <c r="DB35" s="202" cm="1">
        <f t="array" ref="DB35">_xlfn.IFS(DB$3&lt;=YEAR($B$2),SUMPRODUCT(($E$4:$E$79=$E35)*($Z$2:$CG$2=DB$3)*($Z$2:$CG$2&lt;DC$3)*$Z$4:$CG$79),DB$3&lt;YEAR($X35),0,DB$3=YEAR($X35),DATEDIF($X35,DATE(DB$3,12,31),"m")*$Y35,AND(DB$3&gt;YEAR($X35),DB$3-YEAR($X35)&lt;20),$Y35*12,DB$3-YEAR($X35)=20,DATEDIF(DATE(YEAR($X35),1,1),$X35,"m")*$Y35,DB$3-YEAR($X35)&gt;20,0)</f>
        <v>19507.5</v>
      </c>
      <c r="DC35" s="202" cm="1">
        <f t="array" ref="DC35">_xlfn.IFS(DC$3&lt;=YEAR($B$2),SUMPRODUCT(($E$4:$E$79=$E35)*($Z$2:$CG$2=DC$3)*($Z$2:$CG$2&lt;DD$3)*$Z$4:$CG$79),DC$3&lt;YEAR($X35),0,DC$3=YEAR($X35),DATEDIF($X35,DATE(DC$3,12,31),"m")*$Y35,AND(DC$3&gt;YEAR($X35),DC$3-YEAR($X35)&lt;20),$Y35*12,DC$3-YEAR($X35)=20,DATEDIF(DATE(YEAR($X35),1,1),$X35,"m")*$Y35,DC$3-YEAR($X35)&gt;20,0)</f>
        <v>19507.5</v>
      </c>
      <c r="DD35" s="202" cm="1">
        <f t="array" ref="DD35">_xlfn.IFS(DD$3&lt;=YEAR($B$2),SUMPRODUCT(($E$4:$E$79=$E35)*($Z$2:$CG$2=DD$3)*($Z$2:$CG$2&lt;DE$3)*$Z$4:$CG$79),DD$3&lt;YEAR($X35),0,DD$3=YEAR($X35),DATEDIF($X35,DATE(DD$3,12,31),"m")*$Y35,AND(DD$3&gt;YEAR($X35),DD$3-YEAR($X35)&lt;20),$Y35*12,DD$3-YEAR($X35)=20,DATEDIF(DATE(YEAR($X35),1,1),$X35,"m")*$Y35,DD$3-YEAR($X35)&gt;20,0)</f>
        <v>19507.5</v>
      </c>
      <c r="DE35" s="202" cm="1">
        <f t="array" ref="DE35">_xlfn.IFS(DE$3&lt;=YEAR($B$2),SUMPRODUCT(($E$4:$E$79=$E35)*($Z$2:$CG$2=DE$3)*($Z$2:$CG$2&lt;DF$3)*$Z$4:$CG$79),DE$3&lt;YEAR($X35),0,DE$3=YEAR($X35),DATEDIF($X35,DATE(DE$3,12,31),"m")*$Y35,AND(DE$3&gt;YEAR($X35),DE$3-YEAR($X35)&lt;20),$Y35*12,DE$3-YEAR($X35)=20,DATEDIF(DATE(YEAR($X35),1,1),$X35,"m")*$Y35,DE$3-YEAR($X35)&gt;20,0)</f>
        <v>19507.5</v>
      </c>
      <c r="DF35" s="202" cm="1">
        <f t="array" ref="DF35">_xlfn.IFS(DF$3&lt;=YEAR($B$2),SUMPRODUCT(($E$4:$E$79=$E35)*($Z$2:$CG$2=DF$3)*($Z$2:$CG$2&lt;DG$3)*$Z$4:$CG$79),DF$3&lt;YEAR($X35),0,DF$3=YEAR($X35),DATEDIF($X35,DATE(DF$3,12,31),"m")*$Y35,AND(DF$3&gt;YEAR($X35),DF$3-YEAR($X35)&lt;20),$Y35*12,DF$3-YEAR($X35)=20,DATEDIF(DATE(YEAR($X35),1,1),$X35,"m")*$Y35,DF$3-YEAR($X35)&gt;20,0)</f>
        <v>19507.5</v>
      </c>
      <c r="DG35" s="202" cm="1">
        <f t="array" ref="DG35">_xlfn.IFS(DG$3&lt;=YEAR($B$2),SUMPRODUCT(($E$4:$E$79=$E35)*($Z$2:$CG$2=DG$3)*($Z$2:$CG$2&lt;DH$3)*$Z$4:$CG$79),DG$3&lt;YEAR($X35),0,DG$3=YEAR($X35),DATEDIF($X35,DATE(DG$3,12,31),"m")*$Y35,AND(DG$3&gt;YEAR($X35),DG$3-YEAR($X35)&lt;20),$Y35*12,DG$3-YEAR($X35)=20,DATEDIF(DATE(YEAR($X35),1,1),$X35,"m")*$Y35,DG$3-YEAR($X35)&gt;20,0)</f>
        <v>19507.5</v>
      </c>
      <c r="DH35" s="202" cm="1">
        <f t="array" ref="DH35">_xlfn.IFS(DH$3&lt;=YEAR($B$2),SUMPRODUCT(($E$4:$E$79=$E35)*($Z$2:$CG$2=DH$3)*($Z$2:$CG$2&lt;DI$3)*$Z$4:$CG$79),DH$3&lt;YEAR($X35),0,DH$3=YEAR($X35),DATEDIF($X35,DATE(DH$3,12,31),"m")*$Y35,AND(DH$3&gt;YEAR($X35),DH$3-YEAR($X35)&lt;20),$Y35*12,DH$3-YEAR($X35)=20,DATEDIF(DATE(YEAR($X35),1,1),$X35,"m")*$Y35,DH$3-YEAR($X35)&gt;20,0)</f>
        <v>11379.375</v>
      </c>
      <c r="DI35" s="202" cm="1">
        <f t="array" ref="DI35">_xlfn.IFS(DI$3&lt;=YEAR($B$2),SUMPRODUCT(($E$4:$E$79=$E35)*($Z$2:$CG$2=DI$3)*($Z$2:$CG$2&lt;DJ$3)*$Z$4:$CG$79),DI$3&lt;YEAR($X35),0,DI$3=YEAR($X35),DATEDIF($X35,DATE(DI$3,12,31),"m")*$Y35,AND(DI$3&gt;YEAR($X35),DI$3-YEAR($X35)&lt;20),$Y35*12,DI$3-YEAR($X35)=20,DATEDIF(DATE(YEAR($X35),1,1),$X35,"m")*$Y35,DI$3-YEAR($X35)&gt;20,0)</f>
        <v>0</v>
      </c>
      <c r="DJ35" s="202" cm="1">
        <f t="array" ref="DJ35">_xlfn.IFS(DJ$3&lt;=YEAR($B$2),SUMPRODUCT(($E$4:$E$79=$E35)*($Z$2:$CG$2=DJ$3)*($Z$2:$CG$2&lt;DK$3)*$Z$4:$CG$79),DJ$3&lt;YEAR($X35),0,DJ$3=YEAR($X35),DATEDIF($X35,DATE(DJ$3,12,31),"m")*$Y35,AND(DJ$3&gt;YEAR($X35),DJ$3-YEAR($X35)&lt;20),$Y35*12,DJ$3-YEAR($X35)=20,DATEDIF(DATE(YEAR($X35),1,1),$X35,"m")*$Y35,DJ$3-YEAR($X35)&gt;20,0)</f>
        <v>0</v>
      </c>
      <c r="DK35" s="202" cm="1">
        <f t="array" ref="DK35">_xlfn.IFS(DK$3&lt;=YEAR($B$2),SUMPRODUCT(($E$4:$E$79=$E35)*($Z$2:$CG$2=DK$3)*($Z$2:$CG$2&lt;DL$3)*$Z$4:$CG$79),DK$3&lt;YEAR($X35),0,DK$3=YEAR($X35),DATEDIF($X35,DATE(DK$3,12,31),"m")*$Y35,AND(DK$3&gt;YEAR($X35),DK$3-YEAR($X35)&lt;20),$Y35*12,DK$3-YEAR($X35)=20,DATEDIF(DATE(YEAR($X35),1,1),$X35,"m")*$Y35,DK$3-YEAR($X35)&gt;20,0)</f>
        <v>0</v>
      </c>
      <c r="DL35" s="202" cm="1">
        <f t="array" ref="DL35">_xlfn.IFS(DL$3&lt;=YEAR($B$2),SUMPRODUCT(($E$4:$E$79=$E35)*($Z$2:$CG$2=DL$3)*($Z$2:$CG$2&lt;DM$3)*$Z$4:$CG$79),DL$3&lt;YEAR($X35),0,DL$3=YEAR($X35),DATEDIF($X35,DATE(DL$3,12,31),"m")*$Y35,AND(DL$3&gt;YEAR($X35),DL$3-YEAR($X35)&lt;20),$Y35*12,DL$3-YEAR($X35)=20,DATEDIF(DATE(YEAR($X35),1,1),$X35,"m")*$Y35,DL$3-YEAR($X35)&gt;20,0)</f>
        <v>0</v>
      </c>
      <c r="DO35" s="166">
        <f t="shared" si="26"/>
        <v>2044</v>
      </c>
      <c r="DP35" s="158">
        <v>411241.05</v>
      </c>
      <c r="DQ35" s="158">
        <v>422058.74330000003</v>
      </c>
      <c r="DR35" s="158">
        <v>14919.625</v>
      </c>
      <c r="DS35" s="158">
        <f t="shared" si="27"/>
        <v>848219.41830000002</v>
      </c>
    </row>
    <row r="36" spans="1:123">
      <c r="A36" s="155" t="str" cm="1">
        <f t="array" ref="A36">INDEX('Monthly Report July 2025'!C:C,MATCH(E36,'Monthly Report July 2025'!E:E,0),0)</f>
        <v>SPQ0266</v>
      </c>
      <c r="B36" s="155" t="str" cm="1">
        <f t="array" ref="B36">_xlfn.IFS(LEFT(E36,3)="PGE","PGE",LEFT(E36,2)="PP","PAC",TRUE,"IP")</f>
        <v>PGE</v>
      </c>
      <c r="C36" s="155" t="str">
        <f>IF(ISNA(MATCH(E36,'Monthly Report July 2025'!E:E,0)),"Missing","Present")</f>
        <v>Present</v>
      </c>
      <c r="D36" s="155" t="str">
        <f>IF(ISNA(MATCH(E36,'Project Operational Timelines'!C:C,0))=TRUE,"Missing","Present")</f>
        <v>Present</v>
      </c>
      <c r="E36" s="155" t="s">
        <v>144</v>
      </c>
      <c r="F36" s="155" t="str" cm="1">
        <f t="array" ref="F36">INDEX('Monthly Report July 2025'!F:F,MATCH(E36,'Monthly Report July 2025'!E:E,),0)</f>
        <v>Apricus Solar LLC</v>
      </c>
      <c r="G36" s="155" t="str" cm="1">
        <f t="array" ref="G36">_xlfn.IFS(INDEX('Monthly Report July 2025'!O:O,MATCH(E36,'Monthly Report July 2025'!E:E,0),0)="Operational","Operational",INDEX('Monthly Report July 2025'!O:O,MATCH(E36,'Monthly Report July 2025'!E:E,0),0)="Certified","Certified",TRUE,"Pre-Certified")</f>
        <v>Pre-Certified</v>
      </c>
      <c r="H36" s="155" t="str" cm="1">
        <f t="array" ref="H36">INDEX('Monthly Report July 2025'!H:H,MATCH($E36,'Monthly Report July 2025'!$E:$E,0),0)</f>
        <v>Conifer Energy Partners</v>
      </c>
      <c r="I36" s="155" t="str" cm="1">
        <f t="array" ref="I36">INDEX('Monthly Report July 2025'!I:I,MATCH($E36,'Monthly Report July 2025'!$E:$E,0),0)</f>
        <v>Kendall Sustainable Infrastructure</v>
      </c>
      <c r="J36" s="174" cm="1">
        <f t="array" ref="J36">INDEX('Monthly Report July 2025'!J:J,MATCH($E36,'Monthly Report July 2025'!$E:$E,0),0)</f>
        <v>2</v>
      </c>
      <c r="K36" s="174" t="str" cm="1">
        <f t="array" ref="K36">INDEX('Monthly Report July 2025'!K:K,MATCH($E36,'Monthly Report July 2025'!$E:$E,0),0)</f>
        <v>No</v>
      </c>
      <c r="L36" s="174" t="b" cm="1">
        <f t="array" ref="L36">INDEX('Monthly Report July 2025'!L:L,MATCH(E36,'Monthly Report July 2025'!E:E,0),0)=M36</f>
        <v>1</v>
      </c>
      <c r="M36" s="273" cm="1">
        <f t="array" ref="M36">INDEX('Monthly Report July 2025'!L:L,MATCH($E36,'Monthly Report July 2025'!$E:$E,0),0)</f>
        <v>2500</v>
      </c>
      <c r="N36" s="175" cm="1">
        <f t="array" ref="N36">INDEX('Monthly Report July 2025'!M:M,MATCH($E36,'Monthly Report July 2025'!$E:$E,0),0)</f>
        <v>45122</v>
      </c>
      <c r="O36" s="175" cm="1">
        <f t="array" ref="O36">_xlfn.IFS(G36="Operational","Operational",G36="Certified","Certified",TRUE,INDEX('Monthly Report July 2025'!O:O,MATCH(E36,'Monthly Report July 2025'!E:E,0),0))</f>
        <v>45925</v>
      </c>
      <c r="P36" s="175" t="b" cm="1">
        <f t="array" ref="P36">_xlfn.IFS(G36="Operational",O36="Operational",G36="Certified",O36="Certified",TRUE,G36="Pre-Certified")</f>
        <v>1</v>
      </c>
      <c r="Q36" s="175" t="str" cm="1">
        <f t="array" ref="Q36">IF(O36="Operational",INDEX('Monthly Report July 2025'!R:R,MATCH(E36,'Monthly Report July 2025'!E:E,0),0),"")</f>
        <v/>
      </c>
      <c r="R36" s="175" t="str" cm="1">
        <f t="array" ref="R36">INDEX('Monthly Report July 2025'!P:P,MATCH(E36,'Monthly Report July 2025'!E:E,0),0)</f>
        <v>Not Yet Certified</v>
      </c>
      <c r="S36" s="175" t="b">
        <f t="shared" ref="S36:S66" si="28">IF(OR(G36="Operational",G36="Certified"),R36&lt;&gt;"Not Yet Certified",R36="Not Yet Certified")</f>
        <v>1</v>
      </c>
      <c r="T36" s="175" cm="1">
        <f t="array" ref="T36">INDEX('Monthly Report July 2025'!U:U,MATCH(E36,'Monthly Report July 2025'!E:E,0),0)</f>
        <v>45925</v>
      </c>
      <c r="U36" s="175" t="b">
        <f t="shared" si="6"/>
        <v>1</v>
      </c>
      <c r="V36" s="156">
        <f t="shared" ref="V36:V79" si="29">IF(OR(O36="Certified",O36="Operational"),R36,O36)</f>
        <v>45925</v>
      </c>
      <c r="W36" s="156" cm="1">
        <f t="array" ref="W36">_xlfn.IFS(U36=TRUE,EDATE(O36,6),U36=FALSE,T36,O36="Operational",Q36,AND(O36="Certified",EDATE(R36,6)&gt;T36),EDATE(R36,6),TRUE,T36)</f>
        <v>46106</v>
      </c>
      <c r="X36" s="156">
        <f t="shared" ref="X36:X65" si="30">IFERROR(EDATE(W36,2),EDATE(O36,8))</f>
        <v>46167</v>
      </c>
      <c r="Y36" s="157">
        <f t="shared" ref="Y36:Y67" si="31">IF(K36="No",M36*0.85*0.85,M36*0.85*0.45)</f>
        <v>1806.25</v>
      </c>
      <c r="Z36" s="202" cm="1">
        <f t="array" ref="Z36">_xlfn.IFS(Z$3&lt;$B$2,SUMPRODUCT(('PA Fees Actual'!$B$5:$B$882=$E36)*('PA Fees Actual'!$A$5:$A$882&gt;=Z$3)*('PA Fees Actual'!$A$5:$A$882&lt;=EOMONTH(Z$3,0))*'PA Fees Actual'!$D$5:$D$882),Z$3&gt;=EOMONTH($X36,-1)+1,$Y36,TRUE,0)</f>
        <v>0</v>
      </c>
      <c r="AA36" s="202" cm="1">
        <f t="array" ref="AA36">_xlfn.IFS(AA$3&lt;$B$2,SUMPRODUCT(('PA Fees Actual'!$B$5:$B$882=$E36)*('PA Fees Actual'!$A$5:$A$882&gt;=AA$3)*('PA Fees Actual'!$A$5:$A$882&lt;=EOMONTH(AA$3,0))*'PA Fees Actual'!$D$5:$D$882),AA$3&gt;=EOMONTH($X36,-1)+1,$Y36,TRUE,0)</f>
        <v>0</v>
      </c>
      <c r="AB36" s="202" cm="1">
        <f t="array" ref="AB36">_xlfn.IFS(AB$3&lt;$B$2,SUMPRODUCT(('PA Fees Actual'!$B$5:$B$882=$E36)*('PA Fees Actual'!$A$5:$A$882&gt;=AB$3)*('PA Fees Actual'!$A$5:$A$882&lt;=EOMONTH(AB$3,0))*'PA Fees Actual'!$D$5:$D$882),AB$3&gt;=EOMONTH($X36,-1)+1,$Y36,TRUE,0)</f>
        <v>0</v>
      </c>
      <c r="AC36" s="202" cm="1">
        <f t="array" ref="AC36">_xlfn.IFS(AC$3&lt;$B$2,SUMPRODUCT(('PA Fees Actual'!$B$5:$B$882=$E36)*('PA Fees Actual'!$A$5:$A$882&gt;=AC$3)*('PA Fees Actual'!$A$5:$A$882&lt;=EOMONTH(AC$3,0))*'PA Fees Actual'!$D$5:$D$882),AC$3&gt;=EOMONTH($X36,-1)+1,$Y36,TRUE,0)</f>
        <v>0</v>
      </c>
      <c r="AD36" s="202" cm="1">
        <f t="array" ref="AD36">_xlfn.IFS(AD$3&lt;$B$2,SUMPRODUCT(('PA Fees Actual'!$B$5:$B$882=$E36)*('PA Fees Actual'!$A$5:$A$882&gt;=AD$3)*('PA Fees Actual'!$A$5:$A$882&lt;=EOMONTH(AD$3,0))*'PA Fees Actual'!$D$5:$D$882),AD$3&gt;=EOMONTH($X36,-1)+1,$Y36,TRUE,0)</f>
        <v>0</v>
      </c>
      <c r="AE36" s="202" cm="1">
        <f t="array" ref="AE36">_xlfn.IFS(AE$3&lt;$B$2,SUMPRODUCT(('PA Fees Actual'!$B$5:$B$882=$E36)*('PA Fees Actual'!$A$5:$A$882&gt;=AE$3)*('PA Fees Actual'!$A$5:$A$882&lt;=EOMONTH(AE$3,0))*'PA Fees Actual'!$D$5:$D$882),AE$3&gt;=EOMONTH($X36,-1)+1,$Y36,TRUE,0)</f>
        <v>0</v>
      </c>
      <c r="AF36" s="202" cm="1">
        <f t="array" ref="AF36">_xlfn.IFS(AF$3&lt;$B$2,SUMPRODUCT(('PA Fees Actual'!$B$5:$B$882=$E36)*('PA Fees Actual'!$A$5:$A$882&gt;=AF$3)*('PA Fees Actual'!$A$5:$A$882&lt;=EOMONTH(AF$3,0))*'PA Fees Actual'!$D$5:$D$882),AF$3&gt;=EOMONTH($X36,-1)+1,$Y36,TRUE,0)</f>
        <v>0</v>
      </c>
      <c r="AG36" s="202" cm="1">
        <f t="array" ref="AG36">_xlfn.IFS(AG$3&lt;$B$2,SUMPRODUCT(('PA Fees Actual'!$B$5:$B$882=$E36)*('PA Fees Actual'!$A$5:$A$882&gt;=AG$3)*('PA Fees Actual'!$A$5:$A$882&lt;=EOMONTH(AG$3,0))*'PA Fees Actual'!$D$5:$D$882),AG$3&gt;=EOMONTH($X36,-1)+1,$Y36,TRUE,0)</f>
        <v>0</v>
      </c>
      <c r="AH36" s="202" cm="1">
        <f t="array" ref="AH36">_xlfn.IFS(AH$3&lt;$B$2,SUMPRODUCT(('PA Fees Actual'!$B$5:$B$882=$E36)*('PA Fees Actual'!$A$5:$A$882&gt;=AH$3)*('PA Fees Actual'!$A$5:$A$882&lt;=EOMONTH(AH$3,0))*'PA Fees Actual'!$D$5:$D$882),AH$3&gt;=EOMONTH($X36,-1)+1,$Y36,TRUE,0)</f>
        <v>0</v>
      </c>
      <c r="AI36" s="202" cm="1">
        <f t="array" ref="AI36">_xlfn.IFS(AI$3&lt;$B$2,SUMPRODUCT(('PA Fees Actual'!$B$5:$B$882=$E36)*('PA Fees Actual'!$A$5:$A$882&gt;=AI$3)*('PA Fees Actual'!$A$5:$A$882&lt;=EOMONTH(AI$3,0))*'PA Fees Actual'!$D$5:$D$882),AI$3&gt;=EOMONTH($X36,-1)+1,$Y36,TRUE,0)</f>
        <v>0</v>
      </c>
      <c r="AJ36" s="202" cm="1">
        <f t="array" ref="AJ36">_xlfn.IFS(AJ$3&lt;$B$2,SUMPRODUCT(('PA Fees Actual'!$B$5:$B$882=$E36)*('PA Fees Actual'!$A$5:$A$882&gt;=AJ$3)*('PA Fees Actual'!$A$5:$A$882&lt;=EOMONTH(AJ$3,0))*'PA Fees Actual'!$D$5:$D$882),AJ$3&gt;=EOMONTH($X36,-1)+1,$Y36,TRUE,0)</f>
        <v>0</v>
      </c>
      <c r="AK36" s="202" cm="1">
        <f t="array" ref="AK36">_xlfn.IFS(AK$3&lt;$B$2,SUMPRODUCT(('PA Fees Actual'!$B$5:$B$882=$E36)*('PA Fees Actual'!$A$5:$A$882&gt;=AK$3)*('PA Fees Actual'!$A$5:$A$882&lt;=EOMONTH(AK$3,0))*'PA Fees Actual'!$D$5:$D$882),AK$3&gt;=EOMONTH($X36,-1)+1,$Y36,TRUE,0)</f>
        <v>0</v>
      </c>
      <c r="AL36" s="202" cm="1">
        <f t="array" ref="AL36">_xlfn.IFS(AL$3&lt;$B$2,SUMPRODUCT(('PA Fees Actual'!$B$5:$B$882=$E36)*('PA Fees Actual'!$A$5:$A$882&gt;=AL$3)*('PA Fees Actual'!$A$5:$A$882&lt;=EOMONTH(AL$3,0))*'PA Fees Actual'!$D$5:$D$882),AL$3&gt;=EOMONTH($X36,-1)+1,$Y36,TRUE,0)</f>
        <v>0</v>
      </c>
      <c r="AM36" s="202" cm="1">
        <f t="array" ref="AM36">_xlfn.IFS(AM$3&lt;$B$2,SUMPRODUCT(('PA Fees Actual'!$B$5:$B$882=$E36)*('PA Fees Actual'!$A$5:$A$882&gt;=AM$3)*('PA Fees Actual'!$A$5:$A$882&lt;=EOMONTH(AM$3,0))*'PA Fees Actual'!$D$5:$D$882),AM$3&gt;=EOMONTH($X36,-1)+1,$Y36,TRUE,0)</f>
        <v>0</v>
      </c>
      <c r="AN36" s="202" cm="1">
        <f t="array" ref="AN36">_xlfn.IFS(AN$3&lt;$B$2,SUMPRODUCT(('PA Fees Actual'!$B$5:$B$882=$E36)*('PA Fees Actual'!$A$5:$A$882&gt;=AN$3)*('PA Fees Actual'!$A$5:$A$882&lt;=EOMONTH(AN$3,0))*'PA Fees Actual'!$D$5:$D$882),AN$3&gt;=EOMONTH($X36,-1)+1,$Y36,TRUE,0)</f>
        <v>0</v>
      </c>
      <c r="AO36" s="202" cm="1">
        <f t="array" ref="AO36">_xlfn.IFS(AO$3&lt;$B$2,SUMPRODUCT(('PA Fees Actual'!$B$5:$B$882=$E36)*('PA Fees Actual'!$A$5:$A$882&gt;=AO$3)*('PA Fees Actual'!$A$5:$A$882&lt;=EOMONTH(AO$3,0))*'PA Fees Actual'!$D$5:$D$882),AO$3&gt;=EOMONTH($X36,-1)+1,$Y36,TRUE,0)</f>
        <v>0</v>
      </c>
      <c r="AP36" s="202" cm="1">
        <f t="array" ref="AP36">_xlfn.IFS(AP$3&lt;$B$2,SUMPRODUCT(('PA Fees Actual'!$B$5:$B$882=$E36)*('PA Fees Actual'!$A$5:$A$882&gt;=AP$3)*('PA Fees Actual'!$A$5:$A$882&lt;=EOMONTH(AP$3,0))*'PA Fees Actual'!$D$5:$D$882),AP$3&gt;=EOMONTH($X36,-1)+1,$Y36,TRUE,0)</f>
        <v>0</v>
      </c>
      <c r="AQ36" s="202" cm="1">
        <f t="array" ref="AQ36">_xlfn.IFS(AQ$3&lt;$B$2,SUMPRODUCT(('PA Fees Actual'!$B$5:$B$882=$E36)*('PA Fees Actual'!$A$5:$A$882&gt;=AQ$3)*('PA Fees Actual'!$A$5:$A$882&lt;=EOMONTH(AQ$3,0))*'PA Fees Actual'!$D$5:$D$882),AQ$3&gt;=EOMONTH($X36,-1)+1,$Y36,TRUE,0)</f>
        <v>0</v>
      </c>
      <c r="AR36" s="202" cm="1">
        <f t="array" ref="AR36">_xlfn.IFS(AR$3&lt;$B$2,SUMPRODUCT(('PA Fees Actual'!$B$5:$B$882=$E36)*('PA Fees Actual'!$A$5:$A$882&gt;=AR$3)*('PA Fees Actual'!$A$5:$A$882&lt;=EOMONTH(AR$3,0))*'PA Fees Actual'!$D$5:$D$882),AR$3&gt;=EOMONTH($X36,-1)+1,$Y36,TRUE,0)</f>
        <v>0</v>
      </c>
      <c r="AS36" s="202" cm="1">
        <f t="array" ref="AS36">_xlfn.IFS(AS$3&lt;$B$2,SUMPRODUCT(('PA Fees Actual'!$B$5:$B$882=$E36)*('PA Fees Actual'!$A$5:$A$882&gt;=AS$3)*('PA Fees Actual'!$A$5:$A$882&lt;=EOMONTH(AS$3,0))*'PA Fees Actual'!$D$5:$D$882),AS$3&gt;=EOMONTH($X36,-1)+1,$Y36,TRUE,0)</f>
        <v>0</v>
      </c>
      <c r="AT36" s="202" cm="1">
        <f t="array" ref="AT36">_xlfn.IFS(AT$3&lt;$B$2,SUMPRODUCT(('PA Fees Actual'!$B$5:$B$882=$E36)*('PA Fees Actual'!$A$5:$A$882&gt;=AT$3)*('PA Fees Actual'!$A$5:$A$882&lt;=EOMONTH(AT$3,0))*'PA Fees Actual'!$D$5:$D$882),AT$3&gt;=EOMONTH($X36,-1)+1,$Y36,TRUE,0)</f>
        <v>0</v>
      </c>
      <c r="AU36" s="202" cm="1">
        <f t="array" ref="AU36">_xlfn.IFS(AU$3&lt;$B$2,SUMPRODUCT(('PA Fees Actual'!$B$5:$B$882=$E36)*('PA Fees Actual'!$A$5:$A$882&gt;=AU$3)*('PA Fees Actual'!$A$5:$A$882&lt;=EOMONTH(AU$3,0))*'PA Fees Actual'!$D$5:$D$882),AU$3&gt;=EOMONTH($X36,-1)+1,$Y36,TRUE,0)</f>
        <v>0</v>
      </c>
      <c r="AV36" s="202" cm="1">
        <f t="array" ref="AV36">_xlfn.IFS(AV$3&lt;$B$2,SUMPRODUCT(('PA Fees Actual'!$B$5:$B$882=$E36)*('PA Fees Actual'!$A$5:$A$882&gt;=AV$3)*('PA Fees Actual'!$A$5:$A$882&lt;=EOMONTH(AV$3,0))*'PA Fees Actual'!$D$5:$D$882),AV$3&gt;=EOMONTH($X36,-1)+1,$Y36,TRUE,0)</f>
        <v>0</v>
      </c>
      <c r="AW36" s="202" cm="1">
        <f t="array" ref="AW36">_xlfn.IFS(AW$3&lt;$B$2,SUMPRODUCT(('PA Fees Actual'!$B$5:$B$882=$E36)*('PA Fees Actual'!$A$5:$A$882&gt;=AW$3)*('PA Fees Actual'!$A$5:$A$882&lt;=EOMONTH(AW$3,0))*'PA Fees Actual'!$D$5:$D$882),AW$3&gt;=EOMONTH($X36,-1)+1,$Y36,TRUE,0)</f>
        <v>0</v>
      </c>
      <c r="AX36" s="202" cm="1">
        <f t="array" ref="AX36">_xlfn.IFS(AX$3&lt;$B$2,SUMPRODUCT(('PA Fees Actual'!$B$5:$B$882=$E36)*('PA Fees Actual'!$A$5:$A$882&gt;=AX$3)*('PA Fees Actual'!$A$5:$A$882&lt;=EOMONTH(AX$3,0))*'PA Fees Actual'!$D$5:$D$882),AX$3&gt;=EOMONTH($X36,-1)+1,$Y36,TRUE,0)</f>
        <v>0</v>
      </c>
      <c r="AY36" s="202" cm="1">
        <f t="array" ref="AY36">_xlfn.IFS(AY$3&lt;$B$2,SUMPRODUCT(('PA Fees Actual'!$B$5:$B$882=$E36)*('PA Fees Actual'!$A$5:$A$882&gt;=AY$3)*('PA Fees Actual'!$A$5:$A$882&lt;=EOMONTH(AY$3,0))*'PA Fees Actual'!$D$5:$D$882),AY$3&gt;=EOMONTH($X36,-1)+1,$Y36,TRUE,0)</f>
        <v>0</v>
      </c>
      <c r="AZ36" s="202" cm="1">
        <f t="array" ref="AZ36">_xlfn.IFS(AZ$3&lt;$B$2,SUMPRODUCT(('PA Fees Actual'!$B$5:$B$882=$E36)*('PA Fees Actual'!$A$5:$A$882&gt;=AZ$3)*('PA Fees Actual'!$A$5:$A$882&lt;=EOMONTH(AZ$3,0))*'PA Fees Actual'!$D$5:$D$882),AZ$3&gt;=EOMONTH($X36,-1)+1,$Y36,TRUE,0)</f>
        <v>0</v>
      </c>
      <c r="BA36" s="202" cm="1">
        <f t="array" ref="BA36">_xlfn.IFS(BA$3&lt;$B$2,SUMPRODUCT(('PA Fees Actual'!$B$5:$B$882=$E36)*('PA Fees Actual'!$A$5:$A$882&gt;=BA$3)*('PA Fees Actual'!$A$5:$A$882&lt;=EOMONTH(BA$3,0))*'PA Fees Actual'!$D$5:$D$882),BA$3&gt;=EOMONTH($X36,-1)+1,$Y36,TRUE,0)</f>
        <v>0</v>
      </c>
      <c r="BB36" s="202" cm="1">
        <f t="array" ref="BB36">_xlfn.IFS(BB$3&lt;$B$2,SUMPRODUCT(('PA Fees Actual'!$B$5:$B$882=$E36)*('PA Fees Actual'!$A$5:$A$882&gt;=BB$3)*('PA Fees Actual'!$A$5:$A$882&lt;=EOMONTH(BB$3,0))*'PA Fees Actual'!$D$5:$D$882),BB$3&gt;=EOMONTH($X36,-1)+1,$Y36,TRUE,0)</f>
        <v>0</v>
      </c>
      <c r="BC36" s="202" cm="1">
        <f t="array" ref="BC36">_xlfn.IFS(BC$3&lt;$B$2,SUMPRODUCT(('PA Fees Actual'!$B$5:$B$882=$E36)*('PA Fees Actual'!$A$5:$A$882&gt;=BC$3)*('PA Fees Actual'!$A$5:$A$882&lt;=EOMONTH(BC$3,0))*'PA Fees Actual'!$D$5:$D$882),BC$3&gt;=EOMONTH($X36,-1)+1,$Y36,TRUE,0)</f>
        <v>0</v>
      </c>
      <c r="BD36" s="202" cm="1">
        <f t="array" ref="BD36">_xlfn.IFS(BD$3&lt;$B$2,SUMPRODUCT(('PA Fees Actual'!$B$5:$B$882=$E36)*('PA Fees Actual'!$A$5:$A$882&gt;=BD$3)*('PA Fees Actual'!$A$5:$A$882&lt;=EOMONTH(BD$3,0))*'PA Fees Actual'!$D$5:$D$882),BD$3&gt;=EOMONTH($X36,-1)+1,$Y36,TRUE,0)</f>
        <v>0</v>
      </c>
      <c r="BE36" s="202" cm="1">
        <f t="array" ref="BE36">_xlfn.IFS(BE$3&lt;$B$2,SUMPRODUCT(('PA Fees Actual'!$B$5:$B$882=$E36)*('PA Fees Actual'!$A$5:$A$882&gt;=BE$3)*('PA Fees Actual'!$A$5:$A$882&lt;=EOMONTH(BE$3,0))*'PA Fees Actual'!$D$5:$D$882),BE$3&gt;=EOMONTH($X36,-1)+1,$Y36,TRUE,0)</f>
        <v>0</v>
      </c>
      <c r="BF36" s="202" cm="1">
        <f t="array" ref="BF36">_xlfn.IFS(BF$3&lt;$B$2,SUMPRODUCT(('PA Fees Actual'!$B$5:$B$882=$E36)*('PA Fees Actual'!$A$5:$A$882&gt;=BF$3)*('PA Fees Actual'!$A$5:$A$882&lt;=EOMONTH(BF$3,0))*'PA Fees Actual'!$D$5:$D$882),BF$3&gt;=EOMONTH($X36,-1)+1,$Y36,TRUE,0)</f>
        <v>0</v>
      </c>
      <c r="BG36" s="202" cm="1">
        <f t="array" ref="BG36">_xlfn.IFS(BG$3&lt;$B$2,SUMPRODUCT(('PA Fees Actual'!$B$5:$B$882=$E36)*('PA Fees Actual'!$A$5:$A$882&gt;=BG$3)*('PA Fees Actual'!$A$5:$A$882&lt;=EOMONTH(BG$3,0))*'PA Fees Actual'!$D$5:$D$882),BG$3&gt;=EOMONTH($X36,-1)+1,$Y36,TRUE,0)</f>
        <v>0</v>
      </c>
      <c r="BH36" s="202" cm="1">
        <f t="array" ref="BH36">_xlfn.IFS(BH$3&lt;$B$2,SUMPRODUCT(('PA Fees Actual'!$B$5:$B$882=$E36)*('PA Fees Actual'!$A$5:$A$882&gt;=BH$3)*('PA Fees Actual'!$A$5:$A$882&lt;=EOMONTH(BH$3,0))*'PA Fees Actual'!$D$5:$D$882),BH$3&gt;=EOMONTH($X36,-1)+1,$Y36,TRUE,0)</f>
        <v>0</v>
      </c>
      <c r="BI36" s="202" cm="1">
        <f t="array" ref="BI36">_xlfn.IFS(BI$3&lt;$B$2,SUMPRODUCT(('PA Fees Actual'!$B$5:$B$882=$E36)*('PA Fees Actual'!$A$5:$A$882&gt;=BI$3)*('PA Fees Actual'!$A$5:$A$882&lt;=EOMONTH(BI$3,0))*'PA Fees Actual'!$D$5:$D$882),BI$3&gt;=EOMONTH($X36,-1)+1,$Y36,TRUE,0)</f>
        <v>0</v>
      </c>
      <c r="BJ36" s="202" cm="1">
        <f t="array" ref="BJ36">_xlfn.IFS(BJ$3&lt;$B$2,SUMPRODUCT(('PA Fees Actual'!$B$5:$B$882=$E36)*('PA Fees Actual'!$A$5:$A$882&gt;=BJ$3)*('PA Fees Actual'!$A$5:$A$882&lt;=EOMONTH(BJ$3,0))*'PA Fees Actual'!$D$5:$D$882),BJ$3&gt;=EOMONTH($X36,-1)+1,$Y36,TRUE,0)</f>
        <v>0</v>
      </c>
      <c r="BK36" s="202" cm="1">
        <f t="array" ref="BK36">_xlfn.IFS(BK$3&lt;$B$2,SUMPRODUCT(('PA Fees Actual'!$B$5:$B$882=$E36)*('PA Fees Actual'!$A$5:$A$882&gt;=BK$3)*('PA Fees Actual'!$A$5:$A$882&lt;=EOMONTH(BK$3,0))*'PA Fees Actual'!$D$5:$D$882),BK$3&gt;=EOMONTH($X36,-1)+1,$Y36,TRUE,0)</f>
        <v>0</v>
      </c>
      <c r="BL36" s="202" cm="1">
        <f t="array" ref="BL36">_xlfn.IFS(BL$3&lt;$B$2,SUMPRODUCT(('PA Fees Actual'!$B$5:$B$882=$E36)*('PA Fees Actual'!$A$5:$A$882&gt;=BL$3)*('PA Fees Actual'!$A$5:$A$882&lt;=EOMONTH(BL$3,0))*'PA Fees Actual'!$D$5:$D$882),BL$3&gt;=EOMONTH($X36,-1)+1,$Y36,TRUE,0)</f>
        <v>0</v>
      </c>
      <c r="BM36" s="202" cm="1">
        <f t="array" ref="BM36">_xlfn.IFS(BM$3&lt;$B$2,SUMPRODUCT(('PA Fees Actual'!$B$5:$B$882=$E36)*('PA Fees Actual'!$A$5:$A$882&gt;=BM$3)*('PA Fees Actual'!$A$5:$A$882&lt;=EOMONTH(BM$3,0))*'PA Fees Actual'!$D$5:$D$882),BM$3&gt;=EOMONTH($X36,-1)+1,$Y36,TRUE,0)</f>
        <v>0</v>
      </c>
      <c r="BN36" s="202" cm="1">
        <f t="array" ref="BN36">_xlfn.IFS(BN$3&lt;$B$2,SUMPRODUCT(('PA Fees Actual'!$B$5:$B$882=$E36)*('PA Fees Actual'!$A$5:$A$882&gt;=BN$3)*('PA Fees Actual'!$A$5:$A$882&lt;=EOMONTH(BN$3,0))*'PA Fees Actual'!$D$5:$D$882),BN$3&gt;=EOMONTH($X36,-1)+1,$Y36,TRUE,0)</f>
        <v>0</v>
      </c>
      <c r="BO36" s="202" cm="1">
        <f t="array" ref="BO36">_xlfn.IFS(BO$3&lt;$B$2,SUMPRODUCT(('PA Fees Actual'!$B$5:$B$882=$E36)*('PA Fees Actual'!$A$5:$A$882&gt;=BO$3)*('PA Fees Actual'!$A$5:$A$882&lt;=EOMONTH(BO$3,0))*'PA Fees Actual'!$D$5:$D$882),BO$3&gt;=EOMONTH($X36,-1)+1,$Y36,TRUE,0)</f>
        <v>0</v>
      </c>
      <c r="BP36" s="202" cm="1">
        <f t="array" ref="BP36">_xlfn.IFS(BP$3&lt;$B$2,SUMPRODUCT(('PA Fees Actual'!$B$5:$B$882=$E36)*('PA Fees Actual'!$A$5:$A$882&gt;=BP$3)*('PA Fees Actual'!$A$5:$A$882&lt;=EOMONTH(BP$3,0))*'PA Fees Actual'!$D$5:$D$882),BP$3&gt;=EOMONTH($X36,-1)+1,$Y36,TRUE,0)</f>
        <v>0</v>
      </c>
      <c r="BQ36" s="202" cm="1">
        <f t="array" ref="BQ36">_xlfn.IFS(BQ$3&lt;$B$2,SUMPRODUCT(('PA Fees Actual'!$B$5:$B$882=$E36)*('PA Fees Actual'!$A$5:$A$882&gt;=BQ$3)*('PA Fees Actual'!$A$5:$A$882&lt;=EOMONTH(BQ$3,0))*'PA Fees Actual'!$D$5:$D$882),BQ$3&gt;=EOMONTH($X36,-1)+1,$Y36,TRUE,0)</f>
        <v>0</v>
      </c>
      <c r="BR36" s="202" cm="1">
        <f t="array" ref="BR36">_xlfn.IFS(BR$3&lt;$B$2,SUMPRODUCT(('PA Fees Actual'!$B$5:$B$882=$E36)*('PA Fees Actual'!$A$5:$A$882&gt;=BR$3)*('PA Fees Actual'!$A$5:$A$882&lt;=EOMONTH(BR$3,0))*'PA Fees Actual'!$D$5:$D$882),BR$3&gt;=EOMONTH($X36,-1)+1,$Y36,TRUE,0)</f>
        <v>0</v>
      </c>
      <c r="BS36" s="202" cm="1">
        <f t="array" ref="BS36">_xlfn.IFS(BS$3&lt;$B$2,SUMPRODUCT(('PA Fees Actual'!$B$5:$B$882=$E36)*('PA Fees Actual'!$A$5:$A$882&gt;=BS$3)*('PA Fees Actual'!$A$5:$A$882&lt;=EOMONTH(BS$3,0))*'PA Fees Actual'!$D$5:$D$882),BS$3&gt;=EOMONTH($X36,-1)+1,$Y36,TRUE,0)</f>
        <v>0</v>
      </c>
      <c r="BT36" s="202" cm="1">
        <f t="array" ref="BT36">_xlfn.IFS(BT$3&lt;$B$2,SUMPRODUCT(('PA Fees Actual'!$B$5:$B$882=$E36)*('PA Fees Actual'!$A$5:$A$882&gt;=BT$3)*('PA Fees Actual'!$A$5:$A$882&lt;=EOMONTH(BT$3,0))*'PA Fees Actual'!$D$5:$D$882),BT$3&gt;=EOMONTH($X36,-1)+1,$Y36,TRUE,0)</f>
        <v>0</v>
      </c>
      <c r="BU36" s="202" cm="1">
        <f t="array" ref="BU36">_xlfn.IFS(BU$3&lt;$B$2,SUMPRODUCT(('PA Fees Actual'!$B$5:$B$882=$E36)*('PA Fees Actual'!$A$5:$A$882&gt;=BU$3)*('PA Fees Actual'!$A$5:$A$882&lt;=EOMONTH(BU$3,0))*'PA Fees Actual'!$D$5:$D$882),BU$3&gt;=EOMONTH($X36,-1)+1,$Y36,TRUE,0)</f>
        <v>0</v>
      </c>
      <c r="BV36" s="202" cm="1">
        <f t="array" ref="BV36">_xlfn.IFS(BV$3&lt;$B$2,SUMPRODUCT(('PA Fees Actual'!$B$5:$B$882=$E36)*('PA Fees Actual'!$A$5:$A$882&gt;=BV$3)*('PA Fees Actual'!$A$5:$A$882&lt;=EOMONTH(BV$3,0))*'PA Fees Actual'!$D$5:$D$882),BV$3&gt;=EOMONTH($X36,-1)+1,$Y36,TRUE,0)</f>
        <v>0</v>
      </c>
      <c r="BW36" s="202" cm="1">
        <f t="array" ref="BW36">_xlfn.IFS(BW$3&lt;$B$2,SUMPRODUCT(('PA Fees Actual'!$B$5:$B$882=$E36)*('PA Fees Actual'!$A$5:$A$882&gt;=BW$3)*('PA Fees Actual'!$A$5:$A$882&lt;=EOMONTH(BW$3,0))*'PA Fees Actual'!$D$5:$D$882),BW$3&gt;=EOMONTH($X36,-1)+1,$Y36,TRUE,0)</f>
        <v>0</v>
      </c>
      <c r="BX36" s="202" cm="1">
        <f t="array" ref="BX36">_xlfn.IFS(BX$3&lt;$B$2,SUMPRODUCT(('PA Fees Actual'!$B$5:$B$882=$E36)*('PA Fees Actual'!$A$5:$A$882&gt;=BX$3)*('PA Fees Actual'!$A$5:$A$882&lt;=EOMONTH(BX$3,0))*'PA Fees Actual'!$D$5:$D$882),BX$3&gt;=EOMONTH($X36,-1)+1,$Y36,TRUE,0)</f>
        <v>0</v>
      </c>
      <c r="BY36" s="202" cm="1">
        <f t="array" ref="BY36">_xlfn.IFS(BY$3&lt;$B$2,SUMPRODUCT(('PA Fees Actual'!$B$5:$B$882=$E36)*('PA Fees Actual'!$A$5:$A$882&gt;=BY$3)*('PA Fees Actual'!$A$5:$A$882&lt;=EOMONTH(BY$3,0))*'PA Fees Actual'!$D$5:$D$882),BY$3&gt;=EOMONTH($X36,-1)+1,$Y36,TRUE,0)</f>
        <v>0</v>
      </c>
      <c r="BZ36" s="202" cm="1">
        <f t="array" ref="BZ36">_xlfn.IFS(BZ$3&lt;$B$2,SUMPRODUCT(('PA Fees Actual'!$B$5:$B$882=$E36)*('PA Fees Actual'!$A$5:$A$882&gt;=BZ$3)*('PA Fees Actual'!$A$5:$A$882&lt;=EOMONTH(BZ$3,0))*'PA Fees Actual'!$D$5:$D$882),BZ$3&gt;=EOMONTH($X36,-1)+1,$Y36,TRUE,0)</f>
        <v>0</v>
      </c>
      <c r="CA36" s="202" cm="1">
        <f t="array" ref="CA36">_xlfn.IFS(CA$3&lt;$B$2,SUMPRODUCT(('PA Fees Actual'!$B$5:$B$882=$E36)*('PA Fees Actual'!$A$5:$A$882&gt;=CA$3)*('PA Fees Actual'!$A$5:$A$882&lt;=EOMONTH(CA$3,0))*'PA Fees Actual'!$D$5:$D$882),CA$3&gt;=EOMONTH($X36,-1)+1,$Y36,TRUE,0)</f>
        <v>0</v>
      </c>
      <c r="CB36" s="202" cm="1">
        <f t="array" ref="CB36">_xlfn.IFS(CB$3&lt;$B$2,SUMPRODUCT(('PA Fees Actual'!$B$5:$B$749=$E36)*('PA Fees Actual'!$A$5:$A$749&gt;=CB$3)*('PA Fees Actual'!$A$5:$A$749&lt;=EOMONTH(CB$3,0))*'PA Fees Actual'!$D$5:$D$749),CB$3&gt;=EOMONTH($X36,-1)+1,$Y36,TRUE,0)</f>
        <v>0</v>
      </c>
      <c r="CC36" s="202" cm="1">
        <f t="array" ref="CC36">_xlfn.IFS(CC$3&lt;$B$2,SUMPRODUCT(('PA Fees Actual'!$B$5:$B$749=$E36)*('PA Fees Actual'!$A$5:$A$749&gt;=CC$3)*('PA Fees Actual'!$A$5:$A$749&lt;=EOMONTH(CC$3,0))*'PA Fees Actual'!$D$5:$D$749),CC$3&gt;=EOMONTH($X36,-1)+1,$Y36,TRUE,0)</f>
        <v>0</v>
      </c>
      <c r="CD36" s="202" cm="1">
        <f t="array" ref="CD36">_xlfn.IFS(CD$3&lt;$B$2,SUMPRODUCT(('PA Fees Actual'!$B$5:$B$749=$E36)*('PA Fees Actual'!$A$5:$A$749&gt;=CD$3)*('PA Fees Actual'!$A$5:$A$749&lt;=EOMONTH(CD$3,0))*'PA Fees Actual'!$D$5:$D$749),CD$3&gt;=EOMONTH($X36,-1)+1,$Y36,TRUE,0)</f>
        <v>0</v>
      </c>
      <c r="CE36" s="202" cm="1">
        <f t="array" ref="CE36">_xlfn.IFS(CE$3&lt;$B$2,SUMPRODUCT(('PA Fees Actual'!$B$5:$B$749=$E36)*('PA Fees Actual'!$A$5:$A$749&gt;=CE$3)*('PA Fees Actual'!$A$5:$A$749&lt;=EOMONTH(CE$3,0))*'PA Fees Actual'!$D$5:$D$749),CE$3&gt;=EOMONTH($X36,-1)+1,$Y36,TRUE,0)</f>
        <v>0</v>
      </c>
      <c r="CF36" s="202" cm="1">
        <f t="array" ref="CF36">_xlfn.IFS(CF$3&lt;$B$2,SUMPRODUCT(('PA Fees Actual'!$B$5:$B$749=$E36)*('PA Fees Actual'!$A$5:$A$749&gt;=CF$3)*('PA Fees Actual'!$A$5:$A$749&lt;=EOMONTH(CF$3,0))*'PA Fees Actual'!$D$5:$D$749),CF$3&gt;=EOMONTH($X36,-1)+1,$Y36,TRUE,0)</f>
        <v>0</v>
      </c>
      <c r="CG36" s="202" cm="1">
        <f t="array" ref="CG36">_xlfn.IFS(CG$3&lt;$B$2,SUMPRODUCT(('PA Fees Actual'!$B$5:$B$749=$E36)*('PA Fees Actual'!$A$5:$A$749&gt;=CG$3)*('PA Fees Actual'!$A$5:$A$749&lt;=EOMONTH(CG$3,0))*'PA Fees Actual'!$D$5:$D$749),CG$3&gt;=EOMONTH($X36,-1)+1,$Y36,TRUE,0)</f>
        <v>0</v>
      </c>
      <c r="CI36" s="202" cm="1">
        <f t="array" ref="CI36">_xlfn.IFS(CI$3&lt;=YEAR($B$2),SUMPRODUCT(($E$4:$E$79=$E36)*($Z$2:$CG$2=CI$3)*($Z$2:$CG$2&lt;CJ$3)*$Z$4:$CG$79),CI$3&lt;YEAR($X36),0,CI$3=YEAR($X36),DATEDIF($X36,DATE(CI$3,12,31),"m")*$Y36,AND(CI$3&gt;YEAR($X36),CI$3-YEAR($X36)&lt;20),$Y36*12,CI$3-YEAR($X36)=20,DATEDIF(DATE(YEAR($X36),1,1),$X36,"m")*$Y36,CI$3-YEAR($X36)&gt;20,0)</f>
        <v>0</v>
      </c>
      <c r="CJ36" s="202" cm="1">
        <f t="array" ref="CJ36">_xlfn.IFS(CJ$3&lt;=YEAR($B$2),SUMPRODUCT(($E$4:$E$79=$E36)*($Z$2:$CG$2=CJ$3)*($Z$2:$CG$2&lt;CK$3)*$Z$4:$CG$79),CJ$3&lt;YEAR($X36),0,CJ$3=YEAR($X36),DATEDIF($X36,DATE(CJ$3,12,31),"m")*$Y36,AND(CJ$3&gt;YEAR($X36),CJ$3-YEAR($X36)&lt;20),$Y36*12,CJ$3-YEAR($X36)=20,DATEDIF(DATE(YEAR($X36),1,1),$X36,"m")*$Y36,CJ$3-YEAR($X36)&gt;20,0)</f>
        <v>0</v>
      </c>
      <c r="CK36" s="202" cm="1">
        <f t="array" ref="CK36">_xlfn.IFS(CK$3&lt;=YEAR($B$2),SUMPRODUCT(($E$4:$E$79=$E36)*($Z$2:$CG$2=CK$3)*($Z$2:$CG$2&lt;CL$3)*$Z$4:$CG$79),CK$3&lt;YEAR($X36),0,CK$3=YEAR($X36),DATEDIF($X36,DATE(CK$3,12,31),"m")*$Y36,AND(CK$3&gt;YEAR($X36),CK$3-YEAR($X36)&lt;20),$Y36*12,CK$3-YEAR($X36)=20,DATEDIF(DATE(YEAR($X36),1,1),$X36,"m")*$Y36,CK$3-YEAR($X36)&gt;20,0)</f>
        <v>0</v>
      </c>
      <c r="CL36" s="202" cm="1">
        <f t="array" ref="CL36">_xlfn.IFS(CL$3&lt;=YEAR($B$2),SUMPRODUCT(($E$4:$E$79=$E36)*($Z$2:$CG$2=CL$3)*($Z$2:$CG$2&lt;CM$3)*$Z$4:$CG$79),CL$3&lt;YEAR($X36),0,CL$3=YEAR($X36),DATEDIF($X36,DATE(CL$3,12,31),"m")*$Y36,AND(CL$3&gt;YEAR($X36),CL$3-YEAR($X36)&lt;20),$Y36*12,CL$3-YEAR($X36)=20,DATEDIF(DATE(YEAR($X36),1,1),$X36,"m")*$Y36,CL$3-YEAR($X36)&gt;20,0)</f>
        <v>0</v>
      </c>
      <c r="CM36" s="202" cm="1">
        <f t="array" ref="CM36">_xlfn.IFS(CM$3&lt;=YEAR($B$2),SUMPRODUCT(($E$4:$E$79=$E36)*($Z$2:$CG$2=CM$3)*($Z$2:$CG$2&lt;CN$3)*$Z$4:$CG$79),CM$3&lt;YEAR($X36),0,CM$3=YEAR($X36),DATEDIF($X36,DATE(CM$3,12,31),"m")*$Y36,AND(CM$3&gt;YEAR($X36),CM$3-YEAR($X36)&lt;20),$Y36*12,CM$3-YEAR($X36)=20,DATEDIF(DATE(YEAR($X36),1,1),$X36,"m")*$Y36,CM$3-YEAR($X36)&gt;20,0)</f>
        <v>0</v>
      </c>
      <c r="CN36" s="202" cm="1">
        <f t="array" ref="CN36">_xlfn.IFS(CN$3&lt;=YEAR($B$2),SUMPRODUCT(($E$4:$E$79=$E36)*($Z$2:$CG$2=CN$3)*($Z$2:$CG$2&lt;CO$3)*$Z$4:$CG$79),CN$3&lt;YEAR($X36),0,CN$3=YEAR($X36),DATEDIF($X36,DATE(CN$3,12,31),"m")*$Y36,AND(CN$3&gt;YEAR($X36),CN$3-YEAR($X36)&lt;20),$Y36*12,CN$3-YEAR($X36)=20,DATEDIF(DATE(YEAR($X36),1,1),$X36,"m")*$Y36,CN$3-YEAR($X36)&gt;20,0)</f>
        <v>12643.75</v>
      </c>
      <c r="CO36" s="202" cm="1">
        <f t="array" ref="CO36">_xlfn.IFS(CO$3&lt;=YEAR($B$2),SUMPRODUCT(($E$4:$E$79=$E36)*($Z$2:$CG$2=CO$3)*($Z$2:$CG$2&lt;CP$3)*$Z$4:$CG$79),CO$3&lt;YEAR($X36),0,CO$3=YEAR($X36),DATEDIF($X36,DATE(CO$3,12,31),"m")*$Y36,AND(CO$3&gt;YEAR($X36),CO$3-YEAR($X36)&lt;20),$Y36*12,CO$3-YEAR($X36)=20,DATEDIF(DATE(YEAR($X36),1,1),$X36,"m")*$Y36,CO$3-YEAR($X36)&gt;20,0)</f>
        <v>21675</v>
      </c>
      <c r="CP36" s="202" cm="1">
        <f t="array" ref="CP36">_xlfn.IFS(CP$3&lt;=YEAR($B$2),SUMPRODUCT(($E$4:$E$79=$E36)*($Z$2:$CG$2=CP$3)*($Z$2:$CG$2&lt;CQ$3)*$Z$4:$CG$79),CP$3&lt;YEAR($X36),0,CP$3=YEAR($X36),DATEDIF($X36,DATE(CP$3,12,31),"m")*$Y36,AND(CP$3&gt;YEAR($X36),CP$3-YEAR($X36)&lt;20),$Y36*12,CP$3-YEAR($X36)=20,DATEDIF(DATE(YEAR($X36),1,1),$X36,"m")*$Y36,CP$3-YEAR($X36)&gt;20,0)</f>
        <v>21675</v>
      </c>
      <c r="CQ36" s="202" cm="1">
        <f t="array" ref="CQ36">_xlfn.IFS(CQ$3&lt;=YEAR($B$2),SUMPRODUCT(($E$4:$E$79=$E36)*($Z$2:$CG$2=CQ$3)*($Z$2:$CG$2&lt;CR$3)*$Z$4:$CG$79),CQ$3&lt;YEAR($X36),0,CQ$3=YEAR($X36),DATEDIF($X36,DATE(CQ$3,12,31),"m")*$Y36,AND(CQ$3&gt;YEAR($X36),CQ$3-YEAR($X36)&lt;20),$Y36*12,CQ$3-YEAR($X36)=20,DATEDIF(DATE(YEAR($X36),1,1),$X36,"m")*$Y36,CQ$3-YEAR($X36)&gt;20,0)</f>
        <v>21675</v>
      </c>
      <c r="CR36" s="202" cm="1">
        <f t="array" ref="CR36">_xlfn.IFS(CR$3&lt;=YEAR($B$2),SUMPRODUCT(($E$4:$E$79=$E36)*($Z$2:$CG$2=CR$3)*($Z$2:$CG$2&lt;CS$3)*$Z$4:$CG$79),CR$3&lt;YEAR($X36),0,CR$3=YEAR($X36),DATEDIF($X36,DATE(CR$3,12,31),"m")*$Y36,AND(CR$3&gt;YEAR($X36),CR$3-YEAR($X36)&lt;20),$Y36*12,CR$3-YEAR($X36)=20,DATEDIF(DATE(YEAR($X36),1,1),$X36,"m")*$Y36,CR$3-YEAR($X36)&gt;20,0)</f>
        <v>21675</v>
      </c>
      <c r="CS36" s="202" cm="1">
        <f t="array" ref="CS36">_xlfn.IFS(CS$3&lt;=YEAR($B$2),SUMPRODUCT(($E$4:$E$79=$E36)*($Z$2:$CG$2=CS$3)*($Z$2:$CG$2&lt;CT$3)*$Z$4:$CG$79),CS$3&lt;YEAR($X36),0,CS$3=YEAR($X36),DATEDIF($X36,DATE(CS$3,12,31),"m")*$Y36,AND(CS$3&gt;YEAR($X36),CS$3-YEAR($X36)&lt;20),$Y36*12,CS$3-YEAR($X36)=20,DATEDIF(DATE(YEAR($X36),1,1),$X36,"m")*$Y36,CS$3-YEAR($X36)&gt;20,0)</f>
        <v>21675</v>
      </c>
      <c r="CT36" s="202" cm="1">
        <f t="array" ref="CT36">_xlfn.IFS(CT$3&lt;=YEAR($B$2),SUMPRODUCT(($E$4:$E$79=$E36)*($Z$2:$CG$2=CT$3)*($Z$2:$CG$2&lt;CU$3)*$Z$4:$CG$79),CT$3&lt;YEAR($X36),0,CT$3=YEAR($X36),DATEDIF($X36,DATE(CT$3,12,31),"m")*$Y36,AND(CT$3&gt;YEAR($X36),CT$3-YEAR($X36)&lt;20),$Y36*12,CT$3-YEAR($X36)=20,DATEDIF(DATE(YEAR($X36),1,1),$X36,"m")*$Y36,CT$3-YEAR($X36)&gt;20,0)</f>
        <v>21675</v>
      </c>
      <c r="CU36" s="202" cm="1">
        <f t="array" ref="CU36">_xlfn.IFS(CU$3&lt;=YEAR($B$2),SUMPRODUCT(($E$4:$E$79=$E36)*($Z$2:$CG$2=CU$3)*($Z$2:$CG$2&lt;CV$3)*$Z$4:$CG$79),CU$3&lt;YEAR($X36),0,CU$3=YEAR($X36),DATEDIF($X36,DATE(CU$3,12,31),"m")*$Y36,AND(CU$3&gt;YEAR($X36),CU$3-YEAR($X36)&lt;20),$Y36*12,CU$3-YEAR($X36)=20,DATEDIF(DATE(YEAR($X36),1,1),$X36,"m")*$Y36,CU$3-YEAR($X36)&gt;20,0)</f>
        <v>21675</v>
      </c>
      <c r="CV36" s="202" cm="1">
        <f t="array" ref="CV36">_xlfn.IFS(CV$3&lt;=YEAR($B$2),SUMPRODUCT(($E$4:$E$79=$E36)*($Z$2:$CG$2=CV$3)*($Z$2:$CG$2&lt;CW$3)*$Z$4:$CG$79),CV$3&lt;YEAR($X36),0,CV$3=YEAR($X36),DATEDIF($X36,DATE(CV$3,12,31),"m")*$Y36,AND(CV$3&gt;YEAR($X36),CV$3-YEAR($X36)&lt;20),$Y36*12,CV$3-YEAR($X36)=20,DATEDIF(DATE(YEAR($X36),1,1),$X36,"m")*$Y36,CV$3-YEAR($X36)&gt;20,0)</f>
        <v>21675</v>
      </c>
      <c r="CW36" s="202" cm="1">
        <f t="array" ref="CW36">_xlfn.IFS(CW$3&lt;=YEAR($B$2),SUMPRODUCT(($E$4:$E$79=$E36)*($Z$2:$CG$2=CW$3)*($Z$2:$CG$2&lt;CX$3)*$Z$4:$CG$79),CW$3&lt;YEAR($X36),0,CW$3=YEAR($X36),DATEDIF($X36,DATE(CW$3,12,31),"m")*$Y36,AND(CW$3&gt;YEAR($X36),CW$3-YEAR($X36)&lt;20),$Y36*12,CW$3-YEAR($X36)=20,DATEDIF(DATE(YEAR($X36),1,1),$X36,"m")*$Y36,CW$3-YEAR($X36)&gt;20,0)</f>
        <v>21675</v>
      </c>
      <c r="CX36" s="202" cm="1">
        <f t="array" ref="CX36">_xlfn.IFS(CX$3&lt;=YEAR($B$2),SUMPRODUCT(($E$4:$E$79=$E36)*($Z$2:$CG$2=CX$3)*($Z$2:$CG$2&lt;CY$3)*$Z$4:$CG$79),CX$3&lt;YEAR($X36),0,CX$3=YEAR($X36),DATEDIF($X36,DATE(CX$3,12,31),"m")*$Y36,AND(CX$3&gt;YEAR($X36),CX$3-YEAR($X36)&lt;20),$Y36*12,CX$3-YEAR($X36)=20,DATEDIF(DATE(YEAR($X36),1,1),$X36,"m")*$Y36,CX$3-YEAR($X36)&gt;20,0)</f>
        <v>21675</v>
      </c>
      <c r="CY36" s="202" cm="1">
        <f t="array" ref="CY36">_xlfn.IFS(CY$3&lt;=YEAR($B$2),SUMPRODUCT(($E$4:$E$79=$E36)*($Z$2:$CG$2=CY$3)*($Z$2:$CG$2&lt;CZ$3)*$Z$4:$CG$79),CY$3&lt;YEAR($X36),0,CY$3=YEAR($X36),DATEDIF($X36,DATE(CY$3,12,31),"m")*$Y36,AND(CY$3&gt;YEAR($X36),CY$3-YEAR($X36)&lt;20),$Y36*12,CY$3-YEAR($X36)=20,DATEDIF(DATE(YEAR($X36),1,1),$X36,"m")*$Y36,CY$3-YEAR($X36)&gt;20,0)</f>
        <v>21675</v>
      </c>
      <c r="CZ36" s="202" cm="1">
        <f t="array" ref="CZ36">_xlfn.IFS(CZ$3&lt;=YEAR($B$2),SUMPRODUCT(($E$4:$E$79=$E36)*($Z$2:$CG$2=CZ$3)*($Z$2:$CG$2&lt;DA$3)*$Z$4:$CG$79),CZ$3&lt;YEAR($X36),0,CZ$3=YEAR($X36),DATEDIF($X36,DATE(CZ$3,12,31),"m")*$Y36,AND(CZ$3&gt;YEAR($X36),CZ$3-YEAR($X36)&lt;20),$Y36*12,CZ$3-YEAR($X36)=20,DATEDIF(DATE(YEAR($X36),1,1),$X36,"m")*$Y36,CZ$3-YEAR($X36)&gt;20,0)</f>
        <v>21675</v>
      </c>
      <c r="DA36" s="202" cm="1">
        <f t="array" ref="DA36">_xlfn.IFS(DA$3&lt;=YEAR($B$2),SUMPRODUCT(($E$4:$E$79=$E36)*($Z$2:$CG$2=DA$3)*($Z$2:$CG$2&lt;DB$3)*$Z$4:$CG$79),DA$3&lt;YEAR($X36),0,DA$3=YEAR($X36),DATEDIF($X36,DATE(DA$3,12,31),"m")*$Y36,AND(DA$3&gt;YEAR($X36),DA$3-YEAR($X36)&lt;20),$Y36*12,DA$3-YEAR($X36)=20,DATEDIF(DATE(YEAR($X36),1,1),$X36,"m")*$Y36,DA$3-YEAR($X36)&gt;20,0)</f>
        <v>21675</v>
      </c>
      <c r="DB36" s="202" cm="1">
        <f t="array" ref="DB36">_xlfn.IFS(DB$3&lt;=YEAR($B$2),SUMPRODUCT(($E$4:$E$79=$E36)*($Z$2:$CG$2=DB$3)*($Z$2:$CG$2&lt;DC$3)*$Z$4:$CG$79),DB$3&lt;YEAR($X36),0,DB$3=YEAR($X36),DATEDIF($X36,DATE(DB$3,12,31),"m")*$Y36,AND(DB$3&gt;YEAR($X36),DB$3-YEAR($X36)&lt;20),$Y36*12,DB$3-YEAR($X36)=20,DATEDIF(DATE(YEAR($X36),1,1),$X36,"m")*$Y36,DB$3-YEAR($X36)&gt;20,0)</f>
        <v>21675</v>
      </c>
      <c r="DC36" s="202" cm="1">
        <f t="array" ref="DC36">_xlfn.IFS(DC$3&lt;=YEAR($B$2),SUMPRODUCT(($E$4:$E$79=$E36)*($Z$2:$CG$2=DC$3)*($Z$2:$CG$2&lt;DD$3)*$Z$4:$CG$79),DC$3&lt;YEAR($X36),0,DC$3=YEAR($X36),DATEDIF($X36,DATE(DC$3,12,31),"m")*$Y36,AND(DC$3&gt;YEAR($X36),DC$3-YEAR($X36)&lt;20),$Y36*12,DC$3-YEAR($X36)=20,DATEDIF(DATE(YEAR($X36),1,1),$X36,"m")*$Y36,DC$3-YEAR($X36)&gt;20,0)</f>
        <v>21675</v>
      </c>
      <c r="DD36" s="202" cm="1">
        <f t="array" ref="DD36">_xlfn.IFS(DD$3&lt;=YEAR($B$2),SUMPRODUCT(($E$4:$E$79=$E36)*($Z$2:$CG$2=DD$3)*($Z$2:$CG$2&lt;DE$3)*$Z$4:$CG$79),DD$3&lt;YEAR($X36),0,DD$3=YEAR($X36),DATEDIF($X36,DATE(DD$3,12,31),"m")*$Y36,AND(DD$3&gt;YEAR($X36),DD$3-YEAR($X36)&lt;20),$Y36*12,DD$3-YEAR($X36)=20,DATEDIF(DATE(YEAR($X36),1,1),$X36,"m")*$Y36,DD$3-YEAR($X36)&gt;20,0)</f>
        <v>21675</v>
      </c>
      <c r="DE36" s="202" cm="1">
        <f t="array" ref="DE36">_xlfn.IFS(DE$3&lt;=YEAR($B$2),SUMPRODUCT(($E$4:$E$79=$E36)*($Z$2:$CG$2=DE$3)*($Z$2:$CG$2&lt;DF$3)*$Z$4:$CG$79),DE$3&lt;YEAR($X36),0,DE$3=YEAR($X36),DATEDIF($X36,DATE(DE$3,12,31),"m")*$Y36,AND(DE$3&gt;YEAR($X36),DE$3-YEAR($X36)&lt;20),$Y36*12,DE$3-YEAR($X36)=20,DATEDIF(DATE(YEAR($X36),1,1),$X36,"m")*$Y36,DE$3-YEAR($X36)&gt;20,0)</f>
        <v>21675</v>
      </c>
      <c r="DF36" s="202" cm="1">
        <f t="array" ref="DF36">_xlfn.IFS(DF$3&lt;=YEAR($B$2),SUMPRODUCT(($E$4:$E$79=$E36)*($Z$2:$CG$2=DF$3)*($Z$2:$CG$2&lt;DG$3)*$Z$4:$CG$79),DF$3&lt;YEAR($X36),0,DF$3=YEAR($X36),DATEDIF($X36,DATE(DF$3,12,31),"m")*$Y36,AND(DF$3&gt;YEAR($X36),DF$3-YEAR($X36)&lt;20),$Y36*12,DF$3-YEAR($X36)=20,DATEDIF(DATE(YEAR($X36),1,1),$X36,"m")*$Y36,DF$3-YEAR($X36)&gt;20,0)</f>
        <v>21675</v>
      </c>
      <c r="DG36" s="202" cm="1">
        <f t="array" ref="DG36">_xlfn.IFS(DG$3&lt;=YEAR($B$2),SUMPRODUCT(($E$4:$E$79=$E36)*($Z$2:$CG$2=DG$3)*($Z$2:$CG$2&lt;DH$3)*$Z$4:$CG$79),DG$3&lt;YEAR($X36),0,DG$3=YEAR($X36),DATEDIF($X36,DATE(DG$3,12,31),"m")*$Y36,AND(DG$3&gt;YEAR($X36),DG$3-YEAR($X36)&lt;20),$Y36*12,DG$3-YEAR($X36)=20,DATEDIF(DATE(YEAR($X36),1,1),$X36,"m")*$Y36,DG$3-YEAR($X36)&gt;20,0)</f>
        <v>21675</v>
      </c>
      <c r="DH36" s="202" cm="1">
        <f t="array" ref="DH36">_xlfn.IFS(DH$3&lt;=YEAR($B$2),SUMPRODUCT(($E$4:$E$79=$E36)*($Z$2:$CG$2=DH$3)*($Z$2:$CG$2&lt;DI$3)*$Z$4:$CG$79),DH$3&lt;YEAR($X36),0,DH$3=YEAR($X36),DATEDIF($X36,DATE(DH$3,12,31),"m")*$Y36,AND(DH$3&gt;YEAR($X36),DH$3-YEAR($X36)&lt;20),$Y36*12,DH$3-YEAR($X36)=20,DATEDIF(DATE(YEAR($X36),1,1),$X36,"m")*$Y36,DH$3-YEAR($X36)&gt;20,0)</f>
        <v>7225</v>
      </c>
      <c r="DI36" s="202" cm="1">
        <f t="array" ref="DI36">_xlfn.IFS(DI$3&lt;=YEAR($B$2),SUMPRODUCT(($E$4:$E$79=$E36)*($Z$2:$CG$2=DI$3)*($Z$2:$CG$2&lt;DJ$3)*$Z$4:$CG$79),DI$3&lt;YEAR($X36),0,DI$3=YEAR($X36),DATEDIF($X36,DATE(DI$3,12,31),"m")*$Y36,AND(DI$3&gt;YEAR($X36),DI$3-YEAR($X36)&lt;20),$Y36*12,DI$3-YEAR($X36)=20,DATEDIF(DATE(YEAR($X36),1,1),$X36,"m")*$Y36,DI$3-YEAR($X36)&gt;20,0)</f>
        <v>0</v>
      </c>
      <c r="DJ36" s="202" cm="1">
        <f t="array" ref="DJ36">_xlfn.IFS(DJ$3&lt;=YEAR($B$2),SUMPRODUCT(($E$4:$E$79=$E36)*($Z$2:$CG$2=DJ$3)*($Z$2:$CG$2&lt;DK$3)*$Z$4:$CG$79),DJ$3&lt;YEAR($X36),0,DJ$3=YEAR($X36),DATEDIF($X36,DATE(DJ$3,12,31),"m")*$Y36,AND(DJ$3&gt;YEAR($X36),DJ$3-YEAR($X36)&lt;20),$Y36*12,DJ$3-YEAR($X36)=20,DATEDIF(DATE(YEAR($X36),1,1),$X36,"m")*$Y36,DJ$3-YEAR($X36)&gt;20,0)</f>
        <v>0</v>
      </c>
      <c r="DK36" s="202" cm="1">
        <f t="array" ref="DK36">_xlfn.IFS(DK$3&lt;=YEAR($B$2),SUMPRODUCT(($E$4:$E$79=$E36)*($Z$2:$CG$2=DK$3)*($Z$2:$CG$2&lt;DL$3)*$Z$4:$CG$79),DK$3&lt;YEAR($X36),0,DK$3=YEAR($X36),DATEDIF($X36,DATE(DK$3,12,31),"m")*$Y36,AND(DK$3&gt;YEAR($X36),DK$3-YEAR($X36)&lt;20),$Y36*12,DK$3-YEAR($X36)=20,DATEDIF(DATE(YEAR($X36),1,1),$X36,"m")*$Y36,DK$3-YEAR($X36)&gt;20,0)</f>
        <v>0</v>
      </c>
      <c r="DL36" s="202" cm="1">
        <f t="array" ref="DL36">_xlfn.IFS(DL$3&lt;=YEAR($B$2),SUMPRODUCT(($E$4:$E$79=$E36)*($Z$2:$CG$2=DL$3)*($Z$2:$CG$2&lt;DM$3)*$Z$4:$CG$79),DL$3&lt;YEAR($X36),0,DL$3=YEAR($X36),DATEDIF($X36,DATE(DL$3,12,31),"m")*$Y36,AND(DL$3&gt;YEAR($X36),DL$3-YEAR($X36)&lt;20),$Y36*12,DL$3-YEAR($X36)=20,DATEDIF(DATE(YEAR($X36),1,1),$X36,"m")*$Y36,DL$3-YEAR($X36)&gt;20,0)</f>
        <v>0</v>
      </c>
      <c r="DO36" s="166">
        <f t="shared" si="26"/>
        <v>2045</v>
      </c>
      <c r="DP36" s="158">
        <v>204784.55</v>
      </c>
      <c r="DQ36" s="158">
        <v>287874.98080000002</v>
      </c>
      <c r="DR36" s="158">
        <v>0</v>
      </c>
      <c r="DS36" s="158">
        <f t="shared" si="27"/>
        <v>492659.53080000001</v>
      </c>
    </row>
    <row r="37" spans="1:123">
      <c r="A37" s="155" t="str" cm="1">
        <f t="array" ref="A37">INDEX('Monthly Report July 2025'!C:C,MATCH(E37,'Monthly Report July 2025'!E:E,0),0)</f>
        <v>SPQ0191</v>
      </c>
      <c r="B37" s="155" t="str" cm="1">
        <f t="array" ref="B37">_xlfn.IFS(LEFT(E37,3)="PGE","PGE",LEFT(E37,2)="PP","PAC",TRUE,"IP")</f>
        <v>PGE</v>
      </c>
      <c r="C37" s="155" t="str">
        <f>IF(ISNA(MATCH(E37,'Monthly Report July 2025'!E:E,0)),"Missing","Present")</f>
        <v>Present</v>
      </c>
      <c r="D37" s="155" t="str">
        <f>IF(ISNA(MATCH(E37,'Project Operational Timelines'!C:C,0))=TRUE,"Missing","Present")</f>
        <v>Present</v>
      </c>
      <c r="E37" s="155" t="s">
        <v>145</v>
      </c>
      <c r="F37" s="155" t="str" cm="1">
        <f t="array" ref="F37">INDEX('Monthly Report July 2025'!F:F,MATCH(E37,'Monthly Report July 2025'!E:E,),0)</f>
        <v>Buckner Creek Solar LLC</v>
      </c>
      <c r="G37" s="155" t="str" cm="1">
        <f t="array" ref="G37">_xlfn.IFS(INDEX('Monthly Report July 2025'!O:O,MATCH(E37,'Monthly Report July 2025'!E:E,0),0)="Operational","Operational",INDEX('Monthly Report July 2025'!O:O,MATCH(E37,'Monthly Report July 2025'!E:E,0),0)="Certified","Certified",TRUE,"Pre-Certified")</f>
        <v>Operational</v>
      </c>
      <c r="H37" s="155" t="str" cm="1">
        <f t="array" ref="H37">INDEX('Monthly Report July 2025'!H:H,MATCH($E37,'Monthly Report July 2025'!$E:$E,0),0)</f>
        <v>Conifer Energy Partners</v>
      </c>
      <c r="I37" s="155" t="str" cm="1">
        <f t="array" ref="I37">INDEX('Monthly Report July 2025'!I:I,MATCH($E37,'Monthly Report July 2025'!$E:$E,0),0)</f>
        <v>Luminace</v>
      </c>
      <c r="J37" s="174" cm="1">
        <f t="array" ref="J37">INDEX('Monthly Report July 2025'!J:J,MATCH($E37,'Monthly Report July 2025'!$E:$E,0),0)</f>
        <v>2</v>
      </c>
      <c r="K37" s="174" t="str" cm="1">
        <f t="array" ref="K37">INDEX('Monthly Report July 2025'!K:K,MATCH($E37,'Monthly Report July 2025'!$E:$E,0),0)</f>
        <v>No</v>
      </c>
      <c r="L37" s="174" t="b" cm="1">
        <f t="array" ref="L37">INDEX('Monthly Report July 2025'!L:L,MATCH(E37,'Monthly Report July 2025'!E:E,0),0)=M37</f>
        <v>1</v>
      </c>
      <c r="M37" s="273" cm="1">
        <f t="array" ref="M37">INDEX('Monthly Report July 2025'!L:L,MATCH($E37,'Monthly Report July 2025'!$E:$E,0),0)</f>
        <v>2500</v>
      </c>
      <c r="N37" s="175" cm="1">
        <f t="array" ref="N37">INDEX('Monthly Report July 2025'!M:M,MATCH($E37,'Monthly Report July 2025'!$E:$E,0),0)</f>
        <v>44666</v>
      </c>
      <c r="O37" s="175" t="str" cm="1">
        <f t="array" ref="O37">_xlfn.IFS(G37="Operational","Operational",G37="Certified","Certified",TRUE,INDEX('Monthly Report July 2025'!O:O,MATCH(E37,'Monthly Report July 2025'!E:E,0),0))</f>
        <v>Operational</v>
      </c>
      <c r="P37" s="175" t="b" cm="1">
        <f t="array" ref="P37">_xlfn.IFS(G37="Operational",O37="Operational",G37="Certified",O37="Certified",TRUE,G37="Pre-Certified")</f>
        <v>1</v>
      </c>
      <c r="Q37" s="175" cm="1">
        <f t="array" ref="Q37">IF(O37="Operational",INDEX('Monthly Report July 2025'!R:R,MATCH(E37,'Monthly Report July 2025'!E:E,0),0),"")</f>
        <v>45793</v>
      </c>
      <c r="R37" s="175" cm="1">
        <f t="array" ref="R37">INDEX('Monthly Report July 2025'!P:P,MATCH(E37,'Monthly Report July 2025'!E:E,0),0)</f>
        <v>45637</v>
      </c>
      <c r="S37" s="175" t="b">
        <f t="shared" si="28"/>
        <v>1</v>
      </c>
      <c r="T37" s="175" cm="1">
        <f t="array" ref="T37">INDEX('Monthly Report July 2025'!U:U,MATCH(E37,'Monthly Report July 2025'!E:E,0),0)</f>
        <v>45630</v>
      </c>
      <c r="U37" s="175" t="str">
        <f t="shared" si="6"/>
        <v>IGNORE</v>
      </c>
      <c r="V37" s="156">
        <f t="shared" si="29"/>
        <v>45637</v>
      </c>
      <c r="W37" s="156" cm="1">
        <f t="array" ref="W37">_xlfn.IFS(U37=TRUE,EDATE(O37,6),U37=FALSE,T37,O37="Operational",Q37,AND(O37="Certified",EDATE(R37,6)&gt;T37),EDATE(R37,6),TRUE,T37)</f>
        <v>45793</v>
      </c>
      <c r="X37" s="156">
        <f t="shared" si="30"/>
        <v>45854</v>
      </c>
      <c r="Y37" s="157">
        <f t="shared" si="31"/>
        <v>1806.25</v>
      </c>
      <c r="Z37" s="202" cm="1">
        <f t="array" ref="Z37">_xlfn.IFS(Z$3&lt;$B$2,SUMPRODUCT(('PA Fees Actual'!$B$5:$B$882=$E37)*('PA Fees Actual'!$A$5:$A$882&gt;=Z$3)*('PA Fees Actual'!$A$5:$A$882&lt;=EOMONTH(Z$3,0))*'PA Fees Actual'!$D$5:$D$882),Z$3&gt;=EOMONTH($X37,-1)+1,$Y37,TRUE,0)</f>
        <v>0</v>
      </c>
      <c r="AA37" s="202" cm="1">
        <f t="array" ref="AA37">_xlfn.IFS(AA$3&lt;$B$2,SUMPRODUCT(('PA Fees Actual'!$B$5:$B$882=$E37)*('PA Fees Actual'!$A$5:$A$882&gt;=AA$3)*('PA Fees Actual'!$A$5:$A$882&lt;=EOMONTH(AA$3,0))*'PA Fees Actual'!$D$5:$D$882),AA$3&gt;=EOMONTH($X37,-1)+1,$Y37,TRUE,0)</f>
        <v>0</v>
      </c>
      <c r="AB37" s="202" cm="1">
        <f t="array" ref="AB37">_xlfn.IFS(AB$3&lt;$B$2,SUMPRODUCT(('PA Fees Actual'!$B$5:$B$882=$E37)*('PA Fees Actual'!$A$5:$A$882&gt;=AB$3)*('PA Fees Actual'!$A$5:$A$882&lt;=EOMONTH(AB$3,0))*'PA Fees Actual'!$D$5:$D$882),AB$3&gt;=EOMONTH($X37,-1)+1,$Y37,TRUE,0)</f>
        <v>0</v>
      </c>
      <c r="AC37" s="202" cm="1">
        <f t="array" ref="AC37">_xlfn.IFS(AC$3&lt;$B$2,SUMPRODUCT(('PA Fees Actual'!$B$5:$B$882=$E37)*('PA Fees Actual'!$A$5:$A$882&gt;=AC$3)*('PA Fees Actual'!$A$5:$A$882&lt;=EOMONTH(AC$3,0))*'PA Fees Actual'!$D$5:$D$882),AC$3&gt;=EOMONTH($X37,-1)+1,$Y37,TRUE,0)</f>
        <v>0</v>
      </c>
      <c r="AD37" s="202" cm="1">
        <f t="array" ref="AD37">_xlfn.IFS(AD$3&lt;$B$2,SUMPRODUCT(('PA Fees Actual'!$B$5:$B$882=$E37)*('PA Fees Actual'!$A$5:$A$882&gt;=AD$3)*('PA Fees Actual'!$A$5:$A$882&lt;=EOMONTH(AD$3,0))*'PA Fees Actual'!$D$5:$D$882),AD$3&gt;=EOMONTH($X37,-1)+1,$Y37,TRUE,0)</f>
        <v>0</v>
      </c>
      <c r="AE37" s="202" cm="1">
        <f t="array" ref="AE37">_xlfn.IFS(AE$3&lt;$B$2,SUMPRODUCT(('PA Fees Actual'!$B$5:$B$882=$E37)*('PA Fees Actual'!$A$5:$A$882&gt;=AE$3)*('PA Fees Actual'!$A$5:$A$882&lt;=EOMONTH(AE$3,0))*'PA Fees Actual'!$D$5:$D$882),AE$3&gt;=EOMONTH($X37,-1)+1,$Y37,TRUE,0)</f>
        <v>0</v>
      </c>
      <c r="AF37" s="202" cm="1">
        <f t="array" ref="AF37">_xlfn.IFS(AF$3&lt;$B$2,SUMPRODUCT(('PA Fees Actual'!$B$5:$B$882=$E37)*('PA Fees Actual'!$A$5:$A$882&gt;=AF$3)*('PA Fees Actual'!$A$5:$A$882&lt;=EOMONTH(AF$3,0))*'PA Fees Actual'!$D$5:$D$882),AF$3&gt;=EOMONTH($X37,-1)+1,$Y37,TRUE,0)</f>
        <v>0</v>
      </c>
      <c r="AG37" s="202" cm="1">
        <f t="array" ref="AG37">_xlfn.IFS(AG$3&lt;$B$2,SUMPRODUCT(('PA Fees Actual'!$B$5:$B$882=$E37)*('PA Fees Actual'!$A$5:$A$882&gt;=AG$3)*('PA Fees Actual'!$A$5:$A$882&lt;=EOMONTH(AG$3,0))*'PA Fees Actual'!$D$5:$D$882),AG$3&gt;=EOMONTH($X37,-1)+1,$Y37,TRUE,0)</f>
        <v>0</v>
      </c>
      <c r="AH37" s="202" cm="1">
        <f t="array" ref="AH37">_xlfn.IFS(AH$3&lt;$B$2,SUMPRODUCT(('PA Fees Actual'!$B$5:$B$882=$E37)*('PA Fees Actual'!$A$5:$A$882&gt;=AH$3)*('PA Fees Actual'!$A$5:$A$882&lt;=EOMONTH(AH$3,0))*'PA Fees Actual'!$D$5:$D$882),AH$3&gt;=EOMONTH($X37,-1)+1,$Y37,TRUE,0)</f>
        <v>0</v>
      </c>
      <c r="AI37" s="202" cm="1">
        <f t="array" ref="AI37">_xlfn.IFS(AI$3&lt;$B$2,SUMPRODUCT(('PA Fees Actual'!$B$5:$B$882=$E37)*('PA Fees Actual'!$A$5:$A$882&gt;=AI$3)*('PA Fees Actual'!$A$5:$A$882&lt;=EOMONTH(AI$3,0))*'PA Fees Actual'!$D$5:$D$882),AI$3&gt;=EOMONTH($X37,-1)+1,$Y37,TRUE,0)</f>
        <v>0</v>
      </c>
      <c r="AJ37" s="202" cm="1">
        <f t="array" ref="AJ37">_xlfn.IFS(AJ$3&lt;$B$2,SUMPRODUCT(('PA Fees Actual'!$B$5:$B$882=$E37)*('PA Fees Actual'!$A$5:$A$882&gt;=AJ$3)*('PA Fees Actual'!$A$5:$A$882&lt;=EOMONTH(AJ$3,0))*'PA Fees Actual'!$D$5:$D$882),AJ$3&gt;=EOMONTH($X37,-1)+1,$Y37,TRUE,0)</f>
        <v>0</v>
      </c>
      <c r="AK37" s="202" cm="1">
        <f t="array" ref="AK37">_xlfn.IFS(AK$3&lt;$B$2,SUMPRODUCT(('PA Fees Actual'!$B$5:$B$882=$E37)*('PA Fees Actual'!$A$5:$A$882&gt;=AK$3)*('PA Fees Actual'!$A$5:$A$882&lt;=EOMONTH(AK$3,0))*'PA Fees Actual'!$D$5:$D$882),AK$3&gt;=EOMONTH($X37,-1)+1,$Y37,TRUE,0)</f>
        <v>0</v>
      </c>
      <c r="AL37" s="202" cm="1">
        <f t="array" ref="AL37">_xlfn.IFS(AL$3&lt;$B$2,SUMPRODUCT(('PA Fees Actual'!$B$5:$B$882=$E37)*('PA Fees Actual'!$A$5:$A$882&gt;=AL$3)*('PA Fees Actual'!$A$5:$A$882&lt;=EOMONTH(AL$3,0))*'PA Fees Actual'!$D$5:$D$882),AL$3&gt;=EOMONTH($X37,-1)+1,$Y37,TRUE,0)</f>
        <v>0</v>
      </c>
      <c r="AM37" s="202" cm="1">
        <f t="array" ref="AM37">_xlfn.IFS(AM$3&lt;$B$2,SUMPRODUCT(('PA Fees Actual'!$B$5:$B$882=$E37)*('PA Fees Actual'!$A$5:$A$882&gt;=AM$3)*('PA Fees Actual'!$A$5:$A$882&lt;=EOMONTH(AM$3,0))*'PA Fees Actual'!$D$5:$D$882),AM$3&gt;=EOMONTH($X37,-1)+1,$Y37,TRUE,0)</f>
        <v>0</v>
      </c>
      <c r="AN37" s="202" cm="1">
        <f t="array" ref="AN37">_xlfn.IFS(AN$3&lt;$B$2,SUMPRODUCT(('PA Fees Actual'!$B$5:$B$882=$E37)*('PA Fees Actual'!$A$5:$A$882&gt;=AN$3)*('PA Fees Actual'!$A$5:$A$882&lt;=EOMONTH(AN$3,0))*'PA Fees Actual'!$D$5:$D$882),AN$3&gt;=EOMONTH($X37,-1)+1,$Y37,TRUE,0)</f>
        <v>0</v>
      </c>
      <c r="AO37" s="202" cm="1">
        <f t="array" ref="AO37">_xlfn.IFS(AO$3&lt;$B$2,SUMPRODUCT(('PA Fees Actual'!$B$5:$B$882=$E37)*('PA Fees Actual'!$A$5:$A$882&gt;=AO$3)*('PA Fees Actual'!$A$5:$A$882&lt;=EOMONTH(AO$3,0))*'PA Fees Actual'!$D$5:$D$882),AO$3&gt;=EOMONTH($X37,-1)+1,$Y37,TRUE,0)</f>
        <v>0</v>
      </c>
      <c r="AP37" s="202" cm="1">
        <f t="array" ref="AP37">_xlfn.IFS(AP$3&lt;$B$2,SUMPRODUCT(('PA Fees Actual'!$B$5:$B$882=$E37)*('PA Fees Actual'!$A$5:$A$882&gt;=AP$3)*('PA Fees Actual'!$A$5:$A$882&lt;=EOMONTH(AP$3,0))*'PA Fees Actual'!$D$5:$D$882),AP$3&gt;=EOMONTH($X37,-1)+1,$Y37,TRUE,0)</f>
        <v>0</v>
      </c>
      <c r="AQ37" s="202" cm="1">
        <f t="array" ref="AQ37">_xlfn.IFS(AQ$3&lt;$B$2,SUMPRODUCT(('PA Fees Actual'!$B$5:$B$882=$E37)*('PA Fees Actual'!$A$5:$A$882&gt;=AQ$3)*('PA Fees Actual'!$A$5:$A$882&lt;=EOMONTH(AQ$3,0))*'PA Fees Actual'!$D$5:$D$882),AQ$3&gt;=EOMONTH($X37,-1)+1,$Y37,TRUE,0)</f>
        <v>0</v>
      </c>
      <c r="AR37" s="202" cm="1">
        <f t="array" ref="AR37">_xlfn.IFS(AR$3&lt;$B$2,SUMPRODUCT(('PA Fees Actual'!$B$5:$B$882=$E37)*('PA Fees Actual'!$A$5:$A$882&gt;=AR$3)*('PA Fees Actual'!$A$5:$A$882&lt;=EOMONTH(AR$3,0))*'PA Fees Actual'!$D$5:$D$882),AR$3&gt;=EOMONTH($X37,-1)+1,$Y37,TRUE,0)</f>
        <v>0</v>
      </c>
      <c r="AS37" s="202" cm="1">
        <f t="array" ref="AS37">_xlfn.IFS(AS$3&lt;$B$2,SUMPRODUCT(('PA Fees Actual'!$B$5:$B$882=$E37)*('PA Fees Actual'!$A$5:$A$882&gt;=AS$3)*('PA Fees Actual'!$A$5:$A$882&lt;=EOMONTH(AS$3,0))*'PA Fees Actual'!$D$5:$D$882),AS$3&gt;=EOMONTH($X37,-1)+1,$Y37,TRUE,0)</f>
        <v>0</v>
      </c>
      <c r="AT37" s="202" cm="1">
        <f t="array" ref="AT37">_xlfn.IFS(AT$3&lt;$B$2,SUMPRODUCT(('PA Fees Actual'!$B$5:$B$882=$E37)*('PA Fees Actual'!$A$5:$A$882&gt;=AT$3)*('PA Fees Actual'!$A$5:$A$882&lt;=EOMONTH(AT$3,0))*'PA Fees Actual'!$D$5:$D$882),AT$3&gt;=EOMONTH($X37,-1)+1,$Y37,TRUE,0)</f>
        <v>0</v>
      </c>
      <c r="AU37" s="202" cm="1">
        <f t="array" ref="AU37">_xlfn.IFS(AU$3&lt;$B$2,SUMPRODUCT(('PA Fees Actual'!$B$5:$B$882=$E37)*('PA Fees Actual'!$A$5:$A$882&gt;=AU$3)*('PA Fees Actual'!$A$5:$A$882&lt;=EOMONTH(AU$3,0))*'PA Fees Actual'!$D$5:$D$882),AU$3&gt;=EOMONTH($X37,-1)+1,$Y37,TRUE,0)</f>
        <v>0</v>
      </c>
      <c r="AV37" s="202" cm="1">
        <f t="array" ref="AV37">_xlfn.IFS(AV$3&lt;$B$2,SUMPRODUCT(('PA Fees Actual'!$B$5:$B$882=$E37)*('PA Fees Actual'!$A$5:$A$882&gt;=AV$3)*('PA Fees Actual'!$A$5:$A$882&lt;=EOMONTH(AV$3,0))*'PA Fees Actual'!$D$5:$D$882),AV$3&gt;=EOMONTH($X37,-1)+1,$Y37,TRUE,0)</f>
        <v>0</v>
      </c>
      <c r="AW37" s="202" cm="1">
        <f t="array" ref="AW37">_xlfn.IFS(AW$3&lt;$B$2,SUMPRODUCT(('PA Fees Actual'!$B$5:$B$882=$E37)*('PA Fees Actual'!$A$5:$A$882&gt;=AW$3)*('PA Fees Actual'!$A$5:$A$882&lt;=EOMONTH(AW$3,0))*'PA Fees Actual'!$D$5:$D$882),AW$3&gt;=EOMONTH($X37,-1)+1,$Y37,TRUE,0)</f>
        <v>0</v>
      </c>
      <c r="AX37" s="202" cm="1">
        <f t="array" ref="AX37">_xlfn.IFS(AX$3&lt;$B$2,SUMPRODUCT(('PA Fees Actual'!$B$5:$B$882=$E37)*('PA Fees Actual'!$A$5:$A$882&gt;=AX$3)*('PA Fees Actual'!$A$5:$A$882&lt;=EOMONTH(AX$3,0))*'PA Fees Actual'!$D$5:$D$882),AX$3&gt;=EOMONTH($X37,-1)+1,$Y37,TRUE,0)</f>
        <v>0</v>
      </c>
      <c r="AY37" s="202" cm="1">
        <f t="array" ref="AY37">_xlfn.IFS(AY$3&lt;$B$2,SUMPRODUCT(('PA Fees Actual'!$B$5:$B$882=$E37)*('PA Fees Actual'!$A$5:$A$882&gt;=AY$3)*('PA Fees Actual'!$A$5:$A$882&lt;=EOMONTH(AY$3,0))*'PA Fees Actual'!$D$5:$D$882),AY$3&gt;=EOMONTH($X37,-1)+1,$Y37,TRUE,0)</f>
        <v>0</v>
      </c>
      <c r="AZ37" s="202" cm="1">
        <f t="array" ref="AZ37">_xlfn.IFS(AZ$3&lt;$B$2,SUMPRODUCT(('PA Fees Actual'!$B$5:$B$882=$E37)*('PA Fees Actual'!$A$5:$A$882&gt;=AZ$3)*('PA Fees Actual'!$A$5:$A$882&lt;=EOMONTH(AZ$3,0))*'PA Fees Actual'!$D$5:$D$882),AZ$3&gt;=EOMONTH($X37,-1)+1,$Y37,TRUE,0)</f>
        <v>0</v>
      </c>
      <c r="BA37" s="202" cm="1">
        <f t="array" ref="BA37">_xlfn.IFS(BA$3&lt;$B$2,SUMPRODUCT(('PA Fees Actual'!$B$5:$B$882=$E37)*('PA Fees Actual'!$A$5:$A$882&gt;=BA$3)*('PA Fees Actual'!$A$5:$A$882&lt;=EOMONTH(BA$3,0))*'PA Fees Actual'!$D$5:$D$882),BA$3&gt;=EOMONTH($X37,-1)+1,$Y37,TRUE,0)</f>
        <v>0</v>
      </c>
      <c r="BB37" s="202" cm="1">
        <f t="array" ref="BB37">_xlfn.IFS(BB$3&lt;$B$2,SUMPRODUCT(('PA Fees Actual'!$B$5:$B$882=$E37)*('PA Fees Actual'!$A$5:$A$882&gt;=BB$3)*('PA Fees Actual'!$A$5:$A$882&lt;=EOMONTH(BB$3,0))*'PA Fees Actual'!$D$5:$D$882),BB$3&gt;=EOMONTH($X37,-1)+1,$Y37,TRUE,0)</f>
        <v>0</v>
      </c>
      <c r="BC37" s="202" cm="1">
        <f t="array" ref="BC37">_xlfn.IFS(BC$3&lt;$B$2,SUMPRODUCT(('PA Fees Actual'!$B$5:$B$882=$E37)*('PA Fees Actual'!$A$5:$A$882&gt;=BC$3)*('PA Fees Actual'!$A$5:$A$882&lt;=EOMONTH(BC$3,0))*'PA Fees Actual'!$D$5:$D$882),BC$3&gt;=EOMONTH($X37,-1)+1,$Y37,TRUE,0)</f>
        <v>0</v>
      </c>
      <c r="BD37" s="202" cm="1">
        <f t="array" ref="BD37">_xlfn.IFS(BD$3&lt;$B$2,SUMPRODUCT(('PA Fees Actual'!$B$5:$B$882=$E37)*('PA Fees Actual'!$A$5:$A$882&gt;=BD$3)*('PA Fees Actual'!$A$5:$A$882&lt;=EOMONTH(BD$3,0))*'PA Fees Actual'!$D$5:$D$882),BD$3&gt;=EOMONTH($X37,-1)+1,$Y37,TRUE,0)</f>
        <v>0</v>
      </c>
      <c r="BE37" s="202" cm="1">
        <f t="array" ref="BE37">_xlfn.IFS(BE$3&lt;$B$2,SUMPRODUCT(('PA Fees Actual'!$B$5:$B$882=$E37)*('PA Fees Actual'!$A$5:$A$882&gt;=BE$3)*('PA Fees Actual'!$A$5:$A$882&lt;=EOMONTH(BE$3,0))*'PA Fees Actual'!$D$5:$D$882),BE$3&gt;=EOMONTH($X37,-1)+1,$Y37,TRUE,0)</f>
        <v>0</v>
      </c>
      <c r="BF37" s="202" cm="1">
        <f t="array" ref="BF37">_xlfn.IFS(BF$3&lt;$B$2,SUMPRODUCT(('PA Fees Actual'!$B$5:$B$882=$E37)*('PA Fees Actual'!$A$5:$A$882&gt;=BF$3)*('PA Fees Actual'!$A$5:$A$882&lt;=EOMONTH(BF$3,0))*'PA Fees Actual'!$D$5:$D$882),BF$3&gt;=EOMONTH($X37,-1)+1,$Y37,TRUE,0)</f>
        <v>0</v>
      </c>
      <c r="BG37" s="202" cm="1">
        <f t="array" ref="BG37">_xlfn.IFS(BG$3&lt;$B$2,SUMPRODUCT(('PA Fees Actual'!$B$5:$B$882=$E37)*('PA Fees Actual'!$A$5:$A$882&gt;=BG$3)*('PA Fees Actual'!$A$5:$A$882&lt;=EOMONTH(BG$3,0))*'PA Fees Actual'!$D$5:$D$882),BG$3&gt;=EOMONTH($X37,-1)+1,$Y37,TRUE,0)</f>
        <v>0</v>
      </c>
      <c r="BH37" s="202" cm="1">
        <f t="array" ref="BH37">_xlfn.IFS(BH$3&lt;$B$2,SUMPRODUCT(('PA Fees Actual'!$B$5:$B$882=$E37)*('PA Fees Actual'!$A$5:$A$882&gt;=BH$3)*('PA Fees Actual'!$A$5:$A$882&lt;=EOMONTH(BH$3,0))*'PA Fees Actual'!$D$5:$D$882),BH$3&gt;=EOMONTH($X37,-1)+1,$Y37,TRUE,0)</f>
        <v>0</v>
      </c>
      <c r="BI37" s="202" cm="1">
        <f t="array" ref="BI37">_xlfn.IFS(BI$3&lt;$B$2,SUMPRODUCT(('PA Fees Actual'!$B$5:$B$882=$E37)*('PA Fees Actual'!$A$5:$A$882&gt;=BI$3)*('PA Fees Actual'!$A$5:$A$882&lt;=EOMONTH(BI$3,0))*'PA Fees Actual'!$D$5:$D$882),BI$3&gt;=EOMONTH($X37,-1)+1,$Y37,TRUE,0)</f>
        <v>0</v>
      </c>
      <c r="BJ37" s="202" cm="1">
        <f t="array" ref="BJ37">_xlfn.IFS(BJ$3&lt;$B$2,SUMPRODUCT(('PA Fees Actual'!$B$5:$B$882=$E37)*('PA Fees Actual'!$A$5:$A$882&gt;=BJ$3)*('PA Fees Actual'!$A$5:$A$882&lt;=EOMONTH(BJ$3,0))*'PA Fees Actual'!$D$5:$D$882),BJ$3&gt;=EOMONTH($X37,-1)+1,$Y37,TRUE,0)</f>
        <v>0</v>
      </c>
      <c r="BK37" s="202" cm="1">
        <f t="array" ref="BK37">_xlfn.IFS(BK$3&lt;$B$2,SUMPRODUCT(('PA Fees Actual'!$B$5:$B$882=$E37)*('PA Fees Actual'!$A$5:$A$882&gt;=BK$3)*('PA Fees Actual'!$A$5:$A$882&lt;=EOMONTH(BK$3,0))*'PA Fees Actual'!$D$5:$D$882),BK$3&gt;=EOMONTH($X37,-1)+1,$Y37,TRUE,0)</f>
        <v>0</v>
      </c>
      <c r="BL37" s="202" cm="1">
        <f t="array" ref="BL37">_xlfn.IFS(BL$3&lt;$B$2,SUMPRODUCT(('PA Fees Actual'!$B$5:$B$882=$E37)*('PA Fees Actual'!$A$5:$A$882&gt;=BL$3)*('PA Fees Actual'!$A$5:$A$882&lt;=EOMONTH(BL$3,0))*'PA Fees Actual'!$D$5:$D$882),BL$3&gt;=EOMONTH($X37,-1)+1,$Y37,TRUE,0)</f>
        <v>0</v>
      </c>
      <c r="BM37" s="202" cm="1">
        <f t="array" ref="BM37">_xlfn.IFS(BM$3&lt;$B$2,SUMPRODUCT(('PA Fees Actual'!$B$5:$B$882=$E37)*('PA Fees Actual'!$A$5:$A$882&gt;=BM$3)*('PA Fees Actual'!$A$5:$A$882&lt;=EOMONTH(BM$3,0))*'PA Fees Actual'!$D$5:$D$882),BM$3&gt;=EOMONTH($X37,-1)+1,$Y37,TRUE,0)</f>
        <v>0</v>
      </c>
      <c r="BN37" s="202" cm="1">
        <f t="array" ref="BN37">_xlfn.IFS(BN$3&lt;$B$2,SUMPRODUCT(('PA Fees Actual'!$B$5:$B$882=$E37)*('PA Fees Actual'!$A$5:$A$882&gt;=BN$3)*('PA Fees Actual'!$A$5:$A$882&lt;=EOMONTH(BN$3,0))*'PA Fees Actual'!$D$5:$D$882),BN$3&gt;=EOMONTH($X37,-1)+1,$Y37,TRUE,0)</f>
        <v>0</v>
      </c>
      <c r="BO37" s="202" cm="1">
        <f t="array" ref="BO37">_xlfn.IFS(BO$3&lt;$B$2,SUMPRODUCT(('PA Fees Actual'!$B$5:$B$882=$E37)*('PA Fees Actual'!$A$5:$A$882&gt;=BO$3)*('PA Fees Actual'!$A$5:$A$882&lt;=EOMONTH(BO$3,0))*'PA Fees Actual'!$D$5:$D$882),BO$3&gt;=EOMONTH($X37,-1)+1,$Y37,TRUE,0)</f>
        <v>0</v>
      </c>
      <c r="BP37" s="202" cm="1">
        <f t="array" ref="BP37">_xlfn.IFS(BP$3&lt;$B$2,SUMPRODUCT(('PA Fees Actual'!$B$5:$B$882=$E37)*('PA Fees Actual'!$A$5:$A$882&gt;=BP$3)*('PA Fees Actual'!$A$5:$A$882&lt;=EOMONTH(BP$3,0))*'PA Fees Actual'!$D$5:$D$882),BP$3&gt;=EOMONTH($X37,-1)+1,$Y37,TRUE,0)</f>
        <v>0</v>
      </c>
      <c r="BQ37" s="202" cm="1">
        <f t="array" ref="BQ37">_xlfn.IFS(BQ$3&lt;$B$2,SUMPRODUCT(('PA Fees Actual'!$B$5:$B$882=$E37)*('PA Fees Actual'!$A$5:$A$882&gt;=BQ$3)*('PA Fees Actual'!$A$5:$A$882&lt;=EOMONTH(BQ$3,0))*'PA Fees Actual'!$D$5:$D$882),BQ$3&gt;=EOMONTH($X37,-1)+1,$Y37,TRUE,0)</f>
        <v>0</v>
      </c>
      <c r="BR37" s="202" cm="1">
        <f t="array" ref="BR37">_xlfn.IFS(BR$3&lt;$B$2,SUMPRODUCT(('PA Fees Actual'!$B$5:$B$882=$E37)*('PA Fees Actual'!$A$5:$A$882&gt;=BR$3)*('PA Fees Actual'!$A$5:$A$882&lt;=EOMONTH(BR$3,0))*'PA Fees Actual'!$D$5:$D$882),BR$3&gt;=EOMONTH($X37,-1)+1,$Y37,TRUE,0)</f>
        <v>0</v>
      </c>
      <c r="BS37" s="202" cm="1">
        <f t="array" ref="BS37">_xlfn.IFS(BS$3&lt;$B$2,SUMPRODUCT(('PA Fees Actual'!$B$5:$B$882=$E37)*('PA Fees Actual'!$A$5:$A$882&gt;=BS$3)*('PA Fees Actual'!$A$5:$A$882&lt;=EOMONTH(BS$3,0))*'PA Fees Actual'!$D$5:$D$882),BS$3&gt;=EOMONTH($X37,-1)+1,$Y37,TRUE,0)</f>
        <v>0</v>
      </c>
      <c r="BT37" s="202" cm="1">
        <f t="array" ref="BT37">_xlfn.IFS(BT$3&lt;$B$2,SUMPRODUCT(('PA Fees Actual'!$B$5:$B$882=$E37)*('PA Fees Actual'!$A$5:$A$882&gt;=BT$3)*('PA Fees Actual'!$A$5:$A$882&lt;=EOMONTH(BT$3,0))*'PA Fees Actual'!$D$5:$D$882),BT$3&gt;=EOMONTH($X37,-1)+1,$Y37,TRUE,0)</f>
        <v>0</v>
      </c>
      <c r="BU37" s="202" cm="1">
        <f t="array" ref="BU37">_xlfn.IFS(BU$3&lt;$B$2,SUMPRODUCT(('PA Fees Actual'!$B$5:$B$882=$E37)*('PA Fees Actual'!$A$5:$A$882&gt;=BU$3)*('PA Fees Actual'!$A$5:$A$882&lt;=EOMONTH(BU$3,0))*'PA Fees Actual'!$D$5:$D$882),BU$3&gt;=EOMONTH($X37,-1)+1,$Y37,TRUE,0)</f>
        <v>0</v>
      </c>
      <c r="BV37" s="202" cm="1">
        <f t="array" ref="BV37">_xlfn.IFS(BV$3&lt;$B$2,SUMPRODUCT(('PA Fees Actual'!$B$5:$B$882=$E37)*('PA Fees Actual'!$A$5:$A$882&gt;=BV$3)*('PA Fees Actual'!$A$5:$A$882&lt;=EOMONTH(BV$3,0))*'PA Fees Actual'!$D$5:$D$882),BV$3&gt;=EOMONTH($X37,-1)+1,$Y37,TRUE,0)</f>
        <v>0</v>
      </c>
      <c r="BW37" s="202" cm="1">
        <f t="array" ref="BW37">_xlfn.IFS(BW$3&lt;$B$2,SUMPRODUCT(('PA Fees Actual'!$B$5:$B$882=$E37)*('PA Fees Actual'!$A$5:$A$882&gt;=BW$3)*('PA Fees Actual'!$A$5:$A$882&lt;=EOMONTH(BW$3,0))*'PA Fees Actual'!$D$5:$D$882),BW$3&gt;=EOMONTH($X37,-1)+1,$Y37,TRUE,0)</f>
        <v>0</v>
      </c>
      <c r="BX37" s="202" cm="1">
        <f t="array" ref="BX37">_xlfn.IFS(BX$3&lt;$B$2,SUMPRODUCT(('PA Fees Actual'!$B$5:$B$882=$E37)*('PA Fees Actual'!$A$5:$A$882&gt;=BX$3)*('PA Fees Actual'!$A$5:$A$882&lt;=EOMONTH(BX$3,0))*'PA Fees Actual'!$D$5:$D$882),BX$3&gt;=EOMONTH($X37,-1)+1,$Y37,TRUE,0)</f>
        <v>0</v>
      </c>
      <c r="BY37" s="202" cm="1">
        <f t="array" ref="BY37">_xlfn.IFS(BY$3&lt;$B$2,SUMPRODUCT(('PA Fees Actual'!$B$5:$B$882=$E37)*('PA Fees Actual'!$A$5:$A$882&gt;=BY$3)*('PA Fees Actual'!$A$5:$A$882&lt;=EOMONTH(BY$3,0))*'PA Fees Actual'!$D$5:$D$882),BY$3&gt;=EOMONTH($X37,-1)+1,$Y37,TRUE,0)</f>
        <v>0</v>
      </c>
      <c r="BZ37" s="202" cm="1">
        <f t="array" ref="BZ37">_xlfn.IFS(BZ$3&lt;$B$2,SUMPRODUCT(('PA Fees Actual'!$B$5:$B$882=$E37)*('PA Fees Actual'!$A$5:$A$882&gt;=BZ$3)*('PA Fees Actual'!$A$5:$A$882&lt;=EOMONTH(BZ$3,0))*'PA Fees Actual'!$D$5:$D$882),BZ$3&gt;=EOMONTH($X37,-1)+1,$Y37,TRUE,0)</f>
        <v>0</v>
      </c>
      <c r="CA37" s="202" cm="1">
        <f t="array" ref="CA37">_xlfn.IFS(CA$3&lt;$B$2,SUMPRODUCT(('PA Fees Actual'!$B$5:$B$882=$E37)*('PA Fees Actual'!$A$5:$A$882&gt;=CA$3)*('PA Fees Actual'!$A$5:$A$882&lt;=EOMONTH(CA$3,0))*'PA Fees Actual'!$D$5:$D$882),CA$3&gt;=EOMONTH($X37,-1)+1,$Y37,TRUE,0)</f>
        <v>0</v>
      </c>
      <c r="CB37" s="202" cm="1">
        <f t="array" ref="CB37">_xlfn.IFS(CB$3&lt;$B$2,SUMPRODUCT(('PA Fees Actual'!$B$5:$B$882=$E37)*('PA Fees Actual'!$A$5:$A$882&gt;=CB$3)*('PA Fees Actual'!$A$5:$A$882&lt;=EOMONTH(CB$3,0))*'PA Fees Actual'!$D$5:$D$882),CB$3&gt;=EOMONTH($X37,-1)+1,$Y37,TRUE,0)</f>
        <v>1806.25</v>
      </c>
      <c r="CC37" s="202" cm="1">
        <f t="array" ref="CC37">_xlfn.IFS(CC$3&lt;$B$2,SUMPRODUCT(('PA Fees Actual'!$B$5:$B$882=$E37)*('PA Fees Actual'!$A$5:$A$882&gt;=CC$3)*('PA Fees Actual'!$A$5:$A$882&lt;=EOMONTH(CC$3,0))*'PA Fees Actual'!$D$5:$D$882),CC$3&gt;=EOMONTH($X37,-1)+1,$Y37,TRUE,0)</f>
        <v>1806.25</v>
      </c>
      <c r="CD37" s="202" cm="1">
        <f t="array" ref="CD37">_xlfn.IFS(CD$3&lt;$B$2,SUMPRODUCT(('PA Fees Actual'!$B$5:$B$882=$E37)*('PA Fees Actual'!$A$5:$A$882&gt;=CD$3)*('PA Fees Actual'!$A$5:$A$882&lt;=EOMONTH(CD$3,0))*'PA Fees Actual'!$D$5:$D$882),CD$3&gt;=EOMONTH($X37,-1)+1,$Y37,TRUE,0)</f>
        <v>1806.25</v>
      </c>
      <c r="CE37" s="202" cm="1">
        <f t="array" ref="CE37">_xlfn.IFS(CE$3&lt;$B$2,SUMPRODUCT(('PA Fees Actual'!$B$5:$B$882=$E37)*('PA Fees Actual'!$A$5:$A$882&gt;=CE$3)*('PA Fees Actual'!$A$5:$A$882&lt;=EOMONTH(CE$3,0))*'PA Fees Actual'!$D$5:$D$882),CE$3&gt;=EOMONTH($X37,-1)+1,$Y37,TRUE,0)</f>
        <v>1806.25</v>
      </c>
      <c r="CF37" s="202" cm="1">
        <f t="array" ref="CF37">_xlfn.IFS(CF$3&lt;$B$2,SUMPRODUCT(('PA Fees Actual'!$B$5:$B$882=$E37)*('PA Fees Actual'!$A$5:$A$882&gt;=CF$3)*('PA Fees Actual'!$A$5:$A$882&lt;=EOMONTH(CF$3,0))*'PA Fees Actual'!$D$5:$D$882),CF$3&gt;=EOMONTH($X37,-1)+1,$Y37,TRUE,0)</f>
        <v>1806.25</v>
      </c>
      <c r="CG37" s="202" cm="1">
        <f t="array" ref="CG37">_xlfn.IFS(CG$3&lt;$B$2,SUMPRODUCT(('PA Fees Actual'!$B$5:$B$882=$E37)*('PA Fees Actual'!$A$5:$A$882&gt;=CG$3)*('PA Fees Actual'!$A$5:$A$882&lt;=EOMONTH(CG$3,0))*'PA Fees Actual'!$D$5:$D$882),CG$3&gt;=EOMONTH($X37,-1)+1,$Y37,TRUE,0)</f>
        <v>1806.25</v>
      </c>
      <c r="CI37" s="202" cm="1">
        <f t="array" ref="CI37">_xlfn.IFS(CI$3&lt;=YEAR($B$2),SUMPRODUCT(($E$4:$E$79=$E37)*($Z$2:$CG$2=CI$3)*($Z$2:$CG$2&lt;CJ$3)*$Z$4:$CG$79),CI$3&lt;YEAR($X37),0,CI$3=YEAR($X37),DATEDIF($X37,DATE(CI$3,12,31),"m")*$Y37,AND(CI$3&gt;YEAR($X37),CI$3-YEAR($X37)&lt;20),$Y37*12,CI$3-YEAR($X37)=20,DATEDIF(DATE(YEAR($X37),1,1),$X37,"m")*$Y37,CI$3-YEAR($X37)&gt;20,0)</f>
        <v>0</v>
      </c>
      <c r="CJ37" s="202" cm="1">
        <f t="array" ref="CJ37">_xlfn.IFS(CJ$3&lt;=YEAR($B$2),SUMPRODUCT(($E$4:$E$79=$E37)*($Z$2:$CG$2=CJ$3)*($Z$2:$CG$2&lt;CK$3)*$Z$4:$CG$79),CJ$3&lt;YEAR($X37),0,CJ$3=YEAR($X37),DATEDIF($X37,DATE(CJ$3,12,31),"m")*$Y37,AND(CJ$3&gt;YEAR($X37),CJ$3-YEAR($X37)&lt;20),$Y37*12,CJ$3-YEAR($X37)=20,DATEDIF(DATE(YEAR($X37),1,1),$X37,"m")*$Y37,CJ$3-YEAR($X37)&gt;20,0)</f>
        <v>0</v>
      </c>
      <c r="CK37" s="202" cm="1">
        <f t="array" ref="CK37">_xlfn.IFS(CK$3&lt;=YEAR($B$2),SUMPRODUCT(($E$4:$E$79=$E37)*($Z$2:$CG$2=CK$3)*($Z$2:$CG$2&lt;CL$3)*$Z$4:$CG$79),CK$3&lt;YEAR($X37),0,CK$3=YEAR($X37),DATEDIF($X37,DATE(CK$3,12,31),"m")*$Y37,AND(CK$3&gt;YEAR($X37),CK$3-YEAR($X37)&lt;20),$Y37*12,CK$3-YEAR($X37)=20,DATEDIF(DATE(YEAR($X37),1,1),$X37,"m")*$Y37,CK$3-YEAR($X37)&gt;20,0)</f>
        <v>0</v>
      </c>
      <c r="CL37" s="202" cm="1">
        <f t="array" ref="CL37">_xlfn.IFS(CL$3&lt;=YEAR($B$2),SUMPRODUCT(($E$4:$E$79=$E37)*($Z$2:$CG$2=CL$3)*($Z$2:$CG$2&lt;CM$3)*$Z$4:$CG$79),CL$3&lt;YEAR($X37),0,CL$3=YEAR($X37),DATEDIF($X37,DATE(CL$3,12,31),"m")*$Y37,AND(CL$3&gt;YEAR($X37),CL$3-YEAR($X37)&lt;20),$Y37*12,CL$3-YEAR($X37)=20,DATEDIF(DATE(YEAR($X37),1,1),$X37,"m")*$Y37,CL$3-YEAR($X37)&gt;20,0)</f>
        <v>0</v>
      </c>
      <c r="CM37" s="202" cm="1">
        <f t="array" ref="CM37">_xlfn.IFS(CM$3&lt;=YEAR($B$2),SUMPRODUCT(($E$4:$E$79=$E37)*($Z$2:$CG$2=CM$3)*($Z$2:$CG$2&lt;CN$3)*$Z$4:$CG$79),CM$3&lt;YEAR($X37),0,CM$3=YEAR($X37),DATEDIF($X37,DATE(CM$3,12,31),"m")*$Y37,AND(CM$3&gt;YEAR($X37),CM$3-YEAR($X37)&lt;20),$Y37*12,CM$3-YEAR($X37)=20,DATEDIF(DATE(YEAR($X37),1,1),$X37,"m")*$Y37,CM$3-YEAR($X37)&gt;20,0)</f>
        <v>10837.5</v>
      </c>
      <c r="CN37" s="202" cm="1">
        <f t="array" ref="CN37">_xlfn.IFS(CN$3&lt;=YEAR($B$2),SUMPRODUCT(($E$4:$E$79=$E37)*($Z$2:$CG$2=CN$3)*($Z$2:$CG$2&lt;CO$3)*$Z$4:$CG$79),CN$3&lt;YEAR($X37),0,CN$3=YEAR($X37),DATEDIF($X37,DATE(CN$3,12,31),"m")*$Y37,AND(CN$3&gt;YEAR($X37),CN$3-YEAR($X37)&lt;20),$Y37*12,CN$3-YEAR($X37)=20,DATEDIF(DATE(YEAR($X37),1,1),$X37,"m")*$Y37,CN$3-YEAR($X37)&gt;20,0)</f>
        <v>21675</v>
      </c>
      <c r="CO37" s="202" cm="1">
        <f t="array" ref="CO37">_xlfn.IFS(CO$3&lt;=YEAR($B$2),SUMPRODUCT(($E$4:$E$79=$E37)*($Z$2:$CG$2=CO$3)*($Z$2:$CG$2&lt;CP$3)*$Z$4:$CG$79),CO$3&lt;YEAR($X37),0,CO$3=YEAR($X37),DATEDIF($X37,DATE(CO$3,12,31),"m")*$Y37,AND(CO$3&gt;YEAR($X37),CO$3-YEAR($X37)&lt;20),$Y37*12,CO$3-YEAR($X37)=20,DATEDIF(DATE(YEAR($X37),1,1),$X37,"m")*$Y37,CO$3-YEAR($X37)&gt;20,0)</f>
        <v>21675</v>
      </c>
      <c r="CP37" s="202" cm="1">
        <f t="array" ref="CP37">_xlfn.IFS(CP$3&lt;=YEAR($B$2),SUMPRODUCT(($E$4:$E$79=$E37)*($Z$2:$CG$2=CP$3)*($Z$2:$CG$2&lt;CQ$3)*$Z$4:$CG$79),CP$3&lt;YEAR($X37),0,CP$3=YEAR($X37),DATEDIF($X37,DATE(CP$3,12,31),"m")*$Y37,AND(CP$3&gt;YEAR($X37),CP$3-YEAR($X37)&lt;20),$Y37*12,CP$3-YEAR($X37)=20,DATEDIF(DATE(YEAR($X37),1,1),$X37,"m")*$Y37,CP$3-YEAR($X37)&gt;20,0)</f>
        <v>21675</v>
      </c>
      <c r="CQ37" s="202" cm="1">
        <f t="array" ref="CQ37">_xlfn.IFS(CQ$3&lt;=YEAR($B$2),SUMPRODUCT(($E$4:$E$79=$E37)*($Z$2:$CG$2=CQ$3)*($Z$2:$CG$2&lt;CR$3)*$Z$4:$CG$79),CQ$3&lt;YEAR($X37),0,CQ$3=YEAR($X37),DATEDIF($X37,DATE(CQ$3,12,31),"m")*$Y37,AND(CQ$3&gt;YEAR($X37),CQ$3-YEAR($X37)&lt;20),$Y37*12,CQ$3-YEAR($X37)=20,DATEDIF(DATE(YEAR($X37),1,1),$X37,"m")*$Y37,CQ$3-YEAR($X37)&gt;20,0)</f>
        <v>21675</v>
      </c>
      <c r="CR37" s="202" cm="1">
        <f t="array" ref="CR37">_xlfn.IFS(CR$3&lt;=YEAR($B$2),SUMPRODUCT(($E$4:$E$79=$E37)*($Z$2:$CG$2=CR$3)*($Z$2:$CG$2&lt;CS$3)*$Z$4:$CG$79),CR$3&lt;YEAR($X37),0,CR$3=YEAR($X37),DATEDIF($X37,DATE(CR$3,12,31),"m")*$Y37,AND(CR$3&gt;YEAR($X37),CR$3-YEAR($X37)&lt;20),$Y37*12,CR$3-YEAR($X37)=20,DATEDIF(DATE(YEAR($X37),1,1),$X37,"m")*$Y37,CR$3-YEAR($X37)&gt;20,0)</f>
        <v>21675</v>
      </c>
      <c r="CS37" s="202" cm="1">
        <f t="array" ref="CS37">_xlfn.IFS(CS$3&lt;=YEAR($B$2),SUMPRODUCT(($E$4:$E$79=$E37)*($Z$2:$CG$2=CS$3)*($Z$2:$CG$2&lt;CT$3)*$Z$4:$CG$79),CS$3&lt;YEAR($X37),0,CS$3=YEAR($X37),DATEDIF($X37,DATE(CS$3,12,31),"m")*$Y37,AND(CS$3&gt;YEAR($X37),CS$3-YEAR($X37)&lt;20),$Y37*12,CS$3-YEAR($X37)=20,DATEDIF(DATE(YEAR($X37),1,1),$X37,"m")*$Y37,CS$3-YEAR($X37)&gt;20,0)</f>
        <v>21675</v>
      </c>
      <c r="CT37" s="202" cm="1">
        <f t="array" ref="CT37">_xlfn.IFS(CT$3&lt;=YEAR($B$2),SUMPRODUCT(($E$4:$E$79=$E37)*($Z$2:$CG$2=CT$3)*($Z$2:$CG$2&lt;CU$3)*$Z$4:$CG$79),CT$3&lt;YEAR($X37),0,CT$3=YEAR($X37),DATEDIF($X37,DATE(CT$3,12,31),"m")*$Y37,AND(CT$3&gt;YEAR($X37),CT$3-YEAR($X37)&lt;20),$Y37*12,CT$3-YEAR($X37)=20,DATEDIF(DATE(YEAR($X37),1,1),$X37,"m")*$Y37,CT$3-YEAR($X37)&gt;20,0)</f>
        <v>21675</v>
      </c>
      <c r="CU37" s="202" cm="1">
        <f t="array" ref="CU37">_xlfn.IFS(CU$3&lt;=YEAR($B$2),SUMPRODUCT(($E$4:$E$79=$E37)*($Z$2:$CG$2=CU$3)*($Z$2:$CG$2&lt;CV$3)*$Z$4:$CG$79),CU$3&lt;YEAR($X37),0,CU$3=YEAR($X37),DATEDIF($X37,DATE(CU$3,12,31),"m")*$Y37,AND(CU$3&gt;YEAR($X37),CU$3-YEAR($X37)&lt;20),$Y37*12,CU$3-YEAR($X37)=20,DATEDIF(DATE(YEAR($X37),1,1),$X37,"m")*$Y37,CU$3-YEAR($X37)&gt;20,0)</f>
        <v>21675</v>
      </c>
      <c r="CV37" s="202" cm="1">
        <f t="array" ref="CV37">_xlfn.IFS(CV$3&lt;=YEAR($B$2),SUMPRODUCT(($E$4:$E$79=$E37)*($Z$2:$CG$2=CV$3)*($Z$2:$CG$2&lt;CW$3)*$Z$4:$CG$79),CV$3&lt;YEAR($X37),0,CV$3=YEAR($X37),DATEDIF($X37,DATE(CV$3,12,31),"m")*$Y37,AND(CV$3&gt;YEAR($X37),CV$3-YEAR($X37)&lt;20),$Y37*12,CV$3-YEAR($X37)=20,DATEDIF(DATE(YEAR($X37),1,1),$X37,"m")*$Y37,CV$3-YEAR($X37)&gt;20,0)</f>
        <v>21675</v>
      </c>
      <c r="CW37" s="202" cm="1">
        <f t="array" ref="CW37">_xlfn.IFS(CW$3&lt;=YEAR($B$2),SUMPRODUCT(($E$4:$E$79=$E37)*($Z$2:$CG$2=CW$3)*($Z$2:$CG$2&lt;CX$3)*$Z$4:$CG$79),CW$3&lt;YEAR($X37),0,CW$3=YEAR($X37),DATEDIF($X37,DATE(CW$3,12,31),"m")*$Y37,AND(CW$3&gt;YEAR($X37),CW$3-YEAR($X37)&lt;20),$Y37*12,CW$3-YEAR($X37)=20,DATEDIF(DATE(YEAR($X37),1,1),$X37,"m")*$Y37,CW$3-YEAR($X37)&gt;20,0)</f>
        <v>21675</v>
      </c>
      <c r="CX37" s="202" cm="1">
        <f t="array" ref="CX37">_xlfn.IFS(CX$3&lt;=YEAR($B$2),SUMPRODUCT(($E$4:$E$79=$E37)*($Z$2:$CG$2=CX$3)*($Z$2:$CG$2&lt;CY$3)*$Z$4:$CG$79),CX$3&lt;YEAR($X37),0,CX$3=YEAR($X37),DATEDIF($X37,DATE(CX$3,12,31),"m")*$Y37,AND(CX$3&gt;YEAR($X37),CX$3-YEAR($X37)&lt;20),$Y37*12,CX$3-YEAR($X37)=20,DATEDIF(DATE(YEAR($X37),1,1),$X37,"m")*$Y37,CX$3-YEAR($X37)&gt;20,0)</f>
        <v>21675</v>
      </c>
      <c r="CY37" s="202" cm="1">
        <f t="array" ref="CY37">_xlfn.IFS(CY$3&lt;=YEAR($B$2),SUMPRODUCT(($E$4:$E$79=$E37)*($Z$2:$CG$2=CY$3)*($Z$2:$CG$2&lt;CZ$3)*$Z$4:$CG$79),CY$3&lt;YEAR($X37),0,CY$3=YEAR($X37),DATEDIF($X37,DATE(CY$3,12,31),"m")*$Y37,AND(CY$3&gt;YEAR($X37),CY$3-YEAR($X37)&lt;20),$Y37*12,CY$3-YEAR($X37)=20,DATEDIF(DATE(YEAR($X37),1,1),$X37,"m")*$Y37,CY$3-YEAR($X37)&gt;20,0)</f>
        <v>21675</v>
      </c>
      <c r="CZ37" s="202" cm="1">
        <f t="array" ref="CZ37">_xlfn.IFS(CZ$3&lt;=YEAR($B$2),SUMPRODUCT(($E$4:$E$79=$E37)*($Z$2:$CG$2=CZ$3)*($Z$2:$CG$2&lt;DA$3)*$Z$4:$CG$79),CZ$3&lt;YEAR($X37),0,CZ$3=YEAR($X37),DATEDIF($X37,DATE(CZ$3,12,31),"m")*$Y37,AND(CZ$3&gt;YEAR($X37),CZ$3-YEAR($X37)&lt;20),$Y37*12,CZ$3-YEAR($X37)=20,DATEDIF(DATE(YEAR($X37),1,1),$X37,"m")*$Y37,CZ$3-YEAR($X37)&gt;20,0)</f>
        <v>21675</v>
      </c>
      <c r="DA37" s="202" cm="1">
        <f t="array" ref="DA37">_xlfn.IFS(DA$3&lt;=YEAR($B$2),SUMPRODUCT(($E$4:$E$79=$E37)*($Z$2:$CG$2=DA$3)*($Z$2:$CG$2&lt;DB$3)*$Z$4:$CG$79),DA$3&lt;YEAR($X37),0,DA$3=YEAR($X37),DATEDIF($X37,DATE(DA$3,12,31),"m")*$Y37,AND(DA$3&gt;YEAR($X37),DA$3-YEAR($X37)&lt;20),$Y37*12,DA$3-YEAR($X37)=20,DATEDIF(DATE(YEAR($X37),1,1),$X37,"m")*$Y37,DA$3-YEAR($X37)&gt;20,0)</f>
        <v>21675</v>
      </c>
      <c r="DB37" s="202" cm="1">
        <f t="array" ref="DB37">_xlfn.IFS(DB$3&lt;=YEAR($B$2),SUMPRODUCT(($E$4:$E$79=$E37)*($Z$2:$CG$2=DB$3)*($Z$2:$CG$2&lt;DC$3)*$Z$4:$CG$79),DB$3&lt;YEAR($X37),0,DB$3=YEAR($X37),DATEDIF($X37,DATE(DB$3,12,31),"m")*$Y37,AND(DB$3&gt;YEAR($X37),DB$3-YEAR($X37)&lt;20),$Y37*12,DB$3-YEAR($X37)=20,DATEDIF(DATE(YEAR($X37),1,1),$X37,"m")*$Y37,DB$3-YEAR($X37)&gt;20,0)</f>
        <v>21675</v>
      </c>
      <c r="DC37" s="202" cm="1">
        <f t="array" ref="DC37">_xlfn.IFS(DC$3&lt;=YEAR($B$2),SUMPRODUCT(($E$4:$E$79=$E37)*($Z$2:$CG$2=DC$3)*($Z$2:$CG$2&lt;DD$3)*$Z$4:$CG$79),DC$3&lt;YEAR($X37),0,DC$3=YEAR($X37),DATEDIF($X37,DATE(DC$3,12,31),"m")*$Y37,AND(DC$3&gt;YEAR($X37),DC$3-YEAR($X37)&lt;20),$Y37*12,DC$3-YEAR($X37)=20,DATEDIF(DATE(YEAR($X37),1,1),$X37,"m")*$Y37,DC$3-YEAR($X37)&gt;20,0)</f>
        <v>21675</v>
      </c>
      <c r="DD37" s="202" cm="1">
        <f t="array" ref="DD37">_xlfn.IFS(DD$3&lt;=YEAR($B$2),SUMPRODUCT(($E$4:$E$79=$E37)*($Z$2:$CG$2=DD$3)*($Z$2:$CG$2&lt;DE$3)*$Z$4:$CG$79),DD$3&lt;YEAR($X37),0,DD$3=YEAR($X37),DATEDIF($X37,DATE(DD$3,12,31),"m")*$Y37,AND(DD$3&gt;YEAR($X37),DD$3-YEAR($X37)&lt;20),$Y37*12,DD$3-YEAR($X37)=20,DATEDIF(DATE(YEAR($X37),1,1),$X37,"m")*$Y37,DD$3-YEAR($X37)&gt;20,0)</f>
        <v>21675</v>
      </c>
      <c r="DE37" s="202" cm="1">
        <f t="array" ref="DE37">_xlfn.IFS(DE$3&lt;=YEAR($B$2),SUMPRODUCT(($E$4:$E$79=$E37)*($Z$2:$CG$2=DE$3)*($Z$2:$CG$2&lt;DF$3)*$Z$4:$CG$79),DE$3&lt;YEAR($X37),0,DE$3=YEAR($X37),DATEDIF($X37,DATE(DE$3,12,31),"m")*$Y37,AND(DE$3&gt;YEAR($X37),DE$3-YEAR($X37)&lt;20),$Y37*12,DE$3-YEAR($X37)=20,DATEDIF(DATE(YEAR($X37),1,1),$X37,"m")*$Y37,DE$3-YEAR($X37)&gt;20,0)</f>
        <v>21675</v>
      </c>
      <c r="DF37" s="202" cm="1">
        <f t="array" ref="DF37">_xlfn.IFS(DF$3&lt;=YEAR($B$2),SUMPRODUCT(($E$4:$E$79=$E37)*($Z$2:$CG$2=DF$3)*($Z$2:$CG$2&lt;DG$3)*$Z$4:$CG$79),DF$3&lt;YEAR($X37),0,DF$3=YEAR($X37),DATEDIF($X37,DATE(DF$3,12,31),"m")*$Y37,AND(DF$3&gt;YEAR($X37),DF$3-YEAR($X37)&lt;20),$Y37*12,DF$3-YEAR($X37)=20,DATEDIF(DATE(YEAR($X37),1,1),$X37,"m")*$Y37,DF$3-YEAR($X37)&gt;20,0)</f>
        <v>21675</v>
      </c>
      <c r="DG37" s="202" cm="1">
        <f t="array" ref="DG37">_xlfn.IFS(DG$3&lt;=YEAR($B$2),SUMPRODUCT(($E$4:$E$79=$E37)*($Z$2:$CG$2=DG$3)*($Z$2:$CG$2&lt;DH$3)*$Z$4:$CG$79),DG$3&lt;YEAR($X37),0,DG$3=YEAR($X37),DATEDIF($X37,DATE(DG$3,12,31),"m")*$Y37,AND(DG$3&gt;YEAR($X37),DG$3-YEAR($X37)&lt;20),$Y37*12,DG$3-YEAR($X37)=20,DATEDIF(DATE(YEAR($X37),1,1),$X37,"m")*$Y37,DG$3-YEAR($X37)&gt;20,0)</f>
        <v>10837.5</v>
      </c>
      <c r="DH37" s="202" cm="1">
        <f t="array" ref="DH37">_xlfn.IFS(DH$3&lt;=YEAR($B$2),SUMPRODUCT(($E$4:$E$79=$E37)*($Z$2:$CG$2=DH$3)*($Z$2:$CG$2&lt;DI$3)*$Z$4:$CG$79),DH$3&lt;YEAR($X37),0,DH$3=YEAR($X37),DATEDIF($X37,DATE(DH$3,12,31),"m")*$Y37,AND(DH$3&gt;YEAR($X37),DH$3-YEAR($X37)&lt;20),$Y37*12,DH$3-YEAR($X37)=20,DATEDIF(DATE(YEAR($X37),1,1),$X37,"m")*$Y37,DH$3-YEAR($X37)&gt;20,0)</f>
        <v>0</v>
      </c>
      <c r="DI37" s="202" cm="1">
        <f t="array" ref="DI37">_xlfn.IFS(DI$3&lt;=YEAR($B$2),SUMPRODUCT(($E$4:$E$79=$E37)*($Z$2:$CG$2=DI$3)*($Z$2:$CG$2&lt;DJ$3)*$Z$4:$CG$79),DI$3&lt;YEAR($X37),0,DI$3=YEAR($X37),DATEDIF($X37,DATE(DI$3,12,31),"m")*$Y37,AND(DI$3&gt;YEAR($X37),DI$3-YEAR($X37)&lt;20),$Y37*12,DI$3-YEAR($X37)=20,DATEDIF(DATE(YEAR($X37),1,1),$X37,"m")*$Y37,DI$3-YEAR($X37)&gt;20,0)</f>
        <v>0</v>
      </c>
      <c r="DJ37" s="202" cm="1">
        <f t="array" ref="DJ37">_xlfn.IFS(DJ$3&lt;=YEAR($B$2),SUMPRODUCT(($E$4:$E$79=$E37)*($Z$2:$CG$2=DJ$3)*($Z$2:$CG$2&lt;DK$3)*$Z$4:$CG$79),DJ$3&lt;YEAR($X37),0,DJ$3=YEAR($X37),DATEDIF($X37,DATE(DJ$3,12,31),"m")*$Y37,AND(DJ$3&gt;YEAR($X37),DJ$3-YEAR($X37)&lt;20),$Y37*12,DJ$3-YEAR($X37)=20,DATEDIF(DATE(YEAR($X37),1,1),$X37,"m")*$Y37,DJ$3-YEAR($X37)&gt;20,0)</f>
        <v>0</v>
      </c>
      <c r="DK37" s="202" cm="1">
        <f t="array" ref="DK37">_xlfn.IFS(DK$3&lt;=YEAR($B$2),SUMPRODUCT(($E$4:$E$79=$E37)*($Z$2:$CG$2=DK$3)*($Z$2:$CG$2&lt;DL$3)*$Z$4:$CG$79),DK$3&lt;YEAR($X37),0,DK$3=YEAR($X37),DATEDIF($X37,DATE(DK$3,12,31),"m")*$Y37,AND(DK$3&gt;YEAR($X37),DK$3-YEAR($X37)&lt;20),$Y37*12,DK$3-YEAR($X37)=20,DATEDIF(DATE(YEAR($X37),1,1),$X37,"m")*$Y37,DK$3-YEAR($X37)&gt;20,0)</f>
        <v>0</v>
      </c>
      <c r="DL37" s="202" cm="1">
        <f t="array" ref="DL37">_xlfn.IFS(DL$3&lt;=YEAR($B$2),SUMPRODUCT(($E$4:$E$79=$E37)*($Z$2:$CG$2=DL$3)*($Z$2:$CG$2&lt;DM$3)*$Z$4:$CG$79),DL$3&lt;YEAR($X37),0,DL$3=YEAR($X37),DATEDIF($X37,DATE(DL$3,12,31),"m")*$Y37,AND(DL$3&gt;YEAR($X37),DL$3-YEAR($X37)&lt;20),$Y37*12,DL$3-YEAR($X37)=20,DATEDIF(DATE(YEAR($X37),1,1),$X37,"m")*$Y37,DL$3-YEAR($X37)&gt;20,0)</f>
        <v>0</v>
      </c>
      <c r="DO37" s="166">
        <f t="shared" si="26"/>
        <v>2046</v>
      </c>
      <c r="DP37" s="158">
        <v>111886.1375</v>
      </c>
      <c r="DQ37" s="158">
        <v>115760.98277500001</v>
      </c>
      <c r="DR37" s="158">
        <v>0</v>
      </c>
      <c r="DS37" s="158">
        <f t="shared" si="27"/>
        <v>227647.12027499999</v>
      </c>
    </row>
    <row r="38" spans="1:123">
      <c r="A38" s="155" t="str" cm="1">
        <f t="array" ref="A38">INDEX('Monthly Report July 2025'!C:C,MATCH(E38,'Monthly Report July 2025'!E:E,0),0)</f>
        <v>OCS039</v>
      </c>
      <c r="B38" s="155" t="str" cm="1">
        <f t="array" ref="B38">_xlfn.IFS(LEFT(E38,3)="PGE","PGE",LEFT(E38,2)="PP","PAC",TRUE,"IP")</f>
        <v>PAC</v>
      </c>
      <c r="C38" s="155" t="str">
        <f>IF(ISNA(MATCH(E38,'Monthly Report July 2025'!E:E,0)),"Missing","Present")</f>
        <v>Present</v>
      </c>
      <c r="D38" s="155" t="str">
        <f>IF(ISNA(MATCH(E38,'Project Operational Timelines'!C:C,0))=TRUE,"Missing","Present")</f>
        <v>Present</v>
      </c>
      <c r="E38" s="155" t="s">
        <v>146</v>
      </c>
      <c r="F38" s="155" t="str" cm="1">
        <f t="array" ref="F38">INDEX('Monthly Report July 2025'!F:F,MATCH(E38,'Monthly Report July 2025'!E:E,),0)</f>
        <v>Kelly Creek Solar</v>
      </c>
      <c r="G38" s="155" t="str" cm="1">
        <f t="array" ref="G38">_xlfn.IFS(INDEX('Monthly Report July 2025'!O:O,MATCH(E38,'Monthly Report July 2025'!E:E,0),0)="Operational","Operational",INDEX('Monthly Report July 2025'!O:O,MATCH(E38,'Monthly Report July 2025'!E:E,0),0)="Certified","Certified",TRUE,"Pre-Certified")</f>
        <v>Pre-Certified</v>
      </c>
      <c r="H38" s="155" t="str" cm="1">
        <f t="array" ref="H38">INDEX('Monthly Report July 2025'!H:H,MATCH($E38,'Monthly Report July 2025'!$E:$E,0),0)</f>
        <v>Coast Energy, LLC</v>
      </c>
      <c r="I38" s="155" t="str" cm="1">
        <f t="array" ref="I38">INDEX('Monthly Report July 2025'!I:I,MATCH($E38,'Monthly Report July 2025'!$E:$E,0),0)</f>
        <v>Coast Energy, LLC</v>
      </c>
      <c r="J38" s="174" cm="1">
        <f t="array" ref="J38">INDEX('Monthly Report July 2025'!J:J,MATCH($E38,'Monthly Report July 2025'!$E:$E,0),0)</f>
        <v>2</v>
      </c>
      <c r="K38" s="174" t="str" cm="1">
        <f t="array" ref="K38">INDEX('Monthly Report July 2025'!K:K,MATCH($E38,'Monthly Report July 2025'!$E:$E,0),0)</f>
        <v>No</v>
      </c>
      <c r="L38" s="174" t="b" cm="1">
        <f t="array" ref="L38">INDEX('Monthly Report July 2025'!L:L,MATCH(E38,'Monthly Report July 2025'!E:E,0),0)=M38</f>
        <v>1</v>
      </c>
      <c r="M38" s="273" cm="1">
        <f t="array" ref="M38">INDEX('Monthly Report July 2025'!L:L,MATCH($E38,'Monthly Report July 2025'!$E:$E,0),0)</f>
        <v>2250</v>
      </c>
      <c r="N38" s="175" cm="1">
        <f t="array" ref="N38">INDEX('Monthly Report July 2025'!M:M,MATCH($E38,'Monthly Report July 2025'!$E:$E,0),0)</f>
        <v>44666</v>
      </c>
      <c r="O38" s="321" cm="1">
        <f t="array" ref="O38">_xlfn.IFS(G38="Operational","Operational",G38="Certified","Certified",TRUE,INDEX('Monthly Report July 2025'!O:O,MATCH(E38,'Monthly Report July 2025'!E:E,0),0))</f>
        <v>45961</v>
      </c>
      <c r="P38" s="175" t="b" cm="1">
        <f t="array" ref="P38">_xlfn.IFS(G38="Operational",O38="Operational",G38="Certified",O38="Certified",TRUE,G38="Pre-Certified")</f>
        <v>1</v>
      </c>
      <c r="Q38" s="175" t="str" cm="1">
        <f t="array" ref="Q38">IF(O38="Operational",INDEX('Monthly Report July 2025'!R:R,MATCH(E38,'Monthly Report July 2025'!E:E,0),0),"")</f>
        <v/>
      </c>
      <c r="R38" s="175" t="str" cm="1">
        <f t="array" ref="R38">INDEX('Monthly Report July 2025'!P:P,MATCH(E38,'Monthly Report July 2025'!E:E,0),0)</f>
        <v>Not Yet Certified</v>
      </c>
      <c r="S38" s="175" t="b">
        <f t="shared" si="28"/>
        <v>1</v>
      </c>
      <c r="T38" s="175" cm="1">
        <f t="array" ref="T38">INDEX('Monthly Report July 2025'!U:U,MATCH(E38,'Monthly Report July 2025'!E:E,0),0)</f>
        <v>45926</v>
      </c>
      <c r="U38" s="175" t="b">
        <f t="shared" si="6"/>
        <v>1</v>
      </c>
      <c r="V38" s="156">
        <f t="shared" si="29"/>
        <v>45961</v>
      </c>
      <c r="W38" s="156" cm="1">
        <f t="array" ref="W38">_xlfn.IFS(U38=TRUE,EDATE(O38,6),U38=FALSE,T38,O38="Operational",Q38,AND(O38="Certified",EDATE(R38,6)&gt;T38),EDATE(R38,6),TRUE,T38)</f>
        <v>46142</v>
      </c>
      <c r="X38" s="156">
        <f t="shared" si="30"/>
        <v>46203</v>
      </c>
      <c r="Y38" s="157">
        <f t="shared" si="31"/>
        <v>1625.625</v>
      </c>
      <c r="Z38" s="202" cm="1">
        <f t="array" ref="Z38">_xlfn.IFS(Z$3&lt;$B$2,SUMPRODUCT(('PA Fees Actual'!$B$5:$B$882=$E38)*('PA Fees Actual'!$A$5:$A$882&gt;=Z$3)*('PA Fees Actual'!$A$5:$A$882&lt;=EOMONTH(Z$3,0))*'PA Fees Actual'!$D$5:$D$882),Z$3&gt;=EOMONTH($X38,-1)+1,$Y38,TRUE,0)</f>
        <v>0</v>
      </c>
      <c r="AA38" s="202" cm="1">
        <f t="array" ref="AA38">_xlfn.IFS(AA$3&lt;$B$2,SUMPRODUCT(('PA Fees Actual'!$B$5:$B$882=$E38)*('PA Fees Actual'!$A$5:$A$882&gt;=AA$3)*('PA Fees Actual'!$A$5:$A$882&lt;=EOMONTH(AA$3,0))*'PA Fees Actual'!$D$5:$D$882),AA$3&gt;=EOMONTH($X38,-1)+1,$Y38,TRUE,0)</f>
        <v>0</v>
      </c>
      <c r="AB38" s="202" cm="1">
        <f t="array" ref="AB38">_xlfn.IFS(AB$3&lt;$B$2,SUMPRODUCT(('PA Fees Actual'!$B$5:$B$882=$E38)*('PA Fees Actual'!$A$5:$A$882&gt;=AB$3)*('PA Fees Actual'!$A$5:$A$882&lt;=EOMONTH(AB$3,0))*'PA Fees Actual'!$D$5:$D$882),AB$3&gt;=EOMONTH($X38,-1)+1,$Y38,TRUE,0)</f>
        <v>0</v>
      </c>
      <c r="AC38" s="202" cm="1">
        <f t="array" ref="AC38">_xlfn.IFS(AC$3&lt;$B$2,SUMPRODUCT(('PA Fees Actual'!$B$5:$B$882=$E38)*('PA Fees Actual'!$A$5:$A$882&gt;=AC$3)*('PA Fees Actual'!$A$5:$A$882&lt;=EOMONTH(AC$3,0))*'PA Fees Actual'!$D$5:$D$882),AC$3&gt;=EOMONTH($X38,-1)+1,$Y38,TRUE,0)</f>
        <v>0</v>
      </c>
      <c r="AD38" s="202" cm="1">
        <f t="array" ref="AD38">_xlfn.IFS(AD$3&lt;$B$2,SUMPRODUCT(('PA Fees Actual'!$B$5:$B$882=$E38)*('PA Fees Actual'!$A$5:$A$882&gt;=AD$3)*('PA Fees Actual'!$A$5:$A$882&lt;=EOMONTH(AD$3,0))*'PA Fees Actual'!$D$5:$D$882),AD$3&gt;=EOMONTH($X38,-1)+1,$Y38,TRUE,0)</f>
        <v>0</v>
      </c>
      <c r="AE38" s="202" cm="1">
        <f t="array" ref="AE38">_xlfn.IFS(AE$3&lt;$B$2,SUMPRODUCT(('PA Fees Actual'!$B$5:$B$882=$E38)*('PA Fees Actual'!$A$5:$A$882&gt;=AE$3)*('PA Fees Actual'!$A$5:$A$882&lt;=EOMONTH(AE$3,0))*'PA Fees Actual'!$D$5:$D$882),AE$3&gt;=EOMONTH($X38,-1)+1,$Y38,TRUE,0)</f>
        <v>0</v>
      </c>
      <c r="AF38" s="202" cm="1">
        <f t="array" ref="AF38">_xlfn.IFS(AF$3&lt;$B$2,SUMPRODUCT(('PA Fees Actual'!$B$5:$B$882=$E38)*('PA Fees Actual'!$A$5:$A$882&gt;=AF$3)*('PA Fees Actual'!$A$5:$A$882&lt;=EOMONTH(AF$3,0))*'PA Fees Actual'!$D$5:$D$882),AF$3&gt;=EOMONTH($X38,-1)+1,$Y38,TRUE,0)</f>
        <v>0</v>
      </c>
      <c r="AG38" s="202" cm="1">
        <f t="array" ref="AG38">_xlfn.IFS(AG$3&lt;$B$2,SUMPRODUCT(('PA Fees Actual'!$B$5:$B$882=$E38)*('PA Fees Actual'!$A$5:$A$882&gt;=AG$3)*('PA Fees Actual'!$A$5:$A$882&lt;=EOMONTH(AG$3,0))*'PA Fees Actual'!$D$5:$D$882),AG$3&gt;=EOMONTH($X38,-1)+1,$Y38,TRUE,0)</f>
        <v>0</v>
      </c>
      <c r="AH38" s="202" cm="1">
        <f t="array" ref="AH38">_xlfn.IFS(AH$3&lt;$B$2,SUMPRODUCT(('PA Fees Actual'!$B$5:$B$882=$E38)*('PA Fees Actual'!$A$5:$A$882&gt;=AH$3)*('PA Fees Actual'!$A$5:$A$882&lt;=EOMONTH(AH$3,0))*'PA Fees Actual'!$D$5:$D$882),AH$3&gt;=EOMONTH($X38,-1)+1,$Y38,TRUE,0)</f>
        <v>0</v>
      </c>
      <c r="AI38" s="202" cm="1">
        <f t="array" ref="AI38">_xlfn.IFS(AI$3&lt;$B$2,SUMPRODUCT(('PA Fees Actual'!$B$5:$B$882=$E38)*('PA Fees Actual'!$A$5:$A$882&gt;=AI$3)*('PA Fees Actual'!$A$5:$A$882&lt;=EOMONTH(AI$3,0))*'PA Fees Actual'!$D$5:$D$882),AI$3&gt;=EOMONTH($X38,-1)+1,$Y38,TRUE,0)</f>
        <v>0</v>
      </c>
      <c r="AJ38" s="202" cm="1">
        <f t="array" ref="AJ38">_xlfn.IFS(AJ$3&lt;$B$2,SUMPRODUCT(('PA Fees Actual'!$B$5:$B$882=$E38)*('PA Fees Actual'!$A$5:$A$882&gt;=AJ$3)*('PA Fees Actual'!$A$5:$A$882&lt;=EOMONTH(AJ$3,0))*'PA Fees Actual'!$D$5:$D$882),AJ$3&gt;=EOMONTH($X38,-1)+1,$Y38,TRUE,0)</f>
        <v>0</v>
      </c>
      <c r="AK38" s="202" cm="1">
        <f t="array" ref="AK38">_xlfn.IFS(AK$3&lt;$B$2,SUMPRODUCT(('PA Fees Actual'!$B$5:$B$882=$E38)*('PA Fees Actual'!$A$5:$A$882&gt;=AK$3)*('PA Fees Actual'!$A$5:$A$882&lt;=EOMONTH(AK$3,0))*'PA Fees Actual'!$D$5:$D$882),AK$3&gt;=EOMONTH($X38,-1)+1,$Y38,TRUE,0)</f>
        <v>0</v>
      </c>
      <c r="AL38" s="202" cm="1">
        <f t="array" ref="AL38">_xlfn.IFS(AL$3&lt;$B$2,SUMPRODUCT(('PA Fees Actual'!$B$5:$B$882=$E38)*('PA Fees Actual'!$A$5:$A$882&gt;=AL$3)*('PA Fees Actual'!$A$5:$A$882&lt;=EOMONTH(AL$3,0))*'PA Fees Actual'!$D$5:$D$882),AL$3&gt;=EOMONTH($X38,-1)+1,$Y38,TRUE,0)</f>
        <v>0</v>
      </c>
      <c r="AM38" s="202" cm="1">
        <f t="array" ref="AM38">_xlfn.IFS(AM$3&lt;$B$2,SUMPRODUCT(('PA Fees Actual'!$B$5:$B$882=$E38)*('PA Fees Actual'!$A$5:$A$882&gt;=AM$3)*('PA Fees Actual'!$A$5:$A$882&lt;=EOMONTH(AM$3,0))*'PA Fees Actual'!$D$5:$D$882),AM$3&gt;=EOMONTH($X38,-1)+1,$Y38,TRUE,0)</f>
        <v>0</v>
      </c>
      <c r="AN38" s="202" cm="1">
        <f t="array" ref="AN38">_xlfn.IFS(AN$3&lt;$B$2,SUMPRODUCT(('PA Fees Actual'!$B$5:$B$882=$E38)*('PA Fees Actual'!$A$5:$A$882&gt;=AN$3)*('PA Fees Actual'!$A$5:$A$882&lt;=EOMONTH(AN$3,0))*'PA Fees Actual'!$D$5:$D$882),AN$3&gt;=EOMONTH($X38,-1)+1,$Y38,TRUE,0)</f>
        <v>0</v>
      </c>
      <c r="AO38" s="202" cm="1">
        <f t="array" ref="AO38">_xlfn.IFS(AO$3&lt;$B$2,SUMPRODUCT(('PA Fees Actual'!$B$5:$B$882=$E38)*('PA Fees Actual'!$A$5:$A$882&gt;=AO$3)*('PA Fees Actual'!$A$5:$A$882&lt;=EOMONTH(AO$3,0))*'PA Fees Actual'!$D$5:$D$882),AO$3&gt;=EOMONTH($X38,-1)+1,$Y38,TRUE,0)</f>
        <v>0</v>
      </c>
      <c r="AP38" s="202" cm="1">
        <f t="array" ref="AP38">_xlfn.IFS(AP$3&lt;$B$2,SUMPRODUCT(('PA Fees Actual'!$B$5:$B$882=$E38)*('PA Fees Actual'!$A$5:$A$882&gt;=AP$3)*('PA Fees Actual'!$A$5:$A$882&lt;=EOMONTH(AP$3,0))*'PA Fees Actual'!$D$5:$D$882),AP$3&gt;=EOMONTH($X38,-1)+1,$Y38,TRUE,0)</f>
        <v>0</v>
      </c>
      <c r="AQ38" s="202" cm="1">
        <f t="array" ref="AQ38">_xlfn.IFS(AQ$3&lt;$B$2,SUMPRODUCT(('PA Fees Actual'!$B$5:$B$882=$E38)*('PA Fees Actual'!$A$5:$A$882&gt;=AQ$3)*('PA Fees Actual'!$A$5:$A$882&lt;=EOMONTH(AQ$3,0))*'PA Fees Actual'!$D$5:$D$882),AQ$3&gt;=EOMONTH($X38,-1)+1,$Y38,TRUE,0)</f>
        <v>0</v>
      </c>
      <c r="AR38" s="202" cm="1">
        <f t="array" ref="AR38">_xlfn.IFS(AR$3&lt;$B$2,SUMPRODUCT(('PA Fees Actual'!$B$5:$B$882=$E38)*('PA Fees Actual'!$A$5:$A$882&gt;=AR$3)*('PA Fees Actual'!$A$5:$A$882&lt;=EOMONTH(AR$3,0))*'PA Fees Actual'!$D$5:$D$882),AR$3&gt;=EOMONTH($X38,-1)+1,$Y38,TRUE,0)</f>
        <v>0</v>
      </c>
      <c r="AS38" s="202" cm="1">
        <f t="array" ref="AS38">_xlfn.IFS(AS$3&lt;$B$2,SUMPRODUCT(('PA Fees Actual'!$B$5:$B$882=$E38)*('PA Fees Actual'!$A$5:$A$882&gt;=AS$3)*('PA Fees Actual'!$A$5:$A$882&lt;=EOMONTH(AS$3,0))*'PA Fees Actual'!$D$5:$D$882),AS$3&gt;=EOMONTH($X38,-1)+1,$Y38,TRUE,0)</f>
        <v>0</v>
      </c>
      <c r="AT38" s="202" cm="1">
        <f t="array" ref="AT38">_xlfn.IFS(AT$3&lt;$B$2,SUMPRODUCT(('PA Fees Actual'!$B$5:$B$882=$E38)*('PA Fees Actual'!$A$5:$A$882&gt;=AT$3)*('PA Fees Actual'!$A$5:$A$882&lt;=EOMONTH(AT$3,0))*'PA Fees Actual'!$D$5:$D$882),AT$3&gt;=EOMONTH($X38,-1)+1,$Y38,TRUE,0)</f>
        <v>0</v>
      </c>
      <c r="AU38" s="202" cm="1">
        <f t="array" ref="AU38">_xlfn.IFS(AU$3&lt;$B$2,SUMPRODUCT(('PA Fees Actual'!$B$5:$B$882=$E38)*('PA Fees Actual'!$A$5:$A$882&gt;=AU$3)*('PA Fees Actual'!$A$5:$A$882&lt;=EOMONTH(AU$3,0))*'PA Fees Actual'!$D$5:$D$882),AU$3&gt;=EOMONTH($X38,-1)+1,$Y38,TRUE,0)</f>
        <v>0</v>
      </c>
      <c r="AV38" s="202" cm="1">
        <f t="array" ref="AV38">_xlfn.IFS(AV$3&lt;$B$2,SUMPRODUCT(('PA Fees Actual'!$B$5:$B$882=$E38)*('PA Fees Actual'!$A$5:$A$882&gt;=AV$3)*('PA Fees Actual'!$A$5:$A$882&lt;=EOMONTH(AV$3,0))*'PA Fees Actual'!$D$5:$D$882),AV$3&gt;=EOMONTH($X38,-1)+1,$Y38,TRUE,0)</f>
        <v>0</v>
      </c>
      <c r="AW38" s="202" cm="1">
        <f t="array" ref="AW38">_xlfn.IFS(AW$3&lt;$B$2,SUMPRODUCT(('PA Fees Actual'!$B$5:$B$882=$E38)*('PA Fees Actual'!$A$5:$A$882&gt;=AW$3)*('PA Fees Actual'!$A$5:$A$882&lt;=EOMONTH(AW$3,0))*'PA Fees Actual'!$D$5:$D$882),AW$3&gt;=EOMONTH($X38,-1)+1,$Y38,TRUE,0)</f>
        <v>0</v>
      </c>
      <c r="AX38" s="202" cm="1">
        <f t="array" ref="AX38">_xlfn.IFS(AX$3&lt;$B$2,SUMPRODUCT(('PA Fees Actual'!$B$5:$B$882=$E38)*('PA Fees Actual'!$A$5:$A$882&gt;=AX$3)*('PA Fees Actual'!$A$5:$A$882&lt;=EOMONTH(AX$3,0))*'PA Fees Actual'!$D$5:$D$882),AX$3&gt;=EOMONTH($X38,-1)+1,$Y38,TRUE,0)</f>
        <v>0</v>
      </c>
      <c r="AY38" s="202" cm="1">
        <f t="array" ref="AY38">_xlfn.IFS(AY$3&lt;$B$2,SUMPRODUCT(('PA Fees Actual'!$B$5:$B$882=$E38)*('PA Fees Actual'!$A$5:$A$882&gt;=AY$3)*('PA Fees Actual'!$A$5:$A$882&lt;=EOMONTH(AY$3,0))*'PA Fees Actual'!$D$5:$D$882),AY$3&gt;=EOMONTH($X38,-1)+1,$Y38,TRUE,0)</f>
        <v>0</v>
      </c>
      <c r="AZ38" s="202" cm="1">
        <f t="array" ref="AZ38">_xlfn.IFS(AZ$3&lt;$B$2,SUMPRODUCT(('PA Fees Actual'!$B$5:$B$882=$E38)*('PA Fees Actual'!$A$5:$A$882&gt;=AZ$3)*('PA Fees Actual'!$A$5:$A$882&lt;=EOMONTH(AZ$3,0))*'PA Fees Actual'!$D$5:$D$882),AZ$3&gt;=EOMONTH($X38,-1)+1,$Y38,TRUE,0)</f>
        <v>0</v>
      </c>
      <c r="BA38" s="202" cm="1">
        <f t="array" ref="BA38">_xlfn.IFS(BA$3&lt;$B$2,SUMPRODUCT(('PA Fees Actual'!$B$5:$B$882=$E38)*('PA Fees Actual'!$A$5:$A$882&gt;=BA$3)*('PA Fees Actual'!$A$5:$A$882&lt;=EOMONTH(BA$3,0))*'PA Fees Actual'!$D$5:$D$882),BA$3&gt;=EOMONTH($X38,-1)+1,$Y38,TRUE,0)</f>
        <v>0</v>
      </c>
      <c r="BB38" s="202" cm="1">
        <f t="array" ref="BB38">_xlfn.IFS(BB$3&lt;$B$2,SUMPRODUCT(('PA Fees Actual'!$B$5:$B$882=$E38)*('PA Fees Actual'!$A$5:$A$882&gt;=BB$3)*('PA Fees Actual'!$A$5:$A$882&lt;=EOMONTH(BB$3,0))*'PA Fees Actual'!$D$5:$D$882),BB$3&gt;=EOMONTH($X38,-1)+1,$Y38,TRUE,0)</f>
        <v>0</v>
      </c>
      <c r="BC38" s="202" cm="1">
        <f t="array" ref="BC38">_xlfn.IFS(BC$3&lt;$B$2,SUMPRODUCT(('PA Fees Actual'!$B$5:$B$882=$E38)*('PA Fees Actual'!$A$5:$A$882&gt;=BC$3)*('PA Fees Actual'!$A$5:$A$882&lt;=EOMONTH(BC$3,0))*'PA Fees Actual'!$D$5:$D$882),BC$3&gt;=EOMONTH($X38,-1)+1,$Y38,TRUE,0)</f>
        <v>0</v>
      </c>
      <c r="BD38" s="202" cm="1">
        <f t="array" ref="BD38">_xlfn.IFS(BD$3&lt;$B$2,SUMPRODUCT(('PA Fees Actual'!$B$5:$B$882=$E38)*('PA Fees Actual'!$A$5:$A$882&gt;=BD$3)*('PA Fees Actual'!$A$5:$A$882&lt;=EOMONTH(BD$3,0))*'PA Fees Actual'!$D$5:$D$882),BD$3&gt;=EOMONTH($X38,-1)+1,$Y38,TRUE,0)</f>
        <v>0</v>
      </c>
      <c r="BE38" s="202" cm="1">
        <f t="array" ref="BE38">_xlfn.IFS(BE$3&lt;$B$2,SUMPRODUCT(('PA Fees Actual'!$B$5:$B$882=$E38)*('PA Fees Actual'!$A$5:$A$882&gt;=BE$3)*('PA Fees Actual'!$A$5:$A$882&lt;=EOMONTH(BE$3,0))*'PA Fees Actual'!$D$5:$D$882),BE$3&gt;=EOMONTH($X38,-1)+1,$Y38,TRUE,0)</f>
        <v>0</v>
      </c>
      <c r="BF38" s="202" cm="1">
        <f t="array" ref="BF38">_xlfn.IFS(BF$3&lt;$B$2,SUMPRODUCT(('PA Fees Actual'!$B$5:$B$882=$E38)*('PA Fees Actual'!$A$5:$A$882&gt;=BF$3)*('PA Fees Actual'!$A$5:$A$882&lt;=EOMONTH(BF$3,0))*'PA Fees Actual'!$D$5:$D$882),BF$3&gt;=EOMONTH($X38,-1)+1,$Y38,TRUE,0)</f>
        <v>0</v>
      </c>
      <c r="BG38" s="202" cm="1">
        <f t="array" ref="BG38">_xlfn.IFS(BG$3&lt;$B$2,SUMPRODUCT(('PA Fees Actual'!$B$5:$B$882=$E38)*('PA Fees Actual'!$A$5:$A$882&gt;=BG$3)*('PA Fees Actual'!$A$5:$A$882&lt;=EOMONTH(BG$3,0))*'PA Fees Actual'!$D$5:$D$882),BG$3&gt;=EOMONTH($X38,-1)+1,$Y38,TRUE,0)</f>
        <v>0</v>
      </c>
      <c r="BH38" s="202" cm="1">
        <f t="array" ref="BH38">_xlfn.IFS(BH$3&lt;$B$2,SUMPRODUCT(('PA Fees Actual'!$B$5:$B$882=$E38)*('PA Fees Actual'!$A$5:$A$882&gt;=BH$3)*('PA Fees Actual'!$A$5:$A$882&lt;=EOMONTH(BH$3,0))*'PA Fees Actual'!$D$5:$D$882),BH$3&gt;=EOMONTH($X38,-1)+1,$Y38,TRUE,0)</f>
        <v>0</v>
      </c>
      <c r="BI38" s="202" cm="1">
        <f t="array" ref="BI38">_xlfn.IFS(BI$3&lt;$B$2,SUMPRODUCT(('PA Fees Actual'!$B$5:$B$882=$E38)*('PA Fees Actual'!$A$5:$A$882&gt;=BI$3)*('PA Fees Actual'!$A$5:$A$882&lt;=EOMONTH(BI$3,0))*'PA Fees Actual'!$D$5:$D$882),BI$3&gt;=EOMONTH($X38,-1)+1,$Y38,TRUE,0)</f>
        <v>0</v>
      </c>
      <c r="BJ38" s="202" cm="1">
        <f t="array" ref="BJ38">_xlfn.IFS(BJ$3&lt;$B$2,SUMPRODUCT(('PA Fees Actual'!$B$5:$B$882=$E38)*('PA Fees Actual'!$A$5:$A$882&gt;=BJ$3)*('PA Fees Actual'!$A$5:$A$882&lt;=EOMONTH(BJ$3,0))*'PA Fees Actual'!$D$5:$D$882),BJ$3&gt;=EOMONTH($X38,-1)+1,$Y38,TRUE,0)</f>
        <v>0</v>
      </c>
      <c r="BK38" s="202" cm="1">
        <f t="array" ref="BK38">_xlfn.IFS(BK$3&lt;$B$2,SUMPRODUCT(('PA Fees Actual'!$B$5:$B$882=$E38)*('PA Fees Actual'!$A$5:$A$882&gt;=BK$3)*('PA Fees Actual'!$A$5:$A$882&lt;=EOMONTH(BK$3,0))*'PA Fees Actual'!$D$5:$D$882),BK$3&gt;=EOMONTH($X38,-1)+1,$Y38,TRUE,0)</f>
        <v>0</v>
      </c>
      <c r="BL38" s="202" cm="1">
        <f t="array" ref="BL38">_xlfn.IFS(BL$3&lt;$B$2,SUMPRODUCT(('PA Fees Actual'!$B$5:$B$882=$E38)*('PA Fees Actual'!$A$5:$A$882&gt;=BL$3)*('PA Fees Actual'!$A$5:$A$882&lt;=EOMONTH(BL$3,0))*'PA Fees Actual'!$D$5:$D$882),BL$3&gt;=EOMONTH($X38,-1)+1,$Y38,TRUE,0)</f>
        <v>0</v>
      </c>
      <c r="BM38" s="202" cm="1">
        <f t="array" ref="BM38">_xlfn.IFS(BM$3&lt;$B$2,SUMPRODUCT(('PA Fees Actual'!$B$5:$B$882=$E38)*('PA Fees Actual'!$A$5:$A$882&gt;=BM$3)*('PA Fees Actual'!$A$5:$A$882&lt;=EOMONTH(BM$3,0))*'PA Fees Actual'!$D$5:$D$882),BM$3&gt;=EOMONTH($X38,-1)+1,$Y38,TRUE,0)</f>
        <v>0</v>
      </c>
      <c r="BN38" s="202" cm="1">
        <f t="array" ref="BN38">_xlfn.IFS(BN$3&lt;$B$2,SUMPRODUCT(('PA Fees Actual'!$B$5:$B$882=$E38)*('PA Fees Actual'!$A$5:$A$882&gt;=BN$3)*('PA Fees Actual'!$A$5:$A$882&lt;=EOMONTH(BN$3,0))*'PA Fees Actual'!$D$5:$D$882),BN$3&gt;=EOMONTH($X38,-1)+1,$Y38,TRUE,0)</f>
        <v>0</v>
      </c>
      <c r="BO38" s="202" cm="1">
        <f t="array" ref="BO38">_xlfn.IFS(BO$3&lt;$B$2,SUMPRODUCT(('PA Fees Actual'!$B$5:$B$882=$E38)*('PA Fees Actual'!$A$5:$A$882&gt;=BO$3)*('PA Fees Actual'!$A$5:$A$882&lt;=EOMONTH(BO$3,0))*'PA Fees Actual'!$D$5:$D$882),BO$3&gt;=EOMONTH($X38,-1)+1,$Y38,TRUE,0)</f>
        <v>0</v>
      </c>
      <c r="BP38" s="202" cm="1">
        <f t="array" ref="BP38">_xlfn.IFS(BP$3&lt;$B$2,SUMPRODUCT(('PA Fees Actual'!$B$5:$B$882=$E38)*('PA Fees Actual'!$A$5:$A$882&gt;=BP$3)*('PA Fees Actual'!$A$5:$A$882&lt;=EOMONTH(BP$3,0))*'PA Fees Actual'!$D$5:$D$882),BP$3&gt;=EOMONTH($X38,-1)+1,$Y38,TRUE,0)</f>
        <v>0</v>
      </c>
      <c r="BQ38" s="202" cm="1">
        <f t="array" ref="BQ38">_xlfn.IFS(BQ$3&lt;$B$2,SUMPRODUCT(('PA Fees Actual'!$B$5:$B$882=$E38)*('PA Fees Actual'!$A$5:$A$882&gt;=BQ$3)*('PA Fees Actual'!$A$5:$A$882&lt;=EOMONTH(BQ$3,0))*'PA Fees Actual'!$D$5:$D$882),BQ$3&gt;=EOMONTH($X38,-1)+1,$Y38,TRUE,0)</f>
        <v>0</v>
      </c>
      <c r="BR38" s="202" cm="1">
        <f t="array" ref="BR38">_xlfn.IFS(BR$3&lt;$B$2,SUMPRODUCT(('PA Fees Actual'!$B$5:$B$882=$E38)*('PA Fees Actual'!$A$5:$A$882&gt;=BR$3)*('PA Fees Actual'!$A$5:$A$882&lt;=EOMONTH(BR$3,0))*'PA Fees Actual'!$D$5:$D$882),BR$3&gt;=EOMONTH($X38,-1)+1,$Y38,TRUE,0)</f>
        <v>0</v>
      </c>
      <c r="BS38" s="202" cm="1">
        <f t="array" ref="BS38">_xlfn.IFS(BS$3&lt;$B$2,SUMPRODUCT(('PA Fees Actual'!$B$5:$B$882=$E38)*('PA Fees Actual'!$A$5:$A$882&gt;=BS$3)*('PA Fees Actual'!$A$5:$A$882&lt;=EOMONTH(BS$3,0))*'PA Fees Actual'!$D$5:$D$882),BS$3&gt;=EOMONTH($X38,-1)+1,$Y38,TRUE,0)</f>
        <v>0</v>
      </c>
      <c r="BT38" s="202" cm="1">
        <f t="array" ref="BT38">_xlfn.IFS(BT$3&lt;$B$2,SUMPRODUCT(('PA Fees Actual'!$B$5:$B$882=$E38)*('PA Fees Actual'!$A$5:$A$882&gt;=BT$3)*('PA Fees Actual'!$A$5:$A$882&lt;=EOMONTH(BT$3,0))*'PA Fees Actual'!$D$5:$D$882),BT$3&gt;=EOMONTH($X38,-1)+1,$Y38,TRUE,0)</f>
        <v>0</v>
      </c>
      <c r="BU38" s="202" cm="1">
        <f t="array" ref="BU38">_xlfn.IFS(BU$3&lt;$B$2,SUMPRODUCT(('PA Fees Actual'!$B$5:$B$882=$E38)*('PA Fees Actual'!$A$5:$A$882&gt;=BU$3)*('PA Fees Actual'!$A$5:$A$882&lt;=EOMONTH(BU$3,0))*'PA Fees Actual'!$D$5:$D$882),BU$3&gt;=EOMONTH($X38,-1)+1,$Y38,TRUE,0)</f>
        <v>0</v>
      </c>
      <c r="BV38" s="202" cm="1">
        <f t="array" ref="BV38">_xlfn.IFS(BV$3&lt;$B$2,SUMPRODUCT(('PA Fees Actual'!$B$5:$B$882=$E38)*('PA Fees Actual'!$A$5:$A$882&gt;=BV$3)*('PA Fees Actual'!$A$5:$A$882&lt;=EOMONTH(BV$3,0))*'PA Fees Actual'!$D$5:$D$882),BV$3&gt;=EOMONTH($X38,-1)+1,$Y38,TRUE,0)</f>
        <v>0</v>
      </c>
      <c r="BW38" s="202" cm="1">
        <f t="array" ref="BW38">_xlfn.IFS(BW$3&lt;$B$2,SUMPRODUCT(('PA Fees Actual'!$B$5:$B$882=$E38)*('PA Fees Actual'!$A$5:$A$882&gt;=BW$3)*('PA Fees Actual'!$A$5:$A$882&lt;=EOMONTH(BW$3,0))*'PA Fees Actual'!$D$5:$D$882),BW$3&gt;=EOMONTH($X38,-1)+1,$Y38,TRUE,0)</f>
        <v>0</v>
      </c>
      <c r="BX38" s="202" cm="1">
        <f t="array" ref="BX38">_xlfn.IFS(BX$3&lt;$B$2,SUMPRODUCT(('PA Fees Actual'!$B$5:$B$882=$E38)*('PA Fees Actual'!$A$5:$A$882&gt;=BX$3)*('PA Fees Actual'!$A$5:$A$882&lt;=EOMONTH(BX$3,0))*'PA Fees Actual'!$D$5:$D$882),BX$3&gt;=EOMONTH($X38,-1)+1,$Y38,TRUE,0)</f>
        <v>0</v>
      </c>
      <c r="BY38" s="202" cm="1">
        <f t="array" ref="BY38">_xlfn.IFS(BY$3&lt;$B$2,SUMPRODUCT(('PA Fees Actual'!$B$5:$B$882=$E38)*('PA Fees Actual'!$A$5:$A$882&gt;=BY$3)*('PA Fees Actual'!$A$5:$A$882&lt;=EOMONTH(BY$3,0))*'PA Fees Actual'!$D$5:$D$882),BY$3&gt;=EOMONTH($X38,-1)+1,$Y38,TRUE,0)</f>
        <v>0</v>
      </c>
      <c r="BZ38" s="202" cm="1">
        <f t="array" ref="BZ38">_xlfn.IFS(BZ$3&lt;$B$2,SUMPRODUCT(('PA Fees Actual'!$B$5:$B$882=$E38)*('PA Fees Actual'!$A$5:$A$882&gt;=BZ$3)*('PA Fees Actual'!$A$5:$A$882&lt;=EOMONTH(BZ$3,0))*'PA Fees Actual'!$D$5:$D$882),BZ$3&gt;=EOMONTH($X38,-1)+1,$Y38,TRUE,0)</f>
        <v>0</v>
      </c>
      <c r="CA38" s="202" cm="1">
        <f t="array" ref="CA38">_xlfn.IFS(CA$3&lt;$B$2,SUMPRODUCT(('PA Fees Actual'!$B$5:$B$882=$E38)*('PA Fees Actual'!$A$5:$A$882&gt;=CA$3)*('PA Fees Actual'!$A$5:$A$882&lt;=EOMONTH(CA$3,0))*'PA Fees Actual'!$D$5:$D$882),CA$3&gt;=EOMONTH($X38,-1)+1,$Y38,TRUE,0)</f>
        <v>0</v>
      </c>
      <c r="CB38" s="202" cm="1">
        <f t="array" ref="CB38">_xlfn.IFS(CB$3&lt;$B$2,SUMPRODUCT(('PA Fees Actual'!$B$5:$B$749=$E38)*('PA Fees Actual'!$A$5:$A$749&gt;=CB$3)*('PA Fees Actual'!$A$5:$A$749&lt;=EOMONTH(CB$3,0))*'PA Fees Actual'!$D$5:$D$749),CB$3&gt;=EOMONTH($X38,-1)+1,$Y38,TRUE,0)</f>
        <v>0</v>
      </c>
      <c r="CC38" s="202" cm="1">
        <f t="array" ref="CC38">_xlfn.IFS(CC$3&lt;$B$2,SUMPRODUCT(('PA Fees Actual'!$B$5:$B$749=$E38)*('PA Fees Actual'!$A$5:$A$749&gt;=CC$3)*('PA Fees Actual'!$A$5:$A$749&lt;=EOMONTH(CC$3,0))*'PA Fees Actual'!$D$5:$D$749),CC$3&gt;=EOMONTH($X38,-1)+1,$Y38,TRUE,0)</f>
        <v>0</v>
      </c>
      <c r="CD38" s="202" cm="1">
        <f t="array" ref="CD38">_xlfn.IFS(CD$3&lt;$B$2,SUMPRODUCT(('PA Fees Actual'!$B$5:$B$749=$E38)*('PA Fees Actual'!$A$5:$A$749&gt;=CD$3)*('PA Fees Actual'!$A$5:$A$749&lt;=EOMONTH(CD$3,0))*'PA Fees Actual'!$D$5:$D$749),CD$3&gt;=EOMONTH($X38,-1)+1,$Y38,TRUE,0)</f>
        <v>0</v>
      </c>
      <c r="CE38" s="202" cm="1">
        <f t="array" ref="CE38">_xlfn.IFS(CE$3&lt;$B$2,SUMPRODUCT(('PA Fees Actual'!$B$5:$B$749=$E38)*('PA Fees Actual'!$A$5:$A$749&gt;=CE$3)*('PA Fees Actual'!$A$5:$A$749&lt;=EOMONTH(CE$3,0))*'PA Fees Actual'!$D$5:$D$749),CE$3&gt;=EOMONTH($X38,-1)+1,$Y38,TRUE,0)</f>
        <v>0</v>
      </c>
      <c r="CF38" s="202" cm="1">
        <f t="array" ref="CF38">_xlfn.IFS(CF$3&lt;$B$2,SUMPRODUCT(('PA Fees Actual'!$B$5:$B$749=$E38)*('PA Fees Actual'!$A$5:$A$749&gt;=CF$3)*('PA Fees Actual'!$A$5:$A$749&lt;=EOMONTH(CF$3,0))*'PA Fees Actual'!$D$5:$D$749),CF$3&gt;=EOMONTH($X38,-1)+1,$Y38,TRUE,0)</f>
        <v>0</v>
      </c>
      <c r="CG38" s="202" cm="1">
        <f t="array" ref="CG38">_xlfn.IFS(CG$3&lt;$B$2,SUMPRODUCT(('PA Fees Actual'!$B$5:$B$749=$E38)*('PA Fees Actual'!$A$5:$A$749&gt;=CG$3)*('PA Fees Actual'!$A$5:$A$749&lt;=EOMONTH(CG$3,0))*'PA Fees Actual'!$D$5:$D$749),CG$3&gt;=EOMONTH($X38,-1)+1,$Y38,TRUE,0)</f>
        <v>0</v>
      </c>
      <c r="CI38" s="202" cm="1">
        <f t="array" ref="CI38">_xlfn.IFS(CI$3&lt;=YEAR($B$2),SUMPRODUCT(($E$4:$E$79=$E38)*($Z$2:$CG$2=CI$3)*($Z$2:$CG$2&lt;CJ$3)*$Z$4:$CG$79),CI$3&lt;YEAR($X38),0,CI$3=YEAR($X38),DATEDIF($X38,DATE(CI$3,12,31),"m")*$Y38,AND(CI$3&gt;YEAR($X38),CI$3-YEAR($X38)&lt;20),$Y38*12,CI$3-YEAR($X38)=20,DATEDIF(DATE(YEAR($X38),1,1),$X38,"m")*$Y38,CI$3-YEAR($X38)&gt;20,0)</f>
        <v>0</v>
      </c>
      <c r="CJ38" s="202" cm="1">
        <f t="array" ref="CJ38">_xlfn.IFS(CJ$3&lt;=YEAR($B$2),SUMPRODUCT(($E$4:$E$79=$E38)*($Z$2:$CG$2=CJ$3)*($Z$2:$CG$2&lt;CK$3)*$Z$4:$CG$79),CJ$3&lt;YEAR($X38),0,CJ$3=YEAR($X38),DATEDIF($X38,DATE(CJ$3,12,31),"m")*$Y38,AND(CJ$3&gt;YEAR($X38),CJ$3-YEAR($X38)&lt;20),$Y38*12,CJ$3-YEAR($X38)=20,DATEDIF(DATE(YEAR($X38),1,1),$X38,"m")*$Y38,CJ$3-YEAR($X38)&gt;20,0)</f>
        <v>0</v>
      </c>
      <c r="CK38" s="202" cm="1">
        <f t="array" ref="CK38">_xlfn.IFS(CK$3&lt;=YEAR($B$2),SUMPRODUCT(($E$4:$E$79=$E38)*($Z$2:$CG$2=CK$3)*($Z$2:$CG$2&lt;CL$3)*$Z$4:$CG$79),CK$3&lt;YEAR($X38),0,CK$3=YEAR($X38),DATEDIF($X38,DATE(CK$3,12,31),"m")*$Y38,AND(CK$3&gt;YEAR($X38),CK$3-YEAR($X38)&lt;20),$Y38*12,CK$3-YEAR($X38)=20,DATEDIF(DATE(YEAR($X38),1,1),$X38,"m")*$Y38,CK$3-YEAR($X38)&gt;20,0)</f>
        <v>0</v>
      </c>
      <c r="CL38" s="202" cm="1">
        <f t="array" ref="CL38">_xlfn.IFS(CL$3&lt;=YEAR($B$2),SUMPRODUCT(($E$4:$E$79=$E38)*($Z$2:$CG$2=CL$3)*($Z$2:$CG$2&lt;CM$3)*$Z$4:$CG$79),CL$3&lt;YEAR($X38),0,CL$3=YEAR($X38),DATEDIF($X38,DATE(CL$3,12,31),"m")*$Y38,AND(CL$3&gt;YEAR($X38),CL$3-YEAR($X38)&lt;20),$Y38*12,CL$3-YEAR($X38)=20,DATEDIF(DATE(YEAR($X38),1,1),$X38,"m")*$Y38,CL$3-YEAR($X38)&gt;20,0)</f>
        <v>0</v>
      </c>
      <c r="CM38" s="202" cm="1">
        <f t="array" ref="CM38">_xlfn.IFS(CM$3&lt;=YEAR($B$2),SUMPRODUCT(($E$4:$E$79=$E38)*($Z$2:$CG$2=CM$3)*($Z$2:$CG$2&lt;CN$3)*$Z$4:$CG$79),CM$3&lt;YEAR($X38),0,CM$3=YEAR($X38),DATEDIF($X38,DATE(CM$3,12,31),"m")*$Y38,AND(CM$3&gt;YEAR($X38),CM$3-YEAR($X38)&lt;20),$Y38*12,CM$3-YEAR($X38)=20,DATEDIF(DATE(YEAR($X38),1,1),$X38,"m")*$Y38,CM$3-YEAR($X38)&gt;20,0)</f>
        <v>0</v>
      </c>
      <c r="CN38" s="202" cm="1">
        <f t="array" ref="CN38">_xlfn.IFS(CN$3&lt;=YEAR($B$2),SUMPRODUCT(($E$4:$E$79=$E38)*($Z$2:$CG$2=CN$3)*($Z$2:$CG$2&lt;CO$3)*$Z$4:$CG$79),CN$3&lt;YEAR($X38),0,CN$3=YEAR($X38),DATEDIF($X38,DATE(CN$3,12,31),"m")*$Y38,AND(CN$3&gt;YEAR($X38),CN$3-YEAR($X38)&lt;20),$Y38*12,CN$3-YEAR($X38)=20,DATEDIF(DATE(YEAR($X38),1,1),$X38,"m")*$Y38,CN$3-YEAR($X38)&gt;20,0)</f>
        <v>9753.75</v>
      </c>
      <c r="CO38" s="202" cm="1">
        <f t="array" ref="CO38">_xlfn.IFS(CO$3&lt;=YEAR($B$2),SUMPRODUCT(($E$4:$E$79=$E38)*($Z$2:$CG$2=CO$3)*($Z$2:$CG$2&lt;CP$3)*$Z$4:$CG$79),CO$3&lt;YEAR($X38),0,CO$3=YEAR($X38),DATEDIF($X38,DATE(CO$3,12,31),"m")*$Y38,AND(CO$3&gt;YEAR($X38),CO$3-YEAR($X38)&lt;20),$Y38*12,CO$3-YEAR($X38)=20,DATEDIF(DATE(YEAR($X38),1,1),$X38,"m")*$Y38,CO$3-YEAR($X38)&gt;20,0)</f>
        <v>19507.5</v>
      </c>
      <c r="CP38" s="202" cm="1">
        <f t="array" ref="CP38">_xlfn.IFS(CP$3&lt;=YEAR($B$2),SUMPRODUCT(($E$4:$E$79=$E38)*($Z$2:$CG$2=CP$3)*($Z$2:$CG$2&lt;CQ$3)*$Z$4:$CG$79),CP$3&lt;YEAR($X38),0,CP$3=YEAR($X38),DATEDIF($X38,DATE(CP$3,12,31),"m")*$Y38,AND(CP$3&gt;YEAR($X38),CP$3-YEAR($X38)&lt;20),$Y38*12,CP$3-YEAR($X38)=20,DATEDIF(DATE(YEAR($X38),1,1),$X38,"m")*$Y38,CP$3-YEAR($X38)&gt;20,0)</f>
        <v>19507.5</v>
      </c>
      <c r="CQ38" s="202" cm="1">
        <f t="array" ref="CQ38">_xlfn.IFS(CQ$3&lt;=YEAR($B$2),SUMPRODUCT(($E$4:$E$79=$E38)*($Z$2:$CG$2=CQ$3)*($Z$2:$CG$2&lt;CR$3)*$Z$4:$CG$79),CQ$3&lt;YEAR($X38),0,CQ$3=YEAR($X38),DATEDIF($X38,DATE(CQ$3,12,31),"m")*$Y38,AND(CQ$3&gt;YEAR($X38),CQ$3-YEAR($X38)&lt;20),$Y38*12,CQ$3-YEAR($X38)=20,DATEDIF(DATE(YEAR($X38),1,1),$X38,"m")*$Y38,CQ$3-YEAR($X38)&gt;20,0)</f>
        <v>19507.5</v>
      </c>
      <c r="CR38" s="202" cm="1">
        <f t="array" ref="CR38">_xlfn.IFS(CR$3&lt;=YEAR($B$2),SUMPRODUCT(($E$4:$E$79=$E38)*($Z$2:$CG$2=CR$3)*($Z$2:$CG$2&lt;CS$3)*$Z$4:$CG$79),CR$3&lt;YEAR($X38),0,CR$3=YEAR($X38),DATEDIF($X38,DATE(CR$3,12,31),"m")*$Y38,AND(CR$3&gt;YEAR($X38),CR$3-YEAR($X38)&lt;20),$Y38*12,CR$3-YEAR($X38)=20,DATEDIF(DATE(YEAR($X38),1,1),$X38,"m")*$Y38,CR$3-YEAR($X38)&gt;20,0)</f>
        <v>19507.5</v>
      </c>
      <c r="CS38" s="202" cm="1">
        <f t="array" ref="CS38">_xlfn.IFS(CS$3&lt;=YEAR($B$2),SUMPRODUCT(($E$4:$E$79=$E38)*($Z$2:$CG$2=CS$3)*($Z$2:$CG$2&lt;CT$3)*$Z$4:$CG$79),CS$3&lt;YEAR($X38),0,CS$3=YEAR($X38),DATEDIF($X38,DATE(CS$3,12,31),"m")*$Y38,AND(CS$3&gt;YEAR($X38),CS$3-YEAR($X38)&lt;20),$Y38*12,CS$3-YEAR($X38)=20,DATEDIF(DATE(YEAR($X38),1,1),$X38,"m")*$Y38,CS$3-YEAR($X38)&gt;20,0)</f>
        <v>19507.5</v>
      </c>
      <c r="CT38" s="202" cm="1">
        <f t="array" ref="CT38">_xlfn.IFS(CT$3&lt;=YEAR($B$2),SUMPRODUCT(($E$4:$E$79=$E38)*($Z$2:$CG$2=CT$3)*($Z$2:$CG$2&lt;CU$3)*$Z$4:$CG$79),CT$3&lt;YEAR($X38),0,CT$3=YEAR($X38),DATEDIF($X38,DATE(CT$3,12,31),"m")*$Y38,AND(CT$3&gt;YEAR($X38),CT$3-YEAR($X38)&lt;20),$Y38*12,CT$3-YEAR($X38)=20,DATEDIF(DATE(YEAR($X38),1,1),$X38,"m")*$Y38,CT$3-YEAR($X38)&gt;20,0)</f>
        <v>19507.5</v>
      </c>
      <c r="CU38" s="202" cm="1">
        <f t="array" ref="CU38">_xlfn.IFS(CU$3&lt;=YEAR($B$2),SUMPRODUCT(($E$4:$E$79=$E38)*($Z$2:$CG$2=CU$3)*($Z$2:$CG$2&lt;CV$3)*$Z$4:$CG$79),CU$3&lt;YEAR($X38),0,CU$3=YEAR($X38),DATEDIF($X38,DATE(CU$3,12,31),"m")*$Y38,AND(CU$3&gt;YEAR($X38),CU$3-YEAR($X38)&lt;20),$Y38*12,CU$3-YEAR($X38)=20,DATEDIF(DATE(YEAR($X38),1,1),$X38,"m")*$Y38,CU$3-YEAR($X38)&gt;20,0)</f>
        <v>19507.5</v>
      </c>
      <c r="CV38" s="202" cm="1">
        <f t="array" ref="CV38">_xlfn.IFS(CV$3&lt;=YEAR($B$2),SUMPRODUCT(($E$4:$E$79=$E38)*($Z$2:$CG$2=CV$3)*($Z$2:$CG$2&lt;CW$3)*$Z$4:$CG$79),CV$3&lt;YEAR($X38),0,CV$3=YEAR($X38),DATEDIF($X38,DATE(CV$3,12,31),"m")*$Y38,AND(CV$3&gt;YEAR($X38),CV$3-YEAR($X38)&lt;20),$Y38*12,CV$3-YEAR($X38)=20,DATEDIF(DATE(YEAR($X38),1,1),$X38,"m")*$Y38,CV$3-YEAR($X38)&gt;20,0)</f>
        <v>19507.5</v>
      </c>
      <c r="CW38" s="202" cm="1">
        <f t="array" ref="CW38">_xlfn.IFS(CW$3&lt;=YEAR($B$2),SUMPRODUCT(($E$4:$E$79=$E38)*($Z$2:$CG$2=CW$3)*($Z$2:$CG$2&lt;CX$3)*$Z$4:$CG$79),CW$3&lt;YEAR($X38),0,CW$3=YEAR($X38),DATEDIF($X38,DATE(CW$3,12,31),"m")*$Y38,AND(CW$3&gt;YEAR($X38),CW$3-YEAR($X38)&lt;20),$Y38*12,CW$3-YEAR($X38)=20,DATEDIF(DATE(YEAR($X38),1,1),$X38,"m")*$Y38,CW$3-YEAR($X38)&gt;20,0)</f>
        <v>19507.5</v>
      </c>
      <c r="CX38" s="202" cm="1">
        <f t="array" ref="CX38">_xlfn.IFS(CX$3&lt;=YEAR($B$2),SUMPRODUCT(($E$4:$E$79=$E38)*($Z$2:$CG$2=CX$3)*($Z$2:$CG$2&lt;CY$3)*$Z$4:$CG$79),CX$3&lt;YEAR($X38),0,CX$3=YEAR($X38),DATEDIF($X38,DATE(CX$3,12,31),"m")*$Y38,AND(CX$3&gt;YEAR($X38),CX$3-YEAR($X38)&lt;20),$Y38*12,CX$3-YEAR($X38)=20,DATEDIF(DATE(YEAR($X38),1,1),$X38,"m")*$Y38,CX$3-YEAR($X38)&gt;20,0)</f>
        <v>19507.5</v>
      </c>
      <c r="CY38" s="202" cm="1">
        <f t="array" ref="CY38">_xlfn.IFS(CY$3&lt;=YEAR($B$2),SUMPRODUCT(($E$4:$E$79=$E38)*($Z$2:$CG$2=CY$3)*($Z$2:$CG$2&lt;CZ$3)*$Z$4:$CG$79),CY$3&lt;YEAR($X38),0,CY$3=YEAR($X38),DATEDIF($X38,DATE(CY$3,12,31),"m")*$Y38,AND(CY$3&gt;YEAR($X38),CY$3-YEAR($X38)&lt;20),$Y38*12,CY$3-YEAR($X38)=20,DATEDIF(DATE(YEAR($X38),1,1),$X38,"m")*$Y38,CY$3-YEAR($X38)&gt;20,0)</f>
        <v>19507.5</v>
      </c>
      <c r="CZ38" s="202" cm="1">
        <f t="array" ref="CZ38">_xlfn.IFS(CZ$3&lt;=YEAR($B$2),SUMPRODUCT(($E$4:$E$79=$E38)*($Z$2:$CG$2=CZ$3)*($Z$2:$CG$2&lt;DA$3)*$Z$4:$CG$79),CZ$3&lt;YEAR($X38),0,CZ$3=YEAR($X38),DATEDIF($X38,DATE(CZ$3,12,31),"m")*$Y38,AND(CZ$3&gt;YEAR($X38),CZ$3-YEAR($X38)&lt;20),$Y38*12,CZ$3-YEAR($X38)=20,DATEDIF(DATE(YEAR($X38),1,1),$X38,"m")*$Y38,CZ$3-YEAR($X38)&gt;20,0)</f>
        <v>19507.5</v>
      </c>
      <c r="DA38" s="202" cm="1">
        <f t="array" ref="DA38">_xlfn.IFS(DA$3&lt;=YEAR($B$2),SUMPRODUCT(($E$4:$E$79=$E38)*($Z$2:$CG$2=DA$3)*($Z$2:$CG$2&lt;DB$3)*$Z$4:$CG$79),DA$3&lt;YEAR($X38),0,DA$3=YEAR($X38),DATEDIF($X38,DATE(DA$3,12,31),"m")*$Y38,AND(DA$3&gt;YEAR($X38),DA$3-YEAR($X38)&lt;20),$Y38*12,DA$3-YEAR($X38)=20,DATEDIF(DATE(YEAR($X38),1,1),$X38,"m")*$Y38,DA$3-YEAR($X38)&gt;20,0)</f>
        <v>19507.5</v>
      </c>
      <c r="DB38" s="202" cm="1">
        <f t="array" ref="DB38">_xlfn.IFS(DB$3&lt;=YEAR($B$2),SUMPRODUCT(($E$4:$E$79=$E38)*($Z$2:$CG$2=DB$3)*($Z$2:$CG$2&lt;DC$3)*$Z$4:$CG$79),DB$3&lt;YEAR($X38),0,DB$3=YEAR($X38),DATEDIF($X38,DATE(DB$3,12,31),"m")*$Y38,AND(DB$3&gt;YEAR($X38),DB$3-YEAR($X38)&lt;20),$Y38*12,DB$3-YEAR($X38)=20,DATEDIF(DATE(YEAR($X38),1,1),$X38,"m")*$Y38,DB$3-YEAR($X38)&gt;20,0)</f>
        <v>19507.5</v>
      </c>
      <c r="DC38" s="202" cm="1">
        <f t="array" ref="DC38">_xlfn.IFS(DC$3&lt;=YEAR($B$2),SUMPRODUCT(($E$4:$E$79=$E38)*($Z$2:$CG$2=DC$3)*($Z$2:$CG$2&lt;DD$3)*$Z$4:$CG$79),DC$3&lt;YEAR($X38),0,DC$3=YEAR($X38),DATEDIF($X38,DATE(DC$3,12,31),"m")*$Y38,AND(DC$3&gt;YEAR($X38),DC$3-YEAR($X38)&lt;20),$Y38*12,DC$3-YEAR($X38)=20,DATEDIF(DATE(YEAR($X38),1,1),$X38,"m")*$Y38,DC$3-YEAR($X38)&gt;20,0)</f>
        <v>19507.5</v>
      </c>
      <c r="DD38" s="202" cm="1">
        <f t="array" ref="DD38">_xlfn.IFS(DD$3&lt;=YEAR($B$2),SUMPRODUCT(($E$4:$E$79=$E38)*($Z$2:$CG$2=DD$3)*($Z$2:$CG$2&lt;DE$3)*$Z$4:$CG$79),DD$3&lt;YEAR($X38),0,DD$3=YEAR($X38),DATEDIF($X38,DATE(DD$3,12,31),"m")*$Y38,AND(DD$3&gt;YEAR($X38),DD$3-YEAR($X38)&lt;20),$Y38*12,DD$3-YEAR($X38)=20,DATEDIF(DATE(YEAR($X38),1,1),$X38,"m")*$Y38,DD$3-YEAR($X38)&gt;20,0)</f>
        <v>19507.5</v>
      </c>
      <c r="DE38" s="202" cm="1">
        <f t="array" ref="DE38">_xlfn.IFS(DE$3&lt;=YEAR($B$2),SUMPRODUCT(($E$4:$E$79=$E38)*($Z$2:$CG$2=DE$3)*($Z$2:$CG$2&lt;DF$3)*$Z$4:$CG$79),DE$3&lt;YEAR($X38),0,DE$3=YEAR($X38),DATEDIF($X38,DATE(DE$3,12,31),"m")*$Y38,AND(DE$3&gt;YEAR($X38),DE$3-YEAR($X38)&lt;20),$Y38*12,DE$3-YEAR($X38)=20,DATEDIF(DATE(YEAR($X38),1,1),$X38,"m")*$Y38,DE$3-YEAR($X38)&gt;20,0)</f>
        <v>19507.5</v>
      </c>
      <c r="DF38" s="202" cm="1">
        <f t="array" ref="DF38">_xlfn.IFS(DF$3&lt;=YEAR($B$2),SUMPRODUCT(($E$4:$E$79=$E38)*($Z$2:$CG$2=DF$3)*($Z$2:$CG$2&lt;DG$3)*$Z$4:$CG$79),DF$3&lt;YEAR($X38),0,DF$3=YEAR($X38),DATEDIF($X38,DATE(DF$3,12,31),"m")*$Y38,AND(DF$3&gt;YEAR($X38),DF$3-YEAR($X38)&lt;20),$Y38*12,DF$3-YEAR($X38)=20,DATEDIF(DATE(YEAR($X38),1,1),$X38,"m")*$Y38,DF$3-YEAR($X38)&gt;20,0)</f>
        <v>19507.5</v>
      </c>
      <c r="DG38" s="202" cm="1">
        <f t="array" ref="DG38">_xlfn.IFS(DG$3&lt;=YEAR($B$2),SUMPRODUCT(($E$4:$E$79=$E38)*($Z$2:$CG$2=DG$3)*($Z$2:$CG$2&lt;DH$3)*$Z$4:$CG$79),DG$3&lt;YEAR($X38),0,DG$3=YEAR($X38),DATEDIF($X38,DATE(DG$3,12,31),"m")*$Y38,AND(DG$3&gt;YEAR($X38),DG$3-YEAR($X38)&lt;20),$Y38*12,DG$3-YEAR($X38)=20,DATEDIF(DATE(YEAR($X38),1,1),$X38,"m")*$Y38,DG$3-YEAR($X38)&gt;20,0)</f>
        <v>19507.5</v>
      </c>
      <c r="DH38" s="202" cm="1">
        <f t="array" ref="DH38">_xlfn.IFS(DH$3&lt;=YEAR($B$2),SUMPRODUCT(($E$4:$E$79=$E38)*($Z$2:$CG$2=DH$3)*($Z$2:$CG$2&lt;DI$3)*$Z$4:$CG$79),DH$3&lt;YEAR($X38),0,DH$3=YEAR($X38),DATEDIF($X38,DATE(DH$3,12,31),"m")*$Y38,AND(DH$3&gt;YEAR($X38),DH$3-YEAR($X38)&lt;20),$Y38*12,DH$3-YEAR($X38)=20,DATEDIF(DATE(YEAR($X38),1,1),$X38,"m")*$Y38,DH$3-YEAR($X38)&gt;20,0)</f>
        <v>8128.125</v>
      </c>
      <c r="DI38" s="202" cm="1">
        <f t="array" ref="DI38">_xlfn.IFS(DI$3&lt;=YEAR($B$2),SUMPRODUCT(($E$4:$E$79=$E38)*($Z$2:$CG$2=DI$3)*($Z$2:$CG$2&lt;DJ$3)*$Z$4:$CG$79),DI$3&lt;YEAR($X38),0,DI$3=YEAR($X38),DATEDIF($X38,DATE(DI$3,12,31),"m")*$Y38,AND(DI$3&gt;YEAR($X38),DI$3-YEAR($X38)&lt;20),$Y38*12,DI$3-YEAR($X38)=20,DATEDIF(DATE(YEAR($X38),1,1),$X38,"m")*$Y38,DI$3-YEAR($X38)&gt;20,0)</f>
        <v>0</v>
      </c>
      <c r="DJ38" s="202" cm="1">
        <f t="array" ref="DJ38">_xlfn.IFS(DJ$3&lt;=YEAR($B$2),SUMPRODUCT(($E$4:$E$79=$E38)*($Z$2:$CG$2=DJ$3)*($Z$2:$CG$2&lt;DK$3)*$Z$4:$CG$79),DJ$3&lt;YEAR($X38),0,DJ$3=YEAR($X38),DATEDIF($X38,DATE(DJ$3,12,31),"m")*$Y38,AND(DJ$3&gt;YEAR($X38),DJ$3-YEAR($X38)&lt;20),$Y38*12,DJ$3-YEAR($X38)=20,DATEDIF(DATE(YEAR($X38),1,1),$X38,"m")*$Y38,DJ$3-YEAR($X38)&gt;20,0)</f>
        <v>0</v>
      </c>
      <c r="DK38" s="202" cm="1">
        <f t="array" ref="DK38">_xlfn.IFS(DK$3&lt;=YEAR($B$2),SUMPRODUCT(($E$4:$E$79=$E38)*($Z$2:$CG$2=DK$3)*($Z$2:$CG$2&lt;DL$3)*$Z$4:$CG$79),DK$3&lt;YEAR($X38),0,DK$3=YEAR($X38),DATEDIF($X38,DATE(DK$3,12,31),"m")*$Y38,AND(DK$3&gt;YEAR($X38),DK$3-YEAR($X38)&lt;20),$Y38*12,DK$3-YEAR($X38)=20,DATEDIF(DATE(YEAR($X38),1,1),$X38,"m")*$Y38,DK$3-YEAR($X38)&gt;20,0)</f>
        <v>0</v>
      </c>
      <c r="DL38" s="202" cm="1">
        <f t="array" ref="DL38">_xlfn.IFS(DL$3&lt;=YEAR($B$2),SUMPRODUCT(($E$4:$E$79=$E38)*($Z$2:$CG$2=DL$3)*($Z$2:$CG$2&lt;DM$3)*$Z$4:$CG$79),DL$3&lt;YEAR($X38),0,DL$3=YEAR($X38),DATEDIF($X38,DATE(DL$3,12,31),"m")*$Y38,AND(DL$3&gt;YEAR($X38),DL$3-YEAR($X38)&lt;20),$Y38*12,DL$3-YEAR($X38)=20,DATEDIF(DATE(YEAR($X38),1,1),$X38,"m")*$Y38,DL$3-YEAR($X38)&gt;20,0)</f>
        <v>0</v>
      </c>
      <c r="DO38" s="166">
        <f t="shared" si="26"/>
        <v>2047</v>
      </c>
      <c r="DP38" s="158">
        <v>18315.375</v>
      </c>
      <c r="DQ38" s="158">
        <v>9717.880000000001</v>
      </c>
      <c r="DR38" s="158">
        <v>0</v>
      </c>
      <c r="DS38" s="158">
        <f t="shared" si="27"/>
        <v>28033.255000000001</v>
      </c>
    </row>
    <row r="39" spans="1:123">
      <c r="A39" s="155" t="str" cm="1">
        <f t="array" ref="A39">INDEX('Monthly Report July 2025'!C:C,MATCH(E39,'Monthly Report July 2025'!E:E,0),0)</f>
        <v>OCS024</v>
      </c>
      <c r="B39" s="155" t="str" cm="1">
        <f t="array" ref="B39">_xlfn.IFS(LEFT(E39,3)="PGE","PGE",LEFT(E39,2)="PP","PAC",TRUE,"IP")</f>
        <v>PAC</v>
      </c>
      <c r="C39" s="155" t="str">
        <f>IF(ISNA(MATCH(E39,'Monthly Report July 2025'!E:E,0)),"Missing","Present")</f>
        <v>Present</v>
      </c>
      <c r="D39" s="155" t="str">
        <f>IF(ISNA(MATCH(E39,'Project Operational Timelines'!C:C,0))=TRUE,"Missing","Present")</f>
        <v>Present</v>
      </c>
      <c r="E39" s="155" t="s">
        <v>147</v>
      </c>
      <c r="F39" s="155" t="str" cm="1">
        <f t="array" ref="F39">INDEX('Monthly Report July 2025'!F:F,MATCH(E39,'Monthly Report July 2025'!E:E,),0)</f>
        <v>Tutuilla Solar</v>
      </c>
      <c r="G39" s="155" t="str" cm="1">
        <f t="array" ref="G39">_xlfn.IFS(INDEX('Monthly Report July 2025'!O:O,MATCH(E39,'Monthly Report July 2025'!E:E,0),0)="Operational","Operational",INDEX('Monthly Report July 2025'!O:O,MATCH(E39,'Monthly Report July 2025'!E:E,0),0)="Certified","Certified",TRUE,"Pre-Certified")</f>
        <v>Pre-Certified</v>
      </c>
      <c r="H39" s="155" t="str" cm="1">
        <f t="array" ref="H39">INDEX('Monthly Report July 2025'!H:H,MATCH($E39,'Monthly Report July 2025'!$E:$E,0),0)</f>
        <v>Sunthurst</v>
      </c>
      <c r="I39" s="155" t="str" cm="1">
        <f t="array" ref="I39">INDEX('Monthly Report July 2025'!I:I,MATCH($E39,'Monthly Report July 2025'!$E:$E,0),0)</f>
        <v>Sunthurst</v>
      </c>
      <c r="J39" s="174" cm="1">
        <f t="array" ref="J39">INDEX('Monthly Report July 2025'!J:J,MATCH($E39,'Monthly Report July 2025'!$E:$E,0),0)</f>
        <v>1</v>
      </c>
      <c r="K39" s="174" t="str" cm="1">
        <f t="array" ref="K39">INDEX('Monthly Report July 2025'!K:K,MATCH($E39,'Monthly Report July 2025'!$E:$E,0),0)</f>
        <v>No</v>
      </c>
      <c r="L39" s="174" t="b" cm="1">
        <f t="array" ref="L39">INDEX('Monthly Report July 2025'!L:L,MATCH(E39,'Monthly Report July 2025'!E:E,0),0)=M39</f>
        <v>1</v>
      </c>
      <c r="M39" s="273" cm="1">
        <f t="array" ref="M39">INDEX('Monthly Report July 2025'!L:L,MATCH($E39,'Monthly Report July 2025'!$E:$E,0),0)</f>
        <v>1560</v>
      </c>
      <c r="N39" s="175" cm="1">
        <f t="array" ref="N39">INDEX('Monthly Report July 2025'!M:M,MATCH($E39,'Monthly Report July 2025'!$E:$E,0),0)</f>
        <v>44152</v>
      </c>
      <c r="O39" s="175" cm="1">
        <f t="array" ref="O39">_xlfn.IFS(G39="Operational","Operational",G39="Certified","Certified",TRUE,INDEX('Monthly Report July 2025'!O:O,MATCH(E39,'Monthly Report July 2025'!E:E,0),0))</f>
        <v>45613</v>
      </c>
      <c r="P39" s="175" t="b" cm="1">
        <f t="array" ref="P39">_xlfn.IFS(G39="Operational",O39="Operational",G39="Certified",O39="Certified",TRUE,G39="Pre-Certified")</f>
        <v>1</v>
      </c>
      <c r="Q39" s="175" t="str" cm="1">
        <f t="array" ref="Q39">IF(O39="Operational",INDEX('Monthly Report July 2025'!R:R,MATCH(E39,'Monthly Report July 2025'!E:E,0),0),"")</f>
        <v/>
      </c>
      <c r="R39" s="175" t="str" cm="1">
        <f t="array" ref="R39">INDEX('Monthly Report July 2025'!P:P,MATCH(E39,'Monthly Report July 2025'!E:E,0),0)</f>
        <v>Not Yet Certified</v>
      </c>
      <c r="S39" s="175" t="b">
        <f t="shared" si="28"/>
        <v>1</v>
      </c>
      <c r="T39" s="175" cm="1">
        <f t="array" ref="T39">INDEX('Monthly Report July 2025'!U:U,MATCH(E39,'Monthly Report July 2025'!E:E,0),0)</f>
        <v>45930</v>
      </c>
      <c r="U39" s="175" t="b">
        <f t="shared" si="6"/>
        <v>0</v>
      </c>
      <c r="V39" s="156">
        <f t="shared" si="29"/>
        <v>45613</v>
      </c>
      <c r="W39" s="156" cm="1">
        <f t="array" ref="W39">_xlfn.IFS(U39=TRUE,EDATE(O39,6),U39=FALSE,T39,O39="Operational",Q39,AND(O39="Certified",EDATE(R39,6)&gt;T39),EDATE(R39,6),TRUE,T39)</f>
        <v>45930</v>
      </c>
      <c r="X39" s="156">
        <f t="shared" si="30"/>
        <v>45991</v>
      </c>
      <c r="Y39" s="157">
        <f t="shared" si="31"/>
        <v>1127.0999999999999</v>
      </c>
      <c r="Z39" s="202" cm="1">
        <f t="array" ref="Z39">_xlfn.IFS(Z$3&lt;$B$2,SUMPRODUCT(('PA Fees Actual'!$B$5:$B$882=$E39)*('PA Fees Actual'!$A$5:$A$882&gt;=Z$3)*('PA Fees Actual'!$A$5:$A$882&lt;=EOMONTH(Z$3,0))*'PA Fees Actual'!$D$5:$D$882),Z$3&gt;=EOMONTH($X39,-1)+1,$Y39,TRUE,0)</f>
        <v>0</v>
      </c>
      <c r="AA39" s="202" cm="1">
        <f t="array" ref="AA39">_xlfn.IFS(AA$3&lt;$B$2,SUMPRODUCT(('PA Fees Actual'!$B$5:$B$882=$E39)*('PA Fees Actual'!$A$5:$A$882&gt;=AA$3)*('PA Fees Actual'!$A$5:$A$882&lt;=EOMONTH(AA$3,0))*'PA Fees Actual'!$D$5:$D$882),AA$3&gt;=EOMONTH($X39,-1)+1,$Y39,TRUE,0)</f>
        <v>0</v>
      </c>
      <c r="AB39" s="202" cm="1">
        <f t="array" ref="AB39">_xlfn.IFS(AB$3&lt;$B$2,SUMPRODUCT(('PA Fees Actual'!$B$5:$B$882=$E39)*('PA Fees Actual'!$A$5:$A$882&gt;=AB$3)*('PA Fees Actual'!$A$5:$A$882&lt;=EOMONTH(AB$3,0))*'PA Fees Actual'!$D$5:$D$882),AB$3&gt;=EOMONTH($X39,-1)+1,$Y39,TRUE,0)</f>
        <v>0</v>
      </c>
      <c r="AC39" s="202" cm="1">
        <f t="array" ref="AC39">_xlfn.IFS(AC$3&lt;$B$2,SUMPRODUCT(('PA Fees Actual'!$B$5:$B$882=$E39)*('PA Fees Actual'!$A$5:$A$882&gt;=AC$3)*('PA Fees Actual'!$A$5:$A$882&lt;=EOMONTH(AC$3,0))*'PA Fees Actual'!$D$5:$D$882),AC$3&gt;=EOMONTH($X39,-1)+1,$Y39,TRUE,0)</f>
        <v>0</v>
      </c>
      <c r="AD39" s="202" cm="1">
        <f t="array" ref="AD39">_xlfn.IFS(AD$3&lt;$B$2,SUMPRODUCT(('PA Fees Actual'!$B$5:$B$882=$E39)*('PA Fees Actual'!$A$5:$A$882&gt;=AD$3)*('PA Fees Actual'!$A$5:$A$882&lt;=EOMONTH(AD$3,0))*'PA Fees Actual'!$D$5:$D$882),AD$3&gt;=EOMONTH($X39,-1)+1,$Y39,TRUE,0)</f>
        <v>0</v>
      </c>
      <c r="AE39" s="202" cm="1">
        <f t="array" ref="AE39">_xlfn.IFS(AE$3&lt;$B$2,SUMPRODUCT(('PA Fees Actual'!$B$5:$B$882=$E39)*('PA Fees Actual'!$A$5:$A$882&gt;=AE$3)*('PA Fees Actual'!$A$5:$A$882&lt;=EOMONTH(AE$3,0))*'PA Fees Actual'!$D$5:$D$882),AE$3&gt;=EOMONTH($X39,-1)+1,$Y39,TRUE,0)</f>
        <v>0</v>
      </c>
      <c r="AF39" s="202" cm="1">
        <f t="array" ref="AF39">_xlfn.IFS(AF$3&lt;$B$2,SUMPRODUCT(('PA Fees Actual'!$B$5:$B$882=$E39)*('PA Fees Actual'!$A$5:$A$882&gt;=AF$3)*('PA Fees Actual'!$A$5:$A$882&lt;=EOMONTH(AF$3,0))*'PA Fees Actual'!$D$5:$D$882),AF$3&gt;=EOMONTH($X39,-1)+1,$Y39,TRUE,0)</f>
        <v>0</v>
      </c>
      <c r="AG39" s="202" cm="1">
        <f t="array" ref="AG39">_xlfn.IFS(AG$3&lt;$B$2,SUMPRODUCT(('PA Fees Actual'!$B$5:$B$882=$E39)*('PA Fees Actual'!$A$5:$A$882&gt;=AG$3)*('PA Fees Actual'!$A$5:$A$882&lt;=EOMONTH(AG$3,0))*'PA Fees Actual'!$D$5:$D$882),AG$3&gt;=EOMONTH($X39,-1)+1,$Y39,TRUE,0)</f>
        <v>0</v>
      </c>
      <c r="AH39" s="202" cm="1">
        <f t="array" ref="AH39">_xlfn.IFS(AH$3&lt;$B$2,SUMPRODUCT(('PA Fees Actual'!$B$5:$B$882=$E39)*('PA Fees Actual'!$A$5:$A$882&gt;=AH$3)*('PA Fees Actual'!$A$5:$A$882&lt;=EOMONTH(AH$3,0))*'PA Fees Actual'!$D$5:$D$882),AH$3&gt;=EOMONTH($X39,-1)+1,$Y39,TRUE,0)</f>
        <v>0</v>
      </c>
      <c r="AI39" s="202" cm="1">
        <f t="array" ref="AI39">_xlfn.IFS(AI$3&lt;$B$2,SUMPRODUCT(('PA Fees Actual'!$B$5:$B$882=$E39)*('PA Fees Actual'!$A$5:$A$882&gt;=AI$3)*('PA Fees Actual'!$A$5:$A$882&lt;=EOMONTH(AI$3,0))*'PA Fees Actual'!$D$5:$D$882),AI$3&gt;=EOMONTH($X39,-1)+1,$Y39,TRUE,0)</f>
        <v>0</v>
      </c>
      <c r="AJ39" s="202" cm="1">
        <f t="array" ref="AJ39">_xlfn.IFS(AJ$3&lt;$B$2,SUMPRODUCT(('PA Fees Actual'!$B$5:$B$882=$E39)*('PA Fees Actual'!$A$5:$A$882&gt;=AJ$3)*('PA Fees Actual'!$A$5:$A$882&lt;=EOMONTH(AJ$3,0))*'PA Fees Actual'!$D$5:$D$882),AJ$3&gt;=EOMONTH($X39,-1)+1,$Y39,TRUE,0)</f>
        <v>0</v>
      </c>
      <c r="AK39" s="202" cm="1">
        <f t="array" ref="AK39">_xlfn.IFS(AK$3&lt;$B$2,SUMPRODUCT(('PA Fees Actual'!$B$5:$B$882=$E39)*('PA Fees Actual'!$A$5:$A$882&gt;=AK$3)*('PA Fees Actual'!$A$5:$A$882&lt;=EOMONTH(AK$3,0))*'PA Fees Actual'!$D$5:$D$882),AK$3&gt;=EOMONTH($X39,-1)+1,$Y39,TRUE,0)</f>
        <v>0</v>
      </c>
      <c r="AL39" s="202" cm="1">
        <f t="array" ref="AL39">_xlfn.IFS(AL$3&lt;$B$2,SUMPRODUCT(('PA Fees Actual'!$B$5:$B$882=$E39)*('PA Fees Actual'!$A$5:$A$882&gt;=AL$3)*('PA Fees Actual'!$A$5:$A$882&lt;=EOMONTH(AL$3,0))*'PA Fees Actual'!$D$5:$D$882),AL$3&gt;=EOMONTH($X39,-1)+1,$Y39,TRUE,0)</f>
        <v>0</v>
      </c>
      <c r="AM39" s="202" cm="1">
        <f t="array" ref="AM39">_xlfn.IFS(AM$3&lt;$B$2,SUMPRODUCT(('PA Fees Actual'!$B$5:$B$882=$E39)*('PA Fees Actual'!$A$5:$A$882&gt;=AM$3)*('PA Fees Actual'!$A$5:$A$882&lt;=EOMONTH(AM$3,0))*'PA Fees Actual'!$D$5:$D$882),AM$3&gt;=EOMONTH($X39,-1)+1,$Y39,TRUE,0)</f>
        <v>0</v>
      </c>
      <c r="AN39" s="202" cm="1">
        <f t="array" ref="AN39">_xlfn.IFS(AN$3&lt;$B$2,SUMPRODUCT(('PA Fees Actual'!$B$5:$B$882=$E39)*('PA Fees Actual'!$A$5:$A$882&gt;=AN$3)*('PA Fees Actual'!$A$5:$A$882&lt;=EOMONTH(AN$3,0))*'PA Fees Actual'!$D$5:$D$882),AN$3&gt;=EOMONTH($X39,-1)+1,$Y39,TRUE,0)</f>
        <v>0</v>
      </c>
      <c r="AO39" s="202" cm="1">
        <f t="array" ref="AO39">_xlfn.IFS(AO$3&lt;$B$2,SUMPRODUCT(('PA Fees Actual'!$B$5:$B$882=$E39)*('PA Fees Actual'!$A$5:$A$882&gt;=AO$3)*('PA Fees Actual'!$A$5:$A$882&lt;=EOMONTH(AO$3,0))*'PA Fees Actual'!$D$5:$D$882),AO$3&gt;=EOMONTH($X39,-1)+1,$Y39,TRUE,0)</f>
        <v>0</v>
      </c>
      <c r="AP39" s="202" cm="1">
        <f t="array" ref="AP39">_xlfn.IFS(AP$3&lt;$B$2,SUMPRODUCT(('PA Fees Actual'!$B$5:$B$882=$E39)*('PA Fees Actual'!$A$5:$A$882&gt;=AP$3)*('PA Fees Actual'!$A$5:$A$882&lt;=EOMONTH(AP$3,0))*'PA Fees Actual'!$D$5:$D$882),AP$3&gt;=EOMONTH($X39,-1)+1,$Y39,TRUE,0)</f>
        <v>0</v>
      </c>
      <c r="AQ39" s="202" cm="1">
        <f t="array" ref="AQ39">_xlfn.IFS(AQ$3&lt;$B$2,SUMPRODUCT(('PA Fees Actual'!$B$5:$B$882=$E39)*('PA Fees Actual'!$A$5:$A$882&gt;=AQ$3)*('PA Fees Actual'!$A$5:$A$882&lt;=EOMONTH(AQ$3,0))*'PA Fees Actual'!$D$5:$D$882),AQ$3&gt;=EOMONTH($X39,-1)+1,$Y39,TRUE,0)</f>
        <v>0</v>
      </c>
      <c r="AR39" s="202" cm="1">
        <f t="array" ref="AR39">_xlfn.IFS(AR$3&lt;$B$2,SUMPRODUCT(('PA Fees Actual'!$B$5:$B$882=$E39)*('PA Fees Actual'!$A$5:$A$882&gt;=AR$3)*('PA Fees Actual'!$A$5:$A$882&lt;=EOMONTH(AR$3,0))*'PA Fees Actual'!$D$5:$D$882),AR$3&gt;=EOMONTH($X39,-1)+1,$Y39,TRUE,0)</f>
        <v>0</v>
      </c>
      <c r="AS39" s="202" cm="1">
        <f t="array" ref="AS39">_xlfn.IFS(AS$3&lt;$B$2,SUMPRODUCT(('PA Fees Actual'!$B$5:$B$882=$E39)*('PA Fees Actual'!$A$5:$A$882&gt;=AS$3)*('PA Fees Actual'!$A$5:$A$882&lt;=EOMONTH(AS$3,0))*'PA Fees Actual'!$D$5:$D$882),AS$3&gt;=EOMONTH($X39,-1)+1,$Y39,TRUE,0)</f>
        <v>0</v>
      </c>
      <c r="AT39" s="202" cm="1">
        <f t="array" ref="AT39">_xlfn.IFS(AT$3&lt;$B$2,SUMPRODUCT(('PA Fees Actual'!$B$5:$B$882=$E39)*('PA Fees Actual'!$A$5:$A$882&gt;=AT$3)*('PA Fees Actual'!$A$5:$A$882&lt;=EOMONTH(AT$3,0))*'PA Fees Actual'!$D$5:$D$882),AT$3&gt;=EOMONTH($X39,-1)+1,$Y39,TRUE,0)</f>
        <v>0</v>
      </c>
      <c r="AU39" s="202" cm="1">
        <f t="array" ref="AU39">_xlfn.IFS(AU$3&lt;$B$2,SUMPRODUCT(('PA Fees Actual'!$B$5:$B$882=$E39)*('PA Fees Actual'!$A$5:$A$882&gt;=AU$3)*('PA Fees Actual'!$A$5:$A$882&lt;=EOMONTH(AU$3,0))*'PA Fees Actual'!$D$5:$D$882),AU$3&gt;=EOMONTH($X39,-1)+1,$Y39,TRUE,0)</f>
        <v>0</v>
      </c>
      <c r="AV39" s="202" cm="1">
        <f t="array" ref="AV39">_xlfn.IFS(AV$3&lt;$B$2,SUMPRODUCT(('PA Fees Actual'!$B$5:$B$882=$E39)*('PA Fees Actual'!$A$5:$A$882&gt;=AV$3)*('PA Fees Actual'!$A$5:$A$882&lt;=EOMONTH(AV$3,0))*'PA Fees Actual'!$D$5:$D$882),AV$3&gt;=EOMONTH($X39,-1)+1,$Y39,TRUE,0)</f>
        <v>0</v>
      </c>
      <c r="AW39" s="202" cm="1">
        <f t="array" ref="AW39">_xlfn.IFS(AW$3&lt;$B$2,SUMPRODUCT(('PA Fees Actual'!$B$5:$B$882=$E39)*('PA Fees Actual'!$A$5:$A$882&gt;=AW$3)*('PA Fees Actual'!$A$5:$A$882&lt;=EOMONTH(AW$3,0))*'PA Fees Actual'!$D$5:$D$882),AW$3&gt;=EOMONTH($X39,-1)+1,$Y39,TRUE,0)</f>
        <v>0</v>
      </c>
      <c r="AX39" s="202" cm="1">
        <f t="array" ref="AX39">_xlfn.IFS(AX$3&lt;$B$2,SUMPRODUCT(('PA Fees Actual'!$B$5:$B$882=$E39)*('PA Fees Actual'!$A$5:$A$882&gt;=AX$3)*('PA Fees Actual'!$A$5:$A$882&lt;=EOMONTH(AX$3,0))*'PA Fees Actual'!$D$5:$D$882),AX$3&gt;=EOMONTH($X39,-1)+1,$Y39,TRUE,0)</f>
        <v>0</v>
      </c>
      <c r="AY39" s="202" cm="1">
        <f t="array" ref="AY39">_xlfn.IFS(AY$3&lt;$B$2,SUMPRODUCT(('PA Fees Actual'!$B$5:$B$882=$E39)*('PA Fees Actual'!$A$5:$A$882&gt;=AY$3)*('PA Fees Actual'!$A$5:$A$882&lt;=EOMONTH(AY$3,0))*'PA Fees Actual'!$D$5:$D$882),AY$3&gt;=EOMONTH($X39,-1)+1,$Y39,TRUE,0)</f>
        <v>0</v>
      </c>
      <c r="AZ39" s="202" cm="1">
        <f t="array" ref="AZ39">_xlfn.IFS(AZ$3&lt;$B$2,SUMPRODUCT(('PA Fees Actual'!$B$5:$B$882=$E39)*('PA Fees Actual'!$A$5:$A$882&gt;=AZ$3)*('PA Fees Actual'!$A$5:$A$882&lt;=EOMONTH(AZ$3,0))*'PA Fees Actual'!$D$5:$D$882),AZ$3&gt;=EOMONTH($X39,-1)+1,$Y39,TRUE,0)</f>
        <v>0</v>
      </c>
      <c r="BA39" s="202" cm="1">
        <f t="array" ref="BA39">_xlfn.IFS(BA$3&lt;$B$2,SUMPRODUCT(('PA Fees Actual'!$B$5:$B$882=$E39)*('PA Fees Actual'!$A$5:$A$882&gt;=BA$3)*('PA Fees Actual'!$A$5:$A$882&lt;=EOMONTH(BA$3,0))*'PA Fees Actual'!$D$5:$D$882),BA$3&gt;=EOMONTH($X39,-1)+1,$Y39,TRUE,0)</f>
        <v>0</v>
      </c>
      <c r="BB39" s="202" cm="1">
        <f t="array" ref="BB39">_xlfn.IFS(BB$3&lt;$B$2,SUMPRODUCT(('PA Fees Actual'!$B$5:$B$882=$E39)*('PA Fees Actual'!$A$5:$A$882&gt;=BB$3)*('PA Fees Actual'!$A$5:$A$882&lt;=EOMONTH(BB$3,0))*'PA Fees Actual'!$D$5:$D$882),BB$3&gt;=EOMONTH($X39,-1)+1,$Y39,TRUE,0)</f>
        <v>0</v>
      </c>
      <c r="BC39" s="202" cm="1">
        <f t="array" ref="BC39">_xlfn.IFS(BC$3&lt;$B$2,SUMPRODUCT(('PA Fees Actual'!$B$5:$B$882=$E39)*('PA Fees Actual'!$A$5:$A$882&gt;=BC$3)*('PA Fees Actual'!$A$5:$A$882&lt;=EOMONTH(BC$3,0))*'PA Fees Actual'!$D$5:$D$882),BC$3&gt;=EOMONTH($X39,-1)+1,$Y39,TRUE,0)</f>
        <v>0</v>
      </c>
      <c r="BD39" s="202" cm="1">
        <f t="array" ref="BD39">_xlfn.IFS(BD$3&lt;$B$2,SUMPRODUCT(('PA Fees Actual'!$B$5:$B$882=$E39)*('PA Fees Actual'!$A$5:$A$882&gt;=BD$3)*('PA Fees Actual'!$A$5:$A$882&lt;=EOMONTH(BD$3,0))*'PA Fees Actual'!$D$5:$D$882),BD$3&gt;=EOMONTH($X39,-1)+1,$Y39,TRUE,0)</f>
        <v>0</v>
      </c>
      <c r="BE39" s="202" cm="1">
        <f t="array" ref="BE39">_xlfn.IFS(BE$3&lt;$B$2,SUMPRODUCT(('PA Fees Actual'!$B$5:$B$882=$E39)*('PA Fees Actual'!$A$5:$A$882&gt;=BE$3)*('PA Fees Actual'!$A$5:$A$882&lt;=EOMONTH(BE$3,0))*'PA Fees Actual'!$D$5:$D$882),BE$3&gt;=EOMONTH($X39,-1)+1,$Y39,TRUE,0)</f>
        <v>0</v>
      </c>
      <c r="BF39" s="202" cm="1">
        <f t="array" ref="BF39">_xlfn.IFS(BF$3&lt;$B$2,SUMPRODUCT(('PA Fees Actual'!$B$5:$B$882=$E39)*('PA Fees Actual'!$A$5:$A$882&gt;=BF$3)*('PA Fees Actual'!$A$5:$A$882&lt;=EOMONTH(BF$3,0))*'PA Fees Actual'!$D$5:$D$882),BF$3&gt;=EOMONTH($X39,-1)+1,$Y39,TRUE,0)</f>
        <v>0</v>
      </c>
      <c r="BG39" s="202" cm="1">
        <f t="array" ref="BG39">_xlfn.IFS(BG$3&lt;$B$2,SUMPRODUCT(('PA Fees Actual'!$B$5:$B$882=$E39)*('PA Fees Actual'!$A$5:$A$882&gt;=BG$3)*('PA Fees Actual'!$A$5:$A$882&lt;=EOMONTH(BG$3,0))*'PA Fees Actual'!$D$5:$D$882),BG$3&gt;=EOMONTH($X39,-1)+1,$Y39,TRUE,0)</f>
        <v>0</v>
      </c>
      <c r="BH39" s="202" cm="1">
        <f t="array" ref="BH39">_xlfn.IFS(BH$3&lt;$B$2,SUMPRODUCT(('PA Fees Actual'!$B$5:$B$882=$E39)*('PA Fees Actual'!$A$5:$A$882&gt;=BH$3)*('PA Fees Actual'!$A$5:$A$882&lt;=EOMONTH(BH$3,0))*'PA Fees Actual'!$D$5:$D$882),BH$3&gt;=EOMONTH($X39,-1)+1,$Y39,TRUE,0)</f>
        <v>0</v>
      </c>
      <c r="BI39" s="202" cm="1">
        <f t="array" ref="BI39">_xlfn.IFS(BI$3&lt;$B$2,SUMPRODUCT(('PA Fees Actual'!$B$5:$B$882=$E39)*('PA Fees Actual'!$A$5:$A$882&gt;=BI$3)*('PA Fees Actual'!$A$5:$A$882&lt;=EOMONTH(BI$3,0))*'PA Fees Actual'!$D$5:$D$882),BI$3&gt;=EOMONTH($X39,-1)+1,$Y39,TRUE,0)</f>
        <v>0</v>
      </c>
      <c r="BJ39" s="202" cm="1">
        <f t="array" ref="BJ39">_xlfn.IFS(BJ$3&lt;$B$2,SUMPRODUCT(('PA Fees Actual'!$B$5:$B$882=$E39)*('PA Fees Actual'!$A$5:$A$882&gt;=BJ$3)*('PA Fees Actual'!$A$5:$A$882&lt;=EOMONTH(BJ$3,0))*'PA Fees Actual'!$D$5:$D$882),BJ$3&gt;=EOMONTH($X39,-1)+1,$Y39,TRUE,0)</f>
        <v>0</v>
      </c>
      <c r="BK39" s="202" cm="1">
        <f t="array" ref="BK39">_xlfn.IFS(BK$3&lt;$B$2,SUMPRODUCT(('PA Fees Actual'!$B$5:$B$882=$E39)*('PA Fees Actual'!$A$5:$A$882&gt;=BK$3)*('PA Fees Actual'!$A$5:$A$882&lt;=EOMONTH(BK$3,0))*'PA Fees Actual'!$D$5:$D$882),BK$3&gt;=EOMONTH($X39,-1)+1,$Y39,TRUE,0)</f>
        <v>0</v>
      </c>
      <c r="BL39" s="202" cm="1">
        <f t="array" ref="BL39">_xlfn.IFS(BL$3&lt;$B$2,SUMPRODUCT(('PA Fees Actual'!$B$5:$B$882=$E39)*('PA Fees Actual'!$A$5:$A$882&gt;=BL$3)*('PA Fees Actual'!$A$5:$A$882&lt;=EOMONTH(BL$3,0))*'PA Fees Actual'!$D$5:$D$882),BL$3&gt;=EOMONTH($X39,-1)+1,$Y39,TRUE,0)</f>
        <v>0</v>
      </c>
      <c r="BM39" s="202" cm="1">
        <f t="array" ref="BM39">_xlfn.IFS(BM$3&lt;$B$2,SUMPRODUCT(('PA Fees Actual'!$B$5:$B$882=$E39)*('PA Fees Actual'!$A$5:$A$882&gt;=BM$3)*('PA Fees Actual'!$A$5:$A$882&lt;=EOMONTH(BM$3,0))*'PA Fees Actual'!$D$5:$D$882),BM$3&gt;=EOMONTH($X39,-1)+1,$Y39,TRUE,0)</f>
        <v>0</v>
      </c>
      <c r="BN39" s="202" cm="1">
        <f t="array" ref="BN39">_xlfn.IFS(BN$3&lt;$B$2,SUMPRODUCT(('PA Fees Actual'!$B$5:$B$882=$E39)*('PA Fees Actual'!$A$5:$A$882&gt;=BN$3)*('PA Fees Actual'!$A$5:$A$882&lt;=EOMONTH(BN$3,0))*'PA Fees Actual'!$D$5:$D$882),BN$3&gt;=EOMONTH($X39,-1)+1,$Y39,TRUE,0)</f>
        <v>0</v>
      </c>
      <c r="BO39" s="202" cm="1">
        <f t="array" ref="BO39">_xlfn.IFS(BO$3&lt;$B$2,SUMPRODUCT(('PA Fees Actual'!$B$5:$B$882=$E39)*('PA Fees Actual'!$A$5:$A$882&gt;=BO$3)*('PA Fees Actual'!$A$5:$A$882&lt;=EOMONTH(BO$3,0))*'PA Fees Actual'!$D$5:$D$882),BO$3&gt;=EOMONTH($X39,-1)+1,$Y39,TRUE,0)</f>
        <v>0</v>
      </c>
      <c r="BP39" s="202" cm="1">
        <f t="array" ref="BP39">_xlfn.IFS(BP$3&lt;$B$2,SUMPRODUCT(('PA Fees Actual'!$B$5:$B$882=$E39)*('PA Fees Actual'!$A$5:$A$882&gt;=BP$3)*('PA Fees Actual'!$A$5:$A$882&lt;=EOMONTH(BP$3,0))*'PA Fees Actual'!$D$5:$D$882),BP$3&gt;=EOMONTH($X39,-1)+1,$Y39,TRUE,0)</f>
        <v>0</v>
      </c>
      <c r="BQ39" s="202" cm="1">
        <f t="array" ref="BQ39">_xlfn.IFS(BQ$3&lt;$B$2,SUMPRODUCT(('PA Fees Actual'!$B$5:$B$882=$E39)*('PA Fees Actual'!$A$5:$A$882&gt;=BQ$3)*('PA Fees Actual'!$A$5:$A$882&lt;=EOMONTH(BQ$3,0))*'PA Fees Actual'!$D$5:$D$882),BQ$3&gt;=EOMONTH($X39,-1)+1,$Y39,TRUE,0)</f>
        <v>0</v>
      </c>
      <c r="BR39" s="202" cm="1">
        <f t="array" ref="BR39">_xlfn.IFS(BR$3&lt;$B$2,SUMPRODUCT(('PA Fees Actual'!$B$5:$B$882=$E39)*('PA Fees Actual'!$A$5:$A$882&gt;=BR$3)*('PA Fees Actual'!$A$5:$A$882&lt;=EOMONTH(BR$3,0))*'PA Fees Actual'!$D$5:$D$882),BR$3&gt;=EOMONTH($X39,-1)+1,$Y39,TRUE,0)</f>
        <v>0</v>
      </c>
      <c r="BS39" s="202" cm="1">
        <f t="array" ref="BS39">_xlfn.IFS(BS$3&lt;$B$2,SUMPRODUCT(('PA Fees Actual'!$B$5:$B$882=$E39)*('PA Fees Actual'!$A$5:$A$882&gt;=BS$3)*('PA Fees Actual'!$A$5:$A$882&lt;=EOMONTH(BS$3,0))*'PA Fees Actual'!$D$5:$D$882),BS$3&gt;=EOMONTH($X39,-1)+1,$Y39,TRUE,0)</f>
        <v>0</v>
      </c>
      <c r="BT39" s="202" cm="1">
        <f t="array" ref="BT39">_xlfn.IFS(BT$3&lt;$B$2,SUMPRODUCT(('PA Fees Actual'!$B$5:$B$882=$E39)*('PA Fees Actual'!$A$5:$A$882&gt;=BT$3)*('PA Fees Actual'!$A$5:$A$882&lt;=EOMONTH(BT$3,0))*'PA Fees Actual'!$D$5:$D$882),BT$3&gt;=EOMONTH($X39,-1)+1,$Y39,TRUE,0)</f>
        <v>0</v>
      </c>
      <c r="BU39" s="202" cm="1">
        <f t="array" ref="BU39">_xlfn.IFS(BU$3&lt;$B$2,SUMPRODUCT(('PA Fees Actual'!$B$5:$B$882=$E39)*('PA Fees Actual'!$A$5:$A$882&gt;=BU$3)*('PA Fees Actual'!$A$5:$A$882&lt;=EOMONTH(BU$3,0))*'PA Fees Actual'!$D$5:$D$882),BU$3&gt;=EOMONTH($X39,-1)+1,$Y39,TRUE,0)</f>
        <v>0</v>
      </c>
      <c r="BV39" s="202" cm="1">
        <f t="array" ref="BV39">_xlfn.IFS(BV$3&lt;$B$2,SUMPRODUCT(('PA Fees Actual'!$B$5:$B$882=$E39)*('PA Fees Actual'!$A$5:$A$882&gt;=BV$3)*('PA Fees Actual'!$A$5:$A$882&lt;=EOMONTH(BV$3,0))*'PA Fees Actual'!$D$5:$D$882),BV$3&gt;=EOMONTH($X39,-1)+1,$Y39,TRUE,0)</f>
        <v>0</v>
      </c>
      <c r="BW39" s="202" cm="1">
        <f t="array" ref="BW39">_xlfn.IFS(BW$3&lt;$B$2,SUMPRODUCT(('PA Fees Actual'!$B$5:$B$882=$E39)*('PA Fees Actual'!$A$5:$A$882&gt;=BW$3)*('PA Fees Actual'!$A$5:$A$882&lt;=EOMONTH(BW$3,0))*'PA Fees Actual'!$D$5:$D$882),BW$3&gt;=EOMONTH($X39,-1)+1,$Y39,TRUE,0)</f>
        <v>0</v>
      </c>
      <c r="BX39" s="202" cm="1">
        <f t="array" ref="BX39">_xlfn.IFS(BX$3&lt;$B$2,SUMPRODUCT(('PA Fees Actual'!$B$5:$B$882=$E39)*('PA Fees Actual'!$A$5:$A$882&gt;=BX$3)*('PA Fees Actual'!$A$5:$A$882&lt;=EOMONTH(BX$3,0))*'PA Fees Actual'!$D$5:$D$882),BX$3&gt;=EOMONTH($X39,-1)+1,$Y39,TRUE,0)</f>
        <v>0</v>
      </c>
      <c r="BY39" s="202" cm="1">
        <f t="array" ref="BY39">_xlfn.IFS(BY$3&lt;$B$2,SUMPRODUCT(('PA Fees Actual'!$B$5:$B$882=$E39)*('PA Fees Actual'!$A$5:$A$882&gt;=BY$3)*('PA Fees Actual'!$A$5:$A$882&lt;=EOMONTH(BY$3,0))*'PA Fees Actual'!$D$5:$D$882),BY$3&gt;=EOMONTH($X39,-1)+1,$Y39,TRUE,0)</f>
        <v>0</v>
      </c>
      <c r="BZ39" s="202" cm="1">
        <f t="array" ref="BZ39">_xlfn.IFS(BZ$3&lt;$B$2,SUMPRODUCT(('PA Fees Actual'!$B$5:$B$882=$E39)*('PA Fees Actual'!$A$5:$A$882&gt;=BZ$3)*('PA Fees Actual'!$A$5:$A$882&lt;=EOMONTH(BZ$3,0))*'PA Fees Actual'!$D$5:$D$882),BZ$3&gt;=EOMONTH($X39,-1)+1,$Y39,TRUE,0)</f>
        <v>0</v>
      </c>
      <c r="CA39" s="202" cm="1">
        <f t="array" ref="CA39">_xlfn.IFS(CA$3&lt;$B$2,SUMPRODUCT(('PA Fees Actual'!$B$5:$B$882=$E39)*('PA Fees Actual'!$A$5:$A$882&gt;=CA$3)*('PA Fees Actual'!$A$5:$A$882&lt;=EOMONTH(CA$3,0))*'PA Fees Actual'!$D$5:$D$882),CA$3&gt;=EOMONTH($X39,-1)+1,$Y39,TRUE,0)</f>
        <v>0</v>
      </c>
      <c r="CB39" s="202" cm="1">
        <f t="array" ref="CB39">_xlfn.IFS(CB$3&lt;$B$2,SUMPRODUCT(('PA Fees Actual'!$B$5:$B$749=$E39)*('PA Fees Actual'!$A$5:$A$749&gt;=CB$3)*('PA Fees Actual'!$A$5:$A$749&lt;=EOMONTH(CB$3,0))*'PA Fees Actual'!$D$5:$D$749),CB$3&gt;=EOMONTH($X39,-1)+1,$Y39,TRUE,0)</f>
        <v>0</v>
      </c>
      <c r="CC39" s="202" cm="1">
        <f t="array" ref="CC39">_xlfn.IFS(CC$3&lt;$B$2,SUMPRODUCT(('PA Fees Actual'!$B$5:$B$749=$E39)*('PA Fees Actual'!$A$5:$A$749&gt;=CC$3)*('PA Fees Actual'!$A$5:$A$749&lt;=EOMONTH(CC$3,0))*'PA Fees Actual'!$D$5:$D$749),CC$3&gt;=EOMONTH($X39,-1)+1,$Y39,TRUE,0)</f>
        <v>0</v>
      </c>
      <c r="CD39" s="202" cm="1">
        <f t="array" ref="CD39">_xlfn.IFS(CD$3&lt;$B$2,SUMPRODUCT(('PA Fees Actual'!$B$5:$B$749=$E39)*('PA Fees Actual'!$A$5:$A$749&gt;=CD$3)*('PA Fees Actual'!$A$5:$A$749&lt;=EOMONTH(CD$3,0))*'PA Fees Actual'!$D$5:$D$749),CD$3&gt;=EOMONTH($X39,-1)+1,$Y39,TRUE,0)</f>
        <v>0</v>
      </c>
      <c r="CE39" s="202" cm="1">
        <f t="array" ref="CE39">_xlfn.IFS(CE$3&lt;$B$2,SUMPRODUCT(('PA Fees Actual'!$B$5:$B$749=$E39)*('PA Fees Actual'!$A$5:$A$749&gt;=CE$3)*('PA Fees Actual'!$A$5:$A$749&lt;=EOMONTH(CE$3,0))*'PA Fees Actual'!$D$5:$D$749),CE$3&gt;=EOMONTH($X39,-1)+1,$Y39,TRUE,0)</f>
        <v>0</v>
      </c>
      <c r="CF39" s="202" cm="1">
        <f t="array" ref="CF39">_xlfn.IFS(CF$3&lt;$B$2,SUMPRODUCT(('PA Fees Actual'!$B$5:$B$749=$E39)*('PA Fees Actual'!$A$5:$A$749&gt;=CF$3)*('PA Fees Actual'!$A$5:$A$749&lt;=EOMONTH(CF$3,0))*'PA Fees Actual'!$D$5:$D$749),CF$3&gt;=EOMONTH($X39,-1)+1,$Y39,TRUE,0)</f>
        <v>1127.0999999999999</v>
      </c>
      <c r="CG39" s="202" cm="1">
        <f t="array" ref="CG39">_xlfn.IFS(CG$3&lt;$B$2,SUMPRODUCT(('PA Fees Actual'!$B$5:$B$749=$E39)*('PA Fees Actual'!$A$5:$A$749&gt;=CG$3)*('PA Fees Actual'!$A$5:$A$749&lt;=EOMONTH(CG$3,0))*'PA Fees Actual'!$D$5:$D$749),CG$3&gt;=EOMONTH($X39,-1)+1,$Y39,TRUE,0)</f>
        <v>1127.0999999999999</v>
      </c>
      <c r="CI39" s="202" cm="1">
        <f t="array" ref="CI39">_xlfn.IFS(CI$3&lt;=YEAR($B$2),SUMPRODUCT(($E$4:$E$79=$E39)*($Z$2:$CG$2=CI$3)*($Z$2:$CG$2&lt;CJ$3)*$Z$4:$CG$79),CI$3&lt;YEAR($X39),0,CI$3=YEAR($X39),DATEDIF($X39,DATE(CI$3,12,31),"m")*$Y39,AND(CI$3&gt;YEAR($X39),CI$3-YEAR($X39)&lt;20),$Y39*12,CI$3-YEAR($X39)=20,DATEDIF(DATE(YEAR($X39),1,1),$X39,"m")*$Y39,CI$3-YEAR($X39)&gt;20,0)</f>
        <v>0</v>
      </c>
      <c r="CJ39" s="202" cm="1">
        <f t="array" ref="CJ39">_xlfn.IFS(CJ$3&lt;=YEAR($B$2),SUMPRODUCT(($E$4:$E$79=$E39)*($Z$2:$CG$2=CJ$3)*($Z$2:$CG$2&lt;CK$3)*$Z$4:$CG$79),CJ$3&lt;YEAR($X39),0,CJ$3=YEAR($X39),DATEDIF($X39,DATE(CJ$3,12,31),"m")*$Y39,AND(CJ$3&gt;YEAR($X39),CJ$3-YEAR($X39)&lt;20),$Y39*12,CJ$3-YEAR($X39)=20,DATEDIF(DATE(YEAR($X39),1,1),$X39,"m")*$Y39,CJ$3-YEAR($X39)&gt;20,0)</f>
        <v>0</v>
      </c>
      <c r="CK39" s="202" cm="1">
        <f t="array" ref="CK39">_xlfn.IFS(CK$3&lt;=YEAR($B$2),SUMPRODUCT(($E$4:$E$79=$E39)*($Z$2:$CG$2=CK$3)*($Z$2:$CG$2&lt;CL$3)*$Z$4:$CG$79),CK$3&lt;YEAR($X39),0,CK$3=YEAR($X39),DATEDIF($X39,DATE(CK$3,12,31),"m")*$Y39,AND(CK$3&gt;YEAR($X39),CK$3-YEAR($X39)&lt;20),$Y39*12,CK$3-YEAR($X39)=20,DATEDIF(DATE(YEAR($X39),1,1),$X39,"m")*$Y39,CK$3-YEAR($X39)&gt;20,0)</f>
        <v>0</v>
      </c>
      <c r="CL39" s="202" cm="1">
        <f t="array" ref="CL39">_xlfn.IFS(CL$3&lt;=YEAR($B$2),SUMPRODUCT(($E$4:$E$79=$E39)*($Z$2:$CG$2=CL$3)*($Z$2:$CG$2&lt;CM$3)*$Z$4:$CG$79),CL$3&lt;YEAR($X39),0,CL$3=YEAR($X39),DATEDIF($X39,DATE(CL$3,12,31),"m")*$Y39,AND(CL$3&gt;YEAR($X39),CL$3-YEAR($X39)&lt;20),$Y39*12,CL$3-YEAR($X39)=20,DATEDIF(DATE(YEAR($X39),1,1),$X39,"m")*$Y39,CL$3-YEAR($X39)&gt;20,0)</f>
        <v>0</v>
      </c>
      <c r="CM39" s="202" cm="1">
        <f t="array" ref="CM39">_xlfn.IFS(CM$3&lt;=YEAR($B$2),SUMPRODUCT(($E$4:$E$79=$E39)*($Z$2:$CG$2=CM$3)*($Z$2:$CG$2&lt;CN$3)*$Z$4:$CG$79),CM$3&lt;YEAR($X39),0,CM$3=YEAR($X39),DATEDIF($X39,DATE(CM$3,12,31),"m")*$Y39,AND(CM$3&gt;YEAR($X39),CM$3-YEAR($X39)&lt;20),$Y39*12,CM$3-YEAR($X39)=20,DATEDIF(DATE(YEAR($X39),1,1),$X39,"m")*$Y39,CM$3-YEAR($X39)&gt;20,0)</f>
        <v>2254.1999999999998</v>
      </c>
      <c r="CN39" s="202" cm="1">
        <f t="array" ref="CN39">_xlfn.IFS(CN$3&lt;=YEAR($B$2),SUMPRODUCT(($E$4:$E$79=$E39)*($Z$2:$CG$2=CN$3)*($Z$2:$CG$2&lt;CO$3)*$Z$4:$CG$79),CN$3&lt;YEAR($X39),0,CN$3=YEAR($X39),DATEDIF($X39,DATE(CN$3,12,31),"m")*$Y39,AND(CN$3&gt;YEAR($X39),CN$3-YEAR($X39)&lt;20),$Y39*12,CN$3-YEAR($X39)=20,DATEDIF(DATE(YEAR($X39),1,1),$X39,"m")*$Y39,CN$3-YEAR($X39)&gt;20,0)</f>
        <v>13525.199999999999</v>
      </c>
      <c r="CO39" s="202" cm="1">
        <f t="array" ref="CO39">_xlfn.IFS(CO$3&lt;=YEAR($B$2),SUMPRODUCT(($E$4:$E$79=$E39)*($Z$2:$CG$2=CO$3)*($Z$2:$CG$2&lt;CP$3)*$Z$4:$CG$79),CO$3&lt;YEAR($X39),0,CO$3=YEAR($X39),DATEDIF($X39,DATE(CO$3,12,31),"m")*$Y39,AND(CO$3&gt;YEAR($X39),CO$3-YEAR($X39)&lt;20),$Y39*12,CO$3-YEAR($X39)=20,DATEDIF(DATE(YEAR($X39),1,1),$X39,"m")*$Y39,CO$3-YEAR($X39)&gt;20,0)</f>
        <v>13525.199999999999</v>
      </c>
      <c r="CP39" s="202" cm="1">
        <f t="array" ref="CP39">_xlfn.IFS(CP$3&lt;=YEAR($B$2),SUMPRODUCT(($E$4:$E$79=$E39)*($Z$2:$CG$2=CP$3)*($Z$2:$CG$2&lt;CQ$3)*$Z$4:$CG$79),CP$3&lt;YEAR($X39),0,CP$3=YEAR($X39),DATEDIF($X39,DATE(CP$3,12,31),"m")*$Y39,AND(CP$3&gt;YEAR($X39),CP$3-YEAR($X39)&lt;20),$Y39*12,CP$3-YEAR($X39)=20,DATEDIF(DATE(YEAR($X39),1,1),$X39,"m")*$Y39,CP$3-YEAR($X39)&gt;20,0)</f>
        <v>13525.199999999999</v>
      </c>
      <c r="CQ39" s="202" cm="1">
        <f t="array" ref="CQ39">_xlfn.IFS(CQ$3&lt;=YEAR($B$2),SUMPRODUCT(($E$4:$E$79=$E39)*($Z$2:$CG$2=CQ$3)*($Z$2:$CG$2&lt;CR$3)*$Z$4:$CG$79),CQ$3&lt;YEAR($X39),0,CQ$3=YEAR($X39),DATEDIF($X39,DATE(CQ$3,12,31),"m")*$Y39,AND(CQ$3&gt;YEAR($X39),CQ$3-YEAR($X39)&lt;20),$Y39*12,CQ$3-YEAR($X39)=20,DATEDIF(DATE(YEAR($X39),1,1),$X39,"m")*$Y39,CQ$3-YEAR($X39)&gt;20,0)</f>
        <v>13525.199999999999</v>
      </c>
      <c r="CR39" s="202" cm="1">
        <f t="array" ref="CR39">_xlfn.IFS(CR$3&lt;=YEAR($B$2),SUMPRODUCT(($E$4:$E$79=$E39)*($Z$2:$CG$2=CR$3)*($Z$2:$CG$2&lt;CS$3)*$Z$4:$CG$79),CR$3&lt;YEAR($X39),0,CR$3=YEAR($X39),DATEDIF($X39,DATE(CR$3,12,31),"m")*$Y39,AND(CR$3&gt;YEAR($X39),CR$3-YEAR($X39)&lt;20),$Y39*12,CR$3-YEAR($X39)=20,DATEDIF(DATE(YEAR($X39),1,1),$X39,"m")*$Y39,CR$3-YEAR($X39)&gt;20,0)</f>
        <v>13525.199999999999</v>
      </c>
      <c r="CS39" s="202" cm="1">
        <f t="array" ref="CS39">_xlfn.IFS(CS$3&lt;=YEAR($B$2),SUMPRODUCT(($E$4:$E$79=$E39)*($Z$2:$CG$2=CS$3)*($Z$2:$CG$2&lt;CT$3)*$Z$4:$CG$79),CS$3&lt;YEAR($X39),0,CS$3=YEAR($X39),DATEDIF($X39,DATE(CS$3,12,31),"m")*$Y39,AND(CS$3&gt;YEAR($X39),CS$3-YEAR($X39)&lt;20),$Y39*12,CS$3-YEAR($X39)=20,DATEDIF(DATE(YEAR($X39),1,1),$X39,"m")*$Y39,CS$3-YEAR($X39)&gt;20,0)</f>
        <v>13525.199999999999</v>
      </c>
      <c r="CT39" s="202" cm="1">
        <f t="array" ref="CT39">_xlfn.IFS(CT$3&lt;=YEAR($B$2),SUMPRODUCT(($E$4:$E$79=$E39)*($Z$2:$CG$2=CT$3)*($Z$2:$CG$2&lt;CU$3)*$Z$4:$CG$79),CT$3&lt;YEAR($X39),0,CT$3=YEAR($X39),DATEDIF($X39,DATE(CT$3,12,31),"m")*$Y39,AND(CT$3&gt;YEAR($X39),CT$3-YEAR($X39)&lt;20),$Y39*12,CT$3-YEAR($X39)=20,DATEDIF(DATE(YEAR($X39),1,1),$X39,"m")*$Y39,CT$3-YEAR($X39)&gt;20,0)</f>
        <v>13525.199999999999</v>
      </c>
      <c r="CU39" s="202" cm="1">
        <f t="array" ref="CU39">_xlfn.IFS(CU$3&lt;=YEAR($B$2),SUMPRODUCT(($E$4:$E$79=$E39)*($Z$2:$CG$2=CU$3)*($Z$2:$CG$2&lt;CV$3)*$Z$4:$CG$79),CU$3&lt;YEAR($X39),0,CU$3=YEAR($X39),DATEDIF($X39,DATE(CU$3,12,31),"m")*$Y39,AND(CU$3&gt;YEAR($X39),CU$3-YEAR($X39)&lt;20),$Y39*12,CU$3-YEAR($X39)=20,DATEDIF(DATE(YEAR($X39),1,1),$X39,"m")*$Y39,CU$3-YEAR($X39)&gt;20,0)</f>
        <v>13525.199999999999</v>
      </c>
      <c r="CV39" s="202" cm="1">
        <f t="array" ref="CV39">_xlfn.IFS(CV$3&lt;=YEAR($B$2),SUMPRODUCT(($E$4:$E$79=$E39)*($Z$2:$CG$2=CV$3)*($Z$2:$CG$2&lt;CW$3)*$Z$4:$CG$79),CV$3&lt;YEAR($X39),0,CV$3=YEAR($X39),DATEDIF($X39,DATE(CV$3,12,31),"m")*$Y39,AND(CV$3&gt;YEAR($X39),CV$3-YEAR($X39)&lt;20),$Y39*12,CV$3-YEAR($X39)=20,DATEDIF(DATE(YEAR($X39),1,1),$X39,"m")*$Y39,CV$3-YEAR($X39)&gt;20,0)</f>
        <v>13525.199999999999</v>
      </c>
      <c r="CW39" s="202" cm="1">
        <f t="array" ref="CW39">_xlfn.IFS(CW$3&lt;=YEAR($B$2),SUMPRODUCT(($E$4:$E$79=$E39)*($Z$2:$CG$2=CW$3)*($Z$2:$CG$2&lt;CX$3)*$Z$4:$CG$79),CW$3&lt;YEAR($X39),0,CW$3=YEAR($X39),DATEDIF($X39,DATE(CW$3,12,31),"m")*$Y39,AND(CW$3&gt;YEAR($X39),CW$3-YEAR($X39)&lt;20),$Y39*12,CW$3-YEAR($X39)=20,DATEDIF(DATE(YEAR($X39),1,1),$X39,"m")*$Y39,CW$3-YEAR($X39)&gt;20,0)</f>
        <v>13525.199999999999</v>
      </c>
      <c r="CX39" s="202" cm="1">
        <f t="array" ref="CX39">_xlfn.IFS(CX$3&lt;=YEAR($B$2),SUMPRODUCT(($E$4:$E$79=$E39)*($Z$2:$CG$2=CX$3)*($Z$2:$CG$2&lt;CY$3)*$Z$4:$CG$79),CX$3&lt;YEAR($X39),0,CX$3=YEAR($X39),DATEDIF($X39,DATE(CX$3,12,31),"m")*$Y39,AND(CX$3&gt;YEAR($X39),CX$3-YEAR($X39)&lt;20),$Y39*12,CX$3-YEAR($X39)=20,DATEDIF(DATE(YEAR($X39),1,1),$X39,"m")*$Y39,CX$3-YEAR($X39)&gt;20,0)</f>
        <v>13525.199999999999</v>
      </c>
      <c r="CY39" s="202" cm="1">
        <f t="array" ref="CY39">_xlfn.IFS(CY$3&lt;=YEAR($B$2),SUMPRODUCT(($E$4:$E$79=$E39)*($Z$2:$CG$2=CY$3)*($Z$2:$CG$2&lt;CZ$3)*$Z$4:$CG$79),CY$3&lt;YEAR($X39),0,CY$3=YEAR($X39),DATEDIF($X39,DATE(CY$3,12,31),"m")*$Y39,AND(CY$3&gt;YEAR($X39),CY$3-YEAR($X39)&lt;20),$Y39*12,CY$3-YEAR($X39)=20,DATEDIF(DATE(YEAR($X39),1,1),$X39,"m")*$Y39,CY$3-YEAR($X39)&gt;20,0)</f>
        <v>13525.199999999999</v>
      </c>
      <c r="CZ39" s="202" cm="1">
        <f t="array" ref="CZ39">_xlfn.IFS(CZ$3&lt;=YEAR($B$2),SUMPRODUCT(($E$4:$E$79=$E39)*($Z$2:$CG$2=CZ$3)*($Z$2:$CG$2&lt;DA$3)*$Z$4:$CG$79),CZ$3&lt;YEAR($X39),0,CZ$3=YEAR($X39),DATEDIF($X39,DATE(CZ$3,12,31),"m")*$Y39,AND(CZ$3&gt;YEAR($X39),CZ$3-YEAR($X39)&lt;20),$Y39*12,CZ$3-YEAR($X39)=20,DATEDIF(DATE(YEAR($X39),1,1),$X39,"m")*$Y39,CZ$3-YEAR($X39)&gt;20,0)</f>
        <v>13525.199999999999</v>
      </c>
      <c r="DA39" s="202" cm="1">
        <f t="array" ref="DA39">_xlfn.IFS(DA$3&lt;=YEAR($B$2),SUMPRODUCT(($E$4:$E$79=$E39)*($Z$2:$CG$2=DA$3)*($Z$2:$CG$2&lt;DB$3)*$Z$4:$CG$79),DA$3&lt;YEAR($X39),0,DA$3=YEAR($X39),DATEDIF($X39,DATE(DA$3,12,31),"m")*$Y39,AND(DA$3&gt;YEAR($X39),DA$3-YEAR($X39)&lt;20),$Y39*12,DA$3-YEAR($X39)=20,DATEDIF(DATE(YEAR($X39),1,1),$X39,"m")*$Y39,DA$3-YEAR($X39)&gt;20,0)</f>
        <v>13525.199999999999</v>
      </c>
      <c r="DB39" s="202" cm="1">
        <f t="array" ref="DB39">_xlfn.IFS(DB$3&lt;=YEAR($B$2),SUMPRODUCT(($E$4:$E$79=$E39)*($Z$2:$CG$2=DB$3)*($Z$2:$CG$2&lt;DC$3)*$Z$4:$CG$79),DB$3&lt;YEAR($X39),0,DB$3=YEAR($X39),DATEDIF($X39,DATE(DB$3,12,31),"m")*$Y39,AND(DB$3&gt;YEAR($X39),DB$3-YEAR($X39)&lt;20),$Y39*12,DB$3-YEAR($X39)=20,DATEDIF(DATE(YEAR($X39),1,1),$X39,"m")*$Y39,DB$3-YEAR($X39)&gt;20,0)</f>
        <v>13525.199999999999</v>
      </c>
      <c r="DC39" s="202" cm="1">
        <f t="array" ref="DC39">_xlfn.IFS(DC$3&lt;=YEAR($B$2),SUMPRODUCT(($E$4:$E$79=$E39)*($Z$2:$CG$2=DC$3)*($Z$2:$CG$2&lt;DD$3)*$Z$4:$CG$79),DC$3&lt;YEAR($X39),0,DC$3=YEAR($X39),DATEDIF($X39,DATE(DC$3,12,31),"m")*$Y39,AND(DC$3&gt;YEAR($X39),DC$3-YEAR($X39)&lt;20),$Y39*12,DC$3-YEAR($X39)=20,DATEDIF(DATE(YEAR($X39),1,1),$X39,"m")*$Y39,DC$3-YEAR($X39)&gt;20,0)</f>
        <v>13525.199999999999</v>
      </c>
      <c r="DD39" s="202" cm="1">
        <f t="array" ref="DD39">_xlfn.IFS(DD$3&lt;=YEAR($B$2),SUMPRODUCT(($E$4:$E$79=$E39)*($Z$2:$CG$2=DD$3)*($Z$2:$CG$2&lt;DE$3)*$Z$4:$CG$79),DD$3&lt;YEAR($X39),0,DD$3=YEAR($X39),DATEDIF($X39,DATE(DD$3,12,31),"m")*$Y39,AND(DD$3&gt;YEAR($X39),DD$3-YEAR($X39)&lt;20),$Y39*12,DD$3-YEAR($X39)=20,DATEDIF(DATE(YEAR($X39),1,1),$X39,"m")*$Y39,DD$3-YEAR($X39)&gt;20,0)</f>
        <v>13525.199999999999</v>
      </c>
      <c r="DE39" s="202" cm="1">
        <f t="array" ref="DE39">_xlfn.IFS(DE$3&lt;=YEAR($B$2),SUMPRODUCT(($E$4:$E$79=$E39)*($Z$2:$CG$2=DE$3)*($Z$2:$CG$2&lt;DF$3)*$Z$4:$CG$79),DE$3&lt;YEAR($X39),0,DE$3=YEAR($X39),DATEDIF($X39,DATE(DE$3,12,31),"m")*$Y39,AND(DE$3&gt;YEAR($X39),DE$3-YEAR($X39)&lt;20),$Y39*12,DE$3-YEAR($X39)=20,DATEDIF(DATE(YEAR($X39),1,1),$X39,"m")*$Y39,DE$3-YEAR($X39)&gt;20,0)</f>
        <v>13525.199999999999</v>
      </c>
      <c r="DF39" s="202" cm="1">
        <f t="array" ref="DF39">_xlfn.IFS(DF$3&lt;=YEAR($B$2),SUMPRODUCT(($E$4:$E$79=$E39)*($Z$2:$CG$2=DF$3)*($Z$2:$CG$2&lt;DG$3)*$Z$4:$CG$79),DF$3&lt;YEAR($X39),0,DF$3=YEAR($X39),DATEDIF($X39,DATE(DF$3,12,31),"m")*$Y39,AND(DF$3&gt;YEAR($X39),DF$3-YEAR($X39)&lt;20),$Y39*12,DF$3-YEAR($X39)=20,DATEDIF(DATE(YEAR($X39),1,1),$X39,"m")*$Y39,DF$3-YEAR($X39)&gt;20,0)</f>
        <v>13525.199999999999</v>
      </c>
      <c r="DG39" s="202" cm="1">
        <f t="array" ref="DG39">_xlfn.IFS(DG$3&lt;=YEAR($B$2),SUMPRODUCT(($E$4:$E$79=$E39)*($Z$2:$CG$2=DG$3)*($Z$2:$CG$2&lt;DH$3)*$Z$4:$CG$79),DG$3&lt;YEAR($X39),0,DG$3=YEAR($X39),DATEDIF($X39,DATE(DG$3,12,31),"m")*$Y39,AND(DG$3&gt;YEAR($X39),DG$3-YEAR($X39)&lt;20),$Y39*12,DG$3-YEAR($X39)=20,DATEDIF(DATE(YEAR($X39),1,1),$X39,"m")*$Y39,DG$3-YEAR($X39)&gt;20,0)</f>
        <v>11271</v>
      </c>
      <c r="DH39" s="202" cm="1">
        <f t="array" ref="DH39">_xlfn.IFS(DH$3&lt;=YEAR($B$2),SUMPRODUCT(($E$4:$E$79=$E39)*($Z$2:$CG$2=DH$3)*($Z$2:$CG$2&lt;DI$3)*$Z$4:$CG$79),DH$3&lt;YEAR($X39),0,DH$3=YEAR($X39),DATEDIF($X39,DATE(DH$3,12,31),"m")*$Y39,AND(DH$3&gt;YEAR($X39),DH$3-YEAR($X39)&lt;20),$Y39*12,DH$3-YEAR($X39)=20,DATEDIF(DATE(YEAR($X39),1,1),$X39,"m")*$Y39,DH$3-YEAR($X39)&gt;20,0)</f>
        <v>0</v>
      </c>
      <c r="DI39" s="202" cm="1">
        <f t="array" ref="DI39">_xlfn.IFS(DI$3&lt;=YEAR($B$2),SUMPRODUCT(($E$4:$E$79=$E39)*($Z$2:$CG$2=DI$3)*($Z$2:$CG$2&lt;DJ$3)*$Z$4:$CG$79),DI$3&lt;YEAR($X39),0,DI$3=YEAR($X39),DATEDIF($X39,DATE(DI$3,12,31),"m")*$Y39,AND(DI$3&gt;YEAR($X39),DI$3-YEAR($X39)&lt;20),$Y39*12,DI$3-YEAR($X39)=20,DATEDIF(DATE(YEAR($X39),1,1),$X39,"m")*$Y39,DI$3-YEAR($X39)&gt;20,0)</f>
        <v>0</v>
      </c>
      <c r="DJ39" s="202" cm="1">
        <f t="array" ref="DJ39">_xlfn.IFS(DJ$3&lt;=YEAR($B$2),SUMPRODUCT(($E$4:$E$79=$E39)*($Z$2:$CG$2=DJ$3)*($Z$2:$CG$2&lt;DK$3)*$Z$4:$CG$79),DJ$3&lt;YEAR($X39),0,DJ$3=YEAR($X39),DATEDIF($X39,DATE(DJ$3,12,31),"m")*$Y39,AND(DJ$3&gt;YEAR($X39),DJ$3-YEAR($X39)&lt;20),$Y39*12,DJ$3-YEAR($X39)=20,DATEDIF(DATE(YEAR($X39),1,1),$X39,"m")*$Y39,DJ$3-YEAR($X39)&gt;20,0)</f>
        <v>0</v>
      </c>
      <c r="DK39" s="202" cm="1">
        <f t="array" ref="DK39">_xlfn.IFS(DK$3&lt;=YEAR($B$2),SUMPRODUCT(($E$4:$E$79=$E39)*($Z$2:$CG$2=DK$3)*($Z$2:$CG$2&lt;DL$3)*$Z$4:$CG$79),DK$3&lt;YEAR($X39),0,DK$3=YEAR($X39),DATEDIF($X39,DATE(DK$3,12,31),"m")*$Y39,AND(DK$3&gt;YEAR($X39),DK$3-YEAR($X39)&lt;20),$Y39*12,DK$3-YEAR($X39)=20,DATEDIF(DATE(YEAR($X39),1,1),$X39,"m")*$Y39,DK$3-YEAR($X39)&gt;20,0)</f>
        <v>0</v>
      </c>
      <c r="DL39" s="202" cm="1">
        <f t="array" ref="DL39">_xlfn.IFS(DL$3&lt;=YEAR($B$2),SUMPRODUCT(($E$4:$E$79=$E39)*($Z$2:$CG$2=DL$3)*($Z$2:$CG$2&lt;DM$3)*$Z$4:$CG$79),DL$3&lt;YEAR($X39),0,DL$3=YEAR($X39),DATEDIF($X39,DATE(DL$3,12,31),"m")*$Y39,AND(DL$3&gt;YEAR($X39),DL$3-YEAR($X39)&lt;20),$Y39*12,DL$3-YEAR($X39)=20,DATEDIF(DATE(YEAR($X39),1,1),$X39,"m")*$Y39,DL$3-YEAR($X39)&gt;20,0)</f>
        <v>0</v>
      </c>
      <c r="DO39" s="166">
        <f t="shared" si="26"/>
        <v>2048</v>
      </c>
      <c r="DP39" s="158">
        <v>0</v>
      </c>
      <c r="DQ39" s="158">
        <v>0</v>
      </c>
      <c r="DR39" s="158">
        <v>0</v>
      </c>
      <c r="DS39" s="158">
        <f t="shared" si="27"/>
        <v>0</v>
      </c>
    </row>
    <row r="40" spans="1:123">
      <c r="A40" s="155" t="str" cm="1">
        <f t="array" ref="A40">INDEX('Monthly Report July 2025'!C:C,MATCH(E40,'Monthly Report July 2025'!E:E,0),0)</f>
        <v>SPQ0157</v>
      </c>
      <c r="B40" s="155" t="str" cm="1">
        <f t="array" ref="B40">_xlfn.IFS(LEFT(E40,3)="PGE","PGE",LEFT(E40,2)="PP","PAC",TRUE,"IP")</f>
        <v>PGE</v>
      </c>
      <c r="C40" s="155" t="str">
        <f>IF(ISNA(MATCH(E40,'Monthly Report July 2025'!E:E,0)),"Missing","Present")</f>
        <v>Present</v>
      </c>
      <c r="D40" s="155" t="str">
        <f>IF(ISNA(MATCH(E40,'Project Operational Timelines'!C:C,0))=TRUE,"Missing","Present")</f>
        <v>Present</v>
      </c>
      <c r="E40" s="155" t="s">
        <v>148</v>
      </c>
      <c r="F40" s="155" t="str" cm="1">
        <f t="array" ref="F40">INDEX('Monthly Report July 2025'!F:F,MATCH(E40,'Monthly Report July 2025'!E:E,),0)</f>
        <v>Gun Club Solar LLC</v>
      </c>
      <c r="G40" s="155" t="str" cm="1">
        <f t="array" ref="G40">_xlfn.IFS(INDEX('Monthly Report July 2025'!O:O,MATCH(E40,'Monthly Report July 2025'!E:E,0),0)="Operational","Operational",INDEX('Monthly Report July 2025'!O:O,MATCH(E40,'Monthly Report July 2025'!E:E,0),0)="Certified","Certified",TRUE,"Pre-Certified")</f>
        <v>Operational</v>
      </c>
      <c r="H40" s="155" t="str" cm="1">
        <f t="array" ref="H40">INDEX('Monthly Report July 2025'!H:H,MATCH($E40,'Monthly Report July 2025'!$E:$E,0),0)</f>
        <v>Conifer Energy Partners</v>
      </c>
      <c r="I40" s="155" t="str" cm="1">
        <f t="array" ref="I40">INDEX('Monthly Report July 2025'!I:I,MATCH($E40,'Monthly Report July 2025'!$E:$E,0),0)</f>
        <v>Luminace</v>
      </c>
      <c r="J40" s="174" cm="1">
        <f t="array" ref="J40">INDEX('Monthly Report July 2025'!J:J,MATCH($E40,'Monthly Report July 2025'!$E:$E,0),0)</f>
        <v>2</v>
      </c>
      <c r="K40" s="174" t="str" cm="1">
        <f t="array" ref="K40">INDEX('Monthly Report July 2025'!K:K,MATCH($E40,'Monthly Report July 2025'!$E:$E,0),0)</f>
        <v>No</v>
      </c>
      <c r="L40" s="174" t="b" cm="1">
        <f t="array" ref="L40">INDEX('Monthly Report July 2025'!L:L,MATCH(E40,'Monthly Report July 2025'!E:E,0),0)=M40</f>
        <v>1</v>
      </c>
      <c r="M40" s="273" cm="1">
        <f t="array" ref="M40">INDEX('Monthly Report July 2025'!L:L,MATCH($E40,'Monthly Report July 2025'!$E:$E,0),0)</f>
        <v>2500</v>
      </c>
      <c r="N40" s="175" cm="1">
        <f t="array" ref="N40">INDEX('Monthly Report July 2025'!M:M,MATCH($E40,'Monthly Report July 2025'!$E:$E,0),0)</f>
        <v>44666</v>
      </c>
      <c r="O40" s="175" t="str" cm="1">
        <f t="array" ref="O40">_xlfn.IFS(G40="Operational","Operational",G40="Certified","Certified",TRUE,INDEX('Monthly Report July 2025'!O:O,MATCH(E40,'Monthly Report July 2025'!E:E,0),0))</f>
        <v>Operational</v>
      </c>
      <c r="P40" s="175" t="b" cm="1">
        <f t="array" ref="P40">_xlfn.IFS(G40="Operational",O40="Operational",G40="Certified",O40="Certified",TRUE,G40="Pre-Certified")</f>
        <v>1</v>
      </c>
      <c r="Q40" s="175" cm="1">
        <f t="array" ref="Q40">IF(O40="Operational",INDEX('Monthly Report July 2025'!R:R,MATCH(E40,'Monthly Report July 2025'!E:E,0),0),"")</f>
        <v>45642</v>
      </c>
      <c r="R40" s="175" cm="1">
        <f t="array" ref="R40">INDEX('Monthly Report July 2025'!P:P,MATCH(E40,'Monthly Report July 2025'!E:E,0),0)</f>
        <v>45637</v>
      </c>
      <c r="S40" s="175" t="b">
        <f t="shared" si="28"/>
        <v>1</v>
      </c>
      <c r="T40" s="175" cm="1">
        <f t="array" ref="T40">INDEX('Monthly Report July 2025'!U:U,MATCH(E40,'Monthly Report July 2025'!E:E,0),0)</f>
        <v>45596</v>
      </c>
      <c r="U40" s="175" t="str">
        <f t="shared" si="6"/>
        <v>IGNORE</v>
      </c>
      <c r="V40" s="156">
        <f t="shared" si="29"/>
        <v>45637</v>
      </c>
      <c r="W40" s="156" cm="1">
        <f t="array" ref="W40">_xlfn.IFS(U40=TRUE,EDATE(O40,6),U40=FALSE,T40,O40="Operational",Q40,AND(O40="Certified",EDATE(R40,6)&gt;T40),EDATE(R40,6),TRUE,T40)</f>
        <v>45642</v>
      </c>
      <c r="X40" s="156">
        <f t="shared" si="30"/>
        <v>45704</v>
      </c>
      <c r="Y40" s="157">
        <f t="shared" si="31"/>
        <v>1806.25</v>
      </c>
      <c r="Z40" s="202" cm="1">
        <f t="array" ref="Z40">_xlfn.IFS(Z$3&lt;$B$2,SUMPRODUCT(('PA Fees Actual'!$B$5:$B$882=$E40)*('PA Fees Actual'!$A$5:$A$882&gt;=Z$3)*('PA Fees Actual'!$A$5:$A$882&lt;=EOMONTH(Z$3,0))*'PA Fees Actual'!$D$5:$D$882),Z$3&gt;=EOMONTH($X40,-1)+1,$Y40,TRUE,0)</f>
        <v>0</v>
      </c>
      <c r="AA40" s="202" cm="1">
        <f t="array" ref="AA40">_xlfn.IFS(AA$3&lt;$B$2,SUMPRODUCT(('PA Fees Actual'!$B$5:$B$882=$E40)*('PA Fees Actual'!$A$5:$A$882&gt;=AA$3)*('PA Fees Actual'!$A$5:$A$882&lt;=EOMONTH(AA$3,0))*'PA Fees Actual'!$D$5:$D$882),AA$3&gt;=EOMONTH($X40,-1)+1,$Y40,TRUE,0)</f>
        <v>0</v>
      </c>
      <c r="AB40" s="202" cm="1">
        <f t="array" ref="AB40">_xlfn.IFS(AB$3&lt;$B$2,SUMPRODUCT(('PA Fees Actual'!$B$5:$B$882=$E40)*('PA Fees Actual'!$A$5:$A$882&gt;=AB$3)*('PA Fees Actual'!$A$5:$A$882&lt;=EOMONTH(AB$3,0))*'PA Fees Actual'!$D$5:$D$882),AB$3&gt;=EOMONTH($X40,-1)+1,$Y40,TRUE,0)</f>
        <v>0</v>
      </c>
      <c r="AC40" s="202" cm="1">
        <f t="array" ref="AC40">_xlfn.IFS(AC$3&lt;$B$2,SUMPRODUCT(('PA Fees Actual'!$B$5:$B$882=$E40)*('PA Fees Actual'!$A$5:$A$882&gt;=AC$3)*('PA Fees Actual'!$A$5:$A$882&lt;=EOMONTH(AC$3,0))*'PA Fees Actual'!$D$5:$D$882),AC$3&gt;=EOMONTH($X40,-1)+1,$Y40,TRUE,0)</f>
        <v>0</v>
      </c>
      <c r="AD40" s="202" cm="1">
        <f t="array" ref="AD40">_xlfn.IFS(AD$3&lt;$B$2,SUMPRODUCT(('PA Fees Actual'!$B$5:$B$882=$E40)*('PA Fees Actual'!$A$5:$A$882&gt;=AD$3)*('PA Fees Actual'!$A$5:$A$882&lt;=EOMONTH(AD$3,0))*'PA Fees Actual'!$D$5:$D$882),AD$3&gt;=EOMONTH($X40,-1)+1,$Y40,TRUE,0)</f>
        <v>0</v>
      </c>
      <c r="AE40" s="202" cm="1">
        <f t="array" ref="AE40">_xlfn.IFS(AE$3&lt;$B$2,SUMPRODUCT(('PA Fees Actual'!$B$5:$B$882=$E40)*('PA Fees Actual'!$A$5:$A$882&gt;=AE$3)*('PA Fees Actual'!$A$5:$A$882&lt;=EOMONTH(AE$3,0))*'PA Fees Actual'!$D$5:$D$882),AE$3&gt;=EOMONTH($X40,-1)+1,$Y40,TRUE,0)</f>
        <v>0</v>
      </c>
      <c r="AF40" s="202" cm="1">
        <f t="array" ref="AF40">_xlfn.IFS(AF$3&lt;$B$2,SUMPRODUCT(('PA Fees Actual'!$B$5:$B$882=$E40)*('PA Fees Actual'!$A$5:$A$882&gt;=AF$3)*('PA Fees Actual'!$A$5:$A$882&lt;=EOMONTH(AF$3,0))*'PA Fees Actual'!$D$5:$D$882),AF$3&gt;=EOMONTH($X40,-1)+1,$Y40,TRUE,0)</f>
        <v>0</v>
      </c>
      <c r="AG40" s="202" cm="1">
        <f t="array" ref="AG40">_xlfn.IFS(AG$3&lt;$B$2,SUMPRODUCT(('PA Fees Actual'!$B$5:$B$882=$E40)*('PA Fees Actual'!$A$5:$A$882&gt;=AG$3)*('PA Fees Actual'!$A$5:$A$882&lt;=EOMONTH(AG$3,0))*'PA Fees Actual'!$D$5:$D$882),AG$3&gt;=EOMONTH($X40,-1)+1,$Y40,TRUE,0)</f>
        <v>0</v>
      </c>
      <c r="AH40" s="202" cm="1">
        <f t="array" ref="AH40">_xlfn.IFS(AH$3&lt;$B$2,SUMPRODUCT(('PA Fees Actual'!$B$5:$B$882=$E40)*('PA Fees Actual'!$A$5:$A$882&gt;=AH$3)*('PA Fees Actual'!$A$5:$A$882&lt;=EOMONTH(AH$3,0))*'PA Fees Actual'!$D$5:$D$882),AH$3&gt;=EOMONTH($X40,-1)+1,$Y40,TRUE,0)</f>
        <v>0</v>
      </c>
      <c r="AI40" s="202" cm="1">
        <f t="array" ref="AI40">_xlfn.IFS(AI$3&lt;$B$2,SUMPRODUCT(('PA Fees Actual'!$B$5:$B$882=$E40)*('PA Fees Actual'!$A$5:$A$882&gt;=AI$3)*('PA Fees Actual'!$A$5:$A$882&lt;=EOMONTH(AI$3,0))*'PA Fees Actual'!$D$5:$D$882),AI$3&gt;=EOMONTH($X40,-1)+1,$Y40,TRUE,0)</f>
        <v>0</v>
      </c>
      <c r="AJ40" s="202" cm="1">
        <f t="array" ref="AJ40">_xlfn.IFS(AJ$3&lt;$B$2,SUMPRODUCT(('PA Fees Actual'!$B$5:$B$882=$E40)*('PA Fees Actual'!$A$5:$A$882&gt;=AJ$3)*('PA Fees Actual'!$A$5:$A$882&lt;=EOMONTH(AJ$3,0))*'PA Fees Actual'!$D$5:$D$882),AJ$3&gt;=EOMONTH($X40,-1)+1,$Y40,TRUE,0)</f>
        <v>0</v>
      </c>
      <c r="AK40" s="202" cm="1">
        <f t="array" ref="AK40">_xlfn.IFS(AK$3&lt;$B$2,SUMPRODUCT(('PA Fees Actual'!$B$5:$B$882=$E40)*('PA Fees Actual'!$A$5:$A$882&gt;=AK$3)*('PA Fees Actual'!$A$5:$A$882&lt;=EOMONTH(AK$3,0))*'PA Fees Actual'!$D$5:$D$882),AK$3&gt;=EOMONTH($X40,-1)+1,$Y40,TRUE,0)</f>
        <v>0</v>
      </c>
      <c r="AL40" s="202" cm="1">
        <f t="array" ref="AL40">_xlfn.IFS(AL$3&lt;$B$2,SUMPRODUCT(('PA Fees Actual'!$B$5:$B$882=$E40)*('PA Fees Actual'!$A$5:$A$882&gt;=AL$3)*('PA Fees Actual'!$A$5:$A$882&lt;=EOMONTH(AL$3,0))*'PA Fees Actual'!$D$5:$D$882),AL$3&gt;=EOMONTH($X40,-1)+1,$Y40,TRUE,0)</f>
        <v>0</v>
      </c>
      <c r="AM40" s="202" cm="1">
        <f t="array" ref="AM40">_xlfn.IFS(AM$3&lt;$B$2,SUMPRODUCT(('PA Fees Actual'!$B$5:$B$882=$E40)*('PA Fees Actual'!$A$5:$A$882&gt;=AM$3)*('PA Fees Actual'!$A$5:$A$882&lt;=EOMONTH(AM$3,0))*'PA Fees Actual'!$D$5:$D$882),AM$3&gt;=EOMONTH($X40,-1)+1,$Y40,TRUE,0)</f>
        <v>0</v>
      </c>
      <c r="AN40" s="202" cm="1">
        <f t="array" ref="AN40">_xlfn.IFS(AN$3&lt;$B$2,SUMPRODUCT(('PA Fees Actual'!$B$5:$B$882=$E40)*('PA Fees Actual'!$A$5:$A$882&gt;=AN$3)*('PA Fees Actual'!$A$5:$A$882&lt;=EOMONTH(AN$3,0))*'PA Fees Actual'!$D$5:$D$882),AN$3&gt;=EOMONTH($X40,-1)+1,$Y40,TRUE,0)</f>
        <v>0</v>
      </c>
      <c r="AO40" s="202" cm="1">
        <f t="array" ref="AO40">_xlfn.IFS(AO$3&lt;$B$2,SUMPRODUCT(('PA Fees Actual'!$B$5:$B$882=$E40)*('PA Fees Actual'!$A$5:$A$882&gt;=AO$3)*('PA Fees Actual'!$A$5:$A$882&lt;=EOMONTH(AO$3,0))*'PA Fees Actual'!$D$5:$D$882),AO$3&gt;=EOMONTH($X40,-1)+1,$Y40,TRUE,0)</f>
        <v>0</v>
      </c>
      <c r="AP40" s="202" cm="1">
        <f t="array" ref="AP40">_xlfn.IFS(AP$3&lt;$B$2,SUMPRODUCT(('PA Fees Actual'!$B$5:$B$882=$E40)*('PA Fees Actual'!$A$5:$A$882&gt;=AP$3)*('PA Fees Actual'!$A$5:$A$882&lt;=EOMONTH(AP$3,0))*'PA Fees Actual'!$D$5:$D$882),AP$3&gt;=EOMONTH($X40,-1)+1,$Y40,TRUE,0)</f>
        <v>0</v>
      </c>
      <c r="AQ40" s="202" cm="1">
        <f t="array" ref="AQ40">_xlfn.IFS(AQ$3&lt;$B$2,SUMPRODUCT(('PA Fees Actual'!$B$5:$B$882=$E40)*('PA Fees Actual'!$A$5:$A$882&gt;=AQ$3)*('PA Fees Actual'!$A$5:$A$882&lt;=EOMONTH(AQ$3,0))*'PA Fees Actual'!$D$5:$D$882),AQ$3&gt;=EOMONTH($X40,-1)+1,$Y40,TRUE,0)</f>
        <v>0</v>
      </c>
      <c r="AR40" s="202" cm="1">
        <f t="array" ref="AR40">_xlfn.IFS(AR$3&lt;$B$2,SUMPRODUCT(('PA Fees Actual'!$B$5:$B$882=$E40)*('PA Fees Actual'!$A$5:$A$882&gt;=AR$3)*('PA Fees Actual'!$A$5:$A$882&lt;=EOMONTH(AR$3,0))*'PA Fees Actual'!$D$5:$D$882),AR$3&gt;=EOMONTH($X40,-1)+1,$Y40,TRUE,0)</f>
        <v>0</v>
      </c>
      <c r="AS40" s="202" cm="1">
        <f t="array" ref="AS40">_xlfn.IFS(AS$3&lt;$B$2,SUMPRODUCT(('PA Fees Actual'!$B$5:$B$882=$E40)*('PA Fees Actual'!$A$5:$A$882&gt;=AS$3)*('PA Fees Actual'!$A$5:$A$882&lt;=EOMONTH(AS$3,0))*'PA Fees Actual'!$D$5:$D$882),AS$3&gt;=EOMONTH($X40,-1)+1,$Y40,TRUE,0)</f>
        <v>0</v>
      </c>
      <c r="AT40" s="202" cm="1">
        <f t="array" ref="AT40">_xlfn.IFS(AT$3&lt;$B$2,SUMPRODUCT(('PA Fees Actual'!$B$5:$B$882=$E40)*('PA Fees Actual'!$A$5:$A$882&gt;=AT$3)*('PA Fees Actual'!$A$5:$A$882&lt;=EOMONTH(AT$3,0))*'PA Fees Actual'!$D$5:$D$882),AT$3&gt;=EOMONTH($X40,-1)+1,$Y40,TRUE,0)</f>
        <v>0</v>
      </c>
      <c r="AU40" s="202" cm="1">
        <f t="array" ref="AU40">_xlfn.IFS(AU$3&lt;$B$2,SUMPRODUCT(('PA Fees Actual'!$B$5:$B$882=$E40)*('PA Fees Actual'!$A$5:$A$882&gt;=AU$3)*('PA Fees Actual'!$A$5:$A$882&lt;=EOMONTH(AU$3,0))*'PA Fees Actual'!$D$5:$D$882),AU$3&gt;=EOMONTH($X40,-1)+1,$Y40,TRUE,0)</f>
        <v>0</v>
      </c>
      <c r="AV40" s="202" cm="1">
        <f t="array" ref="AV40">_xlfn.IFS(AV$3&lt;$B$2,SUMPRODUCT(('PA Fees Actual'!$B$5:$B$882=$E40)*('PA Fees Actual'!$A$5:$A$882&gt;=AV$3)*('PA Fees Actual'!$A$5:$A$882&lt;=EOMONTH(AV$3,0))*'PA Fees Actual'!$D$5:$D$882),AV$3&gt;=EOMONTH($X40,-1)+1,$Y40,TRUE,0)</f>
        <v>0</v>
      </c>
      <c r="AW40" s="202" cm="1">
        <f t="array" ref="AW40">_xlfn.IFS(AW$3&lt;$B$2,SUMPRODUCT(('PA Fees Actual'!$B$5:$B$882=$E40)*('PA Fees Actual'!$A$5:$A$882&gt;=AW$3)*('PA Fees Actual'!$A$5:$A$882&lt;=EOMONTH(AW$3,0))*'PA Fees Actual'!$D$5:$D$882),AW$3&gt;=EOMONTH($X40,-1)+1,$Y40,TRUE,0)</f>
        <v>0</v>
      </c>
      <c r="AX40" s="202" cm="1">
        <f t="array" ref="AX40">_xlfn.IFS(AX$3&lt;$B$2,SUMPRODUCT(('PA Fees Actual'!$B$5:$B$882=$E40)*('PA Fees Actual'!$A$5:$A$882&gt;=AX$3)*('PA Fees Actual'!$A$5:$A$882&lt;=EOMONTH(AX$3,0))*'PA Fees Actual'!$D$5:$D$882),AX$3&gt;=EOMONTH($X40,-1)+1,$Y40,TRUE,0)</f>
        <v>0</v>
      </c>
      <c r="AY40" s="202" cm="1">
        <f t="array" ref="AY40">_xlfn.IFS(AY$3&lt;$B$2,SUMPRODUCT(('PA Fees Actual'!$B$5:$B$882=$E40)*('PA Fees Actual'!$A$5:$A$882&gt;=AY$3)*('PA Fees Actual'!$A$5:$A$882&lt;=EOMONTH(AY$3,0))*'PA Fees Actual'!$D$5:$D$882),AY$3&gt;=EOMONTH($X40,-1)+1,$Y40,TRUE,0)</f>
        <v>0</v>
      </c>
      <c r="AZ40" s="202" cm="1">
        <f t="array" ref="AZ40">_xlfn.IFS(AZ$3&lt;$B$2,SUMPRODUCT(('PA Fees Actual'!$B$5:$B$882=$E40)*('PA Fees Actual'!$A$5:$A$882&gt;=AZ$3)*('PA Fees Actual'!$A$5:$A$882&lt;=EOMONTH(AZ$3,0))*'PA Fees Actual'!$D$5:$D$882),AZ$3&gt;=EOMONTH($X40,-1)+1,$Y40,TRUE,0)</f>
        <v>0</v>
      </c>
      <c r="BA40" s="202" cm="1">
        <f t="array" ref="BA40">_xlfn.IFS(BA$3&lt;$B$2,SUMPRODUCT(('PA Fees Actual'!$B$5:$B$882=$E40)*('PA Fees Actual'!$A$5:$A$882&gt;=BA$3)*('PA Fees Actual'!$A$5:$A$882&lt;=EOMONTH(BA$3,0))*'PA Fees Actual'!$D$5:$D$882),BA$3&gt;=EOMONTH($X40,-1)+1,$Y40,TRUE,0)</f>
        <v>0</v>
      </c>
      <c r="BB40" s="202" cm="1">
        <f t="array" ref="BB40">_xlfn.IFS(BB$3&lt;$B$2,SUMPRODUCT(('PA Fees Actual'!$B$5:$B$882=$E40)*('PA Fees Actual'!$A$5:$A$882&gt;=BB$3)*('PA Fees Actual'!$A$5:$A$882&lt;=EOMONTH(BB$3,0))*'PA Fees Actual'!$D$5:$D$882),BB$3&gt;=EOMONTH($X40,-1)+1,$Y40,TRUE,0)</f>
        <v>0</v>
      </c>
      <c r="BC40" s="202" cm="1">
        <f t="array" ref="BC40">_xlfn.IFS(BC$3&lt;$B$2,SUMPRODUCT(('PA Fees Actual'!$B$5:$B$882=$E40)*('PA Fees Actual'!$A$5:$A$882&gt;=BC$3)*('PA Fees Actual'!$A$5:$A$882&lt;=EOMONTH(BC$3,0))*'PA Fees Actual'!$D$5:$D$882),BC$3&gt;=EOMONTH($X40,-1)+1,$Y40,TRUE,0)</f>
        <v>0</v>
      </c>
      <c r="BD40" s="202" cm="1">
        <f t="array" ref="BD40">_xlfn.IFS(BD$3&lt;$B$2,SUMPRODUCT(('PA Fees Actual'!$B$5:$B$882=$E40)*('PA Fees Actual'!$A$5:$A$882&gt;=BD$3)*('PA Fees Actual'!$A$5:$A$882&lt;=EOMONTH(BD$3,0))*'PA Fees Actual'!$D$5:$D$882),BD$3&gt;=EOMONTH($X40,-1)+1,$Y40,TRUE,0)</f>
        <v>0</v>
      </c>
      <c r="BE40" s="202" cm="1">
        <f t="array" ref="BE40">_xlfn.IFS(BE$3&lt;$B$2,SUMPRODUCT(('PA Fees Actual'!$B$5:$B$882=$E40)*('PA Fees Actual'!$A$5:$A$882&gt;=BE$3)*('PA Fees Actual'!$A$5:$A$882&lt;=EOMONTH(BE$3,0))*'PA Fees Actual'!$D$5:$D$882),BE$3&gt;=EOMONTH($X40,-1)+1,$Y40,TRUE,0)</f>
        <v>0</v>
      </c>
      <c r="BF40" s="202" cm="1">
        <f t="array" ref="BF40">_xlfn.IFS(BF$3&lt;$B$2,SUMPRODUCT(('PA Fees Actual'!$B$5:$B$882=$E40)*('PA Fees Actual'!$A$5:$A$882&gt;=BF$3)*('PA Fees Actual'!$A$5:$A$882&lt;=EOMONTH(BF$3,0))*'PA Fees Actual'!$D$5:$D$882),BF$3&gt;=EOMONTH($X40,-1)+1,$Y40,TRUE,0)</f>
        <v>0</v>
      </c>
      <c r="BG40" s="202" cm="1">
        <f t="array" ref="BG40">_xlfn.IFS(BG$3&lt;$B$2,SUMPRODUCT(('PA Fees Actual'!$B$5:$B$882=$E40)*('PA Fees Actual'!$A$5:$A$882&gt;=BG$3)*('PA Fees Actual'!$A$5:$A$882&lt;=EOMONTH(BG$3,0))*'PA Fees Actual'!$D$5:$D$882),BG$3&gt;=EOMONTH($X40,-1)+1,$Y40,TRUE,0)</f>
        <v>0</v>
      </c>
      <c r="BH40" s="202" cm="1">
        <f t="array" ref="BH40">_xlfn.IFS(BH$3&lt;$B$2,SUMPRODUCT(('PA Fees Actual'!$B$5:$B$882=$E40)*('PA Fees Actual'!$A$5:$A$882&gt;=BH$3)*('PA Fees Actual'!$A$5:$A$882&lt;=EOMONTH(BH$3,0))*'PA Fees Actual'!$D$5:$D$882),BH$3&gt;=EOMONTH($X40,-1)+1,$Y40,TRUE,0)</f>
        <v>0</v>
      </c>
      <c r="BI40" s="202" cm="1">
        <f t="array" ref="BI40">_xlfn.IFS(BI$3&lt;$B$2,SUMPRODUCT(('PA Fees Actual'!$B$5:$B$882=$E40)*('PA Fees Actual'!$A$5:$A$882&gt;=BI$3)*('PA Fees Actual'!$A$5:$A$882&lt;=EOMONTH(BI$3,0))*'PA Fees Actual'!$D$5:$D$882),BI$3&gt;=EOMONTH($X40,-1)+1,$Y40,TRUE,0)</f>
        <v>0</v>
      </c>
      <c r="BJ40" s="202" cm="1">
        <f t="array" ref="BJ40">_xlfn.IFS(BJ$3&lt;$B$2,SUMPRODUCT(('PA Fees Actual'!$B$5:$B$882=$E40)*('PA Fees Actual'!$A$5:$A$882&gt;=BJ$3)*('PA Fees Actual'!$A$5:$A$882&lt;=EOMONTH(BJ$3,0))*'PA Fees Actual'!$D$5:$D$882),BJ$3&gt;=EOMONTH($X40,-1)+1,$Y40,TRUE,0)</f>
        <v>0</v>
      </c>
      <c r="BK40" s="202" cm="1">
        <f t="array" ref="BK40">_xlfn.IFS(BK$3&lt;$B$2,SUMPRODUCT(('PA Fees Actual'!$B$5:$B$882=$E40)*('PA Fees Actual'!$A$5:$A$882&gt;=BK$3)*('PA Fees Actual'!$A$5:$A$882&lt;=EOMONTH(BK$3,0))*'PA Fees Actual'!$D$5:$D$882),BK$3&gt;=EOMONTH($X40,-1)+1,$Y40,TRUE,0)</f>
        <v>0</v>
      </c>
      <c r="BL40" s="202" cm="1">
        <f t="array" ref="BL40">_xlfn.IFS(BL$3&lt;$B$2,SUMPRODUCT(('PA Fees Actual'!$B$5:$B$882=$E40)*('PA Fees Actual'!$A$5:$A$882&gt;=BL$3)*('PA Fees Actual'!$A$5:$A$882&lt;=EOMONTH(BL$3,0))*'PA Fees Actual'!$D$5:$D$882),BL$3&gt;=EOMONTH($X40,-1)+1,$Y40,TRUE,0)</f>
        <v>0</v>
      </c>
      <c r="BM40" s="202" cm="1">
        <f t="array" ref="BM40">_xlfn.IFS(BM$3&lt;$B$2,SUMPRODUCT(('PA Fees Actual'!$B$5:$B$882=$E40)*('PA Fees Actual'!$A$5:$A$882&gt;=BM$3)*('PA Fees Actual'!$A$5:$A$882&lt;=EOMONTH(BM$3,0))*'PA Fees Actual'!$D$5:$D$882),BM$3&gt;=EOMONTH($X40,-1)+1,$Y40,TRUE,0)</f>
        <v>0</v>
      </c>
      <c r="BN40" s="202" cm="1">
        <f t="array" ref="BN40">_xlfn.IFS(BN$3&lt;$B$2,SUMPRODUCT(('PA Fees Actual'!$B$5:$B$882=$E40)*('PA Fees Actual'!$A$5:$A$882&gt;=BN$3)*('PA Fees Actual'!$A$5:$A$882&lt;=EOMONTH(BN$3,0))*'PA Fees Actual'!$D$5:$D$882),BN$3&gt;=EOMONTH($X40,-1)+1,$Y40,TRUE,0)</f>
        <v>0</v>
      </c>
      <c r="BO40" s="202" cm="1">
        <f t="array" ref="BO40">_xlfn.IFS(BO$3&lt;$B$2,SUMPRODUCT(('PA Fees Actual'!$B$5:$B$882=$E40)*('PA Fees Actual'!$A$5:$A$882&gt;=BO$3)*('PA Fees Actual'!$A$5:$A$882&lt;=EOMONTH(BO$3,0))*'PA Fees Actual'!$D$5:$D$882),BO$3&gt;=EOMONTH($X40,-1)+1,$Y40,TRUE,0)</f>
        <v>0</v>
      </c>
      <c r="BP40" s="202" cm="1">
        <f t="array" ref="BP40">_xlfn.IFS(BP$3&lt;$B$2,SUMPRODUCT(('PA Fees Actual'!$B$5:$B$882=$E40)*('PA Fees Actual'!$A$5:$A$882&gt;=BP$3)*('PA Fees Actual'!$A$5:$A$882&lt;=EOMONTH(BP$3,0))*'PA Fees Actual'!$D$5:$D$882),BP$3&gt;=EOMONTH($X40,-1)+1,$Y40,TRUE,0)</f>
        <v>0</v>
      </c>
      <c r="BQ40" s="202" cm="1">
        <f t="array" ref="BQ40">_xlfn.IFS(BQ$3&lt;$B$2,SUMPRODUCT(('PA Fees Actual'!$B$5:$B$882=$E40)*('PA Fees Actual'!$A$5:$A$882&gt;=BQ$3)*('PA Fees Actual'!$A$5:$A$882&lt;=EOMONTH(BQ$3,0))*'PA Fees Actual'!$D$5:$D$882),BQ$3&gt;=EOMONTH($X40,-1)+1,$Y40,TRUE,0)</f>
        <v>0</v>
      </c>
      <c r="BR40" s="202" cm="1">
        <f t="array" ref="BR40">_xlfn.IFS(BR$3&lt;$B$2,SUMPRODUCT(('PA Fees Actual'!$B$5:$B$882=$E40)*('PA Fees Actual'!$A$5:$A$882&gt;=BR$3)*('PA Fees Actual'!$A$5:$A$882&lt;=EOMONTH(BR$3,0))*'PA Fees Actual'!$D$5:$D$882),BR$3&gt;=EOMONTH($X40,-1)+1,$Y40,TRUE,0)</f>
        <v>0</v>
      </c>
      <c r="BS40" s="202" cm="1">
        <f t="array" ref="BS40">_xlfn.IFS(BS$3&lt;$B$2,SUMPRODUCT(('PA Fees Actual'!$B$5:$B$882=$E40)*('PA Fees Actual'!$A$5:$A$882&gt;=BS$3)*('PA Fees Actual'!$A$5:$A$882&lt;=EOMONTH(BS$3,0))*'PA Fees Actual'!$D$5:$D$882),BS$3&gt;=EOMONTH($X40,-1)+1,$Y40,TRUE,0)</f>
        <v>0</v>
      </c>
      <c r="BT40" s="202" cm="1">
        <f t="array" ref="BT40">_xlfn.IFS(BT$3&lt;$B$2,SUMPRODUCT(('PA Fees Actual'!$B$5:$B$882=$E40)*('PA Fees Actual'!$A$5:$A$882&gt;=BT$3)*('PA Fees Actual'!$A$5:$A$882&lt;=EOMONTH(BT$3,0))*'PA Fees Actual'!$D$5:$D$882),BT$3&gt;=EOMONTH($X40,-1)+1,$Y40,TRUE,0)</f>
        <v>0</v>
      </c>
      <c r="BU40" s="202" cm="1">
        <f t="array" ref="BU40">_xlfn.IFS(BU$3&lt;$B$2,SUMPRODUCT(('PA Fees Actual'!$B$5:$B$882=$E40)*('PA Fees Actual'!$A$5:$A$882&gt;=BU$3)*('PA Fees Actual'!$A$5:$A$882&lt;=EOMONTH(BU$3,0))*'PA Fees Actual'!$D$5:$D$882),BU$3&gt;=EOMONTH($X40,-1)+1,$Y40,TRUE,0)</f>
        <v>0</v>
      </c>
      <c r="BV40" s="202" cm="1">
        <f t="array" ref="BV40">_xlfn.IFS(BV$3&lt;$B$2,SUMPRODUCT(('PA Fees Actual'!$B$5:$B$882=$E40)*('PA Fees Actual'!$A$5:$A$882&gt;=BV$3)*('PA Fees Actual'!$A$5:$A$882&lt;=EOMONTH(BV$3,0))*'PA Fees Actual'!$D$5:$D$882),BV$3&gt;=EOMONTH($X40,-1)+1,$Y40,TRUE,0)</f>
        <v>0</v>
      </c>
      <c r="BW40" s="202" cm="1">
        <f t="array" ref="BW40">_xlfn.IFS(BW$3&lt;$B$2,SUMPRODUCT(('PA Fees Actual'!$B$5:$B$882=$E40)*('PA Fees Actual'!$A$5:$A$882&gt;=BW$3)*('PA Fees Actual'!$A$5:$A$882&lt;=EOMONTH(BW$3,0))*'PA Fees Actual'!$D$5:$D$882),BW$3&gt;=EOMONTH($X40,-1)+1,$Y40,TRUE,0)</f>
        <v>0</v>
      </c>
      <c r="BX40" s="202" cm="1">
        <f t="array" ref="BX40">_xlfn.IFS(BX$3&lt;$B$2,SUMPRODUCT(('PA Fees Actual'!$B$5:$B$882=$E40)*('PA Fees Actual'!$A$5:$A$882&gt;=BX$3)*('PA Fees Actual'!$A$5:$A$882&lt;=EOMONTH(BX$3,0))*'PA Fees Actual'!$D$5:$D$882),BX$3&gt;=EOMONTH($X40,-1)+1,$Y40,TRUE,0)</f>
        <v>112.39</v>
      </c>
      <c r="BY40" s="202" cm="1">
        <f t="array" ref="BY40">_xlfn.IFS(BY$3&lt;$B$2,SUMPRODUCT(('PA Fees Actual'!$B$5:$B$882=$E40)*('PA Fees Actual'!$A$5:$A$882&gt;=BY$3)*('PA Fees Actual'!$A$5:$A$882&lt;=EOMONTH(BY$3,0))*'PA Fees Actual'!$D$5:$D$882),BY$3&gt;=EOMONTH($X40,-1)+1,$Y40,TRUE,0)</f>
        <v>1285.3400000000001</v>
      </c>
      <c r="BZ40" s="202" cm="1">
        <f t="array" ref="BZ40">_xlfn.IFS(BZ$3&lt;$B$2,SUMPRODUCT(('PA Fees Actual'!$B$5:$B$882=$E40)*('PA Fees Actual'!$A$5:$A$882&gt;=BZ$3)*('PA Fees Actual'!$A$5:$A$882&lt;=EOMONTH(BZ$3,0))*'PA Fees Actual'!$D$5:$D$882),BZ$3&gt;=EOMONTH($X40,-1)+1,$Y40,TRUE,0)</f>
        <v>5127.0200000000004</v>
      </c>
      <c r="CA40" s="202" cm="1">
        <f t="array" ref="CA40">_xlfn.IFS(CA$3&lt;$B$2,SUMPRODUCT(('PA Fees Actual'!$B$5:$B$882=$E40)*('PA Fees Actual'!$A$5:$A$882&gt;=CA$3)*('PA Fees Actual'!$A$5:$A$882&lt;=EOMONTH(CA$3,0))*'PA Fees Actual'!$D$5:$D$882),CA$3&gt;=EOMONTH($X40,-1)+1,$Y40,TRUE,0)</f>
        <v>27.790000000000003</v>
      </c>
      <c r="CB40" s="202" cm="1">
        <f t="array" ref="CB40">_xlfn.IFS(CB$3&lt;$B$2,SUMPRODUCT(('PA Fees Actual'!$B$5:$B$882=$E40)*('PA Fees Actual'!$A$5:$A$882&gt;=CB$3)*('PA Fees Actual'!$A$5:$A$882&lt;=EOMONTH(CB$3,0))*'PA Fees Actual'!$D$5:$D$882),CB$3&gt;=EOMONTH($X40,-1)+1,$Y40,TRUE,0)</f>
        <v>1806.25</v>
      </c>
      <c r="CC40" s="202" cm="1">
        <f t="array" ref="CC40">_xlfn.IFS(CC$3&lt;$B$2,SUMPRODUCT(('PA Fees Actual'!$B$5:$B$882=$E40)*('PA Fees Actual'!$A$5:$A$882&gt;=CC$3)*('PA Fees Actual'!$A$5:$A$882&lt;=EOMONTH(CC$3,0))*'PA Fees Actual'!$D$5:$D$882),CC$3&gt;=EOMONTH($X40,-1)+1,$Y40,TRUE,0)</f>
        <v>1806.25</v>
      </c>
      <c r="CD40" s="202" cm="1">
        <f t="array" ref="CD40">_xlfn.IFS(CD$3&lt;$B$2,SUMPRODUCT(('PA Fees Actual'!$B$5:$B$882=$E40)*('PA Fees Actual'!$A$5:$A$882&gt;=CD$3)*('PA Fees Actual'!$A$5:$A$882&lt;=EOMONTH(CD$3,0))*'PA Fees Actual'!$D$5:$D$882),CD$3&gt;=EOMONTH($X40,-1)+1,$Y40,TRUE,0)</f>
        <v>1806.25</v>
      </c>
      <c r="CE40" s="202" cm="1">
        <f t="array" ref="CE40">_xlfn.IFS(CE$3&lt;$B$2,SUMPRODUCT(('PA Fees Actual'!$B$5:$B$882=$E40)*('PA Fees Actual'!$A$5:$A$882&gt;=CE$3)*('PA Fees Actual'!$A$5:$A$882&lt;=EOMONTH(CE$3,0))*'PA Fees Actual'!$D$5:$D$882),CE$3&gt;=EOMONTH($X40,-1)+1,$Y40,TRUE,0)</f>
        <v>1806.25</v>
      </c>
      <c r="CF40" s="202" cm="1">
        <f t="array" ref="CF40">_xlfn.IFS(CF$3&lt;$B$2,SUMPRODUCT(('PA Fees Actual'!$B$5:$B$882=$E40)*('PA Fees Actual'!$A$5:$A$882&gt;=CF$3)*('PA Fees Actual'!$A$5:$A$882&lt;=EOMONTH(CF$3,0))*'PA Fees Actual'!$D$5:$D$882),CF$3&gt;=EOMONTH($X40,-1)+1,$Y40,TRUE,0)</f>
        <v>1806.25</v>
      </c>
      <c r="CG40" s="202" cm="1">
        <f t="array" ref="CG40">_xlfn.IFS(CG$3&lt;$B$2,SUMPRODUCT(('PA Fees Actual'!$B$5:$B$882=$E40)*('PA Fees Actual'!$A$5:$A$882&gt;=CG$3)*('PA Fees Actual'!$A$5:$A$882&lt;=EOMONTH(CG$3,0))*'PA Fees Actual'!$D$5:$D$882),CG$3&gt;=EOMONTH($X40,-1)+1,$Y40,TRUE,0)</f>
        <v>1806.25</v>
      </c>
      <c r="CI40" s="202" cm="1">
        <f t="array" ref="CI40">_xlfn.IFS(CI$3&lt;=YEAR($B$2),SUMPRODUCT(($E$4:$E$79=$E40)*($Z$2:$CG$2=CI$3)*($Z$2:$CG$2&lt;CJ$3)*$Z$4:$CG$79),CI$3&lt;YEAR($X40),0,CI$3=YEAR($X40),DATEDIF($X40,DATE(CI$3,12,31),"m")*$Y40,AND(CI$3&gt;YEAR($X40),CI$3-YEAR($X40)&lt;20),$Y40*12,CI$3-YEAR($X40)=20,DATEDIF(DATE(YEAR($X40),1,1),$X40,"m")*$Y40,CI$3-YEAR($X40)&gt;20,0)</f>
        <v>0</v>
      </c>
      <c r="CJ40" s="202" cm="1">
        <f t="array" ref="CJ40">_xlfn.IFS(CJ$3&lt;=YEAR($B$2),SUMPRODUCT(($E$4:$E$79=$E40)*($Z$2:$CG$2=CJ$3)*($Z$2:$CG$2&lt;CK$3)*$Z$4:$CG$79),CJ$3&lt;YEAR($X40),0,CJ$3=YEAR($X40),DATEDIF($X40,DATE(CJ$3,12,31),"m")*$Y40,AND(CJ$3&gt;YEAR($X40),CJ$3-YEAR($X40)&lt;20),$Y40*12,CJ$3-YEAR($X40)=20,DATEDIF(DATE(YEAR($X40),1,1),$X40,"m")*$Y40,CJ$3-YEAR($X40)&gt;20,0)</f>
        <v>0</v>
      </c>
      <c r="CK40" s="202" cm="1">
        <f t="array" ref="CK40">_xlfn.IFS(CK$3&lt;=YEAR($B$2),SUMPRODUCT(($E$4:$E$79=$E40)*($Z$2:$CG$2=CK$3)*($Z$2:$CG$2&lt;CL$3)*$Z$4:$CG$79),CK$3&lt;YEAR($X40),0,CK$3=YEAR($X40),DATEDIF($X40,DATE(CK$3,12,31),"m")*$Y40,AND(CK$3&gt;YEAR($X40),CK$3-YEAR($X40)&lt;20),$Y40*12,CK$3-YEAR($X40)=20,DATEDIF(DATE(YEAR($X40),1,1),$X40,"m")*$Y40,CK$3-YEAR($X40)&gt;20,0)</f>
        <v>0</v>
      </c>
      <c r="CL40" s="202" cm="1">
        <f t="array" ref="CL40">_xlfn.IFS(CL$3&lt;=YEAR($B$2),SUMPRODUCT(($E$4:$E$79=$E40)*($Z$2:$CG$2=CL$3)*($Z$2:$CG$2&lt;CM$3)*$Z$4:$CG$79),CL$3&lt;YEAR($X40),0,CL$3=YEAR($X40),DATEDIF($X40,DATE(CL$3,12,31),"m")*$Y40,AND(CL$3&gt;YEAR($X40),CL$3-YEAR($X40)&lt;20),$Y40*12,CL$3-YEAR($X40)=20,DATEDIF(DATE(YEAR($X40),1,1),$X40,"m")*$Y40,CL$3-YEAR($X40)&gt;20,0)</f>
        <v>0</v>
      </c>
      <c r="CM40" s="202" cm="1">
        <f t="array" ref="CM40">_xlfn.IFS(CM$3&lt;=YEAR($B$2),SUMPRODUCT(($E$4:$E$79=$E40)*($Z$2:$CG$2=CM$3)*($Z$2:$CG$2&lt;CN$3)*$Z$4:$CG$79),CM$3&lt;YEAR($X40),0,CM$3=YEAR($X40),DATEDIF($X40,DATE(CM$3,12,31),"m")*$Y40,AND(CM$3&gt;YEAR($X40),CM$3-YEAR($X40)&lt;20),$Y40*12,CM$3-YEAR($X40)=20,DATEDIF(DATE(YEAR($X40),1,1),$X40,"m")*$Y40,CM$3-YEAR($X40)&gt;20,0)</f>
        <v>17390.04</v>
      </c>
      <c r="CN40" s="202" cm="1">
        <f t="array" ref="CN40">_xlfn.IFS(CN$3&lt;=YEAR($B$2),SUMPRODUCT(($E$4:$E$79=$E40)*($Z$2:$CG$2=CN$3)*($Z$2:$CG$2&lt;CO$3)*$Z$4:$CG$79),CN$3&lt;YEAR($X40),0,CN$3=YEAR($X40),DATEDIF($X40,DATE(CN$3,12,31),"m")*$Y40,AND(CN$3&gt;YEAR($X40),CN$3-YEAR($X40)&lt;20),$Y40*12,CN$3-YEAR($X40)=20,DATEDIF(DATE(YEAR($X40),1,1),$X40,"m")*$Y40,CN$3-YEAR($X40)&gt;20,0)</f>
        <v>21675</v>
      </c>
      <c r="CO40" s="202" cm="1">
        <f t="array" ref="CO40">_xlfn.IFS(CO$3&lt;=YEAR($B$2),SUMPRODUCT(($E$4:$E$79=$E40)*($Z$2:$CG$2=CO$3)*($Z$2:$CG$2&lt;CP$3)*$Z$4:$CG$79),CO$3&lt;YEAR($X40),0,CO$3=YEAR($X40),DATEDIF($X40,DATE(CO$3,12,31),"m")*$Y40,AND(CO$3&gt;YEAR($X40),CO$3-YEAR($X40)&lt;20),$Y40*12,CO$3-YEAR($X40)=20,DATEDIF(DATE(YEAR($X40),1,1),$X40,"m")*$Y40,CO$3-YEAR($X40)&gt;20,0)</f>
        <v>21675</v>
      </c>
      <c r="CP40" s="202" cm="1">
        <f t="array" ref="CP40">_xlfn.IFS(CP$3&lt;=YEAR($B$2),SUMPRODUCT(($E$4:$E$79=$E40)*($Z$2:$CG$2=CP$3)*($Z$2:$CG$2&lt;CQ$3)*$Z$4:$CG$79),CP$3&lt;YEAR($X40),0,CP$3=YEAR($X40),DATEDIF($X40,DATE(CP$3,12,31),"m")*$Y40,AND(CP$3&gt;YEAR($X40),CP$3-YEAR($X40)&lt;20),$Y40*12,CP$3-YEAR($X40)=20,DATEDIF(DATE(YEAR($X40),1,1),$X40,"m")*$Y40,CP$3-YEAR($X40)&gt;20,0)</f>
        <v>21675</v>
      </c>
      <c r="CQ40" s="202" cm="1">
        <f t="array" ref="CQ40">_xlfn.IFS(CQ$3&lt;=YEAR($B$2),SUMPRODUCT(($E$4:$E$79=$E40)*($Z$2:$CG$2=CQ$3)*($Z$2:$CG$2&lt;CR$3)*$Z$4:$CG$79),CQ$3&lt;YEAR($X40),0,CQ$3=YEAR($X40),DATEDIF($X40,DATE(CQ$3,12,31),"m")*$Y40,AND(CQ$3&gt;YEAR($X40),CQ$3-YEAR($X40)&lt;20),$Y40*12,CQ$3-YEAR($X40)=20,DATEDIF(DATE(YEAR($X40),1,1),$X40,"m")*$Y40,CQ$3-YEAR($X40)&gt;20,0)</f>
        <v>21675</v>
      </c>
      <c r="CR40" s="202" cm="1">
        <f t="array" ref="CR40">_xlfn.IFS(CR$3&lt;=YEAR($B$2),SUMPRODUCT(($E$4:$E$79=$E40)*($Z$2:$CG$2=CR$3)*($Z$2:$CG$2&lt;CS$3)*$Z$4:$CG$79),CR$3&lt;YEAR($X40),0,CR$3=YEAR($X40),DATEDIF($X40,DATE(CR$3,12,31),"m")*$Y40,AND(CR$3&gt;YEAR($X40),CR$3-YEAR($X40)&lt;20),$Y40*12,CR$3-YEAR($X40)=20,DATEDIF(DATE(YEAR($X40),1,1),$X40,"m")*$Y40,CR$3-YEAR($X40)&gt;20,0)</f>
        <v>21675</v>
      </c>
      <c r="CS40" s="202" cm="1">
        <f t="array" ref="CS40">_xlfn.IFS(CS$3&lt;=YEAR($B$2),SUMPRODUCT(($E$4:$E$79=$E40)*($Z$2:$CG$2=CS$3)*($Z$2:$CG$2&lt;CT$3)*$Z$4:$CG$79),CS$3&lt;YEAR($X40),0,CS$3=YEAR($X40),DATEDIF($X40,DATE(CS$3,12,31),"m")*$Y40,AND(CS$3&gt;YEAR($X40),CS$3-YEAR($X40)&lt;20),$Y40*12,CS$3-YEAR($X40)=20,DATEDIF(DATE(YEAR($X40),1,1),$X40,"m")*$Y40,CS$3-YEAR($X40)&gt;20,0)</f>
        <v>21675</v>
      </c>
      <c r="CT40" s="202" cm="1">
        <f t="array" ref="CT40">_xlfn.IFS(CT$3&lt;=YEAR($B$2),SUMPRODUCT(($E$4:$E$79=$E40)*($Z$2:$CG$2=CT$3)*($Z$2:$CG$2&lt;CU$3)*$Z$4:$CG$79),CT$3&lt;YEAR($X40),0,CT$3=YEAR($X40),DATEDIF($X40,DATE(CT$3,12,31),"m")*$Y40,AND(CT$3&gt;YEAR($X40),CT$3-YEAR($X40)&lt;20),$Y40*12,CT$3-YEAR($X40)=20,DATEDIF(DATE(YEAR($X40),1,1),$X40,"m")*$Y40,CT$3-YEAR($X40)&gt;20,0)</f>
        <v>21675</v>
      </c>
      <c r="CU40" s="202" cm="1">
        <f t="array" ref="CU40">_xlfn.IFS(CU$3&lt;=YEAR($B$2),SUMPRODUCT(($E$4:$E$79=$E40)*($Z$2:$CG$2=CU$3)*($Z$2:$CG$2&lt;CV$3)*$Z$4:$CG$79),CU$3&lt;YEAR($X40),0,CU$3=YEAR($X40),DATEDIF($X40,DATE(CU$3,12,31),"m")*$Y40,AND(CU$3&gt;YEAR($X40),CU$3-YEAR($X40)&lt;20),$Y40*12,CU$3-YEAR($X40)=20,DATEDIF(DATE(YEAR($X40),1,1),$X40,"m")*$Y40,CU$3-YEAR($X40)&gt;20,0)</f>
        <v>21675</v>
      </c>
      <c r="CV40" s="202" cm="1">
        <f t="array" ref="CV40">_xlfn.IFS(CV$3&lt;=YEAR($B$2),SUMPRODUCT(($E$4:$E$79=$E40)*($Z$2:$CG$2=CV$3)*($Z$2:$CG$2&lt;CW$3)*$Z$4:$CG$79),CV$3&lt;YEAR($X40),0,CV$3=YEAR($X40),DATEDIF($X40,DATE(CV$3,12,31),"m")*$Y40,AND(CV$3&gt;YEAR($X40),CV$3-YEAR($X40)&lt;20),$Y40*12,CV$3-YEAR($X40)=20,DATEDIF(DATE(YEAR($X40),1,1),$X40,"m")*$Y40,CV$3-YEAR($X40)&gt;20,0)</f>
        <v>21675</v>
      </c>
      <c r="CW40" s="202" cm="1">
        <f t="array" ref="CW40">_xlfn.IFS(CW$3&lt;=YEAR($B$2),SUMPRODUCT(($E$4:$E$79=$E40)*($Z$2:$CG$2=CW$3)*($Z$2:$CG$2&lt;CX$3)*$Z$4:$CG$79),CW$3&lt;YEAR($X40),0,CW$3=YEAR($X40),DATEDIF($X40,DATE(CW$3,12,31),"m")*$Y40,AND(CW$3&gt;YEAR($X40),CW$3-YEAR($X40)&lt;20),$Y40*12,CW$3-YEAR($X40)=20,DATEDIF(DATE(YEAR($X40),1,1),$X40,"m")*$Y40,CW$3-YEAR($X40)&gt;20,0)</f>
        <v>21675</v>
      </c>
      <c r="CX40" s="202" cm="1">
        <f t="array" ref="CX40">_xlfn.IFS(CX$3&lt;=YEAR($B$2),SUMPRODUCT(($E$4:$E$79=$E40)*($Z$2:$CG$2=CX$3)*($Z$2:$CG$2&lt;CY$3)*$Z$4:$CG$79),CX$3&lt;YEAR($X40),0,CX$3=YEAR($X40),DATEDIF($X40,DATE(CX$3,12,31),"m")*$Y40,AND(CX$3&gt;YEAR($X40),CX$3-YEAR($X40)&lt;20),$Y40*12,CX$3-YEAR($X40)=20,DATEDIF(DATE(YEAR($X40),1,1),$X40,"m")*$Y40,CX$3-YEAR($X40)&gt;20,0)</f>
        <v>21675</v>
      </c>
      <c r="CY40" s="202" cm="1">
        <f t="array" ref="CY40">_xlfn.IFS(CY$3&lt;=YEAR($B$2),SUMPRODUCT(($E$4:$E$79=$E40)*($Z$2:$CG$2=CY$3)*($Z$2:$CG$2&lt;CZ$3)*$Z$4:$CG$79),CY$3&lt;YEAR($X40),0,CY$3=YEAR($X40),DATEDIF($X40,DATE(CY$3,12,31),"m")*$Y40,AND(CY$3&gt;YEAR($X40),CY$3-YEAR($X40)&lt;20),$Y40*12,CY$3-YEAR($X40)=20,DATEDIF(DATE(YEAR($X40),1,1),$X40,"m")*$Y40,CY$3-YEAR($X40)&gt;20,0)</f>
        <v>21675</v>
      </c>
      <c r="CZ40" s="202" cm="1">
        <f t="array" ref="CZ40">_xlfn.IFS(CZ$3&lt;=YEAR($B$2),SUMPRODUCT(($E$4:$E$79=$E40)*($Z$2:$CG$2=CZ$3)*($Z$2:$CG$2&lt;DA$3)*$Z$4:$CG$79),CZ$3&lt;YEAR($X40),0,CZ$3=YEAR($X40),DATEDIF($X40,DATE(CZ$3,12,31),"m")*$Y40,AND(CZ$3&gt;YEAR($X40),CZ$3-YEAR($X40)&lt;20),$Y40*12,CZ$3-YEAR($X40)=20,DATEDIF(DATE(YEAR($X40),1,1),$X40,"m")*$Y40,CZ$3-YEAR($X40)&gt;20,0)</f>
        <v>21675</v>
      </c>
      <c r="DA40" s="202" cm="1">
        <f t="array" ref="DA40">_xlfn.IFS(DA$3&lt;=YEAR($B$2),SUMPRODUCT(($E$4:$E$79=$E40)*($Z$2:$CG$2=DA$3)*($Z$2:$CG$2&lt;DB$3)*$Z$4:$CG$79),DA$3&lt;YEAR($X40),0,DA$3=YEAR($X40),DATEDIF($X40,DATE(DA$3,12,31),"m")*$Y40,AND(DA$3&gt;YEAR($X40),DA$3-YEAR($X40)&lt;20),$Y40*12,DA$3-YEAR($X40)=20,DATEDIF(DATE(YEAR($X40),1,1),$X40,"m")*$Y40,DA$3-YEAR($X40)&gt;20,0)</f>
        <v>21675</v>
      </c>
      <c r="DB40" s="202" cm="1">
        <f t="array" ref="DB40">_xlfn.IFS(DB$3&lt;=YEAR($B$2),SUMPRODUCT(($E$4:$E$79=$E40)*($Z$2:$CG$2=DB$3)*($Z$2:$CG$2&lt;DC$3)*$Z$4:$CG$79),DB$3&lt;YEAR($X40),0,DB$3=YEAR($X40),DATEDIF($X40,DATE(DB$3,12,31),"m")*$Y40,AND(DB$3&gt;YEAR($X40),DB$3-YEAR($X40)&lt;20),$Y40*12,DB$3-YEAR($X40)=20,DATEDIF(DATE(YEAR($X40),1,1),$X40,"m")*$Y40,DB$3-YEAR($X40)&gt;20,0)</f>
        <v>21675</v>
      </c>
      <c r="DC40" s="202" cm="1">
        <f t="array" ref="DC40">_xlfn.IFS(DC$3&lt;=YEAR($B$2),SUMPRODUCT(($E$4:$E$79=$E40)*($Z$2:$CG$2=DC$3)*($Z$2:$CG$2&lt;DD$3)*$Z$4:$CG$79),DC$3&lt;YEAR($X40),0,DC$3=YEAR($X40),DATEDIF($X40,DATE(DC$3,12,31),"m")*$Y40,AND(DC$3&gt;YEAR($X40),DC$3-YEAR($X40)&lt;20),$Y40*12,DC$3-YEAR($X40)=20,DATEDIF(DATE(YEAR($X40),1,1),$X40,"m")*$Y40,DC$3-YEAR($X40)&gt;20,0)</f>
        <v>21675</v>
      </c>
      <c r="DD40" s="202" cm="1">
        <f t="array" ref="DD40">_xlfn.IFS(DD$3&lt;=YEAR($B$2),SUMPRODUCT(($E$4:$E$79=$E40)*($Z$2:$CG$2=DD$3)*($Z$2:$CG$2&lt;DE$3)*$Z$4:$CG$79),DD$3&lt;YEAR($X40),0,DD$3=YEAR($X40),DATEDIF($X40,DATE(DD$3,12,31),"m")*$Y40,AND(DD$3&gt;YEAR($X40),DD$3-YEAR($X40)&lt;20),$Y40*12,DD$3-YEAR($X40)=20,DATEDIF(DATE(YEAR($X40),1,1),$X40,"m")*$Y40,DD$3-YEAR($X40)&gt;20,0)</f>
        <v>21675</v>
      </c>
      <c r="DE40" s="202" cm="1">
        <f t="array" ref="DE40">_xlfn.IFS(DE$3&lt;=YEAR($B$2),SUMPRODUCT(($E$4:$E$79=$E40)*($Z$2:$CG$2=DE$3)*($Z$2:$CG$2&lt;DF$3)*$Z$4:$CG$79),DE$3&lt;YEAR($X40),0,DE$3=YEAR($X40),DATEDIF($X40,DATE(DE$3,12,31),"m")*$Y40,AND(DE$3&gt;YEAR($X40),DE$3-YEAR($X40)&lt;20),$Y40*12,DE$3-YEAR($X40)=20,DATEDIF(DATE(YEAR($X40),1,1),$X40,"m")*$Y40,DE$3-YEAR($X40)&gt;20,0)</f>
        <v>21675</v>
      </c>
      <c r="DF40" s="202" cm="1">
        <f t="array" ref="DF40">_xlfn.IFS(DF$3&lt;=YEAR($B$2),SUMPRODUCT(($E$4:$E$79=$E40)*($Z$2:$CG$2=DF$3)*($Z$2:$CG$2&lt;DG$3)*$Z$4:$CG$79),DF$3&lt;YEAR($X40),0,DF$3=YEAR($X40),DATEDIF($X40,DATE(DF$3,12,31),"m")*$Y40,AND(DF$3&gt;YEAR($X40),DF$3-YEAR($X40)&lt;20),$Y40*12,DF$3-YEAR($X40)=20,DATEDIF(DATE(YEAR($X40),1,1),$X40,"m")*$Y40,DF$3-YEAR($X40)&gt;20,0)</f>
        <v>21675</v>
      </c>
      <c r="DG40" s="202" cm="1">
        <f t="array" ref="DG40">_xlfn.IFS(DG$3&lt;=YEAR($B$2),SUMPRODUCT(($E$4:$E$79=$E40)*($Z$2:$CG$2=DG$3)*($Z$2:$CG$2&lt;DH$3)*$Z$4:$CG$79),DG$3&lt;YEAR($X40),0,DG$3=YEAR($X40),DATEDIF($X40,DATE(DG$3,12,31),"m")*$Y40,AND(DG$3&gt;YEAR($X40),DG$3-YEAR($X40)&lt;20),$Y40*12,DG$3-YEAR($X40)=20,DATEDIF(DATE(YEAR($X40),1,1),$X40,"m")*$Y40,DG$3-YEAR($X40)&gt;20,0)</f>
        <v>1806.25</v>
      </c>
      <c r="DH40" s="202" cm="1">
        <f t="array" ref="DH40">_xlfn.IFS(DH$3&lt;=YEAR($B$2),SUMPRODUCT(($E$4:$E$79=$E40)*($Z$2:$CG$2=DH$3)*($Z$2:$CG$2&lt;DI$3)*$Z$4:$CG$79),DH$3&lt;YEAR($X40),0,DH$3=YEAR($X40),DATEDIF($X40,DATE(DH$3,12,31),"m")*$Y40,AND(DH$3&gt;YEAR($X40),DH$3-YEAR($X40)&lt;20),$Y40*12,DH$3-YEAR($X40)=20,DATEDIF(DATE(YEAR($X40),1,1),$X40,"m")*$Y40,DH$3-YEAR($X40)&gt;20,0)</f>
        <v>0</v>
      </c>
      <c r="DI40" s="202" cm="1">
        <f t="array" ref="DI40">_xlfn.IFS(DI$3&lt;=YEAR($B$2),SUMPRODUCT(($E$4:$E$79=$E40)*($Z$2:$CG$2=DI$3)*($Z$2:$CG$2&lt;DJ$3)*$Z$4:$CG$79),DI$3&lt;YEAR($X40),0,DI$3=YEAR($X40),DATEDIF($X40,DATE(DI$3,12,31),"m")*$Y40,AND(DI$3&gt;YEAR($X40),DI$3-YEAR($X40)&lt;20),$Y40*12,DI$3-YEAR($X40)=20,DATEDIF(DATE(YEAR($X40),1,1),$X40,"m")*$Y40,DI$3-YEAR($X40)&gt;20,0)</f>
        <v>0</v>
      </c>
      <c r="DJ40" s="202" cm="1">
        <f t="array" ref="DJ40">_xlfn.IFS(DJ$3&lt;=YEAR($B$2),SUMPRODUCT(($E$4:$E$79=$E40)*($Z$2:$CG$2=DJ$3)*($Z$2:$CG$2&lt;DK$3)*$Z$4:$CG$79),DJ$3&lt;YEAR($X40),0,DJ$3=YEAR($X40),DATEDIF($X40,DATE(DJ$3,12,31),"m")*$Y40,AND(DJ$3&gt;YEAR($X40),DJ$3-YEAR($X40)&lt;20),$Y40*12,DJ$3-YEAR($X40)=20,DATEDIF(DATE(YEAR($X40),1,1),$X40,"m")*$Y40,DJ$3-YEAR($X40)&gt;20,0)</f>
        <v>0</v>
      </c>
      <c r="DK40" s="202" cm="1">
        <f t="array" ref="DK40">_xlfn.IFS(DK$3&lt;=YEAR($B$2),SUMPRODUCT(($E$4:$E$79=$E40)*($Z$2:$CG$2=DK$3)*($Z$2:$CG$2&lt;DL$3)*$Z$4:$CG$79),DK$3&lt;YEAR($X40),0,DK$3=YEAR($X40),DATEDIF($X40,DATE(DK$3,12,31),"m")*$Y40,AND(DK$3&gt;YEAR($X40),DK$3-YEAR($X40)&lt;20),$Y40*12,DK$3-YEAR($X40)=20,DATEDIF(DATE(YEAR($X40),1,1),$X40,"m")*$Y40,DK$3-YEAR($X40)&gt;20,0)</f>
        <v>0</v>
      </c>
      <c r="DL40" s="202" cm="1">
        <f t="array" ref="DL40">_xlfn.IFS(DL$3&lt;=YEAR($B$2),SUMPRODUCT(($E$4:$E$79=$E40)*($Z$2:$CG$2=DL$3)*($Z$2:$CG$2&lt;DM$3)*$Z$4:$CG$79),DL$3&lt;YEAR($X40),0,DL$3=YEAR($X40),DATEDIF($X40,DATE(DL$3,12,31),"m")*$Y40,AND(DL$3&gt;YEAR($X40),DL$3-YEAR($X40)&lt;20),$Y40*12,DL$3-YEAR($X40)=20,DATEDIF(DATE(YEAR($X40),1,1),$X40,"m")*$Y40,DL$3-YEAR($X40)&gt;20,0)</f>
        <v>0</v>
      </c>
      <c r="DO40" s="166">
        <f t="shared" si="26"/>
        <v>2049</v>
      </c>
      <c r="DP40" s="158">
        <v>0</v>
      </c>
      <c r="DQ40" s="158">
        <v>0</v>
      </c>
      <c r="DR40" s="158">
        <v>0</v>
      </c>
      <c r="DS40" s="158">
        <f t="shared" ref="DS40:DS41" si="32">SUM(DP40:DR40)</f>
        <v>0</v>
      </c>
    </row>
    <row r="41" spans="1:123">
      <c r="A41" s="155" t="str" cm="1">
        <f t="array" ref="A41">INDEX('Monthly Report July 2025'!C:C,MATCH(E41,'Monthly Report July 2025'!E:E,0),0)</f>
        <v>SPQ0093</v>
      </c>
      <c r="B41" s="155" t="str" cm="1">
        <f t="array" ref="B41">_xlfn.IFS(LEFT(E41,3)="PGE","PGE",LEFT(E41,2)="PP","PAC",TRUE,"IP")</f>
        <v>PGE</v>
      </c>
      <c r="C41" s="155" t="str">
        <f>IF(ISNA(MATCH(E41,'Monthly Report July 2025'!E:E,0)),"Missing","Present")</f>
        <v>Present</v>
      </c>
      <c r="D41" s="155" t="str">
        <f>IF(ISNA(MATCH(E41,'Project Operational Timelines'!C:C,0))=TRUE,"Missing","Present")</f>
        <v>Present</v>
      </c>
      <c r="E41" s="155" t="s">
        <v>149</v>
      </c>
      <c r="F41" s="155" t="str" cm="1">
        <f t="array" ref="F41">INDEX('Monthly Report July 2025'!F:F,MATCH(E41,'Monthly Report July 2025'!E:E,),0)</f>
        <v>Marquam Creek Solar LLC</v>
      </c>
      <c r="G41" s="155" t="str" cm="1">
        <f t="array" ref="G41">_xlfn.IFS(INDEX('Monthly Report July 2025'!O:O,MATCH(E41,'Monthly Report July 2025'!E:E,0),0)="Operational","Operational",INDEX('Monthly Report July 2025'!O:O,MATCH(E41,'Monthly Report July 2025'!E:E,0),0)="Certified","Certified",TRUE,"Pre-Certified")</f>
        <v>Operational</v>
      </c>
      <c r="H41" s="155" t="str" cm="1">
        <f t="array" ref="H41">INDEX('Monthly Report July 2025'!H:H,MATCH($E41,'Monthly Report July 2025'!$E:$E,0),0)</f>
        <v>Greenkey Solar</v>
      </c>
      <c r="I41" s="155" t="str" cm="1">
        <f t="array" ref="I41">INDEX('Monthly Report July 2025'!I:I,MATCH($E41,'Monthly Report July 2025'!$E:$E,0),0)</f>
        <v>Luminace</v>
      </c>
      <c r="J41" s="174" cm="1">
        <f t="array" ref="J41">INDEX('Monthly Report July 2025'!J:J,MATCH($E41,'Monthly Report July 2025'!$E:$E,0),0)</f>
        <v>2</v>
      </c>
      <c r="K41" s="174" t="str" cm="1">
        <f t="array" ref="K41">INDEX('Monthly Report July 2025'!K:K,MATCH($E41,'Monthly Report July 2025'!$E:$E,0),0)</f>
        <v>No</v>
      </c>
      <c r="L41" s="174" t="b" cm="1">
        <f t="array" ref="L41">INDEX('Monthly Report July 2025'!L:L,MATCH(E41,'Monthly Report July 2025'!E:E,0),0)=M41</f>
        <v>1</v>
      </c>
      <c r="M41" s="273" cm="1">
        <f t="array" ref="M41">INDEX('Monthly Report July 2025'!L:L,MATCH($E41,'Monthly Report July 2025'!$E:$E,0),0)</f>
        <v>1900</v>
      </c>
      <c r="N41" s="175" cm="1">
        <f t="array" ref="N41">INDEX('Monthly Report July 2025'!M:M,MATCH($E41,'Monthly Report July 2025'!$E:$E,0),0)</f>
        <v>44666</v>
      </c>
      <c r="O41" s="175" t="str" cm="1">
        <f t="array" ref="O41">_xlfn.IFS(G41="Operational","Operational",G41="Certified","Certified",TRUE,INDEX('Monthly Report July 2025'!O:O,MATCH(E41,'Monthly Report July 2025'!E:E,0),0))</f>
        <v>Operational</v>
      </c>
      <c r="P41" s="175" t="b" cm="1">
        <f t="array" ref="P41">_xlfn.IFS(G41="Operational",O41="Operational",G41="Certified",O41="Certified",TRUE,G41="Pre-Certified")</f>
        <v>1</v>
      </c>
      <c r="Q41" s="175" cm="1">
        <f t="array" ref="Q41">IF(O41="Operational",INDEX('Monthly Report July 2025'!R:R,MATCH(E41,'Monthly Report July 2025'!E:E,0),0),"")</f>
        <v>45642</v>
      </c>
      <c r="R41" s="175" cm="1">
        <f t="array" ref="R41">INDEX('Monthly Report July 2025'!P:P,MATCH(E41,'Monthly Report July 2025'!E:E,0),0)</f>
        <v>45637</v>
      </c>
      <c r="S41" s="175" t="b">
        <f t="shared" si="28"/>
        <v>1</v>
      </c>
      <c r="T41" s="175" cm="1">
        <f t="array" ref="T41">INDEX('Monthly Report July 2025'!U:U,MATCH(E41,'Monthly Report July 2025'!E:E,0),0)</f>
        <v>45535</v>
      </c>
      <c r="U41" s="175" t="str">
        <f t="shared" si="6"/>
        <v>IGNORE</v>
      </c>
      <c r="V41" s="156">
        <f t="shared" si="29"/>
        <v>45637</v>
      </c>
      <c r="W41" s="156" cm="1">
        <f t="array" ref="W41">_xlfn.IFS(U41=TRUE,EDATE(O41,6),U41=FALSE,T41,O41="Operational",Q41,AND(O41="Certified",EDATE(R41,6)&gt;T41),EDATE(R41,6),TRUE,T41)</f>
        <v>45642</v>
      </c>
      <c r="X41" s="156">
        <f t="shared" si="30"/>
        <v>45704</v>
      </c>
      <c r="Y41" s="157">
        <f t="shared" si="31"/>
        <v>1372.75</v>
      </c>
      <c r="Z41" s="202" cm="1">
        <f t="array" ref="Z41">_xlfn.IFS(Z$3&lt;$B$2,SUMPRODUCT(('PA Fees Actual'!$B$5:$B$882=$E41)*('PA Fees Actual'!$A$5:$A$882&gt;=Z$3)*('PA Fees Actual'!$A$5:$A$882&lt;=EOMONTH(Z$3,0))*'PA Fees Actual'!$D$5:$D$882),Z$3&gt;=EOMONTH($X41,-1)+1,$Y41,TRUE,0)</f>
        <v>0</v>
      </c>
      <c r="AA41" s="202" cm="1">
        <f t="array" ref="AA41">_xlfn.IFS(AA$3&lt;$B$2,SUMPRODUCT(('PA Fees Actual'!$B$5:$B$882=$E41)*('PA Fees Actual'!$A$5:$A$882&gt;=AA$3)*('PA Fees Actual'!$A$5:$A$882&lt;=EOMONTH(AA$3,0))*'PA Fees Actual'!$D$5:$D$882),AA$3&gt;=EOMONTH($X41,-1)+1,$Y41,TRUE,0)</f>
        <v>0</v>
      </c>
      <c r="AB41" s="202" cm="1">
        <f t="array" ref="AB41">_xlfn.IFS(AB$3&lt;$B$2,SUMPRODUCT(('PA Fees Actual'!$B$5:$B$882=$E41)*('PA Fees Actual'!$A$5:$A$882&gt;=AB$3)*('PA Fees Actual'!$A$5:$A$882&lt;=EOMONTH(AB$3,0))*'PA Fees Actual'!$D$5:$D$882),AB$3&gt;=EOMONTH($X41,-1)+1,$Y41,TRUE,0)</f>
        <v>0</v>
      </c>
      <c r="AC41" s="202" cm="1">
        <f t="array" ref="AC41">_xlfn.IFS(AC$3&lt;$B$2,SUMPRODUCT(('PA Fees Actual'!$B$5:$B$882=$E41)*('PA Fees Actual'!$A$5:$A$882&gt;=AC$3)*('PA Fees Actual'!$A$5:$A$882&lt;=EOMONTH(AC$3,0))*'PA Fees Actual'!$D$5:$D$882),AC$3&gt;=EOMONTH($X41,-1)+1,$Y41,TRUE,0)</f>
        <v>0</v>
      </c>
      <c r="AD41" s="202" cm="1">
        <f t="array" ref="AD41">_xlfn.IFS(AD$3&lt;$B$2,SUMPRODUCT(('PA Fees Actual'!$B$5:$B$882=$E41)*('PA Fees Actual'!$A$5:$A$882&gt;=AD$3)*('PA Fees Actual'!$A$5:$A$882&lt;=EOMONTH(AD$3,0))*'PA Fees Actual'!$D$5:$D$882),AD$3&gt;=EOMONTH($X41,-1)+1,$Y41,TRUE,0)</f>
        <v>0</v>
      </c>
      <c r="AE41" s="202" cm="1">
        <f t="array" ref="AE41">_xlfn.IFS(AE$3&lt;$B$2,SUMPRODUCT(('PA Fees Actual'!$B$5:$B$882=$E41)*('PA Fees Actual'!$A$5:$A$882&gt;=AE$3)*('PA Fees Actual'!$A$5:$A$882&lt;=EOMONTH(AE$3,0))*'PA Fees Actual'!$D$5:$D$882),AE$3&gt;=EOMONTH($X41,-1)+1,$Y41,TRUE,0)</f>
        <v>0</v>
      </c>
      <c r="AF41" s="202" cm="1">
        <f t="array" ref="AF41">_xlfn.IFS(AF$3&lt;$B$2,SUMPRODUCT(('PA Fees Actual'!$B$5:$B$882=$E41)*('PA Fees Actual'!$A$5:$A$882&gt;=AF$3)*('PA Fees Actual'!$A$5:$A$882&lt;=EOMONTH(AF$3,0))*'PA Fees Actual'!$D$5:$D$882),AF$3&gt;=EOMONTH($X41,-1)+1,$Y41,TRUE,0)</f>
        <v>0</v>
      </c>
      <c r="AG41" s="202" cm="1">
        <f t="array" ref="AG41">_xlfn.IFS(AG$3&lt;$B$2,SUMPRODUCT(('PA Fees Actual'!$B$5:$B$882=$E41)*('PA Fees Actual'!$A$5:$A$882&gt;=AG$3)*('PA Fees Actual'!$A$5:$A$882&lt;=EOMONTH(AG$3,0))*'PA Fees Actual'!$D$5:$D$882),AG$3&gt;=EOMONTH($X41,-1)+1,$Y41,TRUE,0)</f>
        <v>0</v>
      </c>
      <c r="AH41" s="202" cm="1">
        <f t="array" ref="AH41">_xlfn.IFS(AH$3&lt;$B$2,SUMPRODUCT(('PA Fees Actual'!$B$5:$B$882=$E41)*('PA Fees Actual'!$A$5:$A$882&gt;=AH$3)*('PA Fees Actual'!$A$5:$A$882&lt;=EOMONTH(AH$3,0))*'PA Fees Actual'!$D$5:$D$882),AH$3&gt;=EOMONTH($X41,-1)+1,$Y41,TRUE,0)</f>
        <v>0</v>
      </c>
      <c r="AI41" s="202" cm="1">
        <f t="array" ref="AI41">_xlfn.IFS(AI$3&lt;$B$2,SUMPRODUCT(('PA Fees Actual'!$B$5:$B$882=$E41)*('PA Fees Actual'!$A$5:$A$882&gt;=AI$3)*('PA Fees Actual'!$A$5:$A$882&lt;=EOMONTH(AI$3,0))*'PA Fees Actual'!$D$5:$D$882),AI$3&gt;=EOMONTH($X41,-1)+1,$Y41,TRUE,0)</f>
        <v>0</v>
      </c>
      <c r="AJ41" s="202" cm="1">
        <f t="array" ref="AJ41">_xlfn.IFS(AJ$3&lt;$B$2,SUMPRODUCT(('PA Fees Actual'!$B$5:$B$882=$E41)*('PA Fees Actual'!$A$5:$A$882&gt;=AJ$3)*('PA Fees Actual'!$A$5:$A$882&lt;=EOMONTH(AJ$3,0))*'PA Fees Actual'!$D$5:$D$882),AJ$3&gt;=EOMONTH($X41,-1)+1,$Y41,TRUE,0)</f>
        <v>0</v>
      </c>
      <c r="AK41" s="202" cm="1">
        <f t="array" ref="AK41">_xlfn.IFS(AK$3&lt;$B$2,SUMPRODUCT(('PA Fees Actual'!$B$5:$B$882=$E41)*('PA Fees Actual'!$A$5:$A$882&gt;=AK$3)*('PA Fees Actual'!$A$5:$A$882&lt;=EOMONTH(AK$3,0))*'PA Fees Actual'!$D$5:$D$882),AK$3&gt;=EOMONTH($X41,-1)+1,$Y41,TRUE,0)</f>
        <v>0</v>
      </c>
      <c r="AL41" s="202" cm="1">
        <f t="array" ref="AL41">_xlfn.IFS(AL$3&lt;$B$2,SUMPRODUCT(('PA Fees Actual'!$B$5:$B$882=$E41)*('PA Fees Actual'!$A$5:$A$882&gt;=AL$3)*('PA Fees Actual'!$A$5:$A$882&lt;=EOMONTH(AL$3,0))*'PA Fees Actual'!$D$5:$D$882),AL$3&gt;=EOMONTH($X41,-1)+1,$Y41,TRUE,0)</f>
        <v>0</v>
      </c>
      <c r="AM41" s="202" cm="1">
        <f t="array" ref="AM41">_xlfn.IFS(AM$3&lt;$B$2,SUMPRODUCT(('PA Fees Actual'!$B$5:$B$882=$E41)*('PA Fees Actual'!$A$5:$A$882&gt;=AM$3)*('PA Fees Actual'!$A$5:$A$882&lt;=EOMONTH(AM$3,0))*'PA Fees Actual'!$D$5:$D$882),AM$3&gt;=EOMONTH($X41,-1)+1,$Y41,TRUE,0)</f>
        <v>0</v>
      </c>
      <c r="AN41" s="202" cm="1">
        <f t="array" ref="AN41">_xlfn.IFS(AN$3&lt;$B$2,SUMPRODUCT(('PA Fees Actual'!$B$5:$B$882=$E41)*('PA Fees Actual'!$A$5:$A$882&gt;=AN$3)*('PA Fees Actual'!$A$5:$A$882&lt;=EOMONTH(AN$3,0))*'PA Fees Actual'!$D$5:$D$882),AN$3&gt;=EOMONTH($X41,-1)+1,$Y41,TRUE,0)</f>
        <v>0</v>
      </c>
      <c r="AO41" s="202" cm="1">
        <f t="array" ref="AO41">_xlfn.IFS(AO$3&lt;$B$2,SUMPRODUCT(('PA Fees Actual'!$B$5:$B$882=$E41)*('PA Fees Actual'!$A$5:$A$882&gt;=AO$3)*('PA Fees Actual'!$A$5:$A$882&lt;=EOMONTH(AO$3,0))*'PA Fees Actual'!$D$5:$D$882),AO$3&gt;=EOMONTH($X41,-1)+1,$Y41,TRUE,0)</f>
        <v>0</v>
      </c>
      <c r="AP41" s="202" cm="1">
        <f t="array" ref="AP41">_xlfn.IFS(AP$3&lt;$B$2,SUMPRODUCT(('PA Fees Actual'!$B$5:$B$882=$E41)*('PA Fees Actual'!$A$5:$A$882&gt;=AP$3)*('PA Fees Actual'!$A$5:$A$882&lt;=EOMONTH(AP$3,0))*'PA Fees Actual'!$D$5:$D$882),AP$3&gt;=EOMONTH($X41,-1)+1,$Y41,TRUE,0)</f>
        <v>0</v>
      </c>
      <c r="AQ41" s="202" cm="1">
        <f t="array" ref="AQ41">_xlfn.IFS(AQ$3&lt;$B$2,SUMPRODUCT(('PA Fees Actual'!$B$5:$B$882=$E41)*('PA Fees Actual'!$A$5:$A$882&gt;=AQ$3)*('PA Fees Actual'!$A$5:$A$882&lt;=EOMONTH(AQ$3,0))*'PA Fees Actual'!$D$5:$D$882),AQ$3&gt;=EOMONTH($X41,-1)+1,$Y41,TRUE,0)</f>
        <v>0</v>
      </c>
      <c r="AR41" s="202" cm="1">
        <f t="array" ref="AR41">_xlfn.IFS(AR$3&lt;$B$2,SUMPRODUCT(('PA Fees Actual'!$B$5:$B$882=$E41)*('PA Fees Actual'!$A$5:$A$882&gt;=AR$3)*('PA Fees Actual'!$A$5:$A$882&lt;=EOMONTH(AR$3,0))*'PA Fees Actual'!$D$5:$D$882),AR$3&gt;=EOMONTH($X41,-1)+1,$Y41,TRUE,0)</f>
        <v>0</v>
      </c>
      <c r="AS41" s="202" cm="1">
        <f t="array" ref="AS41">_xlfn.IFS(AS$3&lt;$B$2,SUMPRODUCT(('PA Fees Actual'!$B$5:$B$882=$E41)*('PA Fees Actual'!$A$5:$A$882&gt;=AS$3)*('PA Fees Actual'!$A$5:$A$882&lt;=EOMONTH(AS$3,0))*'PA Fees Actual'!$D$5:$D$882),AS$3&gt;=EOMONTH($X41,-1)+1,$Y41,TRUE,0)</f>
        <v>0</v>
      </c>
      <c r="AT41" s="202" cm="1">
        <f t="array" ref="AT41">_xlfn.IFS(AT$3&lt;$B$2,SUMPRODUCT(('PA Fees Actual'!$B$5:$B$882=$E41)*('PA Fees Actual'!$A$5:$A$882&gt;=AT$3)*('PA Fees Actual'!$A$5:$A$882&lt;=EOMONTH(AT$3,0))*'PA Fees Actual'!$D$5:$D$882),AT$3&gt;=EOMONTH($X41,-1)+1,$Y41,TRUE,0)</f>
        <v>0</v>
      </c>
      <c r="AU41" s="202" cm="1">
        <f t="array" ref="AU41">_xlfn.IFS(AU$3&lt;$B$2,SUMPRODUCT(('PA Fees Actual'!$B$5:$B$882=$E41)*('PA Fees Actual'!$A$5:$A$882&gt;=AU$3)*('PA Fees Actual'!$A$5:$A$882&lt;=EOMONTH(AU$3,0))*'PA Fees Actual'!$D$5:$D$882),AU$3&gt;=EOMONTH($X41,-1)+1,$Y41,TRUE,0)</f>
        <v>0</v>
      </c>
      <c r="AV41" s="202" cm="1">
        <f t="array" ref="AV41">_xlfn.IFS(AV$3&lt;$B$2,SUMPRODUCT(('PA Fees Actual'!$B$5:$B$882=$E41)*('PA Fees Actual'!$A$5:$A$882&gt;=AV$3)*('PA Fees Actual'!$A$5:$A$882&lt;=EOMONTH(AV$3,0))*'PA Fees Actual'!$D$5:$D$882),AV$3&gt;=EOMONTH($X41,-1)+1,$Y41,TRUE,0)</f>
        <v>0</v>
      </c>
      <c r="AW41" s="202" cm="1">
        <f t="array" ref="AW41">_xlfn.IFS(AW$3&lt;$B$2,SUMPRODUCT(('PA Fees Actual'!$B$5:$B$882=$E41)*('PA Fees Actual'!$A$5:$A$882&gt;=AW$3)*('PA Fees Actual'!$A$5:$A$882&lt;=EOMONTH(AW$3,0))*'PA Fees Actual'!$D$5:$D$882),AW$3&gt;=EOMONTH($X41,-1)+1,$Y41,TRUE,0)</f>
        <v>0</v>
      </c>
      <c r="AX41" s="202" cm="1">
        <f t="array" ref="AX41">_xlfn.IFS(AX$3&lt;$B$2,SUMPRODUCT(('PA Fees Actual'!$B$5:$B$882=$E41)*('PA Fees Actual'!$A$5:$A$882&gt;=AX$3)*('PA Fees Actual'!$A$5:$A$882&lt;=EOMONTH(AX$3,0))*'PA Fees Actual'!$D$5:$D$882),AX$3&gt;=EOMONTH($X41,-1)+1,$Y41,TRUE,0)</f>
        <v>0</v>
      </c>
      <c r="AY41" s="202" cm="1">
        <f t="array" ref="AY41">_xlfn.IFS(AY$3&lt;$B$2,SUMPRODUCT(('PA Fees Actual'!$B$5:$B$882=$E41)*('PA Fees Actual'!$A$5:$A$882&gt;=AY$3)*('PA Fees Actual'!$A$5:$A$882&lt;=EOMONTH(AY$3,0))*'PA Fees Actual'!$D$5:$D$882),AY$3&gt;=EOMONTH($X41,-1)+1,$Y41,TRUE,0)</f>
        <v>0</v>
      </c>
      <c r="AZ41" s="202" cm="1">
        <f t="array" ref="AZ41">_xlfn.IFS(AZ$3&lt;$B$2,SUMPRODUCT(('PA Fees Actual'!$B$5:$B$882=$E41)*('PA Fees Actual'!$A$5:$A$882&gt;=AZ$3)*('PA Fees Actual'!$A$5:$A$882&lt;=EOMONTH(AZ$3,0))*'PA Fees Actual'!$D$5:$D$882),AZ$3&gt;=EOMONTH($X41,-1)+1,$Y41,TRUE,0)</f>
        <v>0</v>
      </c>
      <c r="BA41" s="202" cm="1">
        <f t="array" ref="BA41">_xlfn.IFS(BA$3&lt;$B$2,SUMPRODUCT(('PA Fees Actual'!$B$5:$B$882=$E41)*('PA Fees Actual'!$A$5:$A$882&gt;=BA$3)*('PA Fees Actual'!$A$5:$A$882&lt;=EOMONTH(BA$3,0))*'PA Fees Actual'!$D$5:$D$882),BA$3&gt;=EOMONTH($X41,-1)+1,$Y41,TRUE,0)</f>
        <v>0</v>
      </c>
      <c r="BB41" s="202" cm="1">
        <f t="array" ref="BB41">_xlfn.IFS(BB$3&lt;$B$2,SUMPRODUCT(('PA Fees Actual'!$B$5:$B$882=$E41)*('PA Fees Actual'!$A$5:$A$882&gt;=BB$3)*('PA Fees Actual'!$A$5:$A$882&lt;=EOMONTH(BB$3,0))*'PA Fees Actual'!$D$5:$D$882),BB$3&gt;=EOMONTH($X41,-1)+1,$Y41,TRUE,0)</f>
        <v>0</v>
      </c>
      <c r="BC41" s="202" cm="1">
        <f t="array" ref="BC41">_xlfn.IFS(BC$3&lt;$B$2,SUMPRODUCT(('PA Fees Actual'!$B$5:$B$882=$E41)*('PA Fees Actual'!$A$5:$A$882&gt;=BC$3)*('PA Fees Actual'!$A$5:$A$882&lt;=EOMONTH(BC$3,0))*'PA Fees Actual'!$D$5:$D$882),BC$3&gt;=EOMONTH($X41,-1)+1,$Y41,TRUE,0)</f>
        <v>0</v>
      </c>
      <c r="BD41" s="202" cm="1">
        <f t="array" ref="BD41">_xlfn.IFS(BD$3&lt;$B$2,SUMPRODUCT(('PA Fees Actual'!$B$5:$B$882=$E41)*('PA Fees Actual'!$A$5:$A$882&gt;=BD$3)*('PA Fees Actual'!$A$5:$A$882&lt;=EOMONTH(BD$3,0))*'PA Fees Actual'!$D$5:$D$882),BD$3&gt;=EOMONTH($X41,-1)+1,$Y41,TRUE,0)</f>
        <v>0</v>
      </c>
      <c r="BE41" s="202" cm="1">
        <f t="array" ref="BE41">_xlfn.IFS(BE$3&lt;$B$2,SUMPRODUCT(('PA Fees Actual'!$B$5:$B$882=$E41)*('PA Fees Actual'!$A$5:$A$882&gt;=BE$3)*('PA Fees Actual'!$A$5:$A$882&lt;=EOMONTH(BE$3,0))*'PA Fees Actual'!$D$5:$D$882),BE$3&gt;=EOMONTH($X41,-1)+1,$Y41,TRUE,0)</f>
        <v>0</v>
      </c>
      <c r="BF41" s="202" cm="1">
        <f t="array" ref="BF41">_xlfn.IFS(BF$3&lt;$B$2,SUMPRODUCT(('PA Fees Actual'!$B$5:$B$882=$E41)*('PA Fees Actual'!$A$5:$A$882&gt;=BF$3)*('PA Fees Actual'!$A$5:$A$882&lt;=EOMONTH(BF$3,0))*'PA Fees Actual'!$D$5:$D$882),BF$3&gt;=EOMONTH($X41,-1)+1,$Y41,TRUE,0)</f>
        <v>0</v>
      </c>
      <c r="BG41" s="202" cm="1">
        <f t="array" ref="BG41">_xlfn.IFS(BG$3&lt;$B$2,SUMPRODUCT(('PA Fees Actual'!$B$5:$B$882=$E41)*('PA Fees Actual'!$A$5:$A$882&gt;=BG$3)*('PA Fees Actual'!$A$5:$A$882&lt;=EOMONTH(BG$3,0))*'PA Fees Actual'!$D$5:$D$882),BG$3&gt;=EOMONTH($X41,-1)+1,$Y41,TRUE,0)</f>
        <v>0</v>
      </c>
      <c r="BH41" s="202" cm="1">
        <f t="array" ref="BH41">_xlfn.IFS(BH$3&lt;$B$2,SUMPRODUCT(('PA Fees Actual'!$B$5:$B$882=$E41)*('PA Fees Actual'!$A$5:$A$882&gt;=BH$3)*('PA Fees Actual'!$A$5:$A$882&lt;=EOMONTH(BH$3,0))*'PA Fees Actual'!$D$5:$D$882),BH$3&gt;=EOMONTH($X41,-1)+1,$Y41,TRUE,0)</f>
        <v>0</v>
      </c>
      <c r="BI41" s="202" cm="1">
        <f t="array" ref="BI41">_xlfn.IFS(BI$3&lt;$B$2,SUMPRODUCT(('PA Fees Actual'!$B$5:$B$882=$E41)*('PA Fees Actual'!$A$5:$A$882&gt;=BI$3)*('PA Fees Actual'!$A$5:$A$882&lt;=EOMONTH(BI$3,0))*'PA Fees Actual'!$D$5:$D$882),BI$3&gt;=EOMONTH($X41,-1)+1,$Y41,TRUE,0)</f>
        <v>0</v>
      </c>
      <c r="BJ41" s="202" cm="1">
        <f t="array" ref="BJ41">_xlfn.IFS(BJ$3&lt;$B$2,SUMPRODUCT(('PA Fees Actual'!$B$5:$B$882=$E41)*('PA Fees Actual'!$A$5:$A$882&gt;=BJ$3)*('PA Fees Actual'!$A$5:$A$882&lt;=EOMONTH(BJ$3,0))*'PA Fees Actual'!$D$5:$D$882),BJ$3&gt;=EOMONTH($X41,-1)+1,$Y41,TRUE,0)</f>
        <v>0</v>
      </c>
      <c r="BK41" s="202" cm="1">
        <f t="array" ref="BK41">_xlfn.IFS(BK$3&lt;$B$2,SUMPRODUCT(('PA Fees Actual'!$B$5:$B$882=$E41)*('PA Fees Actual'!$A$5:$A$882&gt;=BK$3)*('PA Fees Actual'!$A$5:$A$882&lt;=EOMONTH(BK$3,0))*'PA Fees Actual'!$D$5:$D$882),BK$3&gt;=EOMONTH($X41,-1)+1,$Y41,TRUE,0)</f>
        <v>0</v>
      </c>
      <c r="BL41" s="202" cm="1">
        <f t="array" ref="BL41">_xlfn.IFS(BL$3&lt;$B$2,SUMPRODUCT(('PA Fees Actual'!$B$5:$B$882=$E41)*('PA Fees Actual'!$A$5:$A$882&gt;=BL$3)*('PA Fees Actual'!$A$5:$A$882&lt;=EOMONTH(BL$3,0))*'PA Fees Actual'!$D$5:$D$882),BL$3&gt;=EOMONTH($X41,-1)+1,$Y41,TRUE,0)</f>
        <v>0</v>
      </c>
      <c r="BM41" s="202" cm="1">
        <f t="array" ref="BM41">_xlfn.IFS(BM$3&lt;$B$2,SUMPRODUCT(('PA Fees Actual'!$B$5:$B$882=$E41)*('PA Fees Actual'!$A$5:$A$882&gt;=BM$3)*('PA Fees Actual'!$A$5:$A$882&lt;=EOMONTH(BM$3,0))*'PA Fees Actual'!$D$5:$D$882),BM$3&gt;=EOMONTH($X41,-1)+1,$Y41,TRUE,0)</f>
        <v>0</v>
      </c>
      <c r="BN41" s="202" cm="1">
        <f t="array" ref="BN41">_xlfn.IFS(BN$3&lt;$B$2,SUMPRODUCT(('PA Fees Actual'!$B$5:$B$882=$E41)*('PA Fees Actual'!$A$5:$A$882&gt;=BN$3)*('PA Fees Actual'!$A$5:$A$882&lt;=EOMONTH(BN$3,0))*'PA Fees Actual'!$D$5:$D$882),BN$3&gt;=EOMONTH($X41,-1)+1,$Y41,TRUE,0)</f>
        <v>0</v>
      </c>
      <c r="BO41" s="202" cm="1">
        <f t="array" ref="BO41">_xlfn.IFS(BO$3&lt;$B$2,SUMPRODUCT(('PA Fees Actual'!$B$5:$B$882=$E41)*('PA Fees Actual'!$A$5:$A$882&gt;=BO$3)*('PA Fees Actual'!$A$5:$A$882&lt;=EOMONTH(BO$3,0))*'PA Fees Actual'!$D$5:$D$882),BO$3&gt;=EOMONTH($X41,-1)+1,$Y41,TRUE,0)</f>
        <v>0</v>
      </c>
      <c r="BP41" s="202" cm="1">
        <f t="array" ref="BP41">_xlfn.IFS(BP$3&lt;$B$2,SUMPRODUCT(('PA Fees Actual'!$B$5:$B$882=$E41)*('PA Fees Actual'!$A$5:$A$882&gt;=BP$3)*('PA Fees Actual'!$A$5:$A$882&lt;=EOMONTH(BP$3,0))*'PA Fees Actual'!$D$5:$D$882),BP$3&gt;=EOMONTH($X41,-1)+1,$Y41,TRUE,0)</f>
        <v>0</v>
      </c>
      <c r="BQ41" s="202" cm="1">
        <f t="array" ref="BQ41">_xlfn.IFS(BQ$3&lt;$B$2,SUMPRODUCT(('PA Fees Actual'!$B$5:$B$882=$E41)*('PA Fees Actual'!$A$5:$A$882&gt;=BQ$3)*('PA Fees Actual'!$A$5:$A$882&lt;=EOMONTH(BQ$3,0))*'PA Fees Actual'!$D$5:$D$882),BQ$3&gt;=EOMONTH($X41,-1)+1,$Y41,TRUE,0)</f>
        <v>0</v>
      </c>
      <c r="BR41" s="202" cm="1">
        <f t="array" ref="BR41">_xlfn.IFS(BR$3&lt;$B$2,SUMPRODUCT(('PA Fees Actual'!$B$5:$B$882=$E41)*('PA Fees Actual'!$A$5:$A$882&gt;=BR$3)*('PA Fees Actual'!$A$5:$A$882&lt;=EOMONTH(BR$3,0))*'PA Fees Actual'!$D$5:$D$882),BR$3&gt;=EOMONTH($X41,-1)+1,$Y41,TRUE,0)</f>
        <v>0</v>
      </c>
      <c r="BS41" s="202" cm="1">
        <f t="array" ref="BS41">_xlfn.IFS(BS$3&lt;$B$2,SUMPRODUCT(('PA Fees Actual'!$B$5:$B$882=$E41)*('PA Fees Actual'!$A$5:$A$882&gt;=BS$3)*('PA Fees Actual'!$A$5:$A$882&lt;=EOMONTH(BS$3,0))*'PA Fees Actual'!$D$5:$D$882),BS$3&gt;=EOMONTH($X41,-1)+1,$Y41,TRUE,0)</f>
        <v>0</v>
      </c>
      <c r="BT41" s="202" cm="1">
        <f t="array" ref="BT41">_xlfn.IFS(BT$3&lt;$B$2,SUMPRODUCT(('PA Fees Actual'!$B$5:$B$882=$E41)*('PA Fees Actual'!$A$5:$A$882&gt;=BT$3)*('PA Fees Actual'!$A$5:$A$882&lt;=EOMONTH(BT$3,0))*'PA Fees Actual'!$D$5:$D$882),BT$3&gt;=EOMONTH($X41,-1)+1,$Y41,TRUE,0)</f>
        <v>0</v>
      </c>
      <c r="BU41" s="202" cm="1">
        <f t="array" ref="BU41">_xlfn.IFS(BU$3&lt;$B$2,SUMPRODUCT(('PA Fees Actual'!$B$5:$B$882=$E41)*('PA Fees Actual'!$A$5:$A$882&gt;=BU$3)*('PA Fees Actual'!$A$5:$A$882&lt;=EOMONTH(BU$3,0))*'PA Fees Actual'!$D$5:$D$882),BU$3&gt;=EOMONTH($X41,-1)+1,$Y41,TRUE,0)</f>
        <v>0</v>
      </c>
      <c r="BV41" s="202" cm="1">
        <f t="array" ref="BV41">_xlfn.IFS(BV$3&lt;$B$2,SUMPRODUCT(('PA Fees Actual'!$B$5:$B$882=$E41)*('PA Fees Actual'!$A$5:$A$882&gt;=BV$3)*('PA Fees Actual'!$A$5:$A$882&lt;=EOMONTH(BV$3,0))*'PA Fees Actual'!$D$5:$D$882),BV$3&gt;=EOMONTH($X41,-1)+1,$Y41,TRUE,0)</f>
        <v>8.57</v>
      </c>
      <c r="BW41" s="202" cm="1">
        <f t="array" ref="BW41">_xlfn.IFS(BW$3&lt;$B$2,SUMPRODUCT(('PA Fees Actual'!$B$5:$B$882=$E41)*('PA Fees Actual'!$A$5:$A$882&gt;=BW$3)*('PA Fees Actual'!$A$5:$A$882&lt;=EOMONTH(BW$3,0))*'PA Fees Actual'!$D$5:$D$882),BW$3&gt;=EOMONTH($X41,-1)+1,$Y41,TRUE,0)</f>
        <v>79.510000000000005</v>
      </c>
      <c r="BX41" s="202" cm="1">
        <f t="array" ref="BX41">_xlfn.IFS(BX$3&lt;$B$2,SUMPRODUCT(('PA Fees Actual'!$B$5:$B$882=$E41)*('PA Fees Actual'!$A$5:$A$882&gt;=BX$3)*('PA Fees Actual'!$A$5:$A$882&lt;=EOMONTH(BX$3,0))*'PA Fees Actual'!$D$5:$D$882),BX$3&gt;=EOMONTH($X41,-1)+1,$Y41,TRUE,0)</f>
        <v>380.7299999999999</v>
      </c>
      <c r="BY41" s="202" cm="1">
        <f t="array" ref="BY41">_xlfn.IFS(BY$3&lt;$B$2,SUMPRODUCT(('PA Fees Actual'!$B$5:$B$882=$E41)*('PA Fees Actual'!$A$5:$A$882&gt;=BY$3)*('PA Fees Actual'!$A$5:$A$882&lt;=EOMONTH(BY$3,0))*'PA Fees Actual'!$D$5:$D$882),BY$3&gt;=EOMONTH($X41,-1)+1,$Y41,TRUE,0)</f>
        <v>111.31</v>
      </c>
      <c r="BZ41" s="202" cm="1">
        <f t="array" ref="BZ41">_xlfn.IFS(BZ$3&lt;$B$2,SUMPRODUCT(('PA Fees Actual'!$B$5:$B$882=$E41)*('PA Fees Actual'!$A$5:$A$882&gt;=BZ$3)*('PA Fees Actual'!$A$5:$A$882&lt;=EOMONTH(BZ$3,0))*'PA Fees Actual'!$D$5:$D$882),BZ$3&gt;=EOMONTH($X41,-1)+1,$Y41,TRUE,0)</f>
        <v>3975.3700000000003</v>
      </c>
      <c r="CA41" s="202" cm="1">
        <f t="array" ref="CA41">_xlfn.IFS(CA$3&lt;$B$2,SUMPRODUCT(('PA Fees Actual'!$B$5:$B$882=$E41)*('PA Fees Actual'!$A$5:$A$882&gt;=CA$3)*('PA Fees Actual'!$A$5:$A$882&lt;=EOMONTH(CA$3,0))*'PA Fees Actual'!$D$5:$D$882),CA$3&gt;=EOMONTH($X41,-1)+1,$Y41,TRUE,0)</f>
        <v>692.32</v>
      </c>
      <c r="CB41" s="202" cm="1">
        <f t="array" ref="CB41">_xlfn.IFS(CB$3&lt;$B$2,SUMPRODUCT(('PA Fees Actual'!$B$5:$B$882=$E41)*('PA Fees Actual'!$A$5:$A$882&gt;=CB$3)*('PA Fees Actual'!$A$5:$A$882&lt;=EOMONTH(CB$3,0))*'PA Fees Actual'!$D$5:$D$882),CB$3&gt;=EOMONTH($X41,-1)+1,$Y41,TRUE,0)</f>
        <v>1372.75</v>
      </c>
      <c r="CC41" s="202" cm="1">
        <f t="array" ref="CC41">_xlfn.IFS(CC$3&lt;$B$2,SUMPRODUCT(('PA Fees Actual'!$B$5:$B$882=$E41)*('PA Fees Actual'!$A$5:$A$882&gt;=CC$3)*('PA Fees Actual'!$A$5:$A$882&lt;=EOMONTH(CC$3,0))*'PA Fees Actual'!$D$5:$D$882),CC$3&gt;=EOMONTH($X41,-1)+1,$Y41,TRUE,0)</f>
        <v>1372.75</v>
      </c>
      <c r="CD41" s="202" cm="1">
        <f t="array" ref="CD41">_xlfn.IFS(CD$3&lt;$B$2,SUMPRODUCT(('PA Fees Actual'!$B$5:$B$882=$E41)*('PA Fees Actual'!$A$5:$A$882&gt;=CD$3)*('PA Fees Actual'!$A$5:$A$882&lt;=EOMONTH(CD$3,0))*'PA Fees Actual'!$D$5:$D$882),CD$3&gt;=EOMONTH($X41,-1)+1,$Y41,TRUE,0)</f>
        <v>1372.75</v>
      </c>
      <c r="CE41" s="202" cm="1">
        <f t="array" ref="CE41">_xlfn.IFS(CE$3&lt;$B$2,SUMPRODUCT(('PA Fees Actual'!$B$5:$B$882=$E41)*('PA Fees Actual'!$A$5:$A$882&gt;=CE$3)*('PA Fees Actual'!$A$5:$A$882&lt;=EOMONTH(CE$3,0))*'PA Fees Actual'!$D$5:$D$882),CE$3&gt;=EOMONTH($X41,-1)+1,$Y41,TRUE,0)</f>
        <v>1372.75</v>
      </c>
      <c r="CF41" s="202" cm="1">
        <f t="array" ref="CF41">_xlfn.IFS(CF$3&lt;$B$2,SUMPRODUCT(('PA Fees Actual'!$B$5:$B$882=$E41)*('PA Fees Actual'!$A$5:$A$882&gt;=CF$3)*('PA Fees Actual'!$A$5:$A$882&lt;=EOMONTH(CF$3,0))*'PA Fees Actual'!$D$5:$D$882),CF$3&gt;=EOMONTH($X41,-1)+1,$Y41,TRUE,0)</f>
        <v>1372.75</v>
      </c>
      <c r="CG41" s="202" cm="1">
        <f t="array" ref="CG41">_xlfn.IFS(CG$3&lt;$B$2,SUMPRODUCT(('PA Fees Actual'!$B$5:$B$882=$E41)*('PA Fees Actual'!$A$5:$A$882&gt;=CG$3)*('PA Fees Actual'!$A$5:$A$882&lt;=EOMONTH(CG$3,0))*'PA Fees Actual'!$D$5:$D$882),CG$3&gt;=EOMONTH($X41,-1)+1,$Y41,TRUE,0)</f>
        <v>1372.75</v>
      </c>
      <c r="CI41" s="202" cm="1">
        <f t="array" ref="CI41">_xlfn.IFS(CI$3&lt;=YEAR($B$2),SUMPRODUCT(($E$4:$E$79=$E41)*($Z$2:$CG$2=CI$3)*($Z$2:$CG$2&lt;CJ$3)*$Z$4:$CG$79),CI$3&lt;YEAR($X41),0,CI$3=YEAR($X41),DATEDIF($X41,DATE(CI$3,12,31),"m")*$Y41,AND(CI$3&gt;YEAR($X41),CI$3-YEAR($X41)&lt;20),$Y41*12,CI$3-YEAR($X41)=20,DATEDIF(DATE(YEAR($X41),1,1),$X41,"m")*$Y41,CI$3-YEAR($X41)&gt;20,0)</f>
        <v>0</v>
      </c>
      <c r="CJ41" s="202" cm="1">
        <f t="array" ref="CJ41">_xlfn.IFS(CJ$3&lt;=YEAR($B$2),SUMPRODUCT(($E$4:$E$79=$E41)*($Z$2:$CG$2=CJ$3)*($Z$2:$CG$2&lt;CK$3)*$Z$4:$CG$79),CJ$3&lt;YEAR($X41),0,CJ$3=YEAR($X41),DATEDIF($X41,DATE(CJ$3,12,31),"m")*$Y41,AND(CJ$3&gt;YEAR($X41),CJ$3-YEAR($X41)&lt;20),$Y41*12,CJ$3-YEAR($X41)=20,DATEDIF(DATE(YEAR($X41),1,1),$X41,"m")*$Y41,CJ$3-YEAR($X41)&gt;20,0)</f>
        <v>0</v>
      </c>
      <c r="CK41" s="202" cm="1">
        <f t="array" ref="CK41">_xlfn.IFS(CK$3&lt;=YEAR($B$2),SUMPRODUCT(($E$4:$E$79=$E41)*($Z$2:$CG$2=CK$3)*($Z$2:$CG$2&lt;CL$3)*$Z$4:$CG$79),CK$3&lt;YEAR($X41),0,CK$3=YEAR($X41),DATEDIF($X41,DATE(CK$3,12,31),"m")*$Y41,AND(CK$3&gt;YEAR($X41),CK$3-YEAR($X41)&lt;20),$Y41*12,CK$3-YEAR($X41)=20,DATEDIF(DATE(YEAR($X41),1,1),$X41,"m")*$Y41,CK$3-YEAR($X41)&gt;20,0)</f>
        <v>0</v>
      </c>
      <c r="CL41" s="202" cm="1">
        <f t="array" ref="CL41">_xlfn.IFS(CL$3&lt;=YEAR($B$2),SUMPRODUCT(($E$4:$E$79=$E41)*($Z$2:$CG$2=CL$3)*($Z$2:$CG$2&lt;CM$3)*$Z$4:$CG$79),CL$3&lt;YEAR($X41),0,CL$3=YEAR($X41),DATEDIF($X41,DATE(CL$3,12,31),"m")*$Y41,AND(CL$3&gt;YEAR($X41),CL$3-YEAR($X41)&lt;20),$Y41*12,CL$3-YEAR($X41)=20,DATEDIF(DATE(YEAR($X41),1,1),$X41,"m")*$Y41,CL$3-YEAR($X41)&gt;20,0)</f>
        <v>0</v>
      </c>
      <c r="CM41" s="202" cm="1">
        <f t="array" ref="CM41">_xlfn.IFS(CM$3&lt;=YEAR($B$2),SUMPRODUCT(($E$4:$E$79=$E41)*($Z$2:$CG$2=CM$3)*($Z$2:$CG$2&lt;CN$3)*$Z$4:$CG$79),CM$3&lt;YEAR($X41),0,CM$3=YEAR($X41),DATEDIF($X41,DATE(CM$3,12,31),"m")*$Y41,AND(CM$3&gt;YEAR($X41),CM$3-YEAR($X41)&lt;20),$Y41*12,CM$3-YEAR($X41)=20,DATEDIF(DATE(YEAR($X41),1,1),$X41,"m")*$Y41,CM$3-YEAR($X41)&gt;20,0)</f>
        <v>13484.31</v>
      </c>
      <c r="CN41" s="202" cm="1">
        <f t="array" ref="CN41">_xlfn.IFS(CN$3&lt;=YEAR($B$2),SUMPRODUCT(($E$4:$E$79=$E41)*($Z$2:$CG$2=CN$3)*($Z$2:$CG$2&lt;CO$3)*$Z$4:$CG$79),CN$3&lt;YEAR($X41),0,CN$3=YEAR($X41),DATEDIF($X41,DATE(CN$3,12,31),"m")*$Y41,AND(CN$3&gt;YEAR($X41),CN$3-YEAR($X41)&lt;20),$Y41*12,CN$3-YEAR($X41)=20,DATEDIF(DATE(YEAR($X41),1,1),$X41,"m")*$Y41,CN$3-YEAR($X41)&gt;20,0)</f>
        <v>16473</v>
      </c>
      <c r="CO41" s="202" cm="1">
        <f t="array" ref="CO41">_xlfn.IFS(CO$3&lt;=YEAR($B$2),SUMPRODUCT(($E$4:$E$79=$E41)*($Z$2:$CG$2=CO$3)*($Z$2:$CG$2&lt;CP$3)*$Z$4:$CG$79),CO$3&lt;YEAR($X41),0,CO$3=YEAR($X41),DATEDIF($X41,DATE(CO$3,12,31),"m")*$Y41,AND(CO$3&gt;YEAR($X41),CO$3-YEAR($X41)&lt;20),$Y41*12,CO$3-YEAR($X41)=20,DATEDIF(DATE(YEAR($X41),1,1),$X41,"m")*$Y41,CO$3-YEAR($X41)&gt;20,0)</f>
        <v>16473</v>
      </c>
      <c r="CP41" s="202" cm="1">
        <f t="array" ref="CP41">_xlfn.IFS(CP$3&lt;=YEAR($B$2),SUMPRODUCT(($E$4:$E$79=$E41)*($Z$2:$CG$2=CP$3)*($Z$2:$CG$2&lt;CQ$3)*$Z$4:$CG$79),CP$3&lt;YEAR($X41),0,CP$3=YEAR($X41),DATEDIF($X41,DATE(CP$3,12,31),"m")*$Y41,AND(CP$3&gt;YEAR($X41),CP$3-YEAR($X41)&lt;20),$Y41*12,CP$3-YEAR($X41)=20,DATEDIF(DATE(YEAR($X41),1,1),$X41,"m")*$Y41,CP$3-YEAR($X41)&gt;20,0)</f>
        <v>16473</v>
      </c>
      <c r="CQ41" s="202" cm="1">
        <f t="array" ref="CQ41">_xlfn.IFS(CQ$3&lt;=YEAR($B$2),SUMPRODUCT(($E$4:$E$79=$E41)*($Z$2:$CG$2=CQ$3)*($Z$2:$CG$2&lt;CR$3)*$Z$4:$CG$79),CQ$3&lt;YEAR($X41),0,CQ$3=YEAR($X41),DATEDIF($X41,DATE(CQ$3,12,31),"m")*$Y41,AND(CQ$3&gt;YEAR($X41),CQ$3-YEAR($X41)&lt;20),$Y41*12,CQ$3-YEAR($X41)=20,DATEDIF(DATE(YEAR($X41),1,1),$X41,"m")*$Y41,CQ$3-YEAR($X41)&gt;20,0)</f>
        <v>16473</v>
      </c>
      <c r="CR41" s="202" cm="1">
        <f t="array" ref="CR41">_xlfn.IFS(CR$3&lt;=YEAR($B$2),SUMPRODUCT(($E$4:$E$79=$E41)*($Z$2:$CG$2=CR$3)*($Z$2:$CG$2&lt;CS$3)*$Z$4:$CG$79),CR$3&lt;YEAR($X41),0,CR$3=YEAR($X41),DATEDIF($X41,DATE(CR$3,12,31),"m")*$Y41,AND(CR$3&gt;YEAR($X41),CR$3-YEAR($X41)&lt;20),$Y41*12,CR$3-YEAR($X41)=20,DATEDIF(DATE(YEAR($X41),1,1),$X41,"m")*$Y41,CR$3-YEAR($X41)&gt;20,0)</f>
        <v>16473</v>
      </c>
      <c r="CS41" s="202" cm="1">
        <f t="array" ref="CS41">_xlfn.IFS(CS$3&lt;=YEAR($B$2),SUMPRODUCT(($E$4:$E$79=$E41)*($Z$2:$CG$2=CS$3)*($Z$2:$CG$2&lt;CT$3)*$Z$4:$CG$79),CS$3&lt;YEAR($X41),0,CS$3=YEAR($X41),DATEDIF($X41,DATE(CS$3,12,31),"m")*$Y41,AND(CS$3&gt;YEAR($X41),CS$3-YEAR($X41)&lt;20),$Y41*12,CS$3-YEAR($X41)=20,DATEDIF(DATE(YEAR($X41),1,1),$X41,"m")*$Y41,CS$3-YEAR($X41)&gt;20,0)</f>
        <v>16473</v>
      </c>
      <c r="CT41" s="202" cm="1">
        <f t="array" ref="CT41">_xlfn.IFS(CT$3&lt;=YEAR($B$2),SUMPRODUCT(($E$4:$E$79=$E41)*($Z$2:$CG$2=CT$3)*($Z$2:$CG$2&lt;CU$3)*$Z$4:$CG$79),CT$3&lt;YEAR($X41),0,CT$3=YEAR($X41),DATEDIF($X41,DATE(CT$3,12,31),"m")*$Y41,AND(CT$3&gt;YEAR($X41),CT$3-YEAR($X41)&lt;20),$Y41*12,CT$3-YEAR($X41)=20,DATEDIF(DATE(YEAR($X41),1,1),$X41,"m")*$Y41,CT$3-YEAR($X41)&gt;20,0)</f>
        <v>16473</v>
      </c>
      <c r="CU41" s="202" cm="1">
        <f t="array" ref="CU41">_xlfn.IFS(CU$3&lt;=YEAR($B$2),SUMPRODUCT(($E$4:$E$79=$E41)*($Z$2:$CG$2=CU$3)*($Z$2:$CG$2&lt;CV$3)*$Z$4:$CG$79),CU$3&lt;YEAR($X41),0,CU$3=YEAR($X41),DATEDIF($X41,DATE(CU$3,12,31),"m")*$Y41,AND(CU$3&gt;YEAR($X41),CU$3-YEAR($X41)&lt;20),$Y41*12,CU$3-YEAR($X41)=20,DATEDIF(DATE(YEAR($X41),1,1),$X41,"m")*$Y41,CU$3-YEAR($X41)&gt;20,0)</f>
        <v>16473</v>
      </c>
      <c r="CV41" s="202" cm="1">
        <f t="array" ref="CV41">_xlfn.IFS(CV$3&lt;=YEAR($B$2),SUMPRODUCT(($E$4:$E$79=$E41)*($Z$2:$CG$2=CV$3)*($Z$2:$CG$2&lt;CW$3)*$Z$4:$CG$79),CV$3&lt;YEAR($X41),0,CV$3=YEAR($X41),DATEDIF($X41,DATE(CV$3,12,31),"m")*$Y41,AND(CV$3&gt;YEAR($X41),CV$3-YEAR($X41)&lt;20),$Y41*12,CV$3-YEAR($X41)=20,DATEDIF(DATE(YEAR($X41),1,1),$X41,"m")*$Y41,CV$3-YEAR($X41)&gt;20,0)</f>
        <v>16473</v>
      </c>
      <c r="CW41" s="202" cm="1">
        <f t="array" ref="CW41">_xlfn.IFS(CW$3&lt;=YEAR($B$2),SUMPRODUCT(($E$4:$E$79=$E41)*($Z$2:$CG$2=CW$3)*($Z$2:$CG$2&lt;CX$3)*$Z$4:$CG$79),CW$3&lt;YEAR($X41),0,CW$3=YEAR($X41),DATEDIF($X41,DATE(CW$3,12,31),"m")*$Y41,AND(CW$3&gt;YEAR($X41),CW$3-YEAR($X41)&lt;20),$Y41*12,CW$3-YEAR($X41)=20,DATEDIF(DATE(YEAR($X41),1,1),$X41,"m")*$Y41,CW$3-YEAR($X41)&gt;20,0)</f>
        <v>16473</v>
      </c>
      <c r="CX41" s="202" cm="1">
        <f t="array" ref="CX41">_xlfn.IFS(CX$3&lt;=YEAR($B$2),SUMPRODUCT(($E$4:$E$79=$E41)*($Z$2:$CG$2=CX$3)*($Z$2:$CG$2&lt;CY$3)*$Z$4:$CG$79),CX$3&lt;YEAR($X41),0,CX$3=YEAR($X41),DATEDIF($X41,DATE(CX$3,12,31),"m")*$Y41,AND(CX$3&gt;YEAR($X41),CX$3-YEAR($X41)&lt;20),$Y41*12,CX$3-YEAR($X41)=20,DATEDIF(DATE(YEAR($X41),1,1),$X41,"m")*$Y41,CX$3-YEAR($X41)&gt;20,0)</f>
        <v>16473</v>
      </c>
      <c r="CY41" s="202" cm="1">
        <f t="array" ref="CY41">_xlfn.IFS(CY$3&lt;=YEAR($B$2),SUMPRODUCT(($E$4:$E$79=$E41)*($Z$2:$CG$2=CY$3)*($Z$2:$CG$2&lt;CZ$3)*$Z$4:$CG$79),CY$3&lt;YEAR($X41),0,CY$3=YEAR($X41),DATEDIF($X41,DATE(CY$3,12,31),"m")*$Y41,AND(CY$3&gt;YEAR($X41),CY$3-YEAR($X41)&lt;20),$Y41*12,CY$3-YEAR($X41)=20,DATEDIF(DATE(YEAR($X41),1,1),$X41,"m")*$Y41,CY$3-YEAR($X41)&gt;20,0)</f>
        <v>16473</v>
      </c>
      <c r="CZ41" s="202" cm="1">
        <f t="array" ref="CZ41">_xlfn.IFS(CZ$3&lt;=YEAR($B$2),SUMPRODUCT(($E$4:$E$79=$E41)*($Z$2:$CG$2=CZ$3)*($Z$2:$CG$2&lt;DA$3)*$Z$4:$CG$79),CZ$3&lt;YEAR($X41),0,CZ$3=YEAR($X41),DATEDIF($X41,DATE(CZ$3,12,31),"m")*$Y41,AND(CZ$3&gt;YEAR($X41),CZ$3-YEAR($X41)&lt;20),$Y41*12,CZ$3-YEAR($X41)=20,DATEDIF(DATE(YEAR($X41),1,1),$X41,"m")*$Y41,CZ$3-YEAR($X41)&gt;20,0)</f>
        <v>16473</v>
      </c>
      <c r="DA41" s="202" cm="1">
        <f t="array" ref="DA41">_xlfn.IFS(DA$3&lt;=YEAR($B$2),SUMPRODUCT(($E$4:$E$79=$E41)*($Z$2:$CG$2=DA$3)*($Z$2:$CG$2&lt;DB$3)*$Z$4:$CG$79),DA$3&lt;YEAR($X41),0,DA$3=YEAR($X41),DATEDIF($X41,DATE(DA$3,12,31),"m")*$Y41,AND(DA$3&gt;YEAR($X41),DA$3-YEAR($X41)&lt;20),$Y41*12,DA$3-YEAR($X41)=20,DATEDIF(DATE(YEAR($X41),1,1),$X41,"m")*$Y41,DA$3-YEAR($X41)&gt;20,0)</f>
        <v>16473</v>
      </c>
      <c r="DB41" s="202" cm="1">
        <f t="array" ref="DB41">_xlfn.IFS(DB$3&lt;=YEAR($B$2),SUMPRODUCT(($E$4:$E$79=$E41)*($Z$2:$CG$2=DB$3)*($Z$2:$CG$2&lt;DC$3)*$Z$4:$CG$79),DB$3&lt;YEAR($X41),0,DB$3=YEAR($X41),DATEDIF($X41,DATE(DB$3,12,31),"m")*$Y41,AND(DB$3&gt;YEAR($X41),DB$3-YEAR($X41)&lt;20),$Y41*12,DB$3-YEAR($X41)=20,DATEDIF(DATE(YEAR($X41),1,1),$X41,"m")*$Y41,DB$3-YEAR($X41)&gt;20,0)</f>
        <v>16473</v>
      </c>
      <c r="DC41" s="202" cm="1">
        <f t="array" ref="DC41">_xlfn.IFS(DC$3&lt;=YEAR($B$2),SUMPRODUCT(($E$4:$E$79=$E41)*($Z$2:$CG$2=DC$3)*($Z$2:$CG$2&lt;DD$3)*$Z$4:$CG$79),DC$3&lt;YEAR($X41),0,DC$3=YEAR($X41),DATEDIF($X41,DATE(DC$3,12,31),"m")*$Y41,AND(DC$3&gt;YEAR($X41),DC$3-YEAR($X41)&lt;20),$Y41*12,DC$3-YEAR($X41)=20,DATEDIF(DATE(YEAR($X41),1,1),$X41,"m")*$Y41,DC$3-YEAR($X41)&gt;20,0)</f>
        <v>16473</v>
      </c>
      <c r="DD41" s="202" cm="1">
        <f t="array" ref="DD41">_xlfn.IFS(DD$3&lt;=YEAR($B$2),SUMPRODUCT(($E$4:$E$79=$E41)*($Z$2:$CG$2=DD$3)*($Z$2:$CG$2&lt;DE$3)*$Z$4:$CG$79),DD$3&lt;YEAR($X41),0,DD$3=YEAR($X41),DATEDIF($X41,DATE(DD$3,12,31),"m")*$Y41,AND(DD$3&gt;YEAR($X41),DD$3-YEAR($X41)&lt;20),$Y41*12,DD$3-YEAR($X41)=20,DATEDIF(DATE(YEAR($X41),1,1),$X41,"m")*$Y41,DD$3-YEAR($X41)&gt;20,0)</f>
        <v>16473</v>
      </c>
      <c r="DE41" s="202" cm="1">
        <f t="array" ref="DE41">_xlfn.IFS(DE$3&lt;=YEAR($B$2),SUMPRODUCT(($E$4:$E$79=$E41)*($Z$2:$CG$2=DE$3)*($Z$2:$CG$2&lt;DF$3)*$Z$4:$CG$79),DE$3&lt;YEAR($X41),0,DE$3=YEAR($X41),DATEDIF($X41,DATE(DE$3,12,31),"m")*$Y41,AND(DE$3&gt;YEAR($X41),DE$3-YEAR($X41)&lt;20),$Y41*12,DE$3-YEAR($X41)=20,DATEDIF(DATE(YEAR($X41),1,1),$X41,"m")*$Y41,DE$3-YEAR($X41)&gt;20,0)</f>
        <v>16473</v>
      </c>
      <c r="DF41" s="202" cm="1">
        <f t="array" ref="DF41">_xlfn.IFS(DF$3&lt;=YEAR($B$2),SUMPRODUCT(($E$4:$E$79=$E41)*($Z$2:$CG$2=DF$3)*($Z$2:$CG$2&lt;DG$3)*$Z$4:$CG$79),DF$3&lt;YEAR($X41),0,DF$3=YEAR($X41),DATEDIF($X41,DATE(DF$3,12,31),"m")*$Y41,AND(DF$3&gt;YEAR($X41),DF$3-YEAR($X41)&lt;20),$Y41*12,DF$3-YEAR($X41)=20,DATEDIF(DATE(YEAR($X41),1,1),$X41,"m")*$Y41,DF$3-YEAR($X41)&gt;20,0)</f>
        <v>16473</v>
      </c>
      <c r="DG41" s="202" cm="1">
        <f t="array" ref="DG41">_xlfn.IFS(DG$3&lt;=YEAR($B$2),SUMPRODUCT(($E$4:$E$79=$E41)*($Z$2:$CG$2=DG$3)*($Z$2:$CG$2&lt;DH$3)*$Z$4:$CG$79),DG$3&lt;YEAR($X41),0,DG$3=YEAR($X41),DATEDIF($X41,DATE(DG$3,12,31),"m")*$Y41,AND(DG$3&gt;YEAR($X41),DG$3-YEAR($X41)&lt;20),$Y41*12,DG$3-YEAR($X41)=20,DATEDIF(DATE(YEAR($X41),1,1),$X41,"m")*$Y41,DG$3-YEAR($X41)&gt;20,0)</f>
        <v>1372.75</v>
      </c>
      <c r="DH41" s="202" cm="1">
        <f t="array" ref="DH41">_xlfn.IFS(DH$3&lt;=YEAR($B$2),SUMPRODUCT(($E$4:$E$79=$E41)*($Z$2:$CG$2=DH$3)*($Z$2:$CG$2&lt;DI$3)*$Z$4:$CG$79),DH$3&lt;YEAR($X41),0,DH$3=YEAR($X41),DATEDIF($X41,DATE(DH$3,12,31),"m")*$Y41,AND(DH$3&gt;YEAR($X41),DH$3-YEAR($X41)&lt;20),$Y41*12,DH$3-YEAR($X41)=20,DATEDIF(DATE(YEAR($X41),1,1),$X41,"m")*$Y41,DH$3-YEAR($X41)&gt;20,0)</f>
        <v>0</v>
      </c>
      <c r="DI41" s="202" cm="1">
        <f t="array" ref="DI41">_xlfn.IFS(DI$3&lt;=YEAR($B$2),SUMPRODUCT(($E$4:$E$79=$E41)*($Z$2:$CG$2=DI$3)*($Z$2:$CG$2&lt;DJ$3)*$Z$4:$CG$79),DI$3&lt;YEAR($X41),0,DI$3=YEAR($X41),DATEDIF($X41,DATE(DI$3,12,31),"m")*$Y41,AND(DI$3&gt;YEAR($X41),DI$3-YEAR($X41)&lt;20),$Y41*12,DI$3-YEAR($X41)=20,DATEDIF(DATE(YEAR($X41),1,1),$X41,"m")*$Y41,DI$3-YEAR($X41)&gt;20,0)</f>
        <v>0</v>
      </c>
      <c r="DJ41" s="202" cm="1">
        <f t="array" ref="DJ41">_xlfn.IFS(DJ$3&lt;=YEAR($B$2),SUMPRODUCT(($E$4:$E$79=$E41)*($Z$2:$CG$2=DJ$3)*($Z$2:$CG$2&lt;DK$3)*$Z$4:$CG$79),DJ$3&lt;YEAR($X41),0,DJ$3=YEAR($X41),DATEDIF($X41,DATE(DJ$3,12,31),"m")*$Y41,AND(DJ$3&gt;YEAR($X41),DJ$3-YEAR($X41)&lt;20),$Y41*12,DJ$3-YEAR($X41)=20,DATEDIF(DATE(YEAR($X41),1,1),$X41,"m")*$Y41,DJ$3-YEAR($X41)&gt;20,0)</f>
        <v>0</v>
      </c>
      <c r="DK41" s="202" cm="1">
        <f t="array" ref="DK41">_xlfn.IFS(DK$3&lt;=YEAR($B$2),SUMPRODUCT(($E$4:$E$79=$E41)*($Z$2:$CG$2=DK$3)*($Z$2:$CG$2&lt;DL$3)*$Z$4:$CG$79),DK$3&lt;YEAR($X41),0,DK$3=YEAR($X41),DATEDIF($X41,DATE(DK$3,12,31),"m")*$Y41,AND(DK$3&gt;YEAR($X41),DK$3-YEAR($X41)&lt;20),$Y41*12,DK$3-YEAR($X41)=20,DATEDIF(DATE(YEAR($X41),1,1),$X41,"m")*$Y41,DK$3-YEAR($X41)&gt;20,0)</f>
        <v>0</v>
      </c>
      <c r="DL41" s="202" cm="1">
        <f t="array" ref="DL41">_xlfn.IFS(DL$3&lt;=YEAR($B$2),SUMPRODUCT(($E$4:$E$79=$E41)*($Z$2:$CG$2=DL$3)*($Z$2:$CG$2&lt;DM$3)*$Z$4:$CG$79),DL$3&lt;YEAR($X41),0,DL$3=YEAR($X41),DATEDIF($X41,DATE(DL$3,12,31),"m")*$Y41,AND(DL$3&gt;YEAR($X41),DL$3-YEAR($X41)&lt;20),$Y41*12,DL$3-YEAR($X41)=20,DATEDIF(DATE(YEAR($X41),1,1),$X41,"m")*$Y41,DL$3-YEAR($X41)&gt;20,0)</f>
        <v>0</v>
      </c>
      <c r="DO41" s="166">
        <f t="shared" si="26"/>
        <v>2050</v>
      </c>
      <c r="DP41" s="158">
        <v>0</v>
      </c>
      <c r="DQ41" s="158">
        <v>0</v>
      </c>
      <c r="DR41" s="158">
        <v>0</v>
      </c>
      <c r="DS41" s="158">
        <f t="shared" si="32"/>
        <v>0</v>
      </c>
    </row>
    <row r="42" spans="1:123">
      <c r="A42" s="155" t="str" cm="1">
        <f t="array" ref="A42">INDEX('Monthly Report July 2025'!C:C,MATCH(E42,'Monthly Report July 2025'!E:E,0),0)</f>
        <v xml:space="preserve"> CSQ0004</v>
      </c>
      <c r="B42" s="155" t="str" cm="1">
        <f t="array" ref="B42">_xlfn.IFS(LEFT(E42,3)="PGE","PGE",LEFT(E42,2)="PP","PAC",TRUE,"IP")</f>
        <v>PGE</v>
      </c>
      <c r="C42" s="155" t="str">
        <f>IF(ISNA(MATCH(E42,'Monthly Report July 2025'!E:E,0)),"Missing","Present")</f>
        <v>Present</v>
      </c>
      <c r="D42" s="155" t="str">
        <f>IF(ISNA(MATCH(E42,'Project Operational Timelines'!C:C,0))=TRUE,"Missing","Present")</f>
        <v>Present</v>
      </c>
      <c r="E42" s="155" t="s">
        <v>150</v>
      </c>
      <c r="F42" s="155" t="str" cm="1">
        <f t="array" ref="F42">INDEX('Monthly Report July 2025'!F:F,MATCH(E42,'Monthly Report July 2025'!E:E,),0)</f>
        <v>Mompano Solar</v>
      </c>
      <c r="G42" s="155" t="str" cm="1">
        <f t="array" ref="G42">_xlfn.IFS(INDEX('Monthly Report July 2025'!O:O,MATCH(E42,'Monthly Report July 2025'!E:E,0),0)="Operational","Operational",INDEX('Monthly Report July 2025'!O:O,MATCH(E42,'Monthly Report July 2025'!E:E,0),0)="Certified","Certified",TRUE,"Pre-Certified")</f>
        <v>Operational</v>
      </c>
      <c r="H42" s="155" t="str" cm="1">
        <f t="array" ref="H42">INDEX('Monthly Report July 2025'!H:H,MATCH($E42,'Monthly Report July 2025'!$E:$E,0),0)</f>
        <v>Greenkey Solar</v>
      </c>
      <c r="I42" s="155" t="str" cm="1">
        <f t="array" ref="I42">INDEX('Monthly Report July 2025'!I:I,MATCH($E42,'Monthly Report July 2025'!$E:$E,0),0)</f>
        <v>Coast Energy, LLC</v>
      </c>
      <c r="J42" s="174" cm="1">
        <f t="array" ref="J42">INDEX('Monthly Report July 2025'!J:J,MATCH($E42,'Monthly Report July 2025'!$E:$E,0),0)</f>
        <v>2</v>
      </c>
      <c r="K42" s="174" t="str" cm="1">
        <f t="array" ref="K42">INDEX('Monthly Report July 2025'!K:K,MATCH($E42,'Monthly Report July 2025'!$E:$E,0),0)</f>
        <v>No</v>
      </c>
      <c r="L42" s="174" t="b" cm="1">
        <f t="array" ref="L42">INDEX('Monthly Report July 2025'!L:L,MATCH(E42,'Monthly Report July 2025'!E:E,0),0)=M42</f>
        <v>1</v>
      </c>
      <c r="M42" s="273" cm="1">
        <f t="array" ref="M42">INDEX('Monthly Report July 2025'!L:L,MATCH($E42,'Monthly Report July 2025'!$E:$E,0),0)</f>
        <v>2000</v>
      </c>
      <c r="N42" s="175" cm="1">
        <f t="array" ref="N42">INDEX('Monthly Report July 2025'!M:M,MATCH($E42,'Monthly Report July 2025'!$E:$E,0),0)</f>
        <v>44666</v>
      </c>
      <c r="O42" s="175" t="str" cm="1">
        <f t="array" ref="O42">_xlfn.IFS(G42="Operational","Operational",G42="Certified","Certified",TRUE,INDEX('Monthly Report July 2025'!O:O,MATCH(E42,'Monthly Report July 2025'!E:E,0),0))</f>
        <v>Operational</v>
      </c>
      <c r="P42" s="175" t="b" cm="1">
        <f t="array" ref="P42">_xlfn.IFS(G42="Operational",O42="Operational",G42="Certified",O42="Certified",TRUE,G42="Pre-Certified")</f>
        <v>1</v>
      </c>
      <c r="Q42" s="175" cm="1">
        <f t="array" ref="Q42">IF(O42="Operational",INDEX('Monthly Report July 2025'!R:R,MATCH(E42,'Monthly Report July 2025'!E:E,0),0),"")</f>
        <v>45726</v>
      </c>
      <c r="R42" s="175" cm="1">
        <f t="array" ref="R42">INDEX('Monthly Report July 2025'!P:P,MATCH(E42,'Monthly Report July 2025'!E:E,0),0)</f>
        <v>45720</v>
      </c>
      <c r="S42" s="175" t="b">
        <f t="shared" si="28"/>
        <v>1</v>
      </c>
      <c r="T42" s="175" cm="1">
        <f t="array" ref="T42">INDEX('Monthly Report July 2025'!U:U,MATCH(E42,'Monthly Report July 2025'!E:E,0),0)</f>
        <v>45635</v>
      </c>
      <c r="U42" s="175" t="str">
        <f t="shared" si="6"/>
        <v>IGNORE</v>
      </c>
      <c r="V42" s="156">
        <f t="shared" si="29"/>
        <v>45720</v>
      </c>
      <c r="W42" s="156" cm="1">
        <f t="array" ref="W42">_xlfn.IFS(U42=TRUE,EDATE(O42,6),U42=FALSE,T42,O42="Operational",Q42,AND(O42="Certified",EDATE(R42,6)&gt;T42),EDATE(R42,6),TRUE,T42)</f>
        <v>45726</v>
      </c>
      <c r="X42" s="156">
        <f t="shared" si="30"/>
        <v>45787</v>
      </c>
      <c r="Y42" s="157">
        <f t="shared" si="31"/>
        <v>1445</v>
      </c>
      <c r="Z42" s="202" cm="1">
        <f t="array" ref="Z42">_xlfn.IFS(Z$3&lt;$B$2,SUMPRODUCT(('PA Fees Actual'!$B$5:$B$882=$E42)*('PA Fees Actual'!$A$5:$A$882&gt;=Z$3)*('PA Fees Actual'!$A$5:$A$882&lt;=EOMONTH(Z$3,0))*'PA Fees Actual'!$D$5:$D$882),Z$3&gt;=EOMONTH($X42,-1)+1,$Y42,TRUE,0)</f>
        <v>0</v>
      </c>
      <c r="AA42" s="202" cm="1">
        <f t="array" ref="AA42">_xlfn.IFS(AA$3&lt;$B$2,SUMPRODUCT(('PA Fees Actual'!$B$5:$B$882=$E42)*('PA Fees Actual'!$A$5:$A$882&gt;=AA$3)*('PA Fees Actual'!$A$5:$A$882&lt;=EOMONTH(AA$3,0))*'PA Fees Actual'!$D$5:$D$882),AA$3&gt;=EOMONTH($X42,-1)+1,$Y42,TRUE,0)</f>
        <v>0</v>
      </c>
      <c r="AB42" s="202" cm="1">
        <f t="array" ref="AB42">_xlfn.IFS(AB$3&lt;$B$2,SUMPRODUCT(('PA Fees Actual'!$B$5:$B$882=$E42)*('PA Fees Actual'!$A$5:$A$882&gt;=AB$3)*('PA Fees Actual'!$A$5:$A$882&lt;=EOMONTH(AB$3,0))*'PA Fees Actual'!$D$5:$D$882),AB$3&gt;=EOMONTH($X42,-1)+1,$Y42,TRUE,0)</f>
        <v>0</v>
      </c>
      <c r="AC42" s="202" cm="1">
        <f t="array" ref="AC42">_xlfn.IFS(AC$3&lt;$B$2,SUMPRODUCT(('PA Fees Actual'!$B$5:$B$882=$E42)*('PA Fees Actual'!$A$5:$A$882&gt;=AC$3)*('PA Fees Actual'!$A$5:$A$882&lt;=EOMONTH(AC$3,0))*'PA Fees Actual'!$D$5:$D$882),AC$3&gt;=EOMONTH($X42,-1)+1,$Y42,TRUE,0)</f>
        <v>0</v>
      </c>
      <c r="AD42" s="202" cm="1">
        <f t="array" ref="AD42">_xlfn.IFS(AD$3&lt;$B$2,SUMPRODUCT(('PA Fees Actual'!$B$5:$B$882=$E42)*('PA Fees Actual'!$A$5:$A$882&gt;=AD$3)*('PA Fees Actual'!$A$5:$A$882&lt;=EOMONTH(AD$3,0))*'PA Fees Actual'!$D$5:$D$882),AD$3&gt;=EOMONTH($X42,-1)+1,$Y42,TRUE,0)</f>
        <v>0</v>
      </c>
      <c r="AE42" s="202" cm="1">
        <f t="array" ref="AE42">_xlfn.IFS(AE$3&lt;$B$2,SUMPRODUCT(('PA Fees Actual'!$B$5:$B$882=$E42)*('PA Fees Actual'!$A$5:$A$882&gt;=AE$3)*('PA Fees Actual'!$A$5:$A$882&lt;=EOMONTH(AE$3,0))*'PA Fees Actual'!$D$5:$D$882),AE$3&gt;=EOMONTH($X42,-1)+1,$Y42,TRUE,0)</f>
        <v>0</v>
      </c>
      <c r="AF42" s="202" cm="1">
        <f t="array" ref="AF42">_xlfn.IFS(AF$3&lt;$B$2,SUMPRODUCT(('PA Fees Actual'!$B$5:$B$882=$E42)*('PA Fees Actual'!$A$5:$A$882&gt;=AF$3)*('PA Fees Actual'!$A$5:$A$882&lt;=EOMONTH(AF$3,0))*'PA Fees Actual'!$D$5:$D$882),AF$3&gt;=EOMONTH($X42,-1)+1,$Y42,TRUE,0)</f>
        <v>0</v>
      </c>
      <c r="AG42" s="202" cm="1">
        <f t="array" ref="AG42">_xlfn.IFS(AG$3&lt;$B$2,SUMPRODUCT(('PA Fees Actual'!$B$5:$B$882=$E42)*('PA Fees Actual'!$A$5:$A$882&gt;=AG$3)*('PA Fees Actual'!$A$5:$A$882&lt;=EOMONTH(AG$3,0))*'PA Fees Actual'!$D$5:$D$882),AG$3&gt;=EOMONTH($X42,-1)+1,$Y42,TRUE,0)</f>
        <v>0</v>
      </c>
      <c r="AH42" s="202" cm="1">
        <f t="array" ref="AH42">_xlfn.IFS(AH$3&lt;$B$2,SUMPRODUCT(('PA Fees Actual'!$B$5:$B$882=$E42)*('PA Fees Actual'!$A$5:$A$882&gt;=AH$3)*('PA Fees Actual'!$A$5:$A$882&lt;=EOMONTH(AH$3,0))*'PA Fees Actual'!$D$5:$D$882),AH$3&gt;=EOMONTH($X42,-1)+1,$Y42,TRUE,0)</f>
        <v>0</v>
      </c>
      <c r="AI42" s="202" cm="1">
        <f t="array" ref="AI42">_xlfn.IFS(AI$3&lt;$B$2,SUMPRODUCT(('PA Fees Actual'!$B$5:$B$882=$E42)*('PA Fees Actual'!$A$5:$A$882&gt;=AI$3)*('PA Fees Actual'!$A$5:$A$882&lt;=EOMONTH(AI$3,0))*'PA Fees Actual'!$D$5:$D$882),AI$3&gt;=EOMONTH($X42,-1)+1,$Y42,TRUE,0)</f>
        <v>0</v>
      </c>
      <c r="AJ42" s="202" cm="1">
        <f t="array" ref="AJ42">_xlfn.IFS(AJ$3&lt;$B$2,SUMPRODUCT(('PA Fees Actual'!$B$5:$B$882=$E42)*('PA Fees Actual'!$A$5:$A$882&gt;=AJ$3)*('PA Fees Actual'!$A$5:$A$882&lt;=EOMONTH(AJ$3,0))*'PA Fees Actual'!$D$5:$D$882),AJ$3&gt;=EOMONTH($X42,-1)+1,$Y42,TRUE,0)</f>
        <v>0</v>
      </c>
      <c r="AK42" s="202" cm="1">
        <f t="array" ref="AK42">_xlfn.IFS(AK$3&lt;$B$2,SUMPRODUCT(('PA Fees Actual'!$B$5:$B$882=$E42)*('PA Fees Actual'!$A$5:$A$882&gt;=AK$3)*('PA Fees Actual'!$A$5:$A$882&lt;=EOMONTH(AK$3,0))*'PA Fees Actual'!$D$5:$D$882),AK$3&gt;=EOMONTH($X42,-1)+1,$Y42,TRUE,0)</f>
        <v>0</v>
      </c>
      <c r="AL42" s="202" cm="1">
        <f t="array" ref="AL42">_xlfn.IFS(AL$3&lt;$B$2,SUMPRODUCT(('PA Fees Actual'!$B$5:$B$882=$E42)*('PA Fees Actual'!$A$5:$A$882&gt;=AL$3)*('PA Fees Actual'!$A$5:$A$882&lt;=EOMONTH(AL$3,0))*'PA Fees Actual'!$D$5:$D$882),AL$3&gt;=EOMONTH($X42,-1)+1,$Y42,TRUE,0)</f>
        <v>0</v>
      </c>
      <c r="AM42" s="202" cm="1">
        <f t="array" ref="AM42">_xlfn.IFS(AM$3&lt;$B$2,SUMPRODUCT(('PA Fees Actual'!$B$5:$B$882=$E42)*('PA Fees Actual'!$A$5:$A$882&gt;=AM$3)*('PA Fees Actual'!$A$5:$A$882&lt;=EOMONTH(AM$3,0))*'PA Fees Actual'!$D$5:$D$882),AM$3&gt;=EOMONTH($X42,-1)+1,$Y42,TRUE,0)</f>
        <v>0</v>
      </c>
      <c r="AN42" s="202" cm="1">
        <f t="array" ref="AN42">_xlfn.IFS(AN$3&lt;$B$2,SUMPRODUCT(('PA Fees Actual'!$B$5:$B$882=$E42)*('PA Fees Actual'!$A$5:$A$882&gt;=AN$3)*('PA Fees Actual'!$A$5:$A$882&lt;=EOMONTH(AN$3,0))*'PA Fees Actual'!$D$5:$D$882),AN$3&gt;=EOMONTH($X42,-1)+1,$Y42,TRUE,0)</f>
        <v>0</v>
      </c>
      <c r="AO42" s="202" cm="1">
        <f t="array" ref="AO42">_xlfn.IFS(AO$3&lt;$B$2,SUMPRODUCT(('PA Fees Actual'!$B$5:$B$882=$E42)*('PA Fees Actual'!$A$5:$A$882&gt;=AO$3)*('PA Fees Actual'!$A$5:$A$882&lt;=EOMONTH(AO$3,0))*'PA Fees Actual'!$D$5:$D$882),AO$3&gt;=EOMONTH($X42,-1)+1,$Y42,TRUE,0)</f>
        <v>0</v>
      </c>
      <c r="AP42" s="202" cm="1">
        <f t="array" ref="AP42">_xlfn.IFS(AP$3&lt;$B$2,SUMPRODUCT(('PA Fees Actual'!$B$5:$B$882=$E42)*('PA Fees Actual'!$A$5:$A$882&gt;=AP$3)*('PA Fees Actual'!$A$5:$A$882&lt;=EOMONTH(AP$3,0))*'PA Fees Actual'!$D$5:$D$882),AP$3&gt;=EOMONTH($X42,-1)+1,$Y42,TRUE,0)</f>
        <v>0</v>
      </c>
      <c r="AQ42" s="202" cm="1">
        <f t="array" ref="AQ42">_xlfn.IFS(AQ$3&lt;$B$2,SUMPRODUCT(('PA Fees Actual'!$B$5:$B$882=$E42)*('PA Fees Actual'!$A$5:$A$882&gt;=AQ$3)*('PA Fees Actual'!$A$5:$A$882&lt;=EOMONTH(AQ$3,0))*'PA Fees Actual'!$D$5:$D$882),AQ$3&gt;=EOMONTH($X42,-1)+1,$Y42,TRUE,0)</f>
        <v>0</v>
      </c>
      <c r="AR42" s="202" cm="1">
        <f t="array" ref="AR42">_xlfn.IFS(AR$3&lt;$B$2,SUMPRODUCT(('PA Fees Actual'!$B$5:$B$882=$E42)*('PA Fees Actual'!$A$5:$A$882&gt;=AR$3)*('PA Fees Actual'!$A$5:$A$882&lt;=EOMONTH(AR$3,0))*'PA Fees Actual'!$D$5:$D$882),AR$3&gt;=EOMONTH($X42,-1)+1,$Y42,TRUE,0)</f>
        <v>0</v>
      </c>
      <c r="AS42" s="202" cm="1">
        <f t="array" ref="AS42">_xlfn.IFS(AS$3&lt;$B$2,SUMPRODUCT(('PA Fees Actual'!$B$5:$B$882=$E42)*('PA Fees Actual'!$A$5:$A$882&gt;=AS$3)*('PA Fees Actual'!$A$5:$A$882&lt;=EOMONTH(AS$3,0))*'PA Fees Actual'!$D$5:$D$882),AS$3&gt;=EOMONTH($X42,-1)+1,$Y42,TRUE,0)</f>
        <v>0</v>
      </c>
      <c r="AT42" s="202" cm="1">
        <f t="array" ref="AT42">_xlfn.IFS(AT$3&lt;$B$2,SUMPRODUCT(('PA Fees Actual'!$B$5:$B$882=$E42)*('PA Fees Actual'!$A$5:$A$882&gt;=AT$3)*('PA Fees Actual'!$A$5:$A$882&lt;=EOMONTH(AT$3,0))*'PA Fees Actual'!$D$5:$D$882),AT$3&gt;=EOMONTH($X42,-1)+1,$Y42,TRUE,0)</f>
        <v>0</v>
      </c>
      <c r="AU42" s="202" cm="1">
        <f t="array" ref="AU42">_xlfn.IFS(AU$3&lt;$B$2,SUMPRODUCT(('PA Fees Actual'!$B$5:$B$882=$E42)*('PA Fees Actual'!$A$5:$A$882&gt;=AU$3)*('PA Fees Actual'!$A$5:$A$882&lt;=EOMONTH(AU$3,0))*'PA Fees Actual'!$D$5:$D$882),AU$3&gt;=EOMONTH($X42,-1)+1,$Y42,TRUE,0)</f>
        <v>0</v>
      </c>
      <c r="AV42" s="202" cm="1">
        <f t="array" ref="AV42">_xlfn.IFS(AV$3&lt;$B$2,SUMPRODUCT(('PA Fees Actual'!$B$5:$B$882=$E42)*('PA Fees Actual'!$A$5:$A$882&gt;=AV$3)*('PA Fees Actual'!$A$5:$A$882&lt;=EOMONTH(AV$3,0))*'PA Fees Actual'!$D$5:$D$882),AV$3&gt;=EOMONTH($X42,-1)+1,$Y42,TRUE,0)</f>
        <v>0</v>
      </c>
      <c r="AW42" s="202" cm="1">
        <f t="array" ref="AW42">_xlfn.IFS(AW$3&lt;$B$2,SUMPRODUCT(('PA Fees Actual'!$B$5:$B$882=$E42)*('PA Fees Actual'!$A$5:$A$882&gt;=AW$3)*('PA Fees Actual'!$A$5:$A$882&lt;=EOMONTH(AW$3,0))*'PA Fees Actual'!$D$5:$D$882),AW$3&gt;=EOMONTH($X42,-1)+1,$Y42,TRUE,0)</f>
        <v>0</v>
      </c>
      <c r="AX42" s="202" cm="1">
        <f t="array" ref="AX42">_xlfn.IFS(AX$3&lt;$B$2,SUMPRODUCT(('PA Fees Actual'!$B$5:$B$882=$E42)*('PA Fees Actual'!$A$5:$A$882&gt;=AX$3)*('PA Fees Actual'!$A$5:$A$882&lt;=EOMONTH(AX$3,0))*'PA Fees Actual'!$D$5:$D$882),AX$3&gt;=EOMONTH($X42,-1)+1,$Y42,TRUE,0)</f>
        <v>0</v>
      </c>
      <c r="AY42" s="202" cm="1">
        <f t="array" ref="AY42">_xlfn.IFS(AY$3&lt;$B$2,SUMPRODUCT(('PA Fees Actual'!$B$5:$B$882=$E42)*('PA Fees Actual'!$A$5:$A$882&gt;=AY$3)*('PA Fees Actual'!$A$5:$A$882&lt;=EOMONTH(AY$3,0))*'PA Fees Actual'!$D$5:$D$882),AY$3&gt;=EOMONTH($X42,-1)+1,$Y42,TRUE,0)</f>
        <v>0</v>
      </c>
      <c r="AZ42" s="202" cm="1">
        <f t="array" ref="AZ42">_xlfn.IFS(AZ$3&lt;$B$2,SUMPRODUCT(('PA Fees Actual'!$B$5:$B$882=$E42)*('PA Fees Actual'!$A$5:$A$882&gt;=AZ$3)*('PA Fees Actual'!$A$5:$A$882&lt;=EOMONTH(AZ$3,0))*'PA Fees Actual'!$D$5:$D$882),AZ$3&gt;=EOMONTH($X42,-1)+1,$Y42,TRUE,0)</f>
        <v>0</v>
      </c>
      <c r="BA42" s="202" cm="1">
        <f t="array" ref="BA42">_xlfn.IFS(BA$3&lt;$B$2,SUMPRODUCT(('PA Fees Actual'!$B$5:$B$882=$E42)*('PA Fees Actual'!$A$5:$A$882&gt;=BA$3)*('PA Fees Actual'!$A$5:$A$882&lt;=EOMONTH(BA$3,0))*'PA Fees Actual'!$D$5:$D$882),BA$3&gt;=EOMONTH($X42,-1)+1,$Y42,TRUE,0)</f>
        <v>0</v>
      </c>
      <c r="BB42" s="202" cm="1">
        <f t="array" ref="BB42">_xlfn.IFS(BB$3&lt;$B$2,SUMPRODUCT(('PA Fees Actual'!$B$5:$B$882=$E42)*('PA Fees Actual'!$A$5:$A$882&gt;=BB$3)*('PA Fees Actual'!$A$5:$A$882&lt;=EOMONTH(BB$3,0))*'PA Fees Actual'!$D$5:$D$882),BB$3&gt;=EOMONTH($X42,-1)+1,$Y42,TRUE,0)</f>
        <v>0</v>
      </c>
      <c r="BC42" s="202" cm="1">
        <f t="array" ref="BC42">_xlfn.IFS(BC$3&lt;$B$2,SUMPRODUCT(('PA Fees Actual'!$B$5:$B$882=$E42)*('PA Fees Actual'!$A$5:$A$882&gt;=BC$3)*('PA Fees Actual'!$A$5:$A$882&lt;=EOMONTH(BC$3,0))*'PA Fees Actual'!$D$5:$D$882),BC$3&gt;=EOMONTH($X42,-1)+1,$Y42,TRUE,0)</f>
        <v>0</v>
      </c>
      <c r="BD42" s="202" cm="1">
        <f t="array" ref="BD42">_xlfn.IFS(BD$3&lt;$B$2,SUMPRODUCT(('PA Fees Actual'!$B$5:$B$882=$E42)*('PA Fees Actual'!$A$5:$A$882&gt;=BD$3)*('PA Fees Actual'!$A$5:$A$882&lt;=EOMONTH(BD$3,0))*'PA Fees Actual'!$D$5:$D$882),BD$3&gt;=EOMONTH($X42,-1)+1,$Y42,TRUE,0)</f>
        <v>0</v>
      </c>
      <c r="BE42" s="202" cm="1">
        <f t="array" ref="BE42">_xlfn.IFS(BE$3&lt;$B$2,SUMPRODUCT(('PA Fees Actual'!$B$5:$B$882=$E42)*('PA Fees Actual'!$A$5:$A$882&gt;=BE$3)*('PA Fees Actual'!$A$5:$A$882&lt;=EOMONTH(BE$3,0))*'PA Fees Actual'!$D$5:$D$882),BE$3&gt;=EOMONTH($X42,-1)+1,$Y42,TRUE,0)</f>
        <v>0</v>
      </c>
      <c r="BF42" s="202" cm="1">
        <f t="array" ref="BF42">_xlfn.IFS(BF$3&lt;$B$2,SUMPRODUCT(('PA Fees Actual'!$B$5:$B$882=$E42)*('PA Fees Actual'!$A$5:$A$882&gt;=BF$3)*('PA Fees Actual'!$A$5:$A$882&lt;=EOMONTH(BF$3,0))*'PA Fees Actual'!$D$5:$D$882),BF$3&gt;=EOMONTH($X42,-1)+1,$Y42,TRUE,0)</f>
        <v>0</v>
      </c>
      <c r="BG42" s="202" cm="1">
        <f t="array" ref="BG42">_xlfn.IFS(BG$3&lt;$B$2,SUMPRODUCT(('PA Fees Actual'!$B$5:$B$882=$E42)*('PA Fees Actual'!$A$5:$A$882&gt;=BG$3)*('PA Fees Actual'!$A$5:$A$882&lt;=EOMONTH(BG$3,0))*'PA Fees Actual'!$D$5:$D$882),BG$3&gt;=EOMONTH($X42,-1)+1,$Y42,TRUE,0)</f>
        <v>0</v>
      </c>
      <c r="BH42" s="202" cm="1">
        <f t="array" ref="BH42">_xlfn.IFS(BH$3&lt;$B$2,SUMPRODUCT(('PA Fees Actual'!$B$5:$B$882=$E42)*('PA Fees Actual'!$A$5:$A$882&gt;=BH$3)*('PA Fees Actual'!$A$5:$A$882&lt;=EOMONTH(BH$3,0))*'PA Fees Actual'!$D$5:$D$882),BH$3&gt;=EOMONTH($X42,-1)+1,$Y42,TRUE,0)</f>
        <v>0</v>
      </c>
      <c r="BI42" s="202" cm="1">
        <f t="array" ref="BI42">_xlfn.IFS(BI$3&lt;$B$2,SUMPRODUCT(('PA Fees Actual'!$B$5:$B$882=$E42)*('PA Fees Actual'!$A$5:$A$882&gt;=BI$3)*('PA Fees Actual'!$A$5:$A$882&lt;=EOMONTH(BI$3,0))*'PA Fees Actual'!$D$5:$D$882),BI$3&gt;=EOMONTH($X42,-1)+1,$Y42,TRUE,0)</f>
        <v>0</v>
      </c>
      <c r="BJ42" s="202" cm="1">
        <f t="array" ref="BJ42">_xlfn.IFS(BJ$3&lt;$B$2,SUMPRODUCT(('PA Fees Actual'!$B$5:$B$882=$E42)*('PA Fees Actual'!$A$5:$A$882&gt;=BJ$3)*('PA Fees Actual'!$A$5:$A$882&lt;=EOMONTH(BJ$3,0))*'PA Fees Actual'!$D$5:$D$882),BJ$3&gt;=EOMONTH($X42,-1)+1,$Y42,TRUE,0)</f>
        <v>0</v>
      </c>
      <c r="BK42" s="202" cm="1">
        <f t="array" ref="BK42">_xlfn.IFS(BK$3&lt;$B$2,SUMPRODUCT(('PA Fees Actual'!$B$5:$B$882=$E42)*('PA Fees Actual'!$A$5:$A$882&gt;=BK$3)*('PA Fees Actual'!$A$5:$A$882&lt;=EOMONTH(BK$3,0))*'PA Fees Actual'!$D$5:$D$882),BK$3&gt;=EOMONTH($X42,-1)+1,$Y42,TRUE,0)</f>
        <v>0</v>
      </c>
      <c r="BL42" s="202" cm="1">
        <f t="array" ref="BL42">_xlfn.IFS(BL$3&lt;$B$2,SUMPRODUCT(('PA Fees Actual'!$B$5:$B$882=$E42)*('PA Fees Actual'!$A$5:$A$882&gt;=BL$3)*('PA Fees Actual'!$A$5:$A$882&lt;=EOMONTH(BL$3,0))*'PA Fees Actual'!$D$5:$D$882),BL$3&gt;=EOMONTH($X42,-1)+1,$Y42,TRUE,0)</f>
        <v>0</v>
      </c>
      <c r="BM42" s="202" cm="1">
        <f t="array" ref="BM42">_xlfn.IFS(BM$3&lt;$B$2,SUMPRODUCT(('PA Fees Actual'!$B$5:$B$882=$E42)*('PA Fees Actual'!$A$5:$A$882&gt;=BM$3)*('PA Fees Actual'!$A$5:$A$882&lt;=EOMONTH(BM$3,0))*'PA Fees Actual'!$D$5:$D$882),BM$3&gt;=EOMONTH($X42,-1)+1,$Y42,TRUE,0)</f>
        <v>0</v>
      </c>
      <c r="BN42" s="202" cm="1">
        <f t="array" ref="BN42">_xlfn.IFS(BN$3&lt;$B$2,SUMPRODUCT(('PA Fees Actual'!$B$5:$B$882=$E42)*('PA Fees Actual'!$A$5:$A$882&gt;=BN$3)*('PA Fees Actual'!$A$5:$A$882&lt;=EOMONTH(BN$3,0))*'PA Fees Actual'!$D$5:$D$882),BN$3&gt;=EOMONTH($X42,-1)+1,$Y42,TRUE,0)</f>
        <v>0</v>
      </c>
      <c r="BO42" s="202" cm="1">
        <f t="array" ref="BO42">_xlfn.IFS(BO$3&lt;$B$2,SUMPRODUCT(('PA Fees Actual'!$B$5:$B$882=$E42)*('PA Fees Actual'!$A$5:$A$882&gt;=BO$3)*('PA Fees Actual'!$A$5:$A$882&lt;=EOMONTH(BO$3,0))*'PA Fees Actual'!$D$5:$D$882),BO$3&gt;=EOMONTH($X42,-1)+1,$Y42,TRUE,0)</f>
        <v>0</v>
      </c>
      <c r="BP42" s="202" cm="1">
        <f t="array" ref="BP42">_xlfn.IFS(BP$3&lt;$B$2,SUMPRODUCT(('PA Fees Actual'!$B$5:$B$882=$E42)*('PA Fees Actual'!$A$5:$A$882&gt;=BP$3)*('PA Fees Actual'!$A$5:$A$882&lt;=EOMONTH(BP$3,0))*'PA Fees Actual'!$D$5:$D$882),BP$3&gt;=EOMONTH($X42,-1)+1,$Y42,TRUE,0)</f>
        <v>0</v>
      </c>
      <c r="BQ42" s="202" cm="1">
        <f t="array" ref="BQ42">_xlfn.IFS(BQ$3&lt;$B$2,SUMPRODUCT(('PA Fees Actual'!$B$5:$B$882=$E42)*('PA Fees Actual'!$A$5:$A$882&gt;=BQ$3)*('PA Fees Actual'!$A$5:$A$882&lt;=EOMONTH(BQ$3,0))*'PA Fees Actual'!$D$5:$D$882),BQ$3&gt;=EOMONTH($X42,-1)+1,$Y42,TRUE,0)</f>
        <v>0</v>
      </c>
      <c r="BR42" s="202" cm="1">
        <f t="array" ref="BR42">_xlfn.IFS(BR$3&lt;$B$2,SUMPRODUCT(('PA Fees Actual'!$B$5:$B$882=$E42)*('PA Fees Actual'!$A$5:$A$882&gt;=BR$3)*('PA Fees Actual'!$A$5:$A$882&lt;=EOMONTH(BR$3,0))*'PA Fees Actual'!$D$5:$D$882),BR$3&gt;=EOMONTH($X42,-1)+1,$Y42,TRUE,0)</f>
        <v>0</v>
      </c>
      <c r="BS42" s="202" cm="1">
        <f t="array" ref="BS42">_xlfn.IFS(BS$3&lt;$B$2,SUMPRODUCT(('PA Fees Actual'!$B$5:$B$882=$E42)*('PA Fees Actual'!$A$5:$A$882&gt;=BS$3)*('PA Fees Actual'!$A$5:$A$882&lt;=EOMONTH(BS$3,0))*'PA Fees Actual'!$D$5:$D$882),BS$3&gt;=EOMONTH($X42,-1)+1,$Y42,TRUE,0)</f>
        <v>0</v>
      </c>
      <c r="BT42" s="202" cm="1">
        <f t="array" ref="BT42">_xlfn.IFS(BT$3&lt;$B$2,SUMPRODUCT(('PA Fees Actual'!$B$5:$B$882=$E42)*('PA Fees Actual'!$A$5:$A$882&gt;=BT$3)*('PA Fees Actual'!$A$5:$A$882&lt;=EOMONTH(BT$3,0))*'PA Fees Actual'!$D$5:$D$882),BT$3&gt;=EOMONTH($X42,-1)+1,$Y42,TRUE,0)</f>
        <v>0</v>
      </c>
      <c r="BU42" s="202" cm="1">
        <f t="array" ref="BU42">_xlfn.IFS(BU$3&lt;$B$2,SUMPRODUCT(('PA Fees Actual'!$B$5:$B$882=$E42)*('PA Fees Actual'!$A$5:$A$882&gt;=BU$3)*('PA Fees Actual'!$A$5:$A$882&lt;=EOMONTH(BU$3,0))*'PA Fees Actual'!$D$5:$D$882),BU$3&gt;=EOMONTH($X42,-1)+1,$Y42,TRUE,0)</f>
        <v>0</v>
      </c>
      <c r="BV42" s="202" cm="1">
        <f t="array" ref="BV42">_xlfn.IFS(BV$3&lt;$B$2,SUMPRODUCT(('PA Fees Actual'!$B$5:$B$882=$E42)*('PA Fees Actual'!$A$5:$A$882&gt;=BV$3)*('PA Fees Actual'!$A$5:$A$882&lt;=EOMONTH(BV$3,0))*'PA Fees Actual'!$D$5:$D$882),BV$3&gt;=EOMONTH($X42,-1)+1,$Y42,TRUE,0)</f>
        <v>0</v>
      </c>
      <c r="BW42" s="202" cm="1">
        <f t="array" ref="BW42">_xlfn.IFS(BW$3&lt;$B$2,SUMPRODUCT(('PA Fees Actual'!$B$5:$B$882=$E42)*('PA Fees Actual'!$A$5:$A$882&gt;=BW$3)*('PA Fees Actual'!$A$5:$A$882&lt;=EOMONTH(BW$3,0))*'PA Fees Actual'!$D$5:$D$882),BW$3&gt;=EOMONTH($X42,-1)+1,$Y42,TRUE,0)</f>
        <v>0</v>
      </c>
      <c r="BX42" s="202" cm="1">
        <f t="array" ref="BX42">_xlfn.IFS(BX$3&lt;$B$2,SUMPRODUCT(('PA Fees Actual'!$B$5:$B$882=$E42)*('PA Fees Actual'!$A$5:$A$882&gt;=BX$3)*('PA Fees Actual'!$A$5:$A$882&lt;=EOMONTH(BX$3,0))*'PA Fees Actual'!$D$5:$D$882),BX$3&gt;=EOMONTH($X42,-1)+1,$Y42,TRUE,0)</f>
        <v>0</v>
      </c>
      <c r="BY42" s="202" cm="1">
        <f t="array" ref="BY42">_xlfn.IFS(BY$3&lt;$B$2,SUMPRODUCT(('PA Fees Actual'!$B$5:$B$882=$E42)*('PA Fees Actual'!$A$5:$A$882&gt;=BY$3)*('PA Fees Actual'!$A$5:$A$882&lt;=EOMONTH(BY$3,0))*'PA Fees Actual'!$D$5:$D$882),BY$3&gt;=EOMONTH($X42,-1)+1,$Y42,TRUE,0)</f>
        <v>0</v>
      </c>
      <c r="BZ42" s="202" cm="1">
        <f t="array" ref="BZ42">_xlfn.IFS(BZ$3&lt;$B$2,SUMPRODUCT(('PA Fees Actual'!$B$5:$B$882=$E42)*('PA Fees Actual'!$A$5:$A$882&gt;=BZ$3)*('PA Fees Actual'!$A$5:$A$882&lt;=EOMONTH(BZ$3,0))*'PA Fees Actual'!$D$5:$D$882),BZ$3&gt;=EOMONTH($X42,-1)+1,$Y42,TRUE,0)</f>
        <v>0</v>
      </c>
      <c r="CA42" s="202" cm="1">
        <f t="array" ref="CA42">_xlfn.IFS(CA$3&lt;$B$2,SUMPRODUCT(('PA Fees Actual'!$B$5:$B$882=$E42)*('PA Fees Actual'!$A$5:$A$882&gt;=CA$3)*('PA Fees Actual'!$A$5:$A$882&lt;=EOMONTH(CA$3,0))*'PA Fees Actual'!$D$5:$D$882),CA$3&gt;=EOMONTH($X42,-1)+1,$Y42,TRUE,0)</f>
        <v>1395.73</v>
      </c>
      <c r="CB42" s="202" cm="1">
        <f t="array" ref="CB42">_xlfn.IFS(CB$3&lt;$B$2,SUMPRODUCT(('PA Fees Actual'!$B$5:$B$882=$E42)*('PA Fees Actual'!$A$5:$A$882&gt;=CB$3)*('PA Fees Actual'!$A$5:$A$882&lt;=EOMONTH(CB$3,0))*'PA Fees Actual'!$D$5:$D$882),CB$3&gt;=EOMONTH($X42,-1)+1,$Y42,TRUE,0)</f>
        <v>1445</v>
      </c>
      <c r="CC42" s="202" cm="1">
        <f t="array" ref="CC42">_xlfn.IFS(CC$3&lt;$B$2,SUMPRODUCT(('PA Fees Actual'!$B$5:$B$882=$E42)*('PA Fees Actual'!$A$5:$A$882&gt;=CC$3)*('PA Fees Actual'!$A$5:$A$882&lt;=EOMONTH(CC$3,0))*'PA Fees Actual'!$D$5:$D$882),CC$3&gt;=EOMONTH($X42,-1)+1,$Y42,TRUE,0)</f>
        <v>1445</v>
      </c>
      <c r="CD42" s="202" cm="1">
        <f t="array" ref="CD42">_xlfn.IFS(CD$3&lt;$B$2,SUMPRODUCT(('PA Fees Actual'!$B$5:$B$882=$E42)*('PA Fees Actual'!$A$5:$A$882&gt;=CD$3)*('PA Fees Actual'!$A$5:$A$882&lt;=EOMONTH(CD$3,0))*'PA Fees Actual'!$D$5:$D$882),CD$3&gt;=EOMONTH($X42,-1)+1,$Y42,TRUE,0)</f>
        <v>1445</v>
      </c>
      <c r="CE42" s="202" cm="1">
        <f t="array" ref="CE42">_xlfn.IFS(CE$3&lt;$B$2,SUMPRODUCT(('PA Fees Actual'!$B$5:$B$882=$E42)*('PA Fees Actual'!$A$5:$A$882&gt;=CE$3)*('PA Fees Actual'!$A$5:$A$882&lt;=EOMONTH(CE$3,0))*'PA Fees Actual'!$D$5:$D$882),CE$3&gt;=EOMONTH($X42,-1)+1,$Y42,TRUE,0)</f>
        <v>1445</v>
      </c>
      <c r="CF42" s="202" cm="1">
        <f t="array" ref="CF42">_xlfn.IFS(CF$3&lt;$B$2,SUMPRODUCT(('PA Fees Actual'!$B$5:$B$882=$E42)*('PA Fees Actual'!$A$5:$A$882&gt;=CF$3)*('PA Fees Actual'!$A$5:$A$882&lt;=EOMONTH(CF$3,0))*'PA Fees Actual'!$D$5:$D$882),CF$3&gt;=EOMONTH($X42,-1)+1,$Y42,TRUE,0)</f>
        <v>1445</v>
      </c>
      <c r="CG42" s="202" cm="1">
        <f t="array" ref="CG42">_xlfn.IFS(CG$3&lt;$B$2,SUMPRODUCT(('PA Fees Actual'!$B$5:$B$882=$E42)*('PA Fees Actual'!$A$5:$A$882&gt;=CG$3)*('PA Fees Actual'!$A$5:$A$882&lt;=EOMONTH(CG$3,0))*'PA Fees Actual'!$D$5:$D$882),CG$3&gt;=EOMONTH($X42,-1)+1,$Y42,TRUE,0)</f>
        <v>1445</v>
      </c>
      <c r="CI42" s="202" cm="1">
        <f t="array" ref="CI42">_xlfn.IFS(CI$3&lt;=YEAR($B$2),SUMPRODUCT(($E$4:$E$79=$E42)*($Z$2:$CG$2=CI$3)*($Z$2:$CG$2&lt;CJ$3)*$Z$4:$CG$79),CI$3&lt;YEAR($X42),0,CI$3=YEAR($X42),DATEDIF($X42,DATE(CI$3,12,31),"m")*$Y42,AND(CI$3&gt;YEAR($X42),CI$3-YEAR($X42)&lt;20),$Y42*12,CI$3-YEAR($X42)=20,DATEDIF(DATE(YEAR($X42),1,1),$X42,"m")*$Y42,CI$3-YEAR($X42)&gt;20,0)</f>
        <v>0</v>
      </c>
      <c r="CJ42" s="202" cm="1">
        <f t="array" ref="CJ42">_xlfn.IFS(CJ$3&lt;=YEAR($B$2),SUMPRODUCT(($E$4:$E$79=$E42)*($Z$2:$CG$2=CJ$3)*($Z$2:$CG$2&lt;CK$3)*$Z$4:$CG$79),CJ$3&lt;YEAR($X42),0,CJ$3=YEAR($X42),DATEDIF($X42,DATE(CJ$3,12,31),"m")*$Y42,AND(CJ$3&gt;YEAR($X42),CJ$3-YEAR($X42)&lt;20),$Y42*12,CJ$3-YEAR($X42)=20,DATEDIF(DATE(YEAR($X42),1,1),$X42,"m")*$Y42,CJ$3-YEAR($X42)&gt;20,0)</f>
        <v>0</v>
      </c>
      <c r="CK42" s="202" cm="1">
        <f t="array" ref="CK42">_xlfn.IFS(CK$3&lt;=YEAR($B$2),SUMPRODUCT(($E$4:$E$79=$E42)*($Z$2:$CG$2=CK$3)*($Z$2:$CG$2&lt;CL$3)*$Z$4:$CG$79),CK$3&lt;YEAR($X42),0,CK$3=YEAR($X42),DATEDIF($X42,DATE(CK$3,12,31),"m")*$Y42,AND(CK$3&gt;YEAR($X42),CK$3-YEAR($X42)&lt;20),$Y42*12,CK$3-YEAR($X42)=20,DATEDIF(DATE(YEAR($X42),1,1),$X42,"m")*$Y42,CK$3-YEAR($X42)&gt;20,0)</f>
        <v>0</v>
      </c>
      <c r="CL42" s="202" cm="1">
        <f t="array" ref="CL42">_xlfn.IFS(CL$3&lt;=YEAR($B$2),SUMPRODUCT(($E$4:$E$79=$E42)*($Z$2:$CG$2=CL$3)*($Z$2:$CG$2&lt;CM$3)*$Z$4:$CG$79),CL$3&lt;YEAR($X42),0,CL$3=YEAR($X42),DATEDIF($X42,DATE(CL$3,12,31),"m")*$Y42,AND(CL$3&gt;YEAR($X42),CL$3-YEAR($X42)&lt;20),$Y42*12,CL$3-YEAR($X42)=20,DATEDIF(DATE(YEAR($X42),1,1),$X42,"m")*$Y42,CL$3-YEAR($X42)&gt;20,0)</f>
        <v>0</v>
      </c>
      <c r="CM42" s="202" cm="1">
        <f t="array" ref="CM42">_xlfn.IFS(CM$3&lt;=YEAR($B$2),SUMPRODUCT(($E$4:$E$79=$E42)*($Z$2:$CG$2=CM$3)*($Z$2:$CG$2&lt;CN$3)*$Z$4:$CG$79),CM$3&lt;YEAR($X42),0,CM$3=YEAR($X42),DATEDIF($X42,DATE(CM$3,12,31),"m")*$Y42,AND(CM$3&gt;YEAR($X42),CM$3-YEAR($X42)&lt;20),$Y42*12,CM$3-YEAR($X42)=20,DATEDIF(DATE(YEAR($X42),1,1),$X42,"m")*$Y42,CM$3-YEAR($X42)&gt;20,0)</f>
        <v>10065.73</v>
      </c>
      <c r="CN42" s="202" cm="1">
        <f t="array" ref="CN42">_xlfn.IFS(CN$3&lt;=YEAR($B$2),SUMPRODUCT(($E$4:$E$79=$E42)*($Z$2:$CG$2=CN$3)*($Z$2:$CG$2&lt;CO$3)*$Z$4:$CG$79),CN$3&lt;YEAR($X42),0,CN$3=YEAR($X42),DATEDIF($X42,DATE(CN$3,12,31),"m")*$Y42,AND(CN$3&gt;YEAR($X42),CN$3-YEAR($X42)&lt;20),$Y42*12,CN$3-YEAR($X42)=20,DATEDIF(DATE(YEAR($X42),1,1),$X42,"m")*$Y42,CN$3-YEAR($X42)&gt;20,0)</f>
        <v>17340</v>
      </c>
      <c r="CO42" s="202" cm="1">
        <f t="array" ref="CO42">_xlfn.IFS(CO$3&lt;=YEAR($B$2),SUMPRODUCT(($E$4:$E$79=$E42)*($Z$2:$CG$2=CO$3)*($Z$2:$CG$2&lt;CP$3)*$Z$4:$CG$79),CO$3&lt;YEAR($X42),0,CO$3=YEAR($X42),DATEDIF($X42,DATE(CO$3,12,31),"m")*$Y42,AND(CO$3&gt;YEAR($X42),CO$3-YEAR($X42)&lt;20),$Y42*12,CO$3-YEAR($X42)=20,DATEDIF(DATE(YEAR($X42),1,1),$X42,"m")*$Y42,CO$3-YEAR($X42)&gt;20,0)</f>
        <v>17340</v>
      </c>
      <c r="CP42" s="202" cm="1">
        <f t="array" ref="CP42">_xlfn.IFS(CP$3&lt;=YEAR($B$2),SUMPRODUCT(($E$4:$E$79=$E42)*($Z$2:$CG$2=CP$3)*($Z$2:$CG$2&lt;CQ$3)*$Z$4:$CG$79),CP$3&lt;YEAR($X42),0,CP$3=YEAR($X42),DATEDIF($X42,DATE(CP$3,12,31),"m")*$Y42,AND(CP$3&gt;YEAR($X42),CP$3-YEAR($X42)&lt;20),$Y42*12,CP$3-YEAR($X42)=20,DATEDIF(DATE(YEAR($X42),1,1),$X42,"m")*$Y42,CP$3-YEAR($X42)&gt;20,0)</f>
        <v>17340</v>
      </c>
      <c r="CQ42" s="202" cm="1">
        <f t="array" ref="CQ42">_xlfn.IFS(CQ$3&lt;=YEAR($B$2),SUMPRODUCT(($E$4:$E$79=$E42)*($Z$2:$CG$2=CQ$3)*($Z$2:$CG$2&lt;CR$3)*$Z$4:$CG$79),CQ$3&lt;YEAR($X42),0,CQ$3=YEAR($X42),DATEDIF($X42,DATE(CQ$3,12,31),"m")*$Y42,AND(CQ$3&gt;YEAR($X42),CQ$3-YEAR($X42)&lt;20),$Y42*12,CQ$3-YEAR($X42)=20,DATEDIF(DATE(YEAR($X42),1,1),$X42,"m")*$Y42,CQ$3-YEAR($X42)&gt;20,0)</f>
        <v>17340</v>
      </c>
      <c r="CR42" s="202" cm="1">
        <f t="array" ref="CR42">_xlfn.IFS(CR$3&lt;=YEAR($B$2),SUMPRODUCT(($E$4:$E$79=$E42)*($Z$2:$CG$2=CR$3)*($Z$2:$CG$2&lt;CS$3)*$Z$4:$CG$79),CR$3&lt;YEAR($X42),0,CR$3=YEAR($X42),DATEDIF($X42,DATE(CR$3,12,31),"m")*$Y42,AND(CR$3&gt;YEAR($X42),CR$3-YEAR($X42)&lt;20),$Y42*12,CR$3-YEAR($X42)=20,DATEDIF(DATE(YEAR($X42),1,1),$X42,"m")*$Y42,CR$3-YEAR($X42)&gt;20,0)</f>
        <v>17340</v>
      </c>
      <c r="CS42" s="202" cm="1">
        <f t="array" ref="CS42">_xlfn.IFS(CS$3&lt;=YEAR($B$2),SUMPRODUCT(($E$4:$E$79=$E42)*($Z$2:$CG$2=CS$3)*($Z$2:$CG$2&lt;CT$3)*$Z$4:$CG$79),CS$3&lt;YEAR($X42),0,CS$3=YEAR($X42),DATEDIF($X42,DATE(CS$3,12,31),"m")*$Y42,AND(CS$3&gt;YEAR($X42),CS$3-YEAR($X42)&lt;20),$Y42*12,CS$3-YEAR($X42)=20,DATEDIF(DATE(YEAR($X42),1,1),$X42,"m")*$Y42,CS$3-YEAR($X42)&gt;20,0)</f>
        <v>17340</v>
      </c>
      <c r="CT42" s="202" cm="1">
        <f t="array" ref="CT42">_xlfn.IFS(CT$3&lt;=YEAR($B$2),SUMPRODUCT(($E$4:$E$79=$E42)*($Z$2:$CG$2=CT$3)*($Z$2:$CG$2&lt;CU$3)*$Z$4:$CG$79),CT$3&lt;YEAR($X42),0,CT$3=YEAR($X42),DATEDIF($X42,DATE(CT$3,12,31),"m")*$Y42,AND(CT$3&gt;YEAR($X42),CT$3-YEAR($X42)&lt;20),$Y42*12,CT$3-YEAR($X42)=20,DATEDIF(DATE(YEAR($X42),1,1),$X42,"m")*$Y42,CT$3-YEAR($X42)&gt;20,0)</f>
        <v>17340</v>
      </c>
      <c r="CU42" s="202" cm="1">
        <f t="array" ref="CU42">_xlfn.IFS(CU$3&lt;=YEAR($B$2),SUMPRODUCT(($E$4:$E$79=$E42)*($Z$2:$CG$2=CU$3)*($Z$2:$CG$2&lt;CV$3)*$Z$4:$CG$79),CU$3&lt;YEAR($X42),0,CU$3=YEAR($X42),DATEDIF($X42,DATE(CU$3,12,31),"m")*$Y42,AND(CU$3&gt;YEAR($X42),CU$3-YEAR($X42)&lt;20),$Y42*12,CU$3-YEAR($X42)=20,DATEDIF(DATE(YEAR($X42),1,1),$X42,"m")*$Y42,CU$3-YEAR($X42)&gt;20,0)</f>
        <v>17340</v>
      </c>
      <c r="CV42" s="202" cm="1">
        <f t="array" ref="CV42">_xlfn.IFS(CV$3&lt;=YEAR($B$2),SUMPRODUCT(($E$4:$E$79=$E42)*($Z$2:$CG$2=CV$3)*($Z$2:$CG$2&lt;CW$3)*$Z$4:$CG$79),CV$3&lt;YEAR($X42),0,CV$3=YEAR($X42),DATEDIF($X42,DATE(CV$3,12,31),"m")*$Y42,AND(CV$3&gt;YEAR($X42),CV$3-YEAR($X42)&lt;20),$Y42*12,CV$3-YEAR($X42)=20,DATEDIF(DATE(YEAR($X42),1,1),$X42,"m")*$Y42,CV$3-YEAR($X42)&gt;20,0)</f>
        <v>17340</v>
      </c>
      <c r="CW42" s="202" cm="1">
        <f t="array" ref="CW42">_xlfn.IFS(CW$3&lt;=YEAR($B$2),SUMPRODUCT(($E$4:$E$79=$E42)*($Z$2:$CG$2=CW$3)*($Z$2:$CG$2&lt;CX$3)*$Z$4:$CG$79),CW$3&lt;YEAR($X42),0,CW$3=YEAR($X42),DATEDIF($X42,DATE(CW$3,12,31),"m")*$Y42,AND(CW$3&gt;YEAR($X42),CW$3-YEAR($X42)&lt;20),$Y42*12,CW$3-YEAR($X42)=20,DATEDIF(DATE(YEAR($X42),1,1),$X42,"m")*$Y42,CW$3-YEAR($X42)&gt;20,0)</f>
        <v>17340</v>
      </c>
      <c r="CX42" s="202" cm="1">
        <f t="array" ref="CX42">_xlfn.IFS(CX$3&lt;=YEAR($B$2),SUMPRODUCT(($E$4:$E$79=$E42)*($Z$2:$CG$2=CX$3)*($Z$2:$CG$2&lt;CY$3)*$Z$4:$CG$79),CX$3&lt;YEAR($X42),0,CX$3=YEAR($X42),DATEDIF($X42,DATE(CX$3,12,31),"m")*$Y42,AND(CX$3&gt;YEAR($X42),CX$3-YEAR($X42)&lt;20),$Y42*12,CX$3-YEAR($X42)=20,DATEDIF(DATE(YEAR($X42),1,1),$X42,"m")*$Y42,CX$3-YEAR($X42)&gt;20,0)</f>
        <v>17340</v>
      </c>
      <c r="CY42" s="202" cm="1">
        <f t="array" ref="CY42">_xlfn.IFS(CY$3&lt;=YEAR($B$2),SUMPRODUCT(($E$4:$E$79=$E42)*($Z$2:$CG$2=CY$3)*($Z$2:$CG$2&lt;CZ$3)*$Z$4:$CG$79),CY$3&lt;YEAR($X42),0,CY$3=YEAR($X42),DATEDIF($X42,DATE(CY$3,12,31),"m")*$Y42,AND(CY$3&gt;YEAR($X42),CY$3-YEAR($X42)&lt;20),$Y42*12,CY$3-YEAR($X42)=20,DATEDIF(DATE(YEAR($X42),1,1),$X42,"m")*$Y42,CY$3-YEAR($X42)&gt;20,0)</f>
        <v>17340</v>
      </c>
      <c r="CZ42" s="202" cm="1">
        <f t="array" ref="CZ42">_xlfn.IFS(CZ$3&lt;=YEAR($B$2),SUMPRODUCT(($E$4:$E$79=$E42)*($Z$2:$CG$2=CZ$3)*($Z$2:$CG$2&lt;DA$3)*$Z$4:$CG$79),CZ$3&lt;YEAR($X42),0,CZ$3=YEAR($X42),DATEDIF($X42,DATE(CZ$3,12,31),"m")*$Y42,AND(CZ$3&gt;YEAR($X42),CZ$3-YEAR($X42)&lt;20),$Y42*12,CZ$3-YEAR($X42)=20,DATEDIF(DATE(YEAR($X42),1,1),$X42,"m")*$Y42,CZ$3-YEAR($X42)&gt;20,0)</f>
        <v>17340</v>
      </c>
      <c r="DA42" s="202" cm="1">
        <f t="array" ref="DA42">_xlfn.IFS(DA$3&lt;=YEAR($B$2),SUMPRODUCT(($E$4:$E$79=$E42)*($Z$2:$CG$2=DA$3)*($Z$2:$CG$2&lt;DB$3)*$Z$4:$CG$79),DA$3&lt;YEAR($X42),0,DA$3=YEAR($X42),DATEDIF($X42,DATE(DA$3,12,31),"m")*$Y42,AND(DA$3&gt;YEAR($X42),DA$3-YEAR($X42)&lt;20),$Y42*12,DA$3-YEAR($X42)=20,DATEDIF(DATE(YEAR($X42),1,1),$X42,"m")*$Y42,DA$3-YEAR($X42)&gt;20,0)</f>
        <v>17340</v>
      </c>
      <c r="DB42" s="202" cm="1">
        <f t="array" ref="DB42">_xlfn.IFS(DB$3&lt;=YEAR($B$2),SUMPRODUCT(($E$4:$E$79=$E42)*($Z$2:$CG$2=DB$3)*($Z$2:$CG$2&lt;DC$3)*$Z$4:$CG$79),DB$3&lt;YEAR($X42),0,DB$3=YEAR($X42),DATEDIF($X42,DATE(DB$3,12,31),"m")*$Y42,AND(DB$3&gt;YEAR($X42),DB$3-YEAR($X42)&lt;20),$Y42*12,DB$3-YEAR($X42)=20,DATEDIF(DATE(YEAR($X42),1,1),$X42,"m")*$Y42,DB$3-YEAR($X42)&gt;20,0)</f>
        <v>17340</v>
      </c>
      <c r="DC42" s="202" cm="1">
        <f t="array" ref="DC42">_xlfn.IFS(DC$3&lt;=YEAR($B$2),SUMPRODUCT(($E$4:$E$79=$E42)*($Z$2:$CG$2=DC$3)*($Z$2:$CG$2&lt;DD$3)*$Z$4:$CG$79),DC$3&lt;YEAR($X42),0,DC$3=YEAR($X42),DATEDIF($X42,DATE(DC$3,12,31),"m")*$Y42,AND(DC$3&gt;YEAR($X42),DC$3-YEAR($X42)&lt;20),$Y42*12,DC$3-YEAR($X42)=20,DATEDIF(DATE(YEAR($X42),1,1),$X42,"m")*$Y42,DC$3-YEAR($X42)&gt;20,0)</f>
        <v>17340</v>
      </c>
      <c r="DD42" s="202" cm="1">
        <f t="array" ref="DD42">_xlfn.IFS(DD$3&lt;=YEAR($B$2),SUMPRODUCT(($E$4:$E$79=$E42)*($Z$2:$CG$2=DD$3)*($Z$2:$CG$2&lt;DE$3)*$Z$4:$CG$79),DD$3&lt;YEAR($X42),0,DD$3=YEAR($X42),DATEDIF($X42,DATE(DD$3,12,31),"m")*$Y42,AND(DD$3&gt;YEAR($X42),DD$3-YEAR($X42)&lt;20),$Y42*12,DD$3-YEAR($X42)=20,DATEDIF(DATE(YEAR($X42),1,1),$X42,"m")*$Y42,DD$3-YEAR($X42)&gt;20,0)</f>
        <v>17340</v>
      </c>
      <c r="DE42" s="202" cm="1">
        <f t="array" ref="DE42">_xlfn.IFS(DE$3&lt;=YEAR($B$2),SUMPRODUCT(($E$4:$E$79=$E42)*($Z$2:$CG$2=DE$3)*($Z$2:$CG$2&lt;DF$3)*$Z$4:$CG$79),DE$3&lt;YEAR($X42),0,DE$3=YEAR($X42),DATEDIF($X42,DATE(DE$3,12,31),"m")*$Y42,AND(DE$3&gt;YEAR($X42),DE$3-YEAR($X42)&lt;20),$Y42*12,DE$3-YEAR($X42)=20,DATEDIF(DATE(YEAR($X42),1,1),$X42,"m")*$Y42,DE$3-YEAR($X42)&gt;20,0)</f>
        <v>17340</v>
      </c>
      <c r="DF42" s="202" cm="1">
        <f t="array" ref="DF42">_xlfn.IFS(DF$3&lt;=YEAR($B$2),SUMPRODUCT(($E$4:$E$79=$E42)*($Z$2:$CG$2=DF$3)*($Z$2:$CG$2&lt;DG$3)*$Z$4:$CG$79),DF$3&lt;YEAR($X42),0,DF$3=YEAR($X42),DATEDIF($X42,DATE(DF$3,12,31),"m")*$Y42,AND(DF$3&gt;YEAR($X42),DF$3-YEAR($X42)&lt;20),$Y42*12,DF$3-YEAR($X42)=20,DATEDIF(DATE(YEAR($X42),1,1),$X42,"m")*$Y42,DF$3-YEAR($X42)&gt;20,0)</f>
        <v>17340</v>
      </c>
      <c r="DG42" s="202" cm="1">
        <f t="array" ref="DG42">_xlfn.IFS(DG$3&lt;=YEAR($B$2),SUMPRODUCT(($E$4:$E$79=$E42)*($Z$2:$CG$2=DG$3)*($Z$2:$CG$2&lt;DH$3)*$Z$4:$CG$79),DG$3&lt;YEAR($X42),0,DG$3=YEAR($X42),DATEDIF($X42,DATE(DG$3,12,31),"m")*$Y42,AND(DG$3&gt;YEAR($X42),DG$3-YEAR($X42)&lt;20),$Y42*12,DG$3-YEAR($X42)=20,DATEDIF(DATE(YEAR($X42),1,1),$X42,"m")*$Y42,DG$3-YEAR($X42)&gt;20,0)</f>
        <v>5780</v>
      </c>
      <c r="DH42" s="202" cm="1">
        <f t="array" ref="DH42">_xlfn.IFS(DH$3&lt;=YEAR($B$2),SUMPRODUCT(($E$4:$E$79=$E42)*($Z$2:$CG$2=DH$3)*($Z$2:$CG$2&lt;DI$3)*$Z$4:$CG$79),DH$3&lt;YEAR($X42),0,DH$3=YEAR($X42),DATEDIF($X42,DATE(DH$3,12,31),"m")*$Y42,AND(DH$3&gt;YEAR($X42),DH$3-YEAR($X42)&lt;20),$Y42*12,DH$3-YEAR($X42)=20,DATEDIF(DATE(YEAR($X42),1,1),$X42,"m")*$Y42,DH$3-YEAR($X42)&gt;20,0)</f>
        <v>0</v>
      </c>
      <c r="DI42" s="202" cm="1">
        <f t="array" ref="DI42">_xlfn.IFS(DI$3&lt;=YEAR($B$2),SUMPRODUCT(($E$4:$E$79=$E42)*($Z$2:$CG$2=DI$3)*($Z$2:$CG$2&lt;DJ$3)*$Z$4:$CG$79),DI$3&lt;YEAR($X42),0,DI$3=YEAR($X42),DATEDIF($X42,DATE(DI$3,12,31),"m")*$Y42,AND(DI$3&gt;YEAR($X42),DI$3-YEAR($X42)&lt;20),$Y42*12,DI$3-YEAR($X42)=20,DATEDIF(DATE(YEAR($X42),1,1),$X42,"m")*$Y42,DI$3-YEAR($X42)&gt;20,0)</f>
        <v>0</v>
      </c>
      <c r="DJ42" s="202" cm="1">
        <f t="array" ref="DJ42">_xlfn.IFS(DJ$3&lt;=YEAR($B$2),SUMPRODUCT(($E$4:$E$79=$E42)*($Z$2:$CG$2=DJ$3)*($Z$2:$CG$2&lt;DK$3)*$Z$4:$CG$79),DJ$3&lt;YEAR($X42),0,DJ$3=YEAR($X42),DATEDIF($X42,DATE(DJ$3,12,31),"m")*$Y42,AND(DJ$3&gt;YEAR($X42),DJ$3-YEAR($X42)&lt;20),$Y42*12,DJ$3-YEAR($X42)=20,DATEDIF(DATE(YEAR($X42),1,1),$X42,"m")*$Y42,DJ$3-YEAR($X42)&gt;20,0)</f>
        <v>0</v>
      </c>
      <c r="DK42" s="202" cm="1">
        <f t="array" ref="DK42">_xlfn.IFS(DK$3&lt;=YEAR($B$2),SUMPRODUCT(($E$4:$E$79=$E42)*($Z$2:$CG$2=DK$3)*($Z$2:$CG$2&lt;DL$3)*$Z$4:$CG$79),DK$3&lt;YEAR($X42),0,DK$3=YEAR($X42),DATEDIF($X42,DATE(DK$3,12,31),"m")*$Y42,AND(DK$3&gt;YEAR($X42),DK$3-YEAR($X42)&lt;20),$Y42*12,DK$3-YEAR($X42)=20,DATEDIF(DATE(YEAR($X42),1,1),$X42,"m")*$Y42,DK$3-YEAR($X42)&gt;20,0)</f>
        <v>0</v>
      </c>
      <c r="DL42" s="202" cm="1">
        <f t="array" ref="DL42">_xlfn.IFS(DL$3&lt;=YEAR($B$2),SUMPRODUCT(($E$4:$E$79=$E42)*($Z$2:$CG$2=DL$3)*($Z$2:$CG$2&lt;DM$3)*$Z$4:$CG$79),DL$3&lt;YEAR($X42),0,DL$3=YEAR($X42),DATEDIF($X42,DATE(DL$3,12,31),"m")*$Y42,AND(DL$3&gt;YEAR($X42),DL$3-YEAR($X42)&lt;20),$Y42*12,DL$3-YEAR($X42)=20,DATEDIF(DATE(YEAR($X42),1,1),$X42,"m")*$Y42,DL$3-YEAR($X42)&gt;20,0)</f>
        <v>0</v>
      </c>
    </row>
    <row r="43" spans="1:123">
      <c r="A43" s="155" t="str" cm="1">
        <f t="array" ref="A43">INDEX('Monthly Report July 2025'!C:C,MATCH(E43,'Monthly Report July 2025'!E:E,0),0)</f>
        <v>OCS049</v>
      </c>
      <c r="B43" s="155" t="str" cm="1">
        <f t="array" ref="B43">_xlfn.IFS(LEFT(E43,3)="PGE","PGE",LEFT(E43,2)="PP","PAC",TRUE,"IP")</f>
        <v>PAC</v>
      </c>
      <c r="C43" s="155" t="str">
        <f>IF(ISNA(MATCH(E43,'Monthly Report July 2025'!E:E,0)),"Missing","Present")</f>
        <v>Present</v>
      </c>
      <c r="D43" s="155" t="str">
        <f>IF(ISNA(MATCH(E43,'Project Operational Timelines'!C:C,0))=TRUE,"Missing","Present")</f>
        <v>Present</v>
      </c>
      <c r="E43" s="155" t="s">
        <v>151</v>
      </c>
      <c r="F43" s="155" t="str" cm="1">
        <f t="array" ref="F43">INDEX('Monthly Report July 2025'!F:F,MATCH(E43,'Monthly Report July 2025'!E:E,),0)</f>
        <v>Chapman Creek Solar</v>
      </c>
      <c r="G43" s="155" t="str" cm="1">
        <f t="array" ref="G43">_xlfn.IFS(INDEX('Monthly Report July 2025'!O:O,MATCH(E43,'Monthly Report July 2025'!E:E,0),0)="Operational","Operational",INDEX('Monthly Report July 2025'!O:O,MATCH(E43,'Monthly Report July 2025'!E:E,0),0)="Certified","Certified",TRUE,"Pre-Certified")</f>
        <v>Operational</v>
      </c>
      <c r="H43" s="155" t="str" cm="1">
        <f t="array" ref="H43">INDEX('Monthly Report July 2025'!H:H,MATCH($E43,'Monthly Report July 2025'!$E:$E,0),0)</f>
        <v>TLS Capital</v>
      </c>
      <c r="I43" s="155" t="str" cm="1">
        <f t="array" ref="I43">INDEX('Monthly Report July 2025'!I:I,MATCH($E43,'Monthly Report July 2025'!$E:$E,0),0)</f>
        <v>Luminace</v>
      </c>
      <c r="J43" s="174" cm="1">
        <f t="array" ref="J43">INDEX('Monthly Report July 2025'!J:J,MATCH($E43,'Monthly Report July 2025'!$E:$E,0),0)</f>
        <v>2</v>
      </c>
      <c r="K43" s="174" t="str" cm="1">
        <f t="array" ref="K43">INDEX('Monthly Report July 2025'!K:K,MATCH($E43,'Monthly Report July 2025'!$E:$E,0),0)</f>
        <v>No</v>
      </c>
      <c r="L43" s="174" t="b" cm="1">
        <f t="array" ref="L43">INDEX('Monthly Report July 2025'!L:L,MATCH(E43,'Monthly Report July 2025'!E:E,0),0)=M43</f>
        <v>1</v>
      </c>
      <c r="M43" s="273" cm="1">
        <f t="array" ref="M43">INDEX('Monthly Report July 2025'!L:L,MATCH($E43,'Monthly Report July 2025'!$E:$E,0),0)</f>
        <v>2990</v>
      </c>
      <c r="N43" s="175" cm="1">
        <f t="array" ref="N43">INDEX('Monthly Report July 2025'!M:M,MATCH($E43,'Monthly Report July 2025'!$E:$E,0),0)</f>
        <v>44666</v>
      </c>
      <c r="O43" s="175" t="str" cm="1">
        <f t="array" ref="O43">_xlfn.IFS(G43="Operational","Operational",G43="Certified","Certified",TRUE,INDEX('Monthly Report July 2025'!O:O,MATCH(E43,'Monthly Report July 2025'!E:E,0),0))</f>
        <v>Operational</v>
      </c>
      <c r="P43" s="175" t="b" cm="1">
        <f t="array" ref="P43">_xlfn.IFS(G43="Operational",O43="Operational",G43="Certified",O43="Certified",TRUE,G43="Pre-Certified")</f>
        <v>1</v>
      </c>
      <c r="Q43" s="175" cm="1">
        <f t="array" ref="Q43">IF(O43="Operational",INDEX('Monthly Report July 2025'!R:R,MATCH(E43,'Monthly Report July 2025'!E:E,0),0),"")</f>
        <v>45792</v>
      </c>
      <c r="R43" s="175" cm="1">
        <f t="array" ref="R43">INDEX('Monthly Report July 2025'!P:P,MATCH(E43,'Monthly Report July 2025'!E:E,0),0)</f>
        <v>45637</v>
      </c>
      <c r="S43" s="175" t="b">
        <f t="shared" si="28"/>
        <v>1</v>
      </c>
      <c r="T43" s="175" cm="1">
        <f t="array" ref="T43">INDEX('Monthly Report July 2025'!U:U,MATCH(E43,'Monthly Report July 2025'!E:E,0),0)</f>
        <v>45583</v>
      </c>
      <c r="U43" s="175" t="str">
        <f t="shared" si="6"/>
        <v>IGNORE</v>
      </c>
      <c r="V43" s="156">
        <f t="shared" si="29"/>
        <v>45637</v>
      </c>
      <c r="W43" s="156" cm="1">
        <f t="array" ref="W43">_xlfn.IFS(U43=TRUE,EDATE(O43,6),U43=FALSE,T43,O43="Operational",Q43,AND(O43="Certified",EDATE(R43,6)&gt;T43),EDATE(R43,6),TRUE,T43)</f>
        <v>45792</v>
      </c>
      <c r="X43" s="156">
        <f t="shared" si="30"/>
        <v>45853</v>
      </c>
      <c r="Y43" s="157">
        <f t="shared" si="31"/>
        <v>2160.2750000000001</v>
      </c>
      <c r="Z43" s="202" cm="1">
        <f t="array" ref="Z43">_xlfn.IFS(Z$3&lt;$B$2,SUMPRODUCT(('PA Fees Actual'!$B$5:$B$882=$E43)*('PA Fees Actual'!$A$5:$A$882&gt;=Z$3)*('PA Fees Actual'!$A$5:$A$882&lt;=EOMONTH(Z$3,0))*'PA Fees Actual'!$D$5:$D$882),Z$3&gt;=EOMONTH($X43,-1)+1,$Y43,TRUE,0)</f>
        <v>0</v>
      </c>
      <c r="AA43" s="202" cm="1">
        <f t="array" ref="AA43">_xlfn.IFS(AA$3&lt;$B$2,SUMPRODUCT(('PA Fees Actual'!$B$5:$B$882=$E43)*('PA Fees Actual'!$A$5:$A$882&gt;=AA$3)*('PA Fees Actual'!$A$5:$A$882&lt;=EOMONTH(AA$3,0))*'PA Fees Actual'!$D$5:$D$882),AA$3&gt;=EOMONTH($X43,-1)+1,$Y43,TRUE,0)</f>
        <v>0</v>
      </c>
      <c r="AB43" s="202" cm="1">
        <f t="array" ref="AB43">_xlfn.IFS(AB$3&lt;$B$2,SUMPRODUCT(('PA Fees Actual'!$B$5:$B$882=$E43)*('PA Fees Actual'!$A$5:$A$882&gt;=AB$3)*('PA Fees Actual'!$A$5:$A$882&lt;=EOMONTH(AB$3,0))*'PA Fees Actual'!$D$5:$D$882),AB$3&gt;=EOMONTH($X43,-1)+1,$Y43,TRUE,0)</f>
        <v>0</v>
      </c>
      <c r="AC43" s="202" cm="1">
        <f t="array" ref="AC43">_xlfn.IFS(AC$3&lt;$B$2,SUMPRODUCT(('PA Fees Actual'!$B$5:$B$882=$E43)*('PA Fees Actual'!$A$5:$A$882&gt;=AC$3)*('PA Fees Actual'!$A$5:$A$882&lt;=EOMONTH(AC$3,0))*'PA Fees Actual'!$D$5:$D$882),AC$3&gt;=EOMONTH($X43,-1)+1,$Y43,TRUE,0)</f>
        <v>0</v>
      </c>
      <c r="AD43" s="202" cm="1">
        <f t="array" ref="AD43">_xlfn.IFS(AD$3&lt;$B$2,SUMPRODUCT(('PA Fees Actual'!$B$5:$B$882=$E43)*('PA Fees Actual'!$A$5:$A$882&gt;=AD$3)*('PA Fees Actual'!$A$5:$A$882&lt;=EOMONTH(AD$3,0))*'PA Fees Actual'!$D$5:$D$882),AD$3&gt;=EOMONTH($X43,-1)+1,$Y43,TRUE,0)</f>
        <v>0</v>
      </c>
      <c r="AE43" s="202" cm="1">
        <f t="array" ref="AE43">_xlfn.IFS(AE$3&lt;$B$2,SUMPRODUCT(('PA Fees Actual'!$B$5:$B$882=$E43)*('PA Fees Actual'!$A$5:$A$882&gt;=AE$3)*('PA Fees Actual'!$A$5:$A$882&lt;=EOMONTH(AE$3,0))*'PA Fees Actual'!$D$5:$D$882),AE$3&gt;=EOMONTH($X43,-1)+1,$Y43,TRUE,0)</f>
        <v>0</v>
      </c>
      <c r="AF43" s="202" cm="1">
        <f t="array" ref="AF43">_xlfn.IFS(AF$3&lt;$B$2,SUMPRODUCT(('PA Fees Actual'!$B$5:$B$882=$E43)*('PA Fees Actual'!$A$5:$A$882&gt;=AF$3)*('PA Fees Actual'!$A$5:$A$882&lt;=EOMONTH(AF$3,0))*'PA Fees Actual'!$D$5:$D$882),AF$3&gt;=EOMONTH($X43,-1)+1,$Y43,TRUE,0)</f>
        <v>0</v>
      </c>
      <c r="AG43" s="202" cm="1">
        <f t="array" ref="AG43">_xlfn.IFS(AG$3&lt;$B$2,SUMPRODUCT(('PA Fees Actual'!$B$5:$B$882=$E43)*('PA Fees Actual'!$A$5:$A$882&gt;=AG$3)*('PA Fees Actual'!$A$5:$A$882&lt;=EOMONTH(AG$3,0))*'PA Fees Actual'!$D$5:$D$882),AG$3&gt;=EOMONTH($X43,-1)+1,$Y43,TRUE,0)</f>
        <v>0</v>
      </c>
      <c r="AH43" s="202" cm="1">
        <f t="array" ref="AH43">_xlfn.IFS(AH$3&lt;$B$2,SUMPRODUCT(('PA Fees Actual'!$B$5:$B$882=$E43)*('PA Fees Actual'!$A$5:$A$882&gt;=AH$3)*('PA Fees Actual'!$A$5:$A$882&lt;=EOMONTH(AH$3,0))*'PA Fees Actual'!$D$5:$D$882),AH$3&gt;=EOMONTH($X43,-1)+1,$Y43,TRUE,0)</f>
        <v>0</v>
      </c>
      <c r="AI43" s="202" cm="1">
        <f t="array" ref="AI43">_xlfn.IFS(AI$3&lt;$B$2,SUMPRODUCT(('PA Fees Actual'!$B$5:$B$882=$E43)*('PA Fees Actual'!$A$5:$A$882&gt;=AI$3)*('PA Fees Actual'!$A$5:$A$882&lt;=EOMONTH(AI$3,0))*'PA Fees Actual'!$D$5:$D$882),AI$3&gt;=EOMONTH($X43,-1)+1,$Y43,TRUE,0)</f>
        <v>0</v>
      </c>
      <c r="AJ43" s="202" cm="1">
        <f t="array" ref="AJ43">_xlfn.IFS(AJ$3&lt;$B$2,SUMPRODUCT(('PA Fees Actual'!$B$5:$B$882=$E43)*('PA Fees Actual'!$A$5:$A$882&gt;=AJ$3)*('PA Fees Actual'!$A$5:$A$882&lt;=EOMONTH(AJ$3,0))*'PA Fees Actual'!$D$5:$D$882),AJ$3&gt;=EOMONTH($X43,-1)+1,$Y43,TRUE,0)</f>
        <v>0</v>
      </c>
      <c r="AK43" s="202" cm="1">
        <f t="array" ref="AK43">_xlfn.IFS(AK$3&lt;$B$2,SUMPRODUCT(('PA Fees Actual'!$B$5:$B$882=$E43)*('PA Fees Actual'!$A$5:$A$882&gt;=AK$3)*('PA Fees Actual'!$A$5:$A$882&lt;=EOMONTH(AK$3,0))*'PA Fees Actual'!$D$5:$D$882),AK$3&gt;=EOMONTH($X43,-1)+1,$Y43,TRUE,0)</f>
        <v>0</v>
      </c>
      <c r="AL43" s="202" cm="1">
        <f t="array" ref="AL43">_xlfn.IFS(AL$3&lt;$B$2,SUMPRODUCT(('PA Fees Actual'!$B$5:$B$882=$E43)*('PA Fees Actual'!$A$5:$A$882&gt;=AL$3)*('PA Fees Actual'!$A$5:$A$882&lt;=EOMONTH(AL$3,0))*'PA Fees Actual'!$D$5:$D$882),AL$3&gt;=EOMONTH($X43,-1)+1,$Y43,TRUE,0)</f>
        <v>0</v>
      </c>
      <c r="AM43" s="202" cm="1">
        <f t="array" ref="AM43">_xlfn.IFS(AM$3&lt;$B$2,SUMPRODUCT(('PA Fees Actual'!$B$5:$B$882=$E43)*('PA Fees Actual'!$A$5:$A$882&gt;=AM$3)*('PA Fees Actual'!$A$5:$A$882&lt;=EOMONTH(AM$3,0))*'PA Fees Actual'!$D$5:$D$882),AM$3&gt;=EOMONTH($X43,-1)+1,$Y43,TRUE,0)</f>
        <v>0</v>
      </c>
      <c r="AN43" s="202" cm="1">
        <f t="array" ref="AN43">_xlfn.IFS(AN$3&lt;$B$2,SUMPRODUCT(('PA Fees Actual'!$B$5:$B$882=$E43)*('PA Fees Actual'!$A$5:$A$882&gt;=AN$3)*('PA Fees Actual'!$A$5:$A$882&lt;=EOMONTH(AN$3,0))*'PA Fees Actual'!$D$5:$D$882),AN$3&gt;=EOMONTH($X43,-1)+1,$Y43,TRUE,0)</f>
        <v>0</v>
      </c>
      <c r="AO43" s="202" cm="1">
        <f t="array" ref="AO43">_xlfn.IFS(AO$3&lt;$B$2,SUMPRODUCT(('PA Fees Actual'!$B$5:$B$882=$E43)*('PA Fees Actual'!$A$5:$A$882&gt;=AO$3)*('PA Fees Actual'!$A$5:$A$882&lt;=EOMONTH(AO$3,0))*'PA Fees Actual'!$D$5:$D$882),AO$3&gt;=EOMONTH($X43,-1)+1,$Y43,TRUE,0)</f>
        <v>0</v>
      </c>
      <c r="AP43" s="202" cm="1">
        <f t="array" ref="AP43">_xlfn.IFS(AP$3&lt;$B$2,SUMPRODUCT(('PA Fees Actual'!$B$5:$B$882=$E43)*('PA Fees Actual'!$A$5:$A$882&gt;=AP$3)*('PA Fees Actual'!$A$5:$A$882&lt;=EOMONTH(AP$3,0))*'PA Fees Actual'!$D$5:$D$882),AP$3&gt;=EOMONTH($X43,-1)+1,$Y43,TRUE,0)</f>
        <v>0</v>
      </c>
      <c r="AQ43" s="202" cm="1">
        <f t="array" ref="AQ43">_xlfn.IFS(AQ$3&lt;$B$2,SUMPRODUCT(('PA Fees Actual'!$B$5:$B$882=$E43)*('PA Fees Actual'!$A$5:$A$882&gt;=AQ$3)*('PA Fees Actual'!$A$5:$A$882&lt;=EOMONTH(AQ$3,0))*'PA Fees Actual'!$D$5:$D$882),AQ$3&gt;=EOMONTH($X43,-1)+1,$Y43,TRUE,0)</f>
        <v>0</v>
      </c>
      <c r="AR43" s="202" cm="1">
        <f t="array" ref="AR43">_xlfn.IFS(AR$3&lt;$B$2,SUMPRODUCT(('PA Fees Actual'!$B$5:$B$882=$E43)*('PA Fees Actual'!$A$5:$A$882&gt;=AR$3)*('PA Fees Actual'!$A$5:$A$882&lt;=EOMONTH(AR$3,0))*'PA Fees Actual'!$D$5:$D$882),AR$3&gt;=EOMONTH($X43,-1)+1,$Y43,TRUE,0)</f>
        <v>0</v>
      </c>
      <c r="AS43" s="202" cm="1">
        <f t="array" ref="AS43">_xlfn.IFS(AS$3&lt;$B$2,SUMPRODUCT(('PA Fees Actual'!$B$5:$B$882=$E43)*('PA Fees Actual'!$A$5:$A$882&gt;=AS$3)*('PA Fees Actual'!$A$5:$A$882&lt;=EOMONTH(AS$3,0))*'PA Fees Actual'!$D$5:$D$882),AS$3&gt;=EOMONTH($X43,-1)+1,$Y43,TRUE,0)</f>
        <v>0</v>
      </c>
      <c r="AT43" s="202" cm="1">
        <f t="array" ref="AT43">_xlfn.IFS(AT$3&lt;$B$2,SUMPRODUCT(('PA Fees Actual'!$B$5:$B$882=$E43)*('PA Fees Actual'!$A$5:$A$882&gt;=AT$3)*('PA Fees Actual'!$A$5:$A$882&lt;=EOMONTH(AT$3,0))*'PA Fees Actual'!$D$5:$D$882),AT$3&gt;=EOMONTH($X43,-1)+1,$Y43,TRUE,0)</f>
        <v>0</v>
      </c>
      <c r="AU43" s="202" cm="1">
        <f t="array" ref="AU43">_xlfn.IFS(AU$3&lt;$B$2,SUMPRODUCT(('PA Fees Actual'!$B$5:$B$882=$E43)*('PA Fees Actual'!$A$5:$A$882&gt;=AU$3)*('PA Fees Actual'!$A$5:$A$882&lt;=EOMONTH(AU$3,0))*'PA Fees Actual'!$D$5:$D$882),AU$3&gt;=EOMONTH($X43,-1)+1,$Y43,TRUE,0)</f>
        <v>0</v>
      </c>
      <c r="AV43" s="202" cm="1">
        <f t="array" ref="AV43">_xlfn.IFS(AV$3&lt;$B$2,SUMPRODUCT(('PA Fees Actual'!$B$5:$B$882=$E43)*('PA Fees Actual'!$A$5:$A$882&gt;=AV$3)*('PA Fees Actual'!$A$5:$A$882&lt;=EOMONTH(AV$3,0))*'PA Fees Actual'!$D$5:$D$882),AV$3&gt;=EOMONTH($X43,-1)+1,$Y43,TRUE,0)</f>
        <v>0</v>
      </c>
      <c r="AW43" s="202" cm="1">
        <f t="array" ref="AW43">_xlfn.IFS(AW$3&lt;$B$2,SUMPRODUCT(('PA Fees Actual'!$B$5:$B$882=$E43)*('PA Fees Actual'!$A$5:$A$882&gt;=AW$3)*('PA Fees Actual'!$A$5:$A$882&lt;=EOMONTH(AW$3,0))*'PA Fees Actual'!$D$5:$D$882),AW$3&gt;=EOMONTH($X43,-1)+1,$Y43,TRUE,0)</f>
        <v>0</v>
      </c>
      <c r="AX43" s="202" cm="1">
        <f t="array" ref="AX43">_xlfn.IFS(AX$3&lt;$B$2,SUMPRODUCT(('PA Fees Actual'!$B$5:$B$882=$E43)*('PA Fees Actual'!$A$5:$A$882&gt;=AX$3)*('PA Fees Actual'!$A$5:$A$882&lt;=EOMONTH(AX$3,0))*'PA Fees Actual'!$D$5:$D$882),AX$3&gt;=EOMONTH($X43,-1)+1,$Y43,TRUE,0)</f>
        <v>0</v>
      </c>
      <c r="AY43" s="202" cm="1">
        <f t="array" ref="AY43">_xlfn.IFS(AY$3&lt;$B$2,SUMPRODUCT(('PA Fees Actual'!$B$5:$B$882=$E43)*('PA Fees Actual'!$A$5:$A$882&gt;=AY$3)*('PA Fees Actual'!$A$5:$A$882&lt;=EOMONTH(AY$3,0))*'PA Fees Actual'!$D$5:$D$882),AY$3&gt;=EOMONTH($X43,-1)+1,$Y43,TRUE,0)</f>
        <v>0</v>
      </c>
      <c r="AZ43" s="202" cm="1">
        <f t="array" ref="AZ43">_xlfn.IFS(AZ$3&lt;$B$2,SUMPRODUCT(('PA Fees Actual'!$B$5:$B$882=$E43)*('PA Fees Actual'!$A$5:$A$882&gt;=AZ$3)*('PA Fees Actual'!$A$5:$A$882&lt;=EOMONTH(AZ$3,0))*'PA Fees Actual'!$D$5:$D$882),AZ$3&gt;=EOMONTH($X43,-1)+1,$Y43,TRUE,0)</f>
        <v>0</v>
      </c>
      <c r="BA43" s="202" cm="1">
        <f t="array" ref="BA43">_xlfn.IFS(BA$3&lt;$B$2,SUMPRODUCT(('PA Fees Actual'!$B$5:$B$882=$E43)*('PA Fees Actual'!$A$5:$A$882&gt;=BA$3)*('PA Fees Actual'!$A$5:$A$882&lt;=EOMONTH(BA$3,0))*'PA Fees Actual'!$D$5:$D$882),BA$3&gt;=EOMONTH($X43,-1)+1,$Y43,TRUE,0)</f>
        <v>0</v>
      </c>
      <c r="BB43" s="202" cm="1">
        <f t="array" ref="BB43">_xlfn.IFS(BB$3&lt;$B$2,SUMPRODUCT(('PA Fees Actual'!$B$5:$B$882=$E43)*('PA Fees Actual'!$A$5:$A$882&gt;=BB$3)*('PA Fees Actual'!$A$5:$A$882&lt;=EOMONTH(BB$3,0))*'PA Fees Actual'!$D$5:$D$882),BB$3&gt;=EOMONTH($X43,-1)+1,$Y43,TRUE,0)</f>
        <v>0</v>
      </c>
      <c r="BC43" s="202" cm="1">
        <f t="array" ref="BC43">_xlfn.IFS(BC$3&lt;$B$2,SUMPRODUCT(('PA Fees Actual'!$B$5:$B$882=$E43)*('PA Fees Actual'!$A$5:$A$882&gt;=BC$3)*('PA Fees Actual'!$A$5:$A$882&lt;=EOMONTH(BC$3,0))*'PA Fees Actual'!$D$5:$D$882),BC$3&gt;=EOMONTH($X43,-1)+1,$Y43,TRUE,0)</f>
        <v>0</v>
      </c>
      <c r="BD43" s="202" cm="1">
        <f t="array" ref="BD43">_xlfn.IFS(BD$3&lt;$B$2,SUMPRODUCT(('PA Fees Actual'!$B$5:$B$882=$E43)*('PA Fees Actual'!$A$5:$A$882&gt;=BD$3)*('PA Fees Actual'!$A$5:$A$882&lt;=EOMONTH(BD$3,0))*'PA Fees Actual'!$D$5:$D$882),BD$3&gt;=EOMONTH($X43,-1)+1,$Y43,TRUE,0)</f>
        <v>0</v>
      </c>
      <c r="BE43" s="202" cm="1">
        <f t="array" ref="BE43">_xlfn.IFS(BE$3&lt;$B$2,SUMPRODUCT(('PA Fees Actual'!$B$5:$B$882=$E43)*('PA Fees Actual'!$A$5:$A$882&gt;=BE$3)*('PA Fees Actual'!$A$5:$A$882&lt;=EOMONTH(BE$3,0))*'PA Fees Actual'!$D$5:$D$882),BE$3&gt;=EOMONTH($X43,-1)+1,$Y43,TRUE,0)</f>
        <v>0</v>
      </c>
      <c r="BF43" s="202" cm="1">
        <f t="array" ref="BF43">_xlfn.IFS(BF$3&lt;$B$2,SUMPRODUCT(('PA Fees Actual'!$B$5:$B$882=$E43)*('PA Fees Actual'!$A$5:$A$882&gt;=BF$3)*('PA Fees Actual'!$A$5:$A$882&lt;=EOMONTH(BF$3,0))*'PA Fees Actual'!$D$5:$D$882),BF$3&gt;=EOMONTH($X43,-1)+1,$Y43,TRUE,0)</f>
        <v>0</v>
      </c>
      <c r="BG43" s="202" cm="1">
        <f t="array" ref="BG43">_xlfn.IFS(BG$3&lt;$B$2,SUMPRODUCT(('PA Fees Actual'!$B$5:$B$882=$E43)*('PA Fees Actual'!$A$5:$A$882&gt;=BG$3)*('PA Fees Actual'!$A$5:$A$882&lt;=EOMONTH(BG$3,0))*'PA Fees Actual'!$D$5:$D$882),BG$3&gt;=EOMONTH($X43,-1)+1,$Y43,TRUE,0)</f>
        <v>0</v>
      </c>
      <c r="BH43" s="202" cm="1">
        <f t="array" ref="BH43">_xlfn.IFS(BH$3&lt;$B$2,SUMPRODUCT(('PA Fees Actual'!$B$5:$B$882=$E43)*('PA Fees Actual'!$A$5:$A$882&gt;=BH$3)*('PA Fees Actual'!$A$5:$A$882&lt;=EOMONTH(BH$3,0))*'PA Fees Actual'!$D$5:$D$882),BH$3&gt;=EOMONTH($X43,-1)+1,$Y43,TRUE,0)</f>
        <v>0</v>
      </c>
      <c r="BI43" s="202" cm="1">
        <f t="array" ref="BI43">_xlfn.IFS(BI$3&lt;$B$2,SUMPRODUCT(('PA Fees Actual'!$B$5:$B$882=$E43)*('PA Fees Actual'!$A$5:$A$882&gt;=BI$3)*('PA Fees Actual'!$A$5:$A$882&lt;=EOMONTH(BI$3,0))*'PA Fees Actual'!$D$5:$D$882),BI$3&gt;=EOMONTH($X43,-1)+1,$Y43,TRUE,0)</f>
        <v>0</v>
      </c>
      <c r="BJ43" s="202" cm="1">
        <f t="array" ref="BJ43">_xlfn.IFS(BJ$3&lt;$B$2,SUMPRODUCT(('PA Fees Actual'!$B$5:$B$882=$E43)*('PA Fees Actual'!$A$5:$A$882&gt;=BJ$3)*('PA Fees Actual'!$A$5:$A$882&lt;=EOMONTH(BJ$3,0))*'PA Fees Actual'!$D$5:$D$882),BJ$3&gt;=EOMONTH($X43,-1)+1,$Y43,TRUE,0)</f>
        <v>0</v>
      </c>
      <c r="BK43" s="202" cm="1">
        <f t="array" ref="BK43">_xlfn.IFS(BK$3&lt;$B$2,SUMPRODUCT(('PA Fees Actual'!$B$5:$B$882=$E43)*('PA Fees Actual'!$A$5:$A$882&gt;=BK$3)*('PA Fees Actual'!$A$5:$A$882&lt;=EOMONTH(BK$3,0))*'PA Fees Actual'!$D$5:$D$882),BK$3&gt;=EOMONTH($X43,-1)+1,$Y43,TRUE,0)</f>
        <v>0</v>
      </c>
      <c r="BL43" s="202" cm="1">
        <f t="array" ref="BL43">_xlfn.IFS(BL$3&lt;$B$2,SUMPRODUCT(('PA Fees Actual'!$B$5:$B$882=$E43)*('PA Fees Actual'!$A$5:$A$882&gt;=BL$3)*('PA Fees Actual'!$A$5:$A$882&lt;=EOMONTH(BL$3,0))*'PA Fees Actual'!$D$5:$D$882),BL$3&gt;=EOMONTH($X43,-1)+1,$Y43,TRUE,0)</f>
        <v>0</v>
      </c>
      <c r="BM43" s="202" cm="1">
        <f t="array" ref="BM43">_xlfn.IFS(BM$3&lt;$B$2,SUMPRODUCT(('PA Fees Actual'!$B$5:$B$882=$E43)*('PA Fees Actual'!$A$5:$A$882&gt;=BM$3)*('PA Fees Actual'!$A$5:$A$882&lt;=EOMONTH(BM$3,0))*'PA Fees Actual'!$D$5:$D$882),BM$3&gt;=EOMONTH($X43,-1)+1,$Y43,TRUE,0)</f>
        <v>0</v>
      </c>
      <c r="BN43" s="202" cm="1">
        <f t="array" ref="BN43">_xlfn.IFS(BN$3&lt;$B$2,SUMPRODUCT(('PA Fees Actual'!$B$5:$B$882=$E43)*('PA Fees Actual'!$A$5:$A$882&gt;=BN$3)*('PA Fees Actual'!$A$5:$A$882&lt;=EOMONTH(BN$3,0))*'PA Fees Actual'!$D$5:$D$882),BN$3&gt;=EOMONTH($X43,-1)+1,$Y43,TRUE,0)</f>
        <v>0</v>
      </c>
      <c r="BO43" s="202" cm="1">
        <f t="array" ref="BO43">_xlfn.IFS(BO$3&lt;$B$2,SUMPRODUCT(('PA Fees Actual'!$B$5:$B$882=$E43)*('PA Fees Actual'!$A$5:$A$882&gt;=BO$3)*('PA Fees Actual'!$A$5:$A$882&lt;=EOMONTH(BO$3,0))*'PA Fees Actual'!$D$5:$D$882),BO$3&gt;=EOMONTH($X43,-1)+1,$Y43,TRUE,0)</f>
        <v>0</v>
      </c>
      <c r="BP43" s="202" cm="1">
        <f t="array" ref="BP43">_xlfn.IFS(BP$3&lt;$B$2,SUMPRODUCT(('PA Fees Actual'!$B$5:$B$882=$E43)*('PA Fees Actual'!$A$5:$A$882&gt;=BP$3)*('PA Fees Actual'!$A$5:$A$882&lt;=EOMONTH(BP$3,0))*'PA Fees Actual'!$D$5:$D$882),BP$3&gt;=EOMONTH($X43,-1)+1,$Y43,TRUE,0)</f>
        <v>0</v>
      </c>
      <c r="BQ43" s="202" cm="1">
        <f t="array" ref="BQ43">_xlfn.IFS(BQ$3&lt;$B$2,SUMPRODUCT(('PA Fees Actual'!$B$5:$B$882=$E43)*('PA Fees Actual'!$A$5:$A$882&gt;=BQ$3)*('PA Fees Actual'!$A$5:$A$882&lt;=EOMONTH(BQ$3,0))*'PA Fees Actual'!$D$5:$D$882),BQ$3&gt;=EOMONTH($X43,-1)+1,$Y43,TRUE,0)</f>
        <v>0</v>
      </c>
      <c r="BR43" s="202" cm="1">
        <f t="array" ref="BR43">_xlfn.IFS(BR$3&lt;$B$2,SUMPRODUCT(('PA Fees Actual'!$B$5:$B$882=$E43)*('PA Fees Actual'!$A$5:$A$882&gt;=BR$3)*('PA Fees Actual'!$A$5:$A$882&lt;=EOMONTH(BR$3,0))*'PA Fees Actual'!$D$5:$D$882),BR$3&gt;=EOMONTH($X43,-1)+1,$Y43,TRUE,0)</f>
        <v>0</v>
      </c>
      <c r="BS43" s="202" cm="1">
        <f t="array" ref="BS43">_xlfn.IFS(BS$3&lt;$B$2,SUMPRODUCT(('PA Fees Actual'!$B$5:$B$882=$E43)*('PA Fees Actual'!$A$5:$A$882&gt;=BS$3)*('PA Fees Actual'!$A$5:$A$882&lt;=EOMONTH(BS$3,0))*'PA Fees Actual'!$D$5:$D$882),BS$3&gt;=EOMONTH($X43,-1)+1,$Y43,TRUE,0)</f>
        <v>0</v>
      </c>
      <c r="BT43" s="202" cm="1">
        <f t="array" ref="BT43">_xlfn.IFS(BT$3&lt;$B$2,SUMPRODUCT(('PA Fees Actual'!$B$5:$B$882=$E43)*('PA Fees Actual'!$A$5:$A$882&gt;=BT$3)*('PA Fees Actual'!$A$5:$A$882&lt;=EOMONTH(BT$3,0))*'PA Fees Actual'!$D$5:$D$882),BT$3&gt;=EOMONTH($X43,-1)+1,$Y43,TRUE,0)</f>
        <v>0</v>
      </c>
      <c r="BU43" s="202" cm="1">
        <f t="array" ref="BU43">_xlfn.IFS(BU$3&lt;$B$2,SUMPRODUCT(('PA Fees Actual'!$B$5:$B$882=$E43)*('PA Fees Actual'!$A$5:$A$882&gt;=BU$3)*('PA Fees Actual'!$A$5:$A$882&lt;=EOMONTH(BU$3,0))*'PA Fees Actual'!$D$5:$D$882),BU$3&gt;=EOMONTH($X43,-1)+1,$Y43,TRUE,0)</f>
        <v>0</v>
      </c>
      <c r="BV43" s="202" cm="1">
        <f t="array" ref="BV43">_xlfn.IFS(BV$3&lt;$B$2,SUMPRODUCT(('PA Fees Actual'!$B$5:$B$882=$E43)*('PA Fees Actual'!$A$5:$A$882&gt;=BV$3)*('PA Fees Actual'!$A$5:$A$882&lt;=EOMONTH(BV$3,0))*'PA Fees Actual'!$D$5:$D$882),BV$3&gt;=EOMONTH($X43,-1)+1,$Y43,TRUE,0)</f>
        <v>0</v>
      </c>
      <c r="BW43" s="202" cm="1">
        <f t="array" ref="BW43">_xlfn.IFS(BW$3&lt;$B$2,SUMPRODUCT(('PA Fees Actual'!$B$5:$B$882=$E43)*('PA Fees Actual'!$A$5:$A$882&gt;=BW$3)*('PA Fees Actual'!$A$5:$A$882&lt;=EOMONTH(BW$3,0))*'PA Fees Actual'!$D$5:$D$882),BW$3&gt;=EOMONTH($X43,-1)+1,$Y43,TRUE,0)</f>
        <v>0</v>
      </c>
      <c r="BX43" s="202" cm="1">
        <f t="array" ref="BX43">_xlfn.IFS(BX$3&lt;$B$2,SUMPRODUCT(('PA Fees Actual'!$B$5:$B$882=$E43)*('PA Fees Actual'!$A$5:$A$882&gt;=BX$3)*('PA Fees Actual'!$A$5:$A$882&lt;=EOMONTH(BX$3,0))*'PA Fees Actual'!$D$5:$D$882),BX$3&gt;=EOMONTH($X43,-1)+1,$Y43,TRUE,0)</f>
        <v>0</v>
      </c>
      <c r="BY43" s="202" cm="1">
        <f t="array" ref="BY43">_xlfn.IFS(BY$3&lt;$B$2,SUMPRODUCT(('PA Fees Actual'!$B$5:$B$882=$E43)*('PA Fees Actual'!$A$5:$A$882&gt;=BY$3)*('PA Fees Actual'!$A$5:$A$882&lt;=EOMONTH(BY$3,0))*'PA Fees Actual'!$D$5:$D$882),BY$3&gt;=EOMONTH($X43,-1)+1,$Y43,TRUE,0)</f>
        <v>0</v>
      </c>
      <c r="BZ43" s="202" cm="1">
        <f t="array" ref="BZ43">_xlfn.IFS(BZ$3&lt;$B$2,SUMPRODUCT(('PA Fees Actual'!$B$5:$B$882=$E43)*('PA Fees Actual'!$A$5:$A$882&gt;=BZ$3)*('PA Fees Actual'!$A$5:$A$882&lt;=EOMONTH(BZ$3,0))*'PA Fees Actual'!$D$5:$D$882),BZ$3&gt;=EOMONTH($X43,-1)+1,$Y43,TRUE,0)</f>
        <v>0</v>
      </c>
      <c r="CA43" s="202" cm="1">
        <f t="array" ref="CA43">_xlfn.IFS(CA$3&lt;$B$2,SUMPRODUCT(('PA Fees Actual'!$B$5:$B$882=$E43)*('PA Fees Actual'!$A$5:$A$882&gt;=CA$3)*('PA Fees Actual'!$A$5:$A$882&lt;=EOMONTH(CA$3,0))*'PA Fees Actual'!$D$5:$D$882),CA$3&gt;=EOMONTH($X43,-1)+1,$Y43,TRUE,0)</f>
        <v>0</v>
      </c>
      <c r="CB43" s="202" cm="1">
        <f t="array" ref="CB43">_xlfn.IFS(CB$3&lt;$B$2,SUMPRODUCT(('PA Fees Actual'!$B$5:$B$882=$E43)*('PA Fees Actual'!$A$5:$A$882&gt;=CB$3)*('PA Fees Actual'!$A$5:$A$882&lt;=EOMONTH(CB$3,0))*'PA Fees Actual'!$D$5:$D$882),CB$3&gt;=EOMONTH($X43,-1)+1,$Y43,TRUE,0)</f>
        <v>2160.2750000000001</v>
      </c>
      <c r="CC43" s="202" cm="1">
        <f t="array" ref="CC43">_xlfn.IFS(CC$3&lt;$B$2,SUMPRODUCT(('PA Fees Actual'!$B$5:$B$882=$E43)*('PA Fees Actual'!$A$5:$A$882&gt;=CC$3)*('PA Fees Actual'!$A$5:$A$882&lt;=EOMONTH(CC$3,0))*'PA Fees Actual'!$D$5:$D$882),CC$3&gt;=EOMONTH($X43,-1)+1,$Y43,TRUE,0)</f>
        <v>2160.2750000000001</v>
      </c>
      <c r="CD43" s="202" cm="1">
        <f t="array" ref="CD43">_xlfn.IFS(CD$3&lt;$B$2,SUMPRODUCT(('PA Fees Actual'!$B$5:$B$882=$E43)*('PA Fees Actual'!$A$5:$A$882&gt;=CD$3)*('PA Fees Actual'!$A$5:$A$882&lt;=EOMONTH(CD$3,0))*'PA Fees Actual'!$D$5:$D$882),CD$3&gt;=EOMONTH($X43,-1)+1,$Y43,TRUE,0)</f>
        <v>2160.2750000000001</v>
      </c>
      <c r="CE43" s="202" cm="1">
        <f t="array" ref="CE43">_xlfn.IFS(CE$3&lt;$B$2,SUMPRODUCT(('PA Fees Actual'!$B$5:$B$882=$E43)*('PA Fees Actual'!$A$5:$A$882&gt;=CE$3)*('PA Fees Actual'!$A$5:$A$882&lt;=EOMONTH(CE$3,0))*'PA Fees Actual'!$D$5:$D$882),CE$3&gt;=EOMONTH($X43,-1)+1,$Y43,TRUE,0)</f>
        <v>2160.2750000000001</v>
      </c>
      <c r="CF43" s="202" cm="1">
        <f t="array" ref="CF43">_xlfn.IFS(CF$3&lt;$B$2,SUMPRODUCT(('PA Fees Actual'!$B$5:$B$882=$E43)*('PA Fees Actual'!$A$5:$A$882&gt;=CF$3)*('PA Fees Actual'!$A$5:$A$882&lt;=EOMONTH(CF$3,0))*'PA Fees Actual'!$D$5:$D$882),CF$3&gt;=EOMONTH($X43,-1)+1,$Y43,TRUE,0)</f>
        <v>2160.2750000000001</v>
      </c>
      <c r="CG43" s="202" cm="1">
        <f t="array" ref="CG43">_xlfn.IFS(CG$3&lt;$B$2,SUMPRODUCT(('PA Fees Actual'!$B$5:$B$882=$E43)*('PA Fees Actual'!$A$5:$A$882&gt;=CG$3)*('PA Fees Actual'!$A$5:$A$882&lt;=EOMONTH(CG$3,0))*'PA Fees Actual'!$D$5:$D$882),CG$3&gt;=EOMONTH($X43,-1)+1,$Y43,TRUE,0)</f>
        <v>2160.2750000000001</v>
      </c>
      <c r="CI43" s="202" cm="1">
        <f t="array" ref="CI43">_xlfn.IFS(CI$3&lt;=YEAR($B$2),SUMPRODUCT(($E$4:$E$79=$E43)*($Z$2:$CG$2=CI$3)*($Z$2:$CG$2&lt;CJ$3)*$Z$4:$CG$79),CI$3&lt;YEAR($X43),0,CI$3=YEAR($X43),DATEDIF($X43,DATE(CI$3,12,31),"m")*$Y43,AND(CI$3&gt;YEAR($X43),CI$3-YEAR($X43)&lt;20),$Y43*12,CI$3-YEAR($X43)=20,DATEDIF(DATE(YEAR($X43),1,1),$X43,"m")*$Y43,CI$3-YEAR($X43)&gt;20,0)</f>
        <v>0</v>
      </c>
      <c r="CJ43" s="202" cm="1">
        <f t="array" ref="CJ43">_xlfn.IFS(CJ$3&lt;=YEAR($B$2),SUMPRODUCT(($E$4:$E$79=$E43)*($Z$2:$CG$2=CJ$3)*($Z$2:$CG$2&lt;CK$3)*$Z$4:$CG$79),CJ$3&lt;YEAR($X43),0,CJ$3=YEAR($X43),DATEDIF($X43,DATE(CJ$3,12,31),"m")*$Y43,AND(CJ$3&gt;YEAR($X43),CJ$3-YEAR($X43)&lt;20),$Y43*12,CJ$3-YEAR($X43)=20,DATEDIF(DATE(YEAR($X43),1,1),$X43,"m")*$Y43,CJ$3-YEAR($X43)&gt;20,0)</f>
        <v>0</v>
      </c>
      <c r="CK43" s="202" cm="1">
        <f t="array" ref="CK43">_xlfn.IFS(CK$3&lt;=YEAR($B$2),SUMPRODUCT(($E$4:$E$79=$E43)*($Z$2:$CG$2=CK$3)*($Z$2:$CG$2&lt;CL$3)*$Z$4:$CG$79),CK$3&lt;YEAR($X43),0,CK$3=YEAR($X43),DATEDIF($X43,DATE(CK$3,12,31),"m")*$Y43,AND(CK$3&gt;YEAR($X43),CK$3-YEAR($X43)&lt;20),$Y43*12,CK$3-YEAR($X43)=20,DATEDIF(DATE(YEAR($X43),1,1),$X43,"m")*$Y43,CK$3-YEAR($X43)&gt;20,0)</f>
        <v>0</v>
      </c>
      <c r="CL43" s="202" cm="1">
        <f t="array" ref="CL43">_xlfn.IFS(CL$3&lt;=YEAR($B$2),SUMPRODUCT(($E$4:$E$79=$E43)*($Z$2:$CG$2=CL$3)*($Z$2:$CG$2&lt;CM$3)*$Z$4:$CG$79),CL$3&lt;YEAR($X43),0,CL$3=YEAR($X43),DATEDIF($X43,DATE(CL$3,12,31),"m")*$Y43,AND(CL$3&gt;YEAR($X43),CL$3-YEAR($X43)&lt;20),$Y43*12,CL$3-YEAR($X43)=20,DATEDIF(DATE(YEAR($X43),1,1),$X43,"m")*$Y43,CL$3-YEAR($X43)&gt;20,0)</f>
        <v>0</v>
      </c>
      <c r="CM43" s="202" cm="1">
        <f t="array" ref="CM43">_xlfn.IFS(CM$3&lt;=YEAR($B$2),SUMPRODUCT(($E$4:$E$79=$E43)*($Z$2:$CG$2=CM$3)*($Z$2:$CG$2&lt;CN$3)*$Z$4:$CG$79),CM$3&lt;YEAR($X43),0,CM$3=YEAR($X43),DATEDIF($X43,DATE(CM$3,12,31),"m")*$Y43,AND(CM$3&gt;YEAR($X43),CM$3-YEAR($X43)&lt;20),$Y43*12,CM$3-YEAR($X43)=20,DATEDIF(DATE(YEAR($X43),1,1),$X43,"m")*$Y43,CM$3-YEAR($X43)&gt;20,0)</f>
        <v>12961.65</v>
      </c>
      <c r="CN43" s="202" cm="1">
        <f t="array" ref="CN43">_xlfn.IFS(CN$3&lt;=YEAR($B$2),SUMPRODUCT(($E$4:$E$79=$E43)*($Z$2:$CG$2=CN$3)*($Z$2:$CG$2&lt;CO$3)*$Z$4:$CG$79),CN$3&lt;YEAR($X43),0,CN$3=YEAR($X43),DATEDIF($X43,DATE(CN$3,12,31),"m")*$Y43,AND(CN$3&gt;YEAR($X43),CN$3-YEAR($X43)&lt;20),$Y43*12,CN$3-YEAR($X43)=20,DATEDIF(DATE(YEAR($X43),1,1),$X43,"m")*$Y43,CN$3-YEAR($X43)&gt;20,0)</f>
        <v>25923.300000000003</v>
      </c>
      <c r="CO43" s="202" cm="1">
        <f t="array" ref="CO43">_xlfn.IFS(CO$3&lt;=YEAR($B$2),SUMPRODUCT(($E$4:$E$79=$E43)*($Z$2:$CG$2=CO$3)*($Z$2:$CG$2&lt;CP$3)*$Z$4:$CG$79),CO$3&lt;YEAR($X43),0,CO$3=YEAR($X43),DATEDIF($X43,DATE(CO$3,12,31),"m")*$Y43,AND(CO$3&gt;YEAR($X43),CO$3-YEAR($X43)&lt;20),$Y43*12,CO$3-YEAR($X43)=20,DATEDIF(DATE(YEAR($X43),1,1),$X43,"m")*$Y43,CO$3-YEAR($X43)&gt;20,0)</f>
        <v>25923.300000000003</v>
      </c>
      <c r="CP43" s="202" cm="1">
        <f t="array" ref="CP43">_xlfn.IFS(CP$3&lt;=YEAR($B$2),SUMPRODUCT(($E$4:$E$79=$E43)*($Z$2:$CG$2=CP$3)*($Z$2:$CG$2&lt;CQ$3)*$Z$4:$CG$79),CP$3&lt;YEAR($X43),0,CP$3=YEAR($X43),DATEDIF($X43,DATE(CP$3,12,31),"m")*$Y43,AND(CP$3&gt;YEAR($X43),CP$3-YEAR($X43)&lt;20),$Y43*12,CP$3-YEAR($X43)=20,DATEDIF(DATE(YEAR($X43),1,1),$X43,"m")*$Y43,CP$3-YEAR($X43)&gt;20,0)</f>
        <v>25923.300000000003</v>
      </c>
      <c r="CQ43" s="202" cm="1">
        <f t="array" ref="CQ43">_xlfn.IFS(CQ$3&lt;=YEAR($B$2),SUMPRODUCT(($E$4:$E$79=$E43)*($Z$2:$CG$2=CQ$3)*($Z$2:$CG$2&lt;CR$3)*$Z$4:$CG$79),CQ$3&lt;YEAR($X43),0,CQ$3=YEAR($X43),DATEDIF($X43,DATE(CQ$3,12,31),"m")*$Y43,AND(CQ$3&gt;YEAR($X43),CQ$3-YEAR($X43)&lt;20),$Y43*12,CQ$3-YEAR($X43)=20,DATEDIF(DATE(YEAR($X43),1,1),$X43,"m")*$Y43,CQ$3-YEAR($X43)&gt;20,0)</f>
        <v>25923.300000000003</v>
      </c>
      <c r="CR43" s="202" cm="1">
        <f t="array" ref="CR43">_xlfn.IFS(CR$3&lt;=YEAR($B$2),SUMPRODUCT(($E$4:$E$79=$E43)*($Z$2:$CG$2=CR$3)*($Z$2:$CG$2&lt;CS$3)*$Z$4:$CG$79),CR$3&lt;YEAR($X43),0,CR$3=YEAR($X43),DATEDIF($X43,DATE(CR$3,12,31),"m")*$Y43,AND(CR$3&gt;YEAR($X43),CR$3-YEAR($X43)&lt;20),$Y43*12,CR$3-YEAR($X43)=20,DATEDIF(DATE(YEAR($X43),1,1),$X43,"m")*$Y43,CR$3-YEAR($X43)&gt;20,0)</f>
        <v>25923.300000000003</v>
      </c>
      <c r="CS43" s="202" cm="1">
        <f t="array" ref="CS43">_xlfn.IFS(CS$3&lt;=YEAR($B$2),SUMPRODUCT(($E$4:$E$79=$E43)*($Z$2:$CG$2=CS$3)*($Z$2:$CG$2&lt;CT$3)*$Z$4:$CG$79),CS$3&lt;YEAR($X43),0,CS$3=YEAR($X43),DATEDIF($X43,DATE(CS$3,12,31),"m")*$Y43,AND(CS$3&gt;YEAR($X43),CS$3-YEAR($X43)&lt;20),$Y43*12,CS$3-YEAR($X43)=20,DATEDIF(DATE(YEAR($X43),1,1),$X43,"m")*$Y43,CS$3-YEAR($X43)&gt;20,0)</f>
        <v>25923.300000000003</v>
      </c>
      <c r="CT43" s="202" cm="1">
        <f t="array" ref="CT43">_xlfn.IFS(CT$3&lt;=YEAR($B$2),SUMPRODUCT(($E$4:$E$79=$E43)*($Z$2:$CG$2=CT$3)*($Z$2:$CG$2&lt;CU$3)*$Z$4:$CG$79),CT$3&lt;YEAR($X43),0,CT$3=YEAR($X43),DATEDIF($X43,DATE(CT$3,12,31),"m")*$Y43,AND(CT$3&gt;YEAR($X43),CT$3-YEAR($X43)&lt;20),$Y43*12,CT$3-YEAR($X43)=20,DATEDIF(DATE(YEAR($X43),1,1),$X43,"m")*$Y43,CT$3-YEAR($X43)&gt;20,0)</f>
        <v>25923.300000000003</v>
      </c>
      <c r="CU43" s="202" cm="1">
        <f t="array" ref="CU43">_xlfn.IFS(CU$3&lt;=YEAR($B$2),SUMPRODUCT(($E$4:$E$79=$E43)*($Z$2:$CG$2=CU$3)*($Z$2:$CG$2&lt;CV$3)*$Z$4:$CG$79),CU$3&lt;YEAR($X43),0,CU$3=YEAR($X43),DATEDIF($X43,DATE(CU$3,12,31),"m")*$Y43,AND(CU$3&gt;YEAR($X43),CU$3-YEAR($X43)&lt;20),$Y43*12,CU$3-YEAR($X43)=20,DATEDIF(DATE(YEAR($X43),1,1),$X43,"m")*$Y43,CU$3-YEAR($X43)&gt;20,0)</f>
        <v>25923.300000000003</v>
      </c>
      <c r="CV43" s="202" cm="1">
        <f t="array" ref="CV43">_xlfn.IFS(CV$3&lt;=YEAR($B$2),SUMPRODUCT(($E$4:$E$79=$E43)*($Z$2:$CG$2=CV$3)*($Z$2:$CG$2&lt;CW$3)*$Z$4:$CG$79),CV$3&lt;YEAR($X43),0,CV$3=YEAR($X43),DATEDIF($X43,DATE(CV$3,12,31),"m")*$Y43,AND(CV$3&gt;YEAR($X43),CV$3-YEAR($X43)&lt;20),$Y43*12,CV$3-YEAR($X43)=20,DATEDIF(DATE(YEAR($X43),1,1),$X43,"m")*$Y43,CV$3-YEAR($X43)&gt;20,0)</f>
        <v>25923.300000000003</v>
      </c>
      <c r="CW43" s="202" cm="1">
        <f t="array" ref="CW43">_xlfn.IFS(CW$3&lt;=YEAR($B$2),SUMPRODUCT(($E$4:$E$79=$E43)*($Z$2:$CG$2=CW$3)*($Z$2:$CG$2&lt;CX$3)*$Z$4:$CG$79),CW$3&lt;YEAR($X43),0,CW$3=YEAR($X43),DATEDIF($X43,DATE(CW$3,12,31),"m")*$Y43,AND(CW$3&gt;YEAR($X43),CW$3-YEAR($X43)&lt;20),$Y43*12,CW$3-YEAR($X43)=20,DATEDIF(DATE(YEAR($X43),1,1),$X43,"m")*$Y43,CW$3-YEAR($X43)&gt;20,0)</f>
        <v>25923.300000000003</v>
      </c>
      <c r="CX43" s="202" cm="1">
        <f t="array" ref="CX43">_xlfn.IFS(CX$3&lt;=YEAR($B$2),SUMPRODUCT(($E$4:$E$79=$E43)*($Z$2:$CG$2=CX$3)*($Z$2:$CG$2&lt;CY$3)*$Z$4:$CG$79),CX$3&lt;YEAR($X43),0,CX$3=YEAR($X43),DATEDIF($X43,DATE(CX$3,12,31),"m")*$Y43,AND(CX$3&gt;YEAR($X43),CX$3-YEAR($X43)&lt;20),$Y43*12,CX$3-YEAR($X43)=20,DATEDIF(DATE(YEAR($X43),1,1),$X43,"m")*$Y43,CX$3-YEAR($X43)&gt;20,0)</f>
        <v>25923.300000000003</v>
      </c>
      <c r="CY43" s="202" cm="1">
        <f t="array" ref="CY43">_xlfn.IFS(CY$3&lt;=YEAR($B$2),SUMPRODUCT(($E$4:$E$79=$E43)*($Z$2:$CG$2=CY$3)*($Z$2:$CG$2&lt;CZ$3)*$Z$4:$CG$79),CY$3&lt;YEAR($X43),0,CY$3=YEAR($X43),DATEDIF($X43,DATE(CY$3,12,31),"m")*$Y43,AND(CY$3&gt;YEAR($X43),CY$3-YEAR($X43)&lt;20),$Y43*12,CY$3-YEAR($X43)=20,DATEDIF(DATE(YEAR($X43),1,1),$X43,"m")*$Y43,CY$3-YEAR($X43)&gt;20,0)</f>
        <v>25923.300000000003</v>
      </c>
      <c r="CZ43" s="202" cm="1">
        <f t="array" ref="CZ43">_xlfn.IFS(CZ$3&lt;=YEAR($B$2),SUMPRODUCT(($E$4:$E$79=$E43)*($Z$2:$CG$2=CZ$3)*($Z$2:$CG$2&lt;DA$3)*$Z$4:$CG$79),CZ$3&lt;YEAR($X43),0,CZ$3=YEAR($X43),DATEDIF($X43,DATE(CZ$3,12,31),"m")*$Y43,AND(CZ$3&gt;YEAR($X43),CZ$3-YEAR($X43)&lt;20),$Y43*12,CZ$3-YEAR($X43)=20,DATEDIF(DATE(YEAR($X43),1,1),$X43,"m")*$Y43,CZ$3-YEAR($X43)&gt;20,0)</f>
        <v>25923.300000000003</v>
      </c>
      <c r="DA43" s="202" cm="1">
        <f t="array" ref="DA43">_xlfn.IFS(DA$3&lt;=YEAR($B$2),SUMPRODUCT(($E$4:$E$79=$E43)*($Z$2:$CG$2=DA$3)*($Z$2:$CG$2&lt;DB$3)*$Z$4:$CG$79),DA$3&lt;YEAR($X43),0,DA$3=YEAR($X43),DATEDIF($X43,DATE(DA$3,12,31),"m")*$Y43,AND(DA$3&gt;YEAR($X43),DA$3-YEAR($X43)&lt;20),$Y43*12,DA$3-YEAR($X43)=20,DATEDIF(DATE(YEAR($X43),1,1),$X43,"m")*$Y43,DA$3-YEAR($X43)&gt;20,0)</f>
        <v>25923.300000000003</v>
      </c>
      <c r="DB43" s="202" cm="1">
        <f t="array" ref="DB43">_xlfn.IFS(DB$3&lt;=YEAR($B$2),SUMPRODUCT(($E$4:$E$79=$E43)*($Z$2:$CG$2=DB$3)*($Z$2:$CG$2&lt;DC$3)*$Z$4:$CG$79),DB$3&lt;YEAR($X43),0,DB$3=YEAR($X43),DATEDIF($X43,DATE(DB$3,12,31),"m")*$Y43,AND(DB$3&gt;YEAR($X43),DB$3-YEAR($X43)&lt;20),$Y43*12,DB$3-YEAR($X43)=20,DATEDIF(DATE(YEAR($X43),1,1),$X43,"m")*$Y43,DB$3-YEAR($X43)&gt;20,0)</f>
        <v>25923.300000000003</v>
      </c>
      <c r="DC43" s="202" cm="1">
        <f t="array" ref="DC43">_xlfn.IFS(DC$3&lt;=YEAR($B$2),SUMPRODUCT(($E$4:$E$79=$E43)*($Z$2:$CG$2=DC$3)*($Z$2:$CG$2&lt;DD$3)*$Z$4:$CG$79),DC$3&lt;YEAR($X43),0,DC$3=YEAR($X43),DATEDIF($X43,DATE(DC$3,12,31),"m")*$Y43,AND(DC$3&gt;YEAR($X43),DC$3-YEAR($X43)&lt;20),$Y43*12,DC$3-YEAR($X43)=20,DATEDIF(DATE(YEAR($X43),1,1),$X43,"m")*$Y43,DC$3-YEAR($X43)&gt;20,0)</f>
        <v>25923.300000000003</v>
      </c>
      <c r="DD43" s="202" cm="1">
        <f t="array" ref="DD43">_xlfn.IFS(DD$3&lt;=YEAR($B$2),SUMPRODUCT(($E$4:$E$79=$E43)*($Z$2:$CG$2=DD$3)*($Z$2:$CG$2&lt;DE$3)*$Z$4:$CG$79),DD$3&lt;YEAR($X43),0,DD$3=YEAR($X43),DATEDIF($X43,DATE(DD$3,12,31),"m")*$Y43,AND(DD$3&gt;YEAR($X43),DD$3-YEAR($X43)&lt;20),$Y43*12,DD$3-YEAR($X43)=20,DATEDIF(DATE(YEAR($X43),1,1),$X43,"m")*$Y43,DD$3-YEAR($X43)&gt;20,0)</f>
        <v>25923.300000000003</v>
      </c>
      <c r="DE43" s="202" cm="1">
        <f t="array" ref="DE43">_xlfn.IFS(DE$3&lt;=YEAR($B$2),SUMPRODUCT(($E$4:$E$79=$E43)*($Z$2:$CG$2=DE$3)*($Z$2:$CG$2&lt;DF$3)*$Z$4:$CG$79),DE$3&lt;YEAR($X43),0,DE$3=YEAR($X43),DATEDIF($X43,DATE(DE$3,12,31),"m")*$Y43,AND(DE$3&gt;YEAR($X43),DE$3-YEAR($X43)&lt;20),$Y43*12,DE$3-YEAR($X43)=20,DATEDIF(DATE(YEAR($X43),1,1),$X43,"m")*$Y43,DE$3-YEAR($X43)&gt;20,0)</f>
        <v>25923.300000000003</v>
      </c>
      <c r="DF43" s="202" cm="1">
        <f t="array" ref="DF43">_xlfn.IFS(DF$3&lt;=YEAR($B$2),SUMPRODUCT(($E$4:$E$79=$E43)*($Z$2:$CG$2=DF$3)*($Z$2:$CG$2&lt;DG$3)*$Z$4:$CG$79),DF$3&lt;YEAR($X43),0,DF$3=YEAR($X43),DATEDIF($X43,DATE(DF$3,12,31),"m")*$Y43,AND(DF$3&gt;YEAR($X43),DF$3-YEAR($X43)&lt;20),$Y43*12,DF$3-YEAR($X43)=20,DATEDIF(DATE(YEAR($X43),1,1),$X43,"m")*$Y43,DF$3-YEAR($X43)&gt;20,0)</f>
        <v>25923.300000000003</v>
      </c>
      <c r="DG43" s="202" cm="1">
        <f t="array" ref="DG43">_xlfn.IFS(DG$3&lt;=YEAR($B$2),SUMPRODUCT(($E$4:$E$79=$E43)*($Z$2:$CG$2=DG$3)*($Z$2:$CG$2&lt;DH$3)*$Z$4:$CG$79),DG$3&lt;YEAR($X43),0,DG$3=YEAR($X43),DATEDIF($X43,DATE(DG$3,12,31),"m")*$Y43,AND(DG$3&gt;YEAR($X43),DG$3-YEAR($X43)&lt;20),$Y43*12,DG$3-YEAR($X43)=20,DATEDIF(DATE(YEAR($X43),1,1),$X43,"m")*$Y43,DG$3-YEAR($X43)&gt;20,0)</f>
        <v>12961.650000000001</v>
      </c>
      <c r="DH43" s="202" cm="1">
        <f t="array" ref="DH43">_xlfn.IFS(DH$3&lt;=YEAR($B$2),SUMPRODUCT(($E$4:$E$79=$E43)*($Z$2:$CG$2=DH$3)*($Z$2:$CG$2&lt;DI$3)*$Z$4:$CG$79),DH$3&lt;YEAR($X43),0,DH$3=YEAR($X43),DATEDIF($X43,DATE(DH$3,12,31),"m")*$Y43,AND(DH$3&gt;YEAR($X43),DH$3-YEAR($X43)&lt;20),$Y43*12,DH$3-YEAR($X43)=20,DATEDIF(DATE(YEAR($X43),1,1),$X43,"m")*$Y43,DH$3-YEAR($X43)&gt;20,0)</f>
        <v>0</v>
      </c>
      <c r="DI43" s="202" cm="1">
        <f t="array" ref="DI43">_xlfn.IFS(DI$3&lt;=YEAR($B$2),SUMPRODUCT(($E$4:$E$79=$E43)*($Z$2:$CG$2=DI$3)*($Z$2:$CG$2&lt;DJ$3)*$Z$4:$CG$79),DI$3&lt;YEAR($X43),0,DI$3=YEAR($X43),DATEDIF($X43,DATE(DI$3,12,31),"m")*$Y43,AND(DI$3&gt;YEAR($X43),DI$3-YEAR($X43)&lt;20),$Y43*12,DI$3-YEAR($X43)=20,DATEDIF(DATE(YEAR($X43),1,1),$X43,"m")*$Y43,DI$3-YEAR($X43)&gt;20,0)</f>
        <v>0</v>
      </c>
      <c r="DJ43" s="202" cm="1">
        <f t="array" ref="DJ43">_xlfn.IFS(DJ$3&lt;=YEAR($B$2),SUMPRODUCT(($E$4:$E$79=$E43)*($Z$2:$CG$2=DJ$3)*($Z$2:$CG$2&lt;DK$3)*$Z$4:$CG$79),DJ$3&lt;YEAR($X43),0,DJ$3=YEAR($X43),DATEDIF($X43,DATE(DJ$3,12,31),"m")*$Y43,AND(DJ$3&gt;YEAR($X43),DJ$3-YEAR($X43)&lt;20),$Y43*12,DJ$3-YEAR($X43)=20,DATEDIF(DATE(YEAR($X43),1,1),$X43,"m")*$Y43,DJ$3-YEAR($X43)&gt;20,0)</f>
        <v>0</v>
      </c>
      <c r="DK43" s="202" cm="1">
        <f t="array" ref="DK43">_xlfn.IFS(DK$3&lt;=YEAR($B$2),SUMPRODUCT(($E$4:$E$79=$E43)*($Z$2:$CG$2=DK$3)*($Z$2:$CG$2&lt;DL$3)*$Z$4:$CG$79),DK$3&lt;YEAR($X43),0,DK$3=YEAR($X43),DATEDIF($X43,DATE(DK$3,12,31),"m")*$Y43,AND(DK$3&gt;YEAR($X43),DK$3-YEAR($X43)&lt;20),$Y43*12,DK$3-YEAR($X43)=20,DATEDIF(DATE(YEAR($X43),1,1),$X43,"m")*$Y43,DK$3-YEAR($X43)&gt;20,0)</f>
        <v>0</v>
      </c>
      <c r="DL43" s="202" cm="1">
        <f t="array" ref="DL43">_xlfn.IFS(DL$3&lt;=YEAR($B$2),SUMPRODUCT(($E$4:$E$79=$E43)*($Z$2:$CG$2=DL$3)*($Z$2:$CG$2&lt;DM$3)*$Z$4:$CG$79),DL$3&lt;YEAR($X43),0,DL$3=YEAR($X43),DATEDIF($X43,DATE(DL$3,12,31),"m")*$Y43,AND(DL$3&gt;YEAR($X43),DL$3-YEAR($X43)&lt;20),$Y43*12,DL$3-YEAR($X43)=20,DATEDIF(DATE(YEAR($X43),1,1),$X43,"m")*$Y43,DL$3-YEAR($X43)&gt;20,0)</f>
        <v>0</v>
      </c>
    </row>
    <row r="44" spans="1:123">
      <c r="A44" s="155" t="str" cm="1">
        <f t="array" ref="A44">INDEX('Monthly Report July 2025'!C:C,MATCH(E44,'Monthly Report July 2025'!E:E,0),0)</f>
        <v>OCS041</v>
      </c>
      <c r="B44" s="155" t="str" cm="1">
        <f t="array" ref="B44">_xlfn.IFS(LEFT(E44,3)="PGE","PGE",LEFT(E44,2)="PP","PAC",TRUE,"IP")</f>
        <v>PAC</v>
      </c>
      <c r="C44" s="155" t="str">
        <f>IF(ISNA(MATCH(E44,'Monthly Report July 2025'!E:E,0)),"Missing","Present")</f>
        <v>Present</v>
      </c>
      <c r="D44" s="155" t="str">
        <f>IF(ISNA(MATCH(E44,'Project Operational Timelines'!C:C,0))=TRUE,"Missing","Present")</f>
        <v>Present</v>
      </c>
      <c r="E44" s="155" t="s">
        <v>152</v>
      </c>
      <c r="F44" s="155" t="str" cm="1">
        <f t="array" ref="F44">INDEX('Monthly Report July 2025'!F:F,MATCH(E44,'Monthly Report July 2025'!E:E,),0)</f>
        <v>Burg Solar</v>
      </c>
      <c r="G44" s="155" t="str" cm="1">
        <f t="array" ref="G44">_xlfn.IFS(INDEX('Monthly Report July 2025'!O:O,MATCH(E44,'Monthly Report July 2025'!E:E,0),0)="Operational","Operational",INDEX('Monthly Report July 2025'!O:O,MATCH(E44,'Monthly Report July 2025'!E:E,0),0)="Certified","Certified",TRUE,"Pre-Certified")</f>
        <v>Pre-Certified</v>
      </c>
      <c r="H44" s="155" t="str" cm="1">
        <f t="array" ref="H44">INDEX('Monthly Report July 2025'!H:H,MATCH($E44,'Monthly Report July 2025'!$E:$E,0),0)</f>
        <v>Sulus</v>
      </c>
      <c r="I44" s="155" t="str" cm="1">
        <f t="array" ref="I44">INDEX('Monthly Report July 2025'!I:I,MATCH($E44,'Monthly Report July 2025'!$E:$E,0),0)</f>
        <v>TLS Capital</v>
      </c>
      <c r="J44" s="174" cm="1">
        <f t="array" ref="J44">INDEX('Monthly Report July 2025'!J:J,MATCH($E44,'Monthly Report July 2025'!$E:$E,0),0)</f>
        <v>2</v>
      </c>
      <c r="K44" s="174" t="str" cm="1">
        <f t="array" ref="K44">INDEX('Monthly Report July 2025'!K:K,MATCH($E44,'Monthly Report July 2025'!$E:$E,0),0)</f>
        <v>No</v>
      </c>
      <c r="L44" s="174" t="b" cm="1">
        <f t="array" ref="L44">INDEX('Monthly Report July 2025'!L:L,MATCH(E44,'Monthly Report July 2025'!E:E,0),0)=M44</f>
        <v>1</v>
      </c>
      <c r="M44" s="273" cm="1">
        <f t="array" ref="M44">INDEX('Monthly Report July 2025'!L:L,MATCH($E44,'Monthly Report July 2025'!$E:$E,0),0)</f>
        <v>1500</v>
      </c>
      <c r="N44" s="175" cm="1">
        <f t="array" ref="N44">INDEX('Monthly Report July 2025'!M:M,MATCH($E44,'Monthly Report July 2025'!$E:$E,0),0)</f>
        <v>44666</v>
      </c>
      <c r="O44" s="175" cm="1">
        <f t="array" ref="O44">_xlfn.IFS(G44="Operational","Operational",G44="Certified","Certified",TRUE,INDEX('Monthly Report July 2025'!O:O,MATCH(E44,'Monthly Report July 2025'!E:E,0),0))</f>
        <v>45962</v>
      </c>
      <c r="P44" s="175" t="b" cm="1">
        <f t="array" ref="P44">_xlfn.IFS(G44="Operational",O44="Operational",G44="Certified",O44="Certified",TRUE,G44="Pre-Certified")</f>
        <v>1</v>
      </c>
      <c r="Q44" s="175" t="str" cm="1">
        <f t="array" ref="Q44">IF(O44="Operational",INDEX('Monthly Report July 2025'!R:R,MATCH(E44,'Monthly Report July 2025'!E:E,0),0),"")</f>
        <v/>
      </c>
      <c r="R44" s="175" t="str" cm="1">
        <f t="array" ref="R44">INDEX('Monthly Report July 2025'!P:P,MATCH(E44,'Monthly Report July 2025'!E:E,0),0)</f>
        <v>Not Yet Certified</v>
      </c>
      <c r="S44" s="175" t="b">
        <f t="shared" si="28"/>
        <v>1</v>
      </c>
      <c r="T44" s="175" cm="1">
        <f t="array" ref="T44">INDEX('Monthly Report July 2025'!U:U,MATCH(E44,'Monthly Report July 2025'!E:E,0),0)</f>
        <v>45632</v>
      </c>
      <c r="U44" s="175" t="b">
        <f t="shared" si="6"/>
        <v>1</v>
      </c>
      <c r="V44" s="156">
        <f t="shared" si="29"/>
        <v>45962</v>
      </c>
      <c r="W44" s="156" cm="1">
        <f t="array" ref="W44">_xlfn.IFS(U44=TRUE,EDATE(O44,6),U44=FALSE,T44,O44="Operational",Q44,AND(O44="Certified",EDATE(R44,6)&gt;T44),EDATE(R44,6),TRUE,T44)</f>
        <v>46143</v>
      </c>
      <c r="X44" s="156">
        <f t="shared" si="30"/>
        <v>46204</v>
      </c>
      <c r="Y44" s="157">
        <f t="shared" si="31"/>
        <v>1083.75</v>
      </c>
      <c r="Z44" s="202" cm="1">
        <f t="array" ref="Z44">_xlfn.IFS(Z$3&lt;$B$2,SUMPRODUCT(('PA Fees Actual'!$B$5:$B$882=$E44)*('PA Fees Actual'!$A$5:$A$882&gt;=Z$3)*('PA Fees Actual'!$A$5:$A$882&lt;=EOMONTH(Z$3,0))*'PA Fees Actual'!$D$5:$D$882),Z$3&gt;=EOMONTH($X44,-1)+1,$Y44,TRUE,0)</f>
        <v>0</v>
      </c>
      <c r="AA44" s="202" cm="1">
        <f t="array" ref="AA44">_xlfn.IFS(AA$3&lt;$B$2,SUMPRODUCT(('PA Fees Actual'!$B$5:$B$882=$E44)*('PA Fees Actual'!$A$5:$A$882&gt;=AA$3)*('PA Fees Actual'!$A$5:$A$882&lt;=EOMONTH(AA$3,0))*'PA Fees Actual'!$D$5:$D$882),AA$3&gt;=EOMONTH($X44,-1)+1,$Y44,TRUE,0)</f>
        <v>0</v>
      </c>
      <c r="AB44" s="202" cm="1">
        <f t="array" ref="AB44">_xlfn.IFS(AB$3&lt;$B$2,SUMPRODUCT(('PA Fees Actual'!$B$5:$B$882=$E44)*('PA Fees Actual'!$A$5:$A$882&gt;=AB$3)*('PA Fees Actual'!$A$5:$A$882&lt;=EOMONTH(AB$3,0))*'PA Fees Actual'!$D$5:$D$882),AB$3&gt;=EOMONTH($X44,-1)+1,$Y44,TRUE,0)</f>
        <v>0</v>
      </c>
      <c r="AC44" s="202" cm="1">
        <f t="array" ref="AC44">_xlfn.IFS(AC$3&lt;$B$2,SUMPRODUCT(('PA Fees Actual'!$B$5:$B$882=$E44)*('PA Fees Actual'!$A$5:$A$882&gt;=AC$3)*('PA Fees Actual'!$A$5:$A$882&lt;=EOMONTH(AC$3,0))*'PA Fees Actual'!$D$5:$D$882),AC$3&gt;=EOMONTH($X44,-1)+1,$Y44,TRUE,0)</f>
        <v>0</v>
      </c>
      <c r="AD44" s="202" cm="1">
        <f t="array" ref="AD44">_xlfn.IFS(AD$3&lt;$B$2,SUMPRODUCT(('PA Fees Actual'!$B$5:$B$882=$E44)*('PA Fees Actual'!$A$5:$A$882&gt;=AD$3)*('PA Fees Actual'!$A$5:$A$882&lt;=EOMONTH(AD$3,0))*'PA Fees Actual'!$D$5:$D$882),AD$3&gt;=EOMONTH($X44,-1)+1,$Y44,TRUE,0)</f>
        <v>0</v>
      </c>
      <c r="AE44" s="202" cm="1">
        <f t="array" ref="AE44">_xlfn.IFS(AE$3&lt;$B$2,SUMPRODUCT(('PA Fees Actual'!$B$5:$B$882=$E44)*('PA Fees Actual'!$A$5:$A$882&gt;=AE$3)*('PA Fees Actual'!$A$5:$A$882&lt;=EOMONTH(AE$3,0))*'PA Fees Actual'!$D$5:$D$882),AE$3&gt;=EOMONTH($X44,-1)+1,$Y44,TRUE,0)</f>
        <v>0</v>
      </c>
      <c r="AF44" s="202" cm="1">
        <f t="array" ref="AF44">_xlfn.IFS(AF$3&lt;$B$2,SUMPRODUCT(('PA Fees Actual'!$B$5:$B$882=$E44)*('PA Fees Actual'!$A$5:$A$882&gt;=AF$3)*('PA Fees Actual'!$A$5:$A$882&lt;=EOMONTH(AF$3,0))*'PA Fees Actual'!$D$5:$D$882),AF$3&gt;=EOMONTH($X44,-1)+1,$Y44,TRUE,0)</f>
        <v>0</v>
      </c>
      <c r="AG44" s="202" cm="1">
        <f t="array" ref="AG44">_xlfn.IFS(AG$3&lt;$B$2,SUMPRODUCT(('PA Fees Actual'!$B$5:$B$882=$E44)*('PA Fees Actual'!$A$5:$A$882&gt;=AG$3)*('PA Fees Actual'!$A$5:$A$882&lt;=EOMONTH(AG$3,0))*'PA Fees Actual'!$D$5:$D$882),AG$3&gt;=EOMONTH($X44,-1)+1,$Y44,TRUE,0)</f>
        <v>0</v>
      </c>
      <c r="AH44" s="202" cm="1">
        <f t="array" ref="AH44">_xlfn.IFS(AH$3&lt;$B$2,SUMPRODUCT(('PA Fees Actual'!$B$5:$B$882=$E44)*('PA Fees Actual'!$A$5:$A$882&gt;=AH$3)*('PA Fees Actual'!$A$5:$A$882&lt;=EOMONTH(AH$3,0))*'PA Fees Actual'!$D$5:$D$882),AH$3&gt;=EOMONTH($X44,-1)+1,$Y44,TRUE,0)</f>
        <v>0</v>
      </c>
      <c r="AI44" s="202" cm="1">
        <f t="array" ref="AI44">_xlfn.IFS(AI$3&lt;$B$2,SUMPRODUCT(('PA Fees Actual'!$B$5:$B$882=$E44)*('PA Fees Actual'!$A$5:$A$882&gt;=AI$3)*('PA Fees Actual'!$A$5:$A$882&lt;=EOMONTH(AI$3,0))*'PA Fees Actual'!$D$5:$D$882),AI$3&gt;=EOMONTH($X44,-1)+1,$Y44,TRUE,0)</f>
        <v>0</v>
      </c>
      <c r="AJ44" s="202" cm="1">
        <f t="array" ref="AJ44">_xlfn.IFS(AJ$3&lt;$B$2,SUMPRODUCT(('PA Fees Actual'!$B$5:$B$882=$E44)*('PA Fees Actual'!$A$5:$A$882&gt;=AJ$3)*('PA Fees Actual'!$A$5:$A$882&lt;=EOMONTH(AJ$3,0))*'PA Fees Actual'!$D$5:$D$882),AJ$3&gt;=EOMONTH($X44,-1)+1,$Y44,TRUE,0)</f>
        <v>0</v>
      </c>
      <c r="AK44" s="202" cm="1">
        <f t="array" ref="AK44">_xlfn.IFS(AK$3&lt;$B$2,SUMPRODUCT(('PA Fees Actual'!$B$5:$B$882=$E44)*('PA Fees Actual'!$A$5:$A$882&gt;=AK$3)*('PA Fees Actual'!$A$5:$A$882&lt;=EOMONTH(AK$3,0))*'PA Fees Actual'!$D$5:$D$882),AK$3&gt;=EOMONTH($X44,-1)+1,$Y44,TRUE,0)</f>
        <v>0</v>
      </c>
      <c r="AL44" s="202" cm="1">
        <f t="array" ref="AL44">_xlfn.IFS(AL$3&lt;$B$2,SUMPRODUCT(('PA Fees Actual'!$B$5:$B$882=$E44)*('PA Fees Actual'!$A$5:$A$882&gt;=AL$3)*('PA Fees Actual'!$A$5:$A$882&lt;=EOMONTH(AL$3,0))*'PA Fees Actual'!$D$5:$D$882),AL$3&gt;=EOMONTH($X44,-1)+1,$Y44,TRUE,0)</f>
        <v>0</v>
      </c>
      <c r="AM44" s="202" cm="1">
        <f t="array" ref="AM44">_xlfn.IFS(AM$3&lt;$B$2,SUMPRODUCT(('PA Fees Actual'!$B$5:$B$882=$E44)*('PA Fees Actual'!$A$5:$A$882&gt;=AM$3)*('PA Fees Actual'!$A$5:$A$882&lt;=EOMONTH(AM$3,0))*'PA Fees Actual'!$D$5:$D$882),AM$3&gt;=EOMONTH($X44,-1)+1,$Y44,TRUE,0)</f>
        <v>0</v>
      </c>
      <c r="AN44" s="202" cm="1">
        <f t="array" ref="AN44">_xlfn.IFS(AN$3&lt;$B$2,SUMPRODUCT(('PA Fees Actual'!$B$5:$B$882=$E44)*('PA Fees Actual'!$A$5:$A$882&gt;=AN$3)*('PA Fees Actual'!$A$5:$A$882&lt;=EOMONTH(AN$3,0))*'PA Fees Actual'!$D$5:$D$882),AN$3&gt;=EOMONTH($X44,-1)+1,$Y44,TRUE,0)</f>
        <v>0</v>
      </c>
      <c r="AO44" s="202" cm="1">
        <f t="array" ref="AO44">_xlfn.IFS(AO$3&lt;$B$2,SUMPRODUCT(('PA Fees Actual'!$B$5:$B$882=$E44)*('PA Fees Actual'!$A$5:$A$882&gt;=AO$3)*('PA Fees Actual'!$A$5:$A$882&lt;=EOMONTH(AO$3,0))*'PA Fees Actual'!$D$5:$D$882),AO$3&gt;=EOMONTH($X44,-1)+1,$Y44,TRUE,0)</f>
        <v>0</v>
      </c>
      <c r="AP44" s="202" cm="1">
        <f t="array" ref="AP44">_xlfn.IFS(AP$3&lt;$B$2,SUMPRODUCT(('PA Fees Actual'!$B$5:$B$882=$E44)*('PA Fees Actual'!$A$5:$A$882&gt;=AP$3)*('PA Fees Actual'!$A$5:$A$882&lt;=EOMONTH(AP$3,0))*'PA Fees Actual'!$D$5:$D$882),AP$3&gt;=EOMONTH($X44,-1)+1,$Y44,TRUE,0)</f>
        <v>0</v>
      </c>
      <c r="AQ44" s="202" cm="1">
        <f t="array" ref="AQ44">_xlfn.IFS(AQ$3&lt;$B$2,SUMPRODUCT(('PA Fees Actual'!$B$5:$B$882=$E44)*('PA Fees Actual'!$A$5:$A$882&gt;=AQ$3)*('PA Fees Actual'!$A$5:$A$882&lt;=EOMONTH(AQ$3,0))*'PA Fees Actual'!$D$5:$D$882),AQ$3&gt;=EOMONTH($X44,-1)+1,$Y44,TRUE,0)</f>
        <v>0</v>
      </c>
      <c r="AR44" s="202" cm="1">
        <f t="array" ref="AR44">_xlfn.IFS(AR$3&lt;$B$2,SUMPRODUCT(('PA Fees Actual'!$B$5:$B$882=$E44)*('PA Fees Actual'!$A$5:$A$882&gt;=AR$3)*('PA Fees Actual'!$A$5:$A$882&lt;=EOMONTH(AR$3,0))*'PA Fees Actual'!$D$5:$D$882),AR$3&gt;=EOMONTH($X44,-1)+1,$Y44,TRUE,0)</f>
        <v>0</v>
      </c>
      <c r="AS44" s="202" cm="1">
        <f t="array" ref="AS44">_xlfn.IFS(AS$3&lt;$B$2,SUMPRODUCT(('PA Fees Actual'!$B$5:$B$882=$E44)*('PA Fees Actual'!$A$5:$A$882&gt;=AS$3)*('PA Fees Actual'!$A$5:$A$882&lt;=EOMONTH(AS$3,0))*'PA Fees Actual'!$D$5:$D$882),AS$3&gt;=EOMONTH($X44,-1)+1,$Y44,TRUE,0)</f>
        <v>0</v>
      </c>
      <c r="AT44" s="202" cm="1">
        <f t="array" ref="AT44">_xlfn.IFS(AT$3&lt;$B$2,SUMPRODUCT(('PA Fees Actual'!$B$5:$B$882=$E44)*('PA Fees Actual'!$A$5:$A$882&gt;=AT$3)*('PA Fees Actual'!$A$5:$A$882&lt;=EOMONTH(AT$3,0))*'PA Fees Actual'!$D$5:$D$882),AT$3&gt;=EOMONTH($X44,-1)+1,$Y44,TRUE,0)</f>
        <v>0</v>
      </c>
      <c r="AU44" s="202" cm="1">
        <f t="array" ref="AU44">_xlfn.IFS(AU$3&lt;$B$2,SUMPRODUCT(('PA Fees Actual'!$B$5:$B$882=$E44)*('PA Fees Actual'!$A$5:$A$882&gt;=AU$3)*('PA Fees Actual'!$A$5:$A$882&lt;=EOMONTH(AU$3,0))*'PA Fees Actual'!$D$5:$D$882),AU$3&gt;=EOMONTH($X44,-1)+1,$Y44,TRUE,0)</f>
        <v>0</v>
      </c>
      <c r="AV44" s="202" cm="1">
        <f t="array" ref="AV44">_xlfn.IFS(AV$3&lt;$B$2,SUMPRODUCT(('PA Fees Actual'!$B$5:$B$882=$E44)*('PA Fees Actual'!$A$5:$A$882&gt;=AV$3)*('PA Fees Actual'!$A$5:$A$882&lt;=EOMONTH(AV$3,0))*'PA Fees Actual'!$D$5:$D$882),AV$3&gt;=EOMONTH($X44,-1)+1,$Y44,TRUE,0)</f>
        <v>0</v>
      </c>
      <c r="AW44" s="202" cm="1">
        <f t="array" ref="AW44">_xlfn.IFS(AW$3&lt;$B$2,SUMPRODUCT(('PA Fees Actual'!$B$5:$B$882=$E44)*('PA Fees Actual'!$A$5:$A$882&gt;=AW$3)*('PA Fees Actual'!$A$5:$A$882&lt;=EOMONTH(AW$3,0))*'PA Fees Actual'!$D$5:$D$882),AW$3&gt;=EOMONTH($X44,-1)+1,$Y44,TRUE,0)</f>
        <v>0</v>
      </c>
      <c r="AX44" s="202" cm="1">
        <f t="array" ref="AX44">_xlfn.IFS(AX$3&lt;$B$2,SUMPRODUCT(('PA Fees Actual'!$B$5:$B$882=$E44)*('PA Fees Actual'!$A$5:$A$882&gt;=AX$3)*('PA Fees Actual'!$A$5:$A$882&lt;=EOMONTH(AX$3,0))*'PA Fees Actual'!$D$5:$D$882),AX$3&gt;=EOMONTH($X44,-1)+1,$Y44,TRUE,0)</f>
        <v>0</v>
      </c>
      <c r="AY44" s="202" cm="1">
        <f t="array" ref="AY44">_xlfn.IFS(AY$3&lt;$B$2,SUMPRODUCT(('PA Fees Actual'!$B$5:$B$882=$E44)*('PA Fees Actual'!$A$5:$A$882&gt;=AY$3)*('PA Fees Actual'!$A$5:$A$882&lt;=EOMONTH(AY$3,0))*'PA Fees Actual'!$D$5:$D$882),AY$3&gt;=EOMONTH($X44,-1)+1,$Y44,TRUE,0)</f>
        <v>0</v>
      </c>
      <c r="AZ44" s="202" cm="1">
        <f t="array" ref="AZ44">_xlfn.IFS(AZ$3&lt;$B$2,SUMPRODUCT(('PA Fees Actual'!$B$5:$B$882=$E44)*('PA Fees Actual'!$A$5:$A$882&gt;=AZ$3)*('PA Fees Actual'!$A$5:$A$882&lt;=EOMONTH(AZ$3,0))*'PA Fees Actual'!$D$5:$D$882),AZ$3&gt;=EOMONTH($X44,-1)+1,$Y44,TRUE,0)</f>
        <v>0</v>
      </c>
      <c r="BA44" s="202" cm="1">
        <f t="array" ref="BA44">_xlfn.IFS(BA$3&lt;$B$2,SUMPRODUCT(('PA Fees Actual'!$B$5:$B$882=$E44)*('PA Fees Actual'!$A$5:$A$882&gt;=BA$3)*('PA Fees Actual'!$A$5:$A$882&lt;=EOMONTH(BA$3,0))*'PA Fees Actual'!$D$5:$D$882),BA$3&gt;=EOMONTH($X44,-1)+1,$Y44,TRUE,0)</f>
        <v>0</v>
      </c>
      <c r="BB44" s="202" cm="1">
        <f t="array" ref="BB44">_xlfn.IFS(BB$3&lt;$B$2,SUMPRODUCT(('PA Fees Actual'!$B$5:$B$882=$E44)*('PA Fees Actual'!$A$5:$A$882&gt;=BB$3)*('PA Fees Actual'!$A$5:$A$882&lt;=EOMONTH(BB$3,0))*'PA Fees Actual'!$D$5:$D$882),BB$3&gt;=EOMONTH($X44,-1)+1,$Y44,TRUE,0)</f>
        <v>0</v>
      </c>
      <c r="BC44" s="202" cm="1">
        <f t="array" ref="BC44">_xlfn.IFS(BC$3&lt;$B$2,SUMPRODUCT(('PA Fees Actual'!$B$5:$B$882=$E44)*('PA Fees Actual'!$A$5:$A$882&gt;=BC$3)*('PA Fees Actual'!$A$5:$A$882&lt;=EOMONTH(BC$3,0))*'PA Fees Actual'!$D$5:$D$882),BC$3&gt;=EOMONTH($X44,-1)+1,$Y44,TRUE,0)</f>
        <v>0</v>
      </c>
      <c r="BD44" s="202" cm="1">
        <f t="array" ref="BD44">_xlfn.IFS(BD$3&lt;$B$2,SUMPRODUCT(('PA Fees Actual'!$B$5:$B$882=$E44)*('PA Fees Actual'!$A$5:$A$882&gt;=BD$3)*('PA Fees Actual'!$A$5:$A$882&lt;=EOMONTH(BD$3,0))*'PA Fees Actual'!$D$5:$D$882),BD$3&gt;=EOMONTH($X44,-1)+1,$Y44,TRUE,0)</f>
        <v>0</v>
      </c>
      <c r="BE44" s="202" cm="1">
        <f t="array" ref="BE44">_xlfn.IFS(BE$3&lt;$B$2,SUMPRODUCT(('PA Fees Actual'!$B$5:$B$882=$E44)*('PA Fees Actual'!$A$5:$A$882&gt;=BE$3)*('PA Fees Actual'!$A$5:$A$882&lt;=EOMONTH(BE$3,0))*'PA Fees Actual'!$D$5:$D$882),BE$3&gt;=EOMONTH($X44,-1)+1,$Y44,TRUE,0)</f>
        <v>0</v>
      </c>
      <c r="BF44" s="202" cm="1">
        <f t="array" ref="BF44">_xlfn.IFS(BF$3&lt;$B$2,SUMPRODUCT(('PA Fees Actual'!$B$5:$B$882=$E44)*('PA Fees Actual'!$A$5:$A$882&gt;=BF$3)*('PA Fees Actual'!$A$5:$A$882&lt;=EOMONTH(BF$3,0))*'PA Fees Actual'!$D$5:$D$882),BF$3&gt;=EOMONTH($X44,-1)+1,$Y44,TRUE,0)</f>
        <v>0</v>
      </c>
      <c r="BG44" s="202" cm="1">
        <f t="array" ref="BG44">_xlfn.IFS(BG$3&lt;$B$2,SUMPRODUCT(('PA Fees Actual'!$B$5:$B$882=$E44)*('PA Fees Actual'!$A$5:$A$882&gt;=BG$3)*('PA Fees Actual'!$A$5:$A$882&lt;=EOMONTH(BG$3,0))*'PA Fees Actual'!$D$5:$D$882),BG$3&gt;=EOMONTH($X44,-1)+1,$Y44,TRUE,0)</f>
        <v>0</v>
      </c>
      <c r="BH44" s="202" cm="1">
        <f t="array" ref="BH44">_xlfn.IFS(BH$3&lt;$B$2,SUMPRODUCT(('PA Fees Actual'!$B$5:$B$882=$E44)*('PA Fees Actual'!$A$5:$A$882&gt;=BH$3)*('PA Fees Actual'!$A$5:$A$882&lt;=EOMONTH(BH$3,0))*'PA Fees Actual'!$D$5:$D$882),BH$3&gt;=EOMONTH($X44,-1)+1,$Y44,TRUE,0)</f>
        <v>0</v>
      </c>
      <c r="BI44" s="202" cm="1">
        <f t="array" ref="BI44">_xlfn.IFS(BI$3&lt;$B$2,SUMPRODUCT(('PA Fees Actual'!$B$5:$B$882=$E44)*('PA Fees Actual'!$A$5:$A$882&gt;=BI$3)*('PA Fees Actual'!$A$5:$A$882&lt;=EOMONTH(BI$3,0))*'PA Fees Actual'!$D$5:$D$882),BI$3&gt;=EOMONTH($X44,-1)+1,$Y44,TRUE,0)</f>
        <v>0</v>
      </c>
      <c r="BJ44" s="202" cm="1">
        <f t="array" ref="BJ44">_xlfn.IFS(BJ$3&lt;$B$2,SUMPRODUCT(('PA Fees Actual'!$B$5:$B$882=$E44)*('PA Fees Actual'!$A$5:$A$882&gt;=BJ$3)*('PA Fees Actual'!$A$5:$A$882&lt;=EOMONTH(BJ$3,0))*'PA Fees Actual'!$D$5:$D$882),BJ$3&gt;=EOMONTH($X44,-1)+1,$Y44,TRUE,0)</f>
        <v>0</v>
      </c>
      <c r="BK44" s="202" cm="1">
        <f t="array" ref="BK44">_xlfn.IFS(BK$3&lt;$B$2,SUMPRODUCT(('PA Fees Actual'!$B$5:$B$882=$E44)*('PA Fees Actual'!$A$5:$A$882&gt;=BK$3)*('PA Fees Actual'!$A$5:$A$882&lt;=EOMONTH(BK$3,0))*'PA Fees Actual'!$D$5:$D$882),BK$3&gt;=EOMONTH($X44,-1)+1,$Y44,TRUE,0)</f>
        <v>0</v>
      </c>
      <c r="BL44" s="202" cm="1">
        <f t="array" ref="BL44">_xlfn.IFS(BL$3&lt;$B$2,SUMPRODUCT(('PA Fees Actual'!$B$5:$B$882=$E44)*('PA Fees Actual'!$A$5:$A$882&gt;=BL$3)*('PA Fees Actual'!$A$5:$A$882&lt;=EOMONTH(BL$3,0))*'PA Fees Actual'!$D$5:$D$882),BL$3&gt;=EOMONTH($X44,-1)+1,$Y44,TRUE,0)</f>
        <v>0</v>
      </c>
      <c r="BM44" s="202" cm="1">
        <f t="array" ref="BM44">_xlfn.IFS(BM$3&lt;$B$2,SUMPRODUCT(('PA Fees Actual'!$B$5:$B$882=$E44)*('PA Fees Actual'!$A$5:$A$882&gt;=BM$3)*('PA Fees Actual'!$A$5:$A$882&lt;=EOMONTH(BM$3,0))*'PA Fees Actual'!$D$5:$D$882),BM$3&gt;=EOMONTH($X44,-1)+1,$Y44,TRUE,0)</f>
        <v>0</v>
      </c>
      <c r="BN44" s="202" cm="1">
        <f t="array" ref="BN44">_xlfn.IFS(BN$3&lt;$B$2,SUMPRODUCT(('PA Fees Actual'!$B$5:$B$882=$E44)*('PA Fees Actual'!$A$5:$A$882&gt;=BN$3)*('PA Fees Actual'!$A$5:$A$882&lt;=EOMONTH(BN$3,0))*'PA Fees Actual'!$D$5:$D$882),BN$3&gt;=EOMONTH($X44,-1)+1,$Y44,TRUE,0)</f>
        <v>0</v>
      </c>
      <c r="BO44" s="202" cm="1">
        <f t="array" ref="BO44">_xlfn.IFS(BO$3&lt;$B$2,SUMPRODUCT(('PA Fees Actual'!$B$5:$B$882=$E44)*('PA Fees Actual'!$A$5:$A$882&gt;=BO$3)*('PA Fees Actual'!$A$5:$A$882&lt;=EOMONTH(BO$3,0))*'PA Fees Actual'!$D$5:$D$882),BO$3&gt;=EOMONTH($X44,-1)+1,$Y44,TRUE,0)</f>
        <v>0</v>
      </c>
      <c r="BP44" s="202" cm="1">
        <f t="array" ref="BP44">_xlfn.IFS(BP$3&lt;$B$2,SUMPRODUCT(('PA Fees Actual'!$B$5:$B$882=$E44)*('PA Fees Actual'!$A$5:$A$882&gt;=BP$3)*('PA Fees Actual'!$A$5:$A$882&lt;=EOMONTH(BP$3,0))*'PA Fees Actual'!$D$5:$D$882),BP$3&gt;=EOMONTH($X44,-1)+1,$Y44,TRUE,0)</f>
        <v>0</v>
      </c>
      <c r="BQ44" s="202" cm="1">
        <f t="array" ref="BQ44">_xlfn.IFS(BQ$3&lt;$B$2,SUMPRODUCT(('PA Fees Actual'!$B$5:$B$882=$E44)*('PA Fees Actual'!$A$5:$A$882&gt;=BQ$3)*('PA Fees Actual'!$A$5:$A$882&lt;=EOMONTH(BQ$3,0))*'PA Fees Actual'!$D$5:$D$882),BQ$3&gt;=EOMONTH($X44,-1)+1,$Y44,TRUE,0)</f>
        <v>0</v>
      </c>
      <c r="BR44" s="202" cm="1">
        <f t="array" ref="BR44">_xlfn.IFS(BR$3&lt;$B$2,SUMPRODUCT(('PA Fees Actual'!$B$5:$B$882=$E44)*('PA Fees Actual'!$A$5:$A$882&gt;=BR$3)*('PA Fees Actual'!$A$5:$A$882&lt;=EOMONTH(BR$3,0))*'PA Fees Actual'!$D$5:$D$882),BR$3&gt;=EOMONTH($X44,-1)+1,$Y44,TRUE,0)</f>
        <v>0</v>
      </c>
      <c r="BS44" s="202" cm="1">
        <f t="array" ref="BS44">_xlfn.IFS(BS$3&lt;$B$2,SUMPRODUCT(('PA Fees Actual'!$B$5:$B$882=$E44)*('PA Fees Actual'!$A$5:$A$882&gt;=BS$3)*('PA Fees Actual'!$A$5:$A$882&lt;=EOMONTH(BS$3,0))*'PA Fees Actual'!$D$5:$D$882),BS$3&gt;=EOMONTH($X44,-1)+1,$Y44,TRUE,0)</f>
        <v>0</v>
      </c>
      <c r="BT44" s="202" cm="1">
        <f t="array" ref="BT44">_xlfn.IFS(BT$3&lt;$B$2,SUMPRODUCT(('PA Fees Actual'!$B$5:$B$882=$E44)*('PA Fees Actual'!$A$5:$A$882&gt;=BT$3)*('PA Fees Actual'!$A$5:$A$882&lt;=EOMONTH(BT$3,0))*'PA Fees Actual'!$D$5:$D$882),BT$3&gt;=EOMONTH($X44,-1)+1,$Y44,TRUE,0)</f>
        <v>0</v>
      </c>
      <c r="BU44" s="202" cm="1">
        <f t="array" ref="BU44">_xlfn.IFS(BU$3&lt;$B$2,SUMPRODUCT(('PA Fees Actual'!$B$5:$B$882=$E44)*('PA Fees Actual'!$A$5:$A$882&gt;=BU$3)*('PA Fees Actual'!$A$5:$A$882&lt;=EOMONTH(BU$3,0))*'PA Fees Actual'!$D$5:$D$882),BU$3&gt;=EOMONTH($X44,-1)+1,$Y44,TRUE,0)</f>
        <v>0</v>
      </c>
      <c r="BV44" s="202" cm="1">
        <f t="array" ref="BV44">_xlfn.IFS(BV$3&lt;$B$2,SUMPRODUCT(('PA Fees Actual'!$B$5:$B$882=$E44)*('PA Fees Actual'!$A$5:$A$882&gt;=BV$3)*('PA Fees Actual'!$A$5:$A$882&lt;=EOMONTH(BV$3,0))*'PA Fees Actual'!$D$5:$D$882),BV$3&gt;=EOMONTH($X44,-1)+1,$Y44,TRUE,0)</f>
        <v>0</v>
      </c>
      <c r="BW44" s="202" cm="1">
        <f t="array" ref="BW44">_xlfn.IFS(BW$3&lt;$B$2,SUMPRODUCT(('PA Fees Actual'!$B$5:$B$882=$E44)*('PA Fees Actual'!$A$5:$A$882&gt;=BW$3)*('PA Fees Actual'!$A$5:$A$882&lt;=EOMONTH(BW$3,0))*'PA Fees Actual'!$D$5:$D$882),BW$3&gt;=EOMONTH($X44,-1)+1,$Y44,TRUE,0)</f>
        <v>0</v>
      </c>
      <c r="BX44" s="202" cm="1">
        <f t="array" ref="BX44">_xlfn.IFS(BX$3&lt;$B$2,SUMPRODUCT(('PA Fees Actual'!$B$5:$B$882=$E44)*('PA Fees Actual'!$A$5:$A$882&gt;=BX$3)*('PA Fees Actual'!$A$5:$A$882&lt;=EOMONTH(BX$3,0))*'PA Fees Actual'!$D$5:$D$882),BX$3&gt;=EOMONTH($X44,-1)+1,$Y44,TRUE,0)</f>
        <v>0</v>
      </c>
      <c r="BY44" s="202" cm="1">
        <f t="array" ref="BY44">_xlfn.IFS(BY$3&lt;$B$2,SUMPRODUCT(('PA Fees Actual'!$B$5:$B$882=$E44)*('PA Fees Actual'!$A$5:$A$882&gt;=BY$3)*('PA Fees Actual'!$A$5:$A$882&lt;=EOMONTH(BY$3,0))*'PA Fees Actual'!$D$5:$D$882),BY$3&gt;=EOMONTH($X44,-1)+1,$Y44,TRUE,0)</f>
        <v>0</v>
      </c>
      <c r="BZ44" s="202" cm="1">
        <f t="array" ref="BZ44">_xlfn.IFS(BZ$3&lt;$B$2,SUMPRODUCT(('PA Fees Actual'!$B$5:$B$882=$E44)*('PA Fees Actual'!$A$5:$A$882&gt;=BZ$3)*('PA Fees Actual'!$A$5:$A$882&lt;=EOMONTH(BZ$3,0))*'PA Fees Actual'!$D$5:$D$882),BZ$3&gt;=EOMONTH($X44,-1)+1,$Y44,TRUE,0)</f>
        <v>0</v>
      </c>
      <c r="CA44" s="202" cm="1">
        <f t="array" ref="CA44">_xlfn.IFS(CA$3&lt;$B$2,SUMPRODUCT(('PA Fees Actual'!$B$5:$B$882=$E44)*('PA Fees Actual'!$A$5:$A$882&gt;=CA$3)*('PA Fees Actual'!$A$5:$A$882&lt;=EOMONTH(CA$3,0))*'PA Fees Actual'!$D$5:$D$882),CA$3&gt;=EOMONTH($X44,-1)+1,$Y44,TRUE,0)</f>
        <v>0</v>
      </c>
      <c r="CB44" s="202" cm="1">
        <f t="array" ref="CB44">_xlfn.IFS(CB$3&lt;$B$2,SUMPRODUCT(('PA Fees Actual'!$B$5:$B$749=$E44)*('PA Fees Actual'!$A$5:$A$749&gt;=CB$3)*('PA Fees Actual'!$A$5:$A$749&lt;=EOMONTH(CB$3,0))*'PA Fees Actual'!$D$5:$D$749),CB$3&gt;=EOMONTH($X44,-1)+1,$Y44,TRUE,0)</f>
        <v>0</v>
      </c>
      <c r="CC44" s="202" cm="1">
        <f t="array" ref="CC44">_xlfn.IFS(CC$3&lt;$B$2,SUMPRODUCT(('PA Fees Actual'!$B$5:$B$749=$E44)*('PA Fees Actual'!$A$5:$A$749&gt;=CC$3)*('PA Fees Actual'!$A$5:$A$749&lt;=EOMONTH(CC$3,0))*'PA Fees Actual'!$D$5:$D$749),CC$3&gt;=EOMONTH($X44,-1)+1,$Y44,TRUE,0)</f>
        <v>0</v>
      </c>
      <c r="CD44" s="202" cm="1">
        <f t="array" ref="CD44">_xlfn.IFS(CD$3&lt;$B$2,SUMPRODUCT(('PA Fees Actual'!$B$5:$B$749=$E44)*('PA Fees Actual'!$A$5:$A$749&gt;=CD$3)*('PA Fees Actual'!$A$5:$A$749&lt;=EOMONTH(CD$3,0))*'PA Fees Actual'!$D$5:$D$749),CD$3&gt;=EOMONTH($X44,-1)+1,$Y44,TRUE,0)</f>
        <v>0</v>
      </c>
      <c r="CE44" s="202" cm="1">
        <f t="array" ref="CE44">_xlfn.IFS(CE$3&lt;$B$2,SUMPRODUCT(('PA Fees Actual'!$B$5:$B$749=$E44)*('PA Fees Actual'!$A$5:$A$749&gt;=CE$3)*('PA Fees Actual'!$A$5:$A$749&lt;=EOMONTH(CE$3,0))*'PA Fees Actual'!$D$5:$D$749),CE$3&gt;=EOMONTH($X44,-1)+1,$Y44,TRUE,0)</f>
        <v>0</v>
      </c>
      <c r="CF44" s="202" cm="1">
        <f t="array" ref="CF44">_xlfn.IFS(CF$3&lt;$B$2,SUMPRODUCT(('PA Fees Actual'!$B$5:$B$749=$E44)*('PA Fees Actual'!$A$5:$A$749&gt;=CF$3)*('PA Fees Actual'!$A$5:$A$749&lt;=EOMONTH(CF$3,0))*'PA Fees Actual'!$D$5:$D$749),CF$3&gt;=EOMONTH($X44,-1)+1,$Y44,TRUE,0)</f>
        <v>0</v>
      </c>
      <c r="CG44" s="202" cm="1">
        <f t="array" ref="CG44">_xlfn.IFS(CG$3&lt;$B$2,SUMPRODUCT(('PA Fees Actual'!$B$5:$B$749=$E44)*('PA Fees Actual'!$A$5:$A$749&gt;=CG$3)*('PA Fees Actual'!$A$5:$A$749&lt;=EOMONTH(CG$3,0))*'PA Fees Actual'!$D$5:$D$749),CG$3&gt;=EOMONTH($X44,-1)+1,$Y44,TRUE,0)</f>
        <v>0</v>
      </c>
      <c r="CI44" s="202" cm="1">
        <f t="array" ref="CI44">_xlfn.IFS(CI$3&lt;=YEAR($B$2),SUMPRODUCT(($E$4:$E$79=$E44)*($Z$2:$CG$2=CI$3)*($Z$2:$CG$2&lt;CJ$3)*$Z$4:$CG$79),CI$3&lt;YEAR($X44),0,CI$3=YEAR($X44),DATEDIF($X44,DATE(CI$3,12,31),"m")*$Y44,AND(CI$3&gt;YEAR($X44),CI$3-YEAR($X44)&lt;20),$Y44*12,CI$3-YEAR($X44)=20,DATEDIF(DATE(YEAR($X44),1,1),$X44,"m")*$Y44,CI$3-YEAR($X44)&gt;20,0)</f>
        <v>0</v>
      </c>
      <c r="CJ44" s="202" cm="1">
        <f t="array" ref="CJ44">_xlfn.IFS(CJ$3&lt;=YEAR($B$2),SUMPRODUCT(($E$4:$E$79=$E44)*($Z$2:$CG$2=CJ$3)*($Z$2:$CG$2&lt;CK$3)*$Z$4:$CG$79),CJ$3&lt;YEAR($X44),0,CJ$3=YEAR($X44),DATEDIF($X44,DATE(CJ$3,12,31),"m")*$Y44,AND(CJ$3&gt;YEAR($X44),CJ$3-YEAR($X44)&lt;20),$Y44*12,CJ$3-YEAR($X44)=20,DATEDIF(DATE(YEAR($X44),1,1),$X44,"m")*$Y44,CJ$3-YEAR($X44)&gt;20,0)</f>
        <v>0</v>
      </c>
      <c r="CK44" s="202" cm="1">
        <f t="array" ref="CK44">_xlfn.IFS(CK$3&lt;=YEAR($B$2),SUMPRODUCT(($E$4:$E$79=$E44)*($Z$2:$CG$2=CK$3)*($Z$2:$CG$2&lt;CL$3)*$Z$4:$CG$79),CK$3&lt;YEAR($X44),0,CK$3=YEAR($X44),DATEDIF($X44,DATE(CK$3,12,31),"m")*$Y44,AND(CK$3&gt;YEAR($X44),CK$3-YEAR($X44)&lt;20),$Y44*12,CK$3-YEAR($X44)=20,DATEDIF(DATE(YEAR($X44),1,1),$X44,"m")*$Y44,CK$3-YEAR($X44)&gt;20,0)</f>
        <v>0</v>
      </c>
      <c r="CL44" s="202" cm="1">
        <f t="array" ref="CL44">_xlfn.IFS(CL$3&lt;=YEAR($B$2),SUMPRODUCT(($E$4:$E$79=$E44)*($Z$2:$CG$2=CL$3)*($Z$2:$CG$2&lt;CM$3)*$Z$4:$CG$79),CL$3&lt;YEAR($X44),0,CL$3=YEAR($X44),DATEDIF($X44,DATE(CL$3,12,31),"m")*$Y44,AND(CL$3&gt;YEAR($X44),CL$3-YEAR($X44)&lt;20),$Y44*12,CL$3-YEAR($X44)=20,DATEDIF(DATE(YEAR($X44),1,1),$X44,"m")*$Y44,CL$3-YEAR($X44)&gt;20,0)</f>
        <v>0</v>
      </c>
      <c r="CM44" s="202" cm="1">
        <f t="array" ref="CM44">_xlfn.IFS(CM$3&lt;=YEAR($B$2),SUMPRODUCT(($E$4:$E$79=$E44)*($Z$2:$CG$2=CM$3)*($Z$2:$CG$2&lt;CN$3)*$Z$4:$CG$79),CM$3&lt;YEAR($X44),0,CM$3=YEAR($X44),DATEDIF($X44,DATE(CM$3,12,31),"m")*$Y44,AND(CM$3&gt;YEAR($X44),CM$3-YEAR($X44)&lt;20),$Y44*12,CM$3-YEAR($X44)=20,DATEDIF(DATE(YEAR($X44),1,1),$X44,"m")*$Y44,CM$3-YEAR($X44)&gt;20,0)</f>
        <v>0</v>
      </c>
      <c r="CN44" s="202" cm="1">
        <f t="array" ref="CN44">_xlfn.IFS(CN$3&lt;=YEAR($B$2),SUMPRODUCT(($E$4:$E$79=$E44)*($Z$2:$CG$2=CN$3)*($Z$2:$CG$2&lt;CO$3)*$Z$4:$CG$79),CN$3&lt;YEAR($X44),0,CN$3=YEAR($X44),DATEDIF($X44,DATE(CN$3,12,31),"m")*$Y44,AND(CN$3&gt;YEAR($X44),CN$3-YEAR($X44)&lt;20),$Y44*12,CN$3-YEAR($X44)=20,DATEDIF(DATE(YEAR($X44),1,1),$X44,"m")*$Y44,CN$3-YEAR($X44)&gt;20,0)</f>
        <v>5418.75</v>
      </c>
      <c r="CO44" s="202" cm="1">
        <f t="array" ref="CO44">_xlfn.IFS(CO$3&lt;=YEAR($B$2),SUMPRODUCT(($E$4:$E$79=$E44)*($Z$2:$CG$2=CO$3)*($Z$2:$CG$2&lt;CP$3)*$Z$4:$CG$79),CO$3&lt;YEAR($X44),0,CO$3=YEAR($X44),DATEDIF($X44,DATE(CO$3,12,31),"m")*$Y44,AND(CO$3&gt;YEAR($X44),CO$3-YEAR($X44)&lt;20),$Y44*12,CO$3-YEAR($X44)=20,DATEDIF(DATE(YEAR($X44),1,1),$X44,"m")*$Y44,CO$3-YEAR($X44)&gt;20,0)</f>
        <v>13005</v>
      </c>
      <c r="CP44" s="202" cm="1">
        <f t="array" ref="CP44">_xlfn.IFS(CP$3&lt;=YEAR($B$2),SUMPRODUCT(($E$4:$E$79=$E44)*($Z$2:$CG$2=CP$3)*($Z$2:$CG$2&lt;CQ$3)*$Z$4:$CG$79),CP$3&lt;YEAR($X44),0,CP$3=YEAR($X44),DATEDIF($X44,DATE(CP$3,12,31),"m")*$Y44,AND(CP$3&gt;YEAR($X44),CP$3-YEAR($X44)&lt;20),$Y44*12,CP$3-YEAR($X44)=20,DATEDIF(DATE(YEAR($X44),1,1),$X44,"m")*$Y44,CP$3-YEAR($X44)&gt;20,0)</f>
        <v>13005</v>
      </c>
      <c r="CQ44" s="202" cm="1">
        <f t="array" ref="CQ44">_xlfn.IFS(CQ$3&lt;=YEAR($B$2),SUMPRODUCT(($E$4:$E$79=$E44)*($Z$2:$CG$2=CQ$3)*($Z$2:$CG$2&lt;CR$3)*$Z$4:$CG$79),CQ$3&lt;YEAR($X44),0,CQ$3=YEAR($X44),DATEDIF($X44,DATE(CQ$3,12,31),"m")*$Y44,AND(CQ$3&gt;YEAR($X44),CQ$3-YEAR($X44)&lt;20),$Y44*12,CQ$3-YEAR($X44)=20,DATEDIF(DATE(YEAR($X44),1,1),$X44,"m")*$Y44,CQ$3-YEAR($X44)&gt;20,0)</f>
        <v>13005</v>
      </c>
      <c r="CR44" s="202" cm="1">
        <f t="array" ref="CR44">_xlfn.IFS(CR$3&lt;=YEAR($B$2),SUMPRODUCT(($E$4:$E$79=$E44)*($Z$2:$CG$2=CR$3)*($Z$2:$CG$2&lt;CS$3)*$Z$4:$CG$79),CR$3&lt;YEAR($X44),0,CR$3=YEAR($X44),DATEDIF($X44,DATE(CR$3,12,31),"m")*$Y44,AND(CR$3&gt;YEAR($X44),CR$3-YEAR($X44)&lt;20),$Y44*12,CR$3-YEAR($X44)=20,DATEDIF(DATE(YEAR($X44),1,1),$X44,"m")*$Y44,CR$3-YEAR($X44)&gt;20,0)</f>
        <v>13005</v>
      </c>
      <c r="CS44" s="202" cm="1">
        <f t="array" ref="CS44">_xlfn.IFS(CS$3&lt;=YEAR($B$2),SUMPRODUCT(($E$4:$E$79=$E44)*($Z$2:$CG$2=CS$3)*($Z$2:$CG$2&lt;CT$3)*$Z$4:$CG$79),CS$3&lt;YEAR($X44),0,CS$3=YEAR($X44),DATEDIF($X44,DATE(CS$3,12,31),"m")*$Y44,AND(CS$3&gt;YEAR($X44),CS$3-YEAR($X44)&lt;20),$Y44*12,CS$3-YEAR($X44)=20,DATEDIF(DATE(YEAR($X44),1,1),$X44,"m")*$Y44,CS$3-YEAR($X44)&gt;20,0)</f>
        <v>13005</v>
      </c>
      <c r="CT44" s="202" cm="1">
        <f t="array" ref="CT44">_xlfn.IFS(CT$3&lt;=YEAR($B$2),SUMPRODUCT(($E$4:$E$79=$E44)*($Z$2:$CG$2=CT$3)*($Z$2:$CG$2&lt;CU$3)*$Z$4:$CG$79),CT$3&lt;YEAR($X44),0,CT$3=YEAR($X44),DATEDIF($X44,DATE(CT$3,12,31),"m")*$Y44,AND(CT$3&gt;YEAR($X44),CT$3-YEAR($X44)&lt;20),$Y44*12,CT$3-YEAR($X44)=20,DATEDIF(DATE(YEAR($X44),1,1),$X44,"m")*$Y44,CT$3-YEAR($X44)&gt;20,0)</f>
        <v>13005</v>
      </c>
      <c r="CU44" s="202" cm="1">
        <f t="array" ref="CU44">_xlfn.IFS(CU$3&lt;=YEAR($B$2),SUMPRODUCT(($E$4:$E$79=$E44)*($Z$2:$CG$2=CU$3)*($Z$2:$CG$2&lt;CV$3)*$Z$4:$CG$79),CU$3&lt;YEAR($X44),0,CU$3=YEAR($X44),DATEDIF($X44,DATE(CU$3,12,31),"m")*$Y44,AND(CU$3&gt;YEAR($X44),CU$3-YEAR($X44)&lt;20),$Y44*12,CU$3-YEAR($X44)=20,DATEDIF(DATE(YEAR($X44),1,1),$X44,"m")*$Y44,CU$3-YEAR($X44)&gt;20,0)</f>
        <v>13005</v>
      </c>
      <c r="CV44" s="202" cm="1">
        <f t="array" ref="CV44">_xlfn.IFS(CV$3&lt;=YEAR($B$2),SUMPRODUCT(($E$4:$E$79=$E44)*($Z$2:$CG$2=CV$3)*($Z$2:$CG$2&lt;CW$3)*$Z$4:$CG$79),CV$3&lt;YEAR($X44),0,CV$3=YEAR($X44),DATEDIF($X44,DATE(CV$3,12,31),"m")*$Y44,AND(CV$3&gt;YEAR($X44),CV$3-YEAR($X44)&lt;20),$Y44*12,CV$3-YEAR($X44)=20,DATEDIF(DATE(YEAR($X44),1,1),$X44,"m")*$Y44,CV$3-YEAR($X44)&gt;20,0)</f>
        <v>13005</v>
      </c>
      <c r="CW44" s="202" cm="1">
        <f t="array" ref="CW44">_xlfn.IFS(CW$3&lt;=YEAR($B$2),SUMPRODUCT(($E$4:$E$79=$E44)*($Z$2:$CG$2=CW$3)*($Z$2:$CG$2&lt;CX$3)*$Z$4:$CG$79),CW$3&lt;YEAR($X44),0,CW$3=YEAR($X44),DATEDIF($X44,DATE(CW$3,12,31),"m")*$Y44,AND(CW$3&gt;YEAR($X44),CW$3-YEAR($X44)&lt;20),$Y44*12,CW$3-YEAR($X44)=20,DATEDIF(DATE(YEAR($X44),1,1),$X44,"m")*$Y44,CW$3-YEAR($X44)&gt;20,0)</f>
        <v>13005</v>
      </c>
      <c r="CX44" s="202" cm="1">
        <f t="array" ref="CX44">_xlfn.IFS(CX$3&lt;=YEAR($B$2),SUMPRODUCT(($E$4:$E$79=$E44)*($Z$2:$CG$2=CX$3)*($Z$2:$CG$2&lt;CY$3)*$Z$4:$CG$79),CX$3&lt;YEAR($X44),0,CX$3=YEAR($X44),DATEDIF($X44,DATE(CX$3,12,31),"m")*$Y44,AND(CX$3&gt;YEAR($X44),CX$3-YEAR($X44)&lt;20),$Y44*12,CX$3-YEAR($X44)=20,DATEDIF(DATE(YEAR($X44),1,1),$X44,"m")*$Y44,CX$3-YEAR($X44)&gt;20,0)</f>
        <v>13005</v>
      </c>
      <c r="CY44" s="202" cm="1">
        <f t="array" ref="CY44">_xlfn.IFS(CY$3&lt;=YEAR($B$2),SUMPRODUCT(($E$4:$E$79=$E44)*($Z$2:$CG$2=CY$3)*($Z$2:$CG$2&lt;CZ$3)*$Z$4:$CG$79),CY$3&lt;YEAR($X44),0,CY$3=YEAR($X44),DATEDIF($X44,DATE(CY$3,12,31),"m")*$Y44,AND(CY$3&gt;YEAR($X44),CY$3-YEAR($X44)&lt;20),$Y44*12,CY$3-YEAR($X44)=20,DATEDIF(DATE(YEAR($X44),1,1),$X44,"m")*$Y44,CY$3-YEAR($X44)&gt;20,0)</f>
        <v>13005</v>
      </c>
      <c r="CZ44" s="202" cm="1">
        <f t="array" ref="CZ44">_xlfn.IFS(CZ$3&lt;=YEAR($B$2),SUMPRODUCT(($E$4:$E$79=$E44)*($Z$2:$CG$2=CZ$3)*($Z$2:$CG$2&lt;DA$3)*$Z$4:$CG$79),CZ$3&lt;YEAR($X44),0,CZ$3=YEAR($X44),DATEDIF($X44,DATE(CZ$3,12,31),"m")*$Y44,AND(CZ$3&gt;YEAR($X44),CZ$3-YEAR($X44)&lt;20),$Y44*12,CZ$3-YEAR($X44)=20,DATEDIF(DATE(YEAR($X44),1,1),$X44,"m")*$Y44,CZ$3-YEAR($X44)&gt;20,0)</f>
        <v>13005</v>
      </c>
      <c r="DA44" s="202" cm="1">
        <f t="array" ref="DA44">_xlfn.IFS(DA$3&lt;=YEAR($B$2),SUMPRODUCT(($E$4:$E$79=$E44)*($Z$2:$CG$2=DA$3)*($Z$2:$CG$2&lt;DB$3)*$Z$4:$CG$79),DA$3&lt;YEAR($X44),0,DA$3=YEAR($X44),DATEDIF($X44,DATE(DA$3,12,31),"m")*$Y44,AND(DA$3&gt;YEAR($X44),DA$3-YEAR($X44)&lt;20),$Y44*12,DA$3-YEAR($X44)=20,DATEDIF(DATE(YEAR($X44),1,1),$X44,"m")*$Y44,DA$3-YEAR($X44)&gt;20,0)</f>
        <v>13005</v>
      </c>
      <c r="DB44" s="202" cm="1">
        <f t="array" ref="DB44">_xlfn.IFS(DB$3&lt;=YEAR($B$2),SUMPRODUCT(($E$4:$E$79=$E44)*($Z$2:$CG$2=DB$3)*($Z$2:$CG$2&lt;DC$3)*$Z$4:$CG$79),DB$3&lt;YEAR($X44),0,DB$3=YEAR($X44),DATEDIF($X44,DATE(DB$3,12,31),"m")*$Y44,AND(DB$3&gt;YEAR($X44),DB$3-YEAR($X44)&lt;20),$Y44*12,DB$3-YEAR($X44)=20,DATEDIF(DATE(YEAR($X44),1,1),$X44,"m")*$Y44,DB$3-YEAR($X44)&gt;20,0)</f>
        <v>13005</v>
      </c>
      <c r="DC44" s="202" cm="1">
        <f t="array" ref="DC44">_xlfn.IFS(DC$3&lt;=YEAR($B$2),SUMPRODUCT(($E$4:$E$79=$E44)*($Z$2:$CG$2=DC$3)*($Z$2:$CG$2&lt;DD$3)*$Z$4:$CG$79),DC$3&lt;YEAR($X44),0,DC$3=YEAR($X44),DATEDIF($X44,DATE(DC$3,12,31),"m")*$Y44,AND(DC$3&gt;YEAR($X44),DC$3-YEAR($X44)&lt;20),$Y44*12,DC$3-YEAR($X44)=20,DATEDIF(DATE(YEAR($X44),1,1),$X44,"m")*$Y44,DC$3-YEAR($X44)&gt;20,0)</f>
        <v>13005</v>
      </c>
      <c r="DD44" s="202" cm="1">
        <f t="array" ref="DD44">_xlfn.IFS(DD$3&lt;=YEAR($B$2),SUMPRODUCT(($E$4:$E$79=$E44)*($Z$2:$CG$2=DD$3)*($Z$2:$CG$2&lt;DE$3)*$Z$4:$CG$79),DD$3&lt;YEAR($X44),0,DD$3=YEAR($X44),DATEDIF($X44,DATE(DD$3,12,31),"m")*$Y44,AND(DD$3&gt;YEAR($X44),DD$3-YEAR($X44)&lt;20),$Y44*12,DD$3-YEAR($X44)=20,DATEDIF(DATE(YEAR($X44),1,1),$X44,"m")*$Y44,DD$3-YEAR($X44)&gt;20,0)</f>
        <v>13005</v>
      </c>
      <c r="DE44" s="202" cm="1">
        <f t="array" ref="DE44">_xlfn.IFS(DE$3&lt;=YEAR($B$2),SUMPRODUCT(($E$4:$E$79=$E44)*($Z$2:$CG$2=DE$3)*($Z$2:$CG$2&lt;DF$3)*$Z$4:$CG$79),DE$3&lt;YEAR($X44),0,DE$3=YEAR($X44),DATEDIF($X44,DATE(DE$3,12,31),"m")*$Y44,AND(DE$3&gt;YEAR($X44),DE$3-YEAR($X44)&lt;20),$Y44*12,DE$3-YEAR($X44)=20,DATEDIF(DATE(YEAR($X44),1,1),$X44,"m")*$Y44,DE$3-YEAR($X44)&gt;20,0)</f>
        <v>13005</v>
      </c>
      <c r="DF44" s="202" cm="1">
        <f t="array" ref="DF44">_xlfn.IFS(DF$3&lt;=YEAR($B$2),SUMPRODUCT(($E$4:$E$79=$E44)*($Z$2:$CG$2=DF$3)*($Z$2:$CG$2&lt;DG$3)*$Z$4:$CG$79),DF$3&lt;YEAR($X44),0,DF$3=YEAR($X44),DATEDIF($X44,DATE(DF$3,12,31),"m")*$Y44,AND(DF$3&gt;YEAR($X44),DF$3-YEAR($X44)&lt;20),$Y44*12,DF$3-YEAR($X44)=20,DATEDIF(DATE(YEAR($X44),1,1),$X44,"m")*$Y44,DF$3-YEAR($X44)&gt;20,0)</f>
        <v>13005</v>
      </c>
      <c r="DG44" s="202" cm="1">
        <f t="array" ref="DG44">_xlfn.IFS(DG$3&lt;=YEAR($B$2),SUMPRODUCT(($E$4:$E$79=$E44)*($Z$2:$CG$2=DG$3)*($Z$2:$CG$2&lt;DH$3)*$Z$4:$CG$79),DG$3&lt;YEAR($X44),0,DG$3=YEAR($X44),DATEDIF($X44,DATE(DG$3,12,31),"m")*$Y44,AND(DG$3&gt;YEAR($X44),DG$3-YEAR($X44)&lt;20),$Y44*12,DG$3-YEAR($X44)=20,DATEDIF(DATE(YEAR($X44),1,1),$X44,"m")*$Y44,DG$3-YEAR($X44)&gt;20,0)</f>
        <v>13005</v>
      </c>
      <c r="DH44" s="202" cm="1">
        <f t="array" ref="DH44">_xlfn.IFS(DH$3&lt;=YEAR($B$2),SUMPRODUCT(($E$4:$E$79=$E44)*($Z$2:$CG$2=DH$3)*($Z$2:$CG$2&lt;DI$3)*$Z$4:$CG$79),DH$3&lt;YEAR($X44),0,DH$3=YEAR($X44),DATEDIF($X44,DATE(DH$3,12,31),"m")*$Y44,AND(DH$3&gt;YEAR($X44),DH$3-YEAR($X44)&lt;20),$Y44*12,DH$3-YEAR($X44)=20,DATEDIF(DATE(YEAR($X44),1,1),$X44,"m")*$Y44,DH$3-YEAR($X44)&gt;20,0)</f>
        <v>6502.5</v>
      </c>
      <c r="DI44" s="202" cm="1">
        <f t="array" ref="DI44">_xlfn.IFS(DI$3&lt;=YEAR($B$2),SUMPRODUCT(($E$4:$E$79=$E44)*($Z$2:$CG$2=DI$3)*($Z$2:$CG$2&lt;DJ$3)*$Z$4:$CG$79),DI$3&lt;YEAR($X44),0,DI$3=YEAR($X44),DATEDIF($X44,DATE(DI$3,12,31),"m")*$Y44,AND(DI$3&gt;YEAR($X44),DI$3-YEAR($X44)&lt;20),$Y44*12,DI$3-YEAR($X44)=20,DATEDIF(DATE(YEAR($X44),1,1),$X44,"m")*$Y44,DI$3-YEAR($X44)&gt;20,0)</f>
        <v>0</v>
      </c>
      <c r="DJ44" s="202" cm="1">
        <f t="array" ref="DJ44">_xlfn.IFS(DJ$3&lt;=YEAR($B$2),SUMPRODUCT(($E$4:$E$79=$E44)*($Z$2:$CG$2=DJ$3)*($Z$2:$CG$2&lt;DK$3)*$Z$4:$CG$79),DJ$3&lt;YEAR($X44),0,DJ$3=YEAR($X44),DATEDIF($X44,DATE(DJ$3,12,31),"m")*$Y44,AND(DJ$3&gt;YEAR($X44),DJ$3-YEAR($X44)&lt;20),$Y44*12,DJ$3-YEAR($X44)=20,DATEDIF(DATE(YEAR($X44),1,1),$X44,"m")*$Y44,DJ$3-YEAR($X44)&gt;20,0)</f>
        <v>0</v>
      </c>
      <c r="DK44" s="202" cm="1">
        <f t="array" ref="DK44">_xlfn.IFS(DK$3&lt;=YEAR($B$2),SUMPRODUCT(($E$4:$E$79=$E44)*($Z$2:$CG$2=DK$3)*($Z$2:$CG$2&lt;DL$3)*$Z$4:$CG$79),DK$3&lt;YEAR($X44),0,DK$3=YEAR($X44),DATEDIF($X44,DATE(DK$3,12,31),"m")*$Y44,AND(DK$3&gt;YEAR($X44),DK$3-YEAR($X44)&lt;20),$Y44*12,DK$3-YEAR($X44)=20,DATEDIF(DATE(YEAR($X44),1,1),$X44,"m")*$Y44,DK$3-YEAR($X44)&gt;20,0)</f>
        <v>0</v>
      </c>
      <c r="DL44" s="202" cm="1">
        <f t="array" ref="DL44">_xlfn.IFS(DL$3&lt;=YEAR($B$2),SUMPRODUCT(($E$4:$E$79=$E44)*($Z$2:$CG$2=DL$3)*($Z$2:$CG$2&lt;DM$3)*$Z$4:$CG$79),DL$3&lt;YEAR($X44),0,DL$3=YEAR($X44),DATEDIF($X44,DATE(DL$3,12,31),"m")*$Y44,AND(DL$3&gt;YEAR($X44),DL$3-YEAR($X44)&lt;20),$Y44*12,DL$3-YEAR($X44)=20,DATEDIF(DATE(YEAR($X44),1,1),$X44,"m")*$Y44,DL$3-YEAR($X44)&gt;20,0)</f>
        <v>0</v>
      </c>
    </row>
    <row r="45" spans="1:123">
      <c r="A45" s="155" t="str" cm="1">
        <f t="array" ref="A45">INDEX('Monthly Report July 2025'!C:C,MATCH(E45,'Monthly Report July 2025'!E:E,0),0)</f>
        <v>OCS008</v>
      </c>
      <c r="B45" s="155" t="str" cm="1">
        <f t="array" ref="B45">_xlfn.IFS(LEFT(E45,3)="PGE","PGE",LEFT(E45,2)="PP","PAC",TRUE,"IP")</f>
        <v>PAC</v>
      </c>
      <c r="C45" s="155" t="str">
        <f>IF(ISNA(MATCH(E45,'Monthly Report July 2025'!E:E,0)),"Missing","Present")</f>
        <v>Present</v>
      </c>
      <c r="D45" s="155" t="str">
        <f>IF(ISNA(MATCH(E45,'Project Operational Timelines'!C:C,0))=TRUE,"Missing","Present")</f>
        <v>Present</v>
      </c>
      <c r="E45" s="155" t="s">
        <v>153</v>
      </c>
      <c r="F45" s="155" t="str" cm="1">
        <f t="array" ref="F45">INDEX('Monthly Report July 2025'!F:F,MATCH(E45,'Monthly Report July 2025'!E:E,),0)</f>
        <v>Burlingame Solar LLC</v>
      </c>
      <c r="G45" s="155" t="str" cm="1">
        <f t="array" ref="G45">_xlfn.IFS(INDEX('Monthly Report July 2025'!O:O,MATCH(E45,'Monthly Report July 2025'!E:E,0),0)="Operational","Operational",INDEX('Monthly Report July 2025'!O:O,MATCH(E45,'Monthly Report July 2025'!E:E,0),0)="Certified","Certified",TRUE,"Pre-Certified")</f>
        <v>Pre-Certified</v>
      </c>
      <c r="H45" s="155" t="str" cm="1">
        <f t="array" ref="H45">INDEX('Monthly Report July 2025'!H:H,MATCH($E45,'Monthly Report July 2025'!$E:$E,0),0)</f>
        <v>Sulus</v>
      </c>
      <c r="I45" s="155" t="str" cm="1">
        <f t="array" ref="I45">INDEX('Monthly Report July 2025'!I:I,MATCH($E45,'Monthly Report July 2025'!$E:$E,0),0)</f>
        <v>GreenKey Solar</v>
      </c>
      <c r="J45" s="174" cm="1">
        <f t="array" ref="J45">INDEX('Monthly Report July 2025'!J:J,MATCH($E45,'Monthly Report July 2025'!$E:$E,0),0)</f>
        <v>1</v>
      </c>
      <c r="K45" s="174" t="str" cm="1">
        <f t="array" ref="K45">INDEX('Monthly Report July 2025'!K:K,MATCH($E45,'Monthly Report July 2025'!$E:$E,0),0)</f>
        <v>No</v>
      </c>
      <c r="L45" s="174" t="b" cm="1">
        <f t="array" ref="L45">INDEX('Monthly Report July 2025'!L:L,MATCH(E45,'Monthly Report July 2025'!E:E,0),0)=M45</f>
        <v>1</v>
      </c>
      <c r="M45" s="273" cm="1">
        <f t="array" ref="M45">INDEX('Monthly Report July 2025'!L:L,MATCH($E45,'Monthly Report July 2025'!$E:$E,0),0)</f>
        <v>2125</v>
      </c>
      <c r="N45" s="175" cm="1">
        <f t="array" ref="N45">INDEX('Monthly Report July 2025'!M:M,MATCH($E45,'Monthly Report July 2025'!$E:$E,0),0)</f>
        <v>44194</v>
      </c>
      <c r="O45" s="175" cm="1">
        <f t="array" ref="O45">_xlfn.IFS(G45="Operational","Operational",G45="Certified","Certified",TRUE,INDEX('Monthly Report July 2025'!O:O,MATCH(E45,'Monthly Report July 2025'!E:E,0),0))</f>
        <v>45962</v>
      </c>
      <c r="P45" s="175" t="b" cm="1">
        <f t="array" ref="P45">_xlfn.IFS(G45="Operational",O45="Operational",G45="Certified",O45="Certified",TRUE,G45="Pre-Certified")</f>
        <v>1</v>
      </c>
      <c r="Q45" s="175" t="str" cm="1">
        <f t="array" ref="Q45">IF(O45="Operational",INDEX('Monthly Report July 2025'!R:R,MATCH(E45,'Monthly Report July 2025'!E:E,0),0),"")</f>
        <v/>
      </c>
      <c r="R45" s="175" t="str" cm="1">
        <f t="array" ref="R45">INDEX('Monthly Report July 2025'!P:P,MATCH(E45,'Monthly Report July 2025'!E:E,0),0)</f>
        <v>Not Yet Certified</v>
      </c>
      <c r="S45" s="175" t="b">
        <f t="shared" si="28"/>
        <v>1</v>
      </c>
      <c r="T45" s="175" cm="1">
        <f t="array" ref="T45">INDEX('Monthly Report July 2025'!U:U,MATCH(E45,'Monthly Report July 2025'!E:E,0),0)</f>
        <v>45541</v>
      </c>
      <c r="U45" s="175" t="b">
        <f t="shared" si="6"/>
        <v>1</v>
      </c>
      <c r="V45" s="156">
        <f t="shared" si="29"/>
        <v>45962</v>
      </c>
      <c r="W45" s="156" cm="1">
        <f t="array" ref="W45">_xlfn.IFS(U45=TRUE,EDATE(O45,6),U45=FALSE,T45,O45="Operational",Q45,AND(O45="Certified",EDATE(R45,6)&gt;T45),EDATE(R45,6),TRUE,T45)</f>
        <v>46143</v>
      </c>
      <c r="X45" s="156">
        <f t="shared" si="30"/>
        <v>46204</v>
      </c>
      <c r="Y45" s="157">
        <f t="shared" si="31"/>
        <v>1535.3125</v>
      </c>
      <c r="Z45" s="202" cm="1">
        <f t="array" ref="Z45">_xlfn.IFS(Z$3&lt;$B$2,SUMPRODUCT(('PA Fees Actual'!$B$5:$B$882=$E45)*('PA Fees Actual'!$A$5:$A$882&gt;=Z$3)*('PA Fees Actual'!$A$5:$A$882&lt;=EOMONTH(Z$3,0))*'PA Fees Actual'!$D$5:$D$882),Z$3&gt;=EOMONTH($X45,-1)+1,$Y45,TRUE,0)</f>
        <v>0</v>
      </c>
      <c r="AA45" s="202" cm="1">
        <f t="array" ref="AA45">_xlfn.IFS(AA$3&lt;$B$2,SUMPRODUCT(('PA Fees Actual'!$B$5:$B$882=$E45)*('PA Fees Actual'!$A$5:$A$882&gt;=AA$3)*('PA Fees Actual'!$A$5:$A$882&lt;=EOMONTH(AA$3,0))*'PA Fees Actual'!$D$5:$D$882),AA$3&gt;=EOMONTH($X45,-1)+1,$Y45,TRUE,0)</f>
        <v>0</v>
      </c>
      <c r="AB45" s="202" cm="1">
        <f t="array" ref="AB45">_xlfn.IFS(AB$3&lt;$B$2,SUMPRODUCT(('PA Fees Actual'!$B$5:$B$882=$E45)*('PA Fees Actual'!$A$5:$A$882&gt;=AB$3)*('PA Fees Actual'!$A$5:$A$882&lt;=EOMONTH(AB$3,0))*'PA Fees Actual'!$D$5:$D$882),AB$3&gt;=EOMONTH($X45,-1)+1,$Y45,TRUE,0)</f>
        <v>0</v>
      </c>
      <c r="AC45" s="202" cm="1">
        <f t="array" ref="AC45">_xlfn.IFS(AC$3&lt;$B$2,SUMPRODUCT(('PA Fees Actual'!$B$5:$B$882=$E45)*('PA Fees Actual'!$A$5:$A$882&gt;=AC$3)*('PA Fees Actual'!$A$5:$A$882&lt;=EOMONTH(AC$3,0))*'PA Fees Actual'!$D$5:$D$882),AC$3&gt;=EOMONTH($X45,-1)+1,$Y45,TRUE,0)</f>
        <v>0</v>
      </c>
      <c r="AD45" s="202" cm="1">
        <f t="array" ref="AD45">_xlfn.IFS(AD$3&lt;$B$2,SUMPRODUCT(('PA Fees Actual'!$B$5:$B$882=$E45)*('PA Fees Actual'!$A$5:$A$882&gt;=AD$3)*('PA Fees Actual'!$A$5:$A$882&lt;=EOMONTH(AD$3,0))*'PA Fees Actual'!$D$5:$D$882),AD$3&gt;=EOMONTH($X45,-1)+1,$Y45,TRUE,0)</f>
        <v>0</v>
      </c>
      <c r="AE45" s="202" cm="1">
        <f t="array" ref="AE45">_xlfn.IFS(AE$3&lt;$B$2,SUMPRODUCT(('PA Fees Actual'!$B$5:$B$882=$E45)*('PA Fees Actual'!$A$5:$A$882&gt;=AE$3)*('PA Fees Actual'!$A$5:$A$882&lt;=EOMONTH(AE$3,0))*'PA Fees Actual'!$D$5:$D$882),AE$3&gt;=EOMONTH($X45,-1)+1,$Y45,TRUE,0)</f>
        <v>0</v>
      </c>
      <c r="AF45" s="202" cm="1">
        <f t="array" ref="AF45">_xlfn.IFS(AF$3&lt;$B$2,SUMPRODUCT(('PA Fees Actual'!$B$5:$B$882=$E45)*('PA Fees Actual'!$A$5:$A$882&gt;=AF$3)*('PA Fees Actual'!$A$5:$A$882&lt;=EOMONTH(AF$3,0))*'PA Fees Actual'!$D$5:$D$882),AF$3&gt;=EOMONTH($X45,-1)+1,$Y45,TRUE,0)</f>
        <v>0</v>
      </c>
      <c r="AG45" s="202" cm="1">
        <f t="array" ref="AG45">_xlfn.IFS(AG$3&lt;$B$2,SUMPRODUCT(('PA Fees Actual'!$B$5:$B$882=$E45)*('PA Fees Actual'!$A$5:$A$882&gt;=AG$3)*('PA Fees Actual'!$A$5:$A$882&lt;=EOMONTH(AG$3,0))*'PA Fees Actual'!$D$5:$D$882),AG$3&gt;=EOMONTH($X45,-1)+1,$Y45,TRUE,0)</f>
        <v>0</v>
      </c>
      <c r="AH45" s="202" cm="1">
        <f t="array" ref="AH45">_xlfn.IFS(AH$3&lt;$B$2,SUMPRODUCT(('PA Fees Actual'!$B$5:$B$882=$E45)*('PA Fees Actual'!$A$5:$A$882&gt;=AH$3)*('PA Fees Actual'!$A$5:$A$882&lt;=EOMONTH(AH$3,0))*'PA Fees Actual'!$D$5:$D$882),AH$3&gt;=EOMONTH($X45,-1)+1,$Y45,TRUE,0)</f>
        <v>0</v>
      </c>
      <c r="AI45" s="202" cm="1">
        <f t="array" ref="AI45">_xlfn.IFS(AI$3&lt;$B$2,SUMPRODUCT(('PA Fees Actual'!$B$5:$B$882=$E45)*('PA Fees Actual'!$A$5:$A$882&gt;=AI$3)*('PA Fees Actual'!$A$5:$A$882&lt;=EOMONTH(AI$3,0))*'PA Fees Actual'!$D$5:$D$882),AI$3&gt;=EOMONTH($X45,-1)+1,$Y45,TRUE,0)</f>
        <v>0</v>
      </c>
      <c r="AJ45" s="202" cm="1">
        <f t="array" ref="AJ45">_xlfn.IFS(AJ$3&lt;$B$2,SUMPRODUCT(('PA Fees Actual'!$B$5:$B$882=$E45)*('PA Fees Actual'!$A$5:$A$882&gt;=AJ$3)*('PA Fees Actual'!$A$5:$A$882&lt;=EOMONTH(AJ$3,0))*'PA Fees Actual'!$D$5:$D$882),AJ$3&gt;=EOMONTH($X45,-1)+1,$Y45,TRUE,0)</f>
        <v>0</v>
      </c>
      <c r="AK45" s="202" cm="1">
        <f t="array" ref="AK45">_xlfn.IFS(AK$3&lt;$B$2,SUMPRODUCT(('PA Fees Actual'!$B$5:$B$882=$E45)*('PA Fees Actual'!$A$5:$A$882&gt;=AK$3)*('PA Fees Actual'!$A$5:$A$882&lt;=EOMONTH(AK$3,0))*'PA Fees Actual'!$D$5:$D$882),AK$3&gt;=EOMONTH($X45,-1)+1,$Y45,TRUE,0)</f>
        <v>0</v>
      </c>
      <c r="AL45" s="202" cm="1">
        <f t="array" ref="AL45">_xlfn.IFS(AL$3&lt;$B$2,SUMPRODUCT(('PA Fees Actual'!$B$5:$B$882=$E45)*('PA Fees Actual'!$A$5:$A$882&gt;=AL$3)*('PA Fees Actual'!$A$5:$A$882&lt;=EOMONTH(AL$3,0))*'PA Fees Actual'!$D$5:$D$882),AL$3&gt;=EOMONTH($X45,-1)+1,$Y45,TRUE,0)</f>
        <v>0</v>
      </c>
      <c r="AM45" s="202" cm="1">
        <f t="array" ref="AM45">_xlfn.IFS(AM$3&lt;$B$2,SUMPRODUCT(('PA Fees Actual'!$B$5:$B$882=$E45)*('PA Fees Actual'!$A$5:$A$882&gt;=AM$3)*('PA Fees Actual'!$A$5:$A$882&lt;=EOMONTH(AM$3,0))*'PA Fees Actual'!$D$5:$D$882),AM$3&gt;=EOMONTH($X45,-1)+1,$Y45,TRUE,0)</f>
        <v>0</v>
      </c>
      <c r="AN45" s="202" cm="1">
        <f t="array" ref="AN45">_xlfn.IFS(AN$3&lt;$B$2,SUMPRODUCT(('PA Fees Actual'!$B$5:$B$882=$E45)*('PA Fees Actual'!$A$5:$A$882&gt;=AN$3)*('PA Fees Actual'!$A$5:$A$882&lt;=EOMONTH(AN$3,0))*'PA Fees Actual'!$D$5:$D$882),AN$3&gt;=EOMONTH($X45,-1)+1,$Y45,TRUE,0)</f>
        <v>0</v>
      </c>
      <c r="AO45" s="202" cm="1">
        <f t="array" ref="AO45">_xlfn.IFS(AO$3&lt;$B$2,SUMPRODUCT(('PA Fees Actual'!$B$5:$B$882=$E45)*('PA Fees Actual'!$A$5:$A$882&gt;=AO$3)*('PA Fees Actual'!$A$5:$A$882&lt;=EOMONTH(AO$3,0))*'PA Fees Actual'!$D$5:$D$882),AO$3&gt;=EOMONTH($X45,-1)+1,$Y45,TRUE,0)</f>
        <v>0</v>
      </c>
      <c r="AP45" s="202" cm="1">
        <f t="array" ref="AP45">_xlfn.IFS(AP$3&lt;$B$2,SUMPRODUCT(('PA Fees Actual'!$B$5:$B$882=$E45)*('PA Fees Actual'!$A$5:$A$882&gt;=AP$3)*('PA Fees Actual'!$A$5:$A$882&lt;=EOMONTH(AP$3,0))*'PA Fees Actual'!$D$5:$D$882),AP$3&gt;=EOMONTH($X45,-1)+1,$Y45,TRUE,0)</f>
        <v>0</v>
      </c>
      <c r="AQ45" s="202" cm="1">
        <f t="array" ref="AQ45">_xlfn.IFS(AQ$3&lt;$B$2,SUMPRODUCT(('PA Fees Actual'!$B$5:$B$882=$E45)*('PA Fees Actual'!$A$5:$A$882&gt;=AQ$3)*('PA Fees Actual'!$A$5:$A$882&lt;=EOMONTH(AQ$3,0))*'PA Fees Actual'!$D$5:$D$882),AQ$3&gt;=EOMONTH($X45,-1)+1,$Y45,TRUE,0)</f>
        <v>0</v>
      </c>
      <c r="AR45" s="202" cm="1">
        <f t="array" ref="AR45">_xlfn.IFS(AR$3&lt;$B$2,SUMPRODUCT(('PA Fees Actual'!$B$5:$B$882=$E45)*('PA Fees Actual'!$A$5:$A$882&gt;=AR$3)*('PA Fees Actual'!$A$5:$A$882&lt;=EOMONTH(AR$3,0))*'PA Fees Actual'!$D$5:$D$882),AR$3&gt;=EOMONTH($X45,-1)+1,$Y45,TRUE,0)</f>
        <v>0</v>
      </c>
      <c r="AS45" s="202" cm="1">
        <f t="array" ref="AS45">_xlfn.IFS(AS$3&lt;$B$2,SUMPRODUCT(('PA Fees Actual'!$B$5:$B$882=$E45)*('PA Fees Actual'!$A$5:$A$882&gt;=AS$3)*('PA Fees Actual'!$A$5:$A$882&lt;=EOMONTH(AS$3,0))*'PA Fees Actual'!$D$5:$D$882),AS$3&gt;=EOMONTH($X45,-1)+1,$Y45,TRUE,0)</f>
        <v>0</v>
      </c>
      <c r="AT45" s="202" cm="1">
        <f t="array" ref="AT45">_xlfn.IFS(AT$3&lt;$B$2,SUMPRODUCT(('PA Fees Actual'!$B$5:$B$882=$E45)*('PA Fees Actual'!$A$5:$A$882&gt;=AT$3)*('PA Fees Actual'!$A$5:$A$882&lt;=EOMONTH(AT$3,0))*'PA Fees Actual'!$D$5:$D$882),AT$3&gt;=EOMONTH($X45,-1)+1,$Y45,TRUE,0)</f>
        <v>0</v>
      </c>
      <c r="AU45" s="202" cm="1">
        <f t="array" ref="AU45">_xlfn.IFS(AU$3&lt;$B$2,SUMPRODUCT(('PA Fees Actual'!$B$5:$B$882=$E45)*('PA Fees Actual'!$A$5:$A$882&gt;=AU$3)*('PA Fees Actual'!$A$5:$A$882&lt;=EOMONTH(AU$3,0))*'PA Fees Actual'!$D$5:$D$882),AU$3&gt;=EOMONTH($X45,-1)+1,$Y45,TRUE,0)</f>
        <v>0</v>
      </c>
      <c r="AV45" s="202" cm="1">
        <f t="array" ref="AV45">_xlfn.IFS(AV$3&lt;$B$2,SUMPRODUCT(('PA Fees Actual'!$B$5:$B$882=$E45)*('PA Fees Actual'!$A$5:$A$882&gt;=AV$3)*('PA Fees Actual'!$A$5:$A$882&lt;=EOMONTH(AV$3,0))*'PA Fees Actual'!$D$5:$D$882),AV$3&gt;=EOMONTH($X45,-1)+1,$Y45,TRUE,0)</f>
        <v>0</v>
      </c>
      <c r="AW45" s="202" cm="1">
        <f t="array" ref="AW45">_xlfn.IFS(AW$3&lt;$B$2,SUMPRODUCT(('PA Fees Actual'!$B$5:$B$882=$E45)*('PA Fees Actual'!$A$5:$A$882&gt;=AW$3)*('PA Fees Actual'!$A$5:$A$882&lt;=EOMONTH(AW$3,0))*'PA Fees Actual'!$D$5:$D$882),AW$3&gt;=EOMONTH($X45,-1)+1,$Y45,TRUE,0)</f>
        <v>0</v>
      </c>
      <c r="AX45" s="202" cm="1">
        <f t="array" ref="AX45">_xlfn.IFS(AX$3&lt;$B$2,SUMPRODUCT(('PA Fees Actual'!$B$5:$B$882=$E45)*('PA Fees Actual'!$A$5:$A$882&gt;=AX$3)*('PA Fees Actual'!$A$5:$A$882&lt;=EOMONTH(AX$3,0))*'PA Fees Actual'!$D$5:$D$882),AX$3&gt;=EOMONTH($X45,-1)+1,$Y45,TRUE,0)</f>
        <v>0</v>
      </c>
      <c r="AY45" s="202" cm="1">
        <f t="array" ref="AY45">_xlfn.IFS(AY$3&lt;$B$2,SUMPRODUCT(('PA Fees Actual'!$B$5:$B$882=$E45)*('PA Fees Actual'!$A$5:$A$882&gt;=AY$3)*('PA Fees Actual'!$A$5:$A$882&lt;=EOMONTH(AY$3,0))*'PA Fees Actual'!$D$5:$D$882),AY$3&gt;=EOMONTH($X45,-1)+1,$Y45,TRUE,0)</f>
        <v>0</v>
      </c>
      <c r="AZ45" s="202" cm="1">
        <f t="array" ref="AZ45">_xlfn.IFS(AZ$3&lt;$B$2,SUMPRODUCT(('PA Fees Actual'!$B$5:$B$882=$E45)*('PA Fees Actual'!$A$5:$A$882&gt;=AZ$3)*('PA Fees Actual'!$A$5:$A$882&lt;=EOMONTH(AZ$3,0))*'PA Fees Actual'!$D$5:$D$882),AZ$3&gt;=EOMONTH($X45,-1)+1,$Y45,TRUE,0)</f>
        <v>0</v>
      </c>
      <c r="BA45" s="202" cm="1">
        <f t="array" ref="BA45">_xlfn.IFS(BA$3&lt;$B$2,SUMPRODUCT(('PA Fees Actual'!$B$5:$B$882=$E45)*('PA Fees Actual'!$A$5:$A$882&gt;=BA$3)*('PA Fees Actual'!$A$5:$A$882&lt;=EOMONTH(BA$3,0))*'PA Fees Actual'!$D$5:$D$882),BA$3&gt;=EOMONTH($X45,-1)+1,$Y45,TRUE,0)</f>
        <v>0</v>
      </c>
      <c r="BB45" s="202" cm="1">
        <f t="array" ref="BB45">_xlfn.IFS(BB$3&lt;$B$2,SUMPRODUCT(('PA Fees Actual'!$B$5:$B$882=$E45)*('PA Fees Actual'!$A$5:$A$882&gt;=BB$3)*('PA Fees Actual'!$A$5:$A$882&lt;=EOMONTH(BB$3,0))*'PA Fees Actual'!$D$5:$D$882),BB$3&gt;=EOMONTH($X45,-1)+1,$Y45,TRUE,0)</f>
        <v>0</v>
      </c>
      <c r="BC45" s="202" cm="1">
        <f t="array" ref="BC45">_xlfn.IFS(BC$3&lt;$B$2,SUMPRODUCT(('PA Fees Actual'!$B$5:$B$882=$E45)*('PA Fees Actual'!$A$5:$A$882&gt;=BC$3)*('PA Fees Actual'!$A$5:$A$882&lt;=EOMONTH(BC$3,0))*'PA Fees Actual'!$D$5:$D$882),BC$3&gt;=EOMONTH($X45,-1)+1,$Y45,TRUE,0)</f>
        <v>0</v>
      </c>
      <c r="BD45" s="202" cm="1">
        <f t="array" ref="BD45">_xlfn.IFS(BD$3&lt;$B$2,SUMPRODUCT(('PA Fees Actual'!$B$5:$B$882=$E45)*('PA Fees Actual'!$A$5:$A$882&gt;=BD$3)*('PA Fees Actual'!$A$5:$A$882&lt;=EOMONTH(BD$3,0))*'PA Fees Actual'!$D$5:$D$882),BD$3&gt;=EOMONTH($X45,-1)+1,$Y45,TRUE,0)</f>
        <v>0</v>
      </c>
      <c r="BE45" s="202" cm="1">
        <f t="array" ref="BE45">_xlfn.IFS(BE$3&lt;$B$2,SUMPRODUCT(('PA Fees Actual'!$B$5:$B$882=$E45)*('PA Fees Actual'!$A$5:$A$882&gt;=BE$3)*('PA Fees Actual'!$A$5:$A$882&lt;=EOMONTH(BE$3,0))*'PA Fees Actual'!$D$5:$D$882),BE$3&gt;=EOMONTH($X45,-1)+1,$Y45,TRUE,0)</f>
        <v>0</v>
      </c>
      <c r="BF45" s="202" cm="1">
        <f t="array" ref="BF45">_xlfn.IFS(BF$3&lt;$B$2,SUMPRODUCT(('PA Fees Actual'!$B$5:$B$882=$E45)*('PA Fees Actual'!$A$5:$A$882&gt;=BF$3)*('PA Fees Actual'!$A$5:$A$882&lt;=EOMONTH(BF$3,0))*'PA Fees Actual'!$D$5:$D$882),BF$3&gt;=EOMONTH($X45,-1)+1,$Y45,TRUE,0)</f>
        <v>0</v>
      </c>
      <c r="BG45" s="202" cm="1">
        <f t="array" ref="BG45">_xlfn.IFS(BG$3&lt;$B$2,SUMPRODUCT(('PA Fees Actual'!$B$5:$B$882=$E45)*('PA Fees Actual'!$A$5:$A$882&gt;=BG$3)*('PA Fees Actual'!$A$5:$A$882&lt;=EOMONTH(BG$3,0))*'PA Fees Actual'!$D$5:$D$882),BG$3&gt;=EOMONTH($X45,-1)+1,$Y45,TRUE,0)</f>
        <v>0</v>
      </c>
      <c r="BH45" s="202" cm="1">
        <f t="array" ref="BH45">_xlfn.IFS(BH$3&lt;$B$2,SUMPRODUCT(('PA Fees Actual'!$B$5:$B$882=$E45)*('PA Fees Actual'!$A$5:$A$882&gt;=BH$3)*('PA Fees Actual'!$A$5:$A$882&lt;=EOMONTH(BH$3,0))*'PA Fees Actual'!$D$5:$D$882),BH$3&gt;=EOMONTH($X45,-1)+1,$Y45,TRUE,0)</f>
        <v>0</v>
      </c>
      <c r="BI45" s="202" cm="1">
        <f t="array" ref="BI45">_xlfn.IFS(BI$3&lt;$B$2,SUMPRODUCT(('PA Fees Actual'!$B$5:$B$882=$E45)*('PA Fees Actual'!$A$5:$A$882&gt;=BI$3)*('PA Fees Actual'!$A$5:$A$882&lt;=EOMONTH(BI$3,0))*'PA Fees Actual'!$D$5:$D$882),BI$3&gt;=EOMONTH($X45,-1)+1,$Y45,TRUE,0)</f>
        <v>0</v>
      </c>
      <c r="BJ45" s="202" cm="1">
        <f t="array" ref="BJ45">_xlfn.IFS(BJ$3&lt;$B$2,SUMPRODUCT(('PA Fees Actual'!$B$5:$B$882=$E45)*('PA Fees Actual'!$A$5:$A$882&gt;=BJ$3)*('PA Fees Actual'!$A$5:$A$882&lt;=EOMONTH(BJ$3,0))*'PA Fees Actual'!$D$5:$D$882),BJ$3&gt;=EOMONTH($X45,-1)+1,$Y45,TRUE,0)</f>
        <v>0</v>
      </c>
      <c r="BK45" s="202" cm="1">
        <f t="array" ref="BK45">_xlfn.IFS(BK$3&lt;$B$2,SUMPRODUCT(('PA Fees Actual'!$B$5:$B$882=$E45)*('PA Fees Actual'!$A$5:$A$882&gt;=BK$3)*('PA Fees Actual'!$A$5:$A$882&lt;=EOMONTH(BK$3,0))*'PA Fees Actual'!$D$5:$D$882),BK$3&gt;=EOMONTH($X45,-1)+1,$Y45,TRUE,0)</f>
        <v>0</v>
      </c>
      <c r="BL45" s="202" cm="1">
        <f t="array" ref="BL45">_xlfn.IFS(BL$3&lt;$B$2,SUMPRODUCT(('PA Fees Actual'!$B$5:$B$882=$E45)*('PA Fees Actual'!$A$5:$A$882&gt;=BL$3)*('PA Fees Actual'!$A$5:$A$882&lt;=EOMONTH(BL$3,0))*'PA Fees Actual'!$D$5:$D$882),BL$3&gt;=EOMONTH($X45,-1)+1,$Y45,TRUE,0)</f>
        <v>0</v>
      </c>
      <c r="BM45" s="202" cm="1">
        <f t="array" ref="BM45">_xlfn.IFS(BM$3&lt;$B$2,SUMPRODUCT(('PA Fees Actual'!$B$5:$B$882=$E45)*('PA Fees Actual'!$A$5:$A$882&gt;=BM$3)*('PA Fees Actual'!$A$5:$A$882&lt;=EOMONTH(BM$3,0))*'PA Fees Actual'!$D$5:$D$882),BM$3&gt;=EOMONTH($X45,-1)+1,$Y45,TRUE,0)</f>
        <v>0</v>
      </c>
      <c r="BN45" s="202" cm="1">
        <f t="array" ref="BN45">_xlfn.IFS(BN$3&lt;$B$2,SUMPRODUCT(('PA Fees Actual'!$B$5:$B$882=$E45)*('PA Fees Actual'!$A$5:$A$882&gt;=BN$3)*('PA Fees Actual'!$A$5:$A$882&lt;=EOMONTH(BN$3,0))*'PA Fees Actual'!$D$5:$D$882),BN$3&gt;=EOMONTH($X45,-1)+1,$Y45,TRUE,0)</f>
        <v>0</v>
      </c>
      <c r="BO45" s="202" cm="1">
        <f t="array" ref="BO45">_xlfn.IFS(BO$3&lt;$B$2,SUMPRODUCT(('PA Fees Actual'!$B$5:$B$882=$E45)*('PA Fees Actual'!$A$5:$A$882&gt;=BO$3)*('PA Fees Actual'!$A$5:$A$882&lt;=EOMONTH(BO$3,0))*'PA Fees Actual'!$D$5:$D$882),BO$3&gt;=EOMONTH($X45,-1)+1,$Y45,TRUE,0)</f>
        <v>0</v>
      </c>
      <c r="BP45" s="202" cm="1">
        <f t="array" ref="BP45">_xlfn.IFS(BP$3&lt;$B$2,SUMPRODUCT(('PA Fees Actual'!$B$5:$B$882=$E45)*('PA Fees Actual'!$A$5:$A$882&gt;=BP$3)*('PA Fees Actual'!$A$5:$A$882&lt;=EOMONTH(BP$3,0))*'PA Fees Actual'!$D$5:$D$882),BP$3&gt;=EOMONTH($X45,-1)+1,$Y45,TRUE,0)</f>
        <v>0</v>
      </c>
      <c r="BQ45" s="202" cm="1">
        <f t="array" ref="BQ45">_xlfn.IFS(BQ$3&lt;$B$2,SUMPRODUCT(('PA Fees Actual'!$B$5:$B$882=$E45)*('PA Fees Actual'!$A$5:$A$882&gt;=BQ$3)*('PA Fees Actual'!$A$5:$A$882&lt;=EOMONTH(BQ$3,0))*'PA Fees Actual'!$D$5:$D$882),BQ$3&gt;=EOMONTH($X45,-1)+1,$Y45,TRUE,0)</f>
        <v>0</v>
      </c>
      <c r="BR45" s="202" cm="1">
        <f t="array" ref="BR45">_xlfn.IFS(BR$3&lt;$B$2,SUMPRODUCT(('PA Fees Actual'!$B$5:$B$882=$E45)*('PA Fees Actual'!$A$5:$A$882&gt;=BR$3)*('PA Fees Actual'!$A$5:$A$882&lt;=EOMONTH(BR$3,0))*'PA Fees Actual'!$D$5:$D$882),BR$3&gt;=EOMONTH($X45,-1)+1,$Y45,TRUE,0)</f>
        <v>0</v>
      </c>
      <c r="BS45" s="202" cm="1">
        <f t="array" ref="BS45">_xlfn.IFS(BS$3&lt;$B$2,SUMPRODUCT(('PA Fees Actual'!$B$5:$B$882=$E45)*('PA Fees Actual'!$A$5:$A$882&gt;=BS$3)*('PA Fees Actual'!$A$5:$A$882&lt;=EOMONTH(BS$3,0))*'PA Fees Actual'!$D$5:$D$882),BS$3&gt;=EOMONTH($X45,-1)+1,$Y45,TRUE,0)</f>
        <v>0</v>
      </c>
      <c r="BT45" s="202" cm="1">
        <f t="array" ref="BT45">_xlfn.IFS(BT$3&lt;$B$2,SUMPRODUCT(('PA Fees Actual'!$B$5:$B$882=$E45)*('PA Fees Actual'!$A$5:$A$882&gt;=BT$3)*('PA Fees Actual'!$A$5:$A$882&lt;=EOMONTH(BT$3,0))*'PA Fees Actual'!$D$5:$D$882),BT$3&gt;=EOMONTH($X45,-1)+1,$Y45,TRUE,0)</f>
        <v>0</v>
      </c>
      <c r="BU45" s="202" cm="1">
        <f t="array" ref="BU45">_xlfn.IFS(BU$3&lt;$B$2,SUMPRODUCT(('PA Fees Actual'!$B$5:$B$882=$E45)*('PA Fees Actual'!$A$5:$A$882&gt;=BU$3)*('PA Fees Actual'!$A$5:$A$882&lt;=EOMONTH(BU$3,0))*'PA Fees Actual'!$D$5:$D$882),BU$3&gt;=EOMONTH($X45,-1)+1,$Y45,TRUE,0)</f>
        <v>0</v>
      </c>
      <c r="BV45" s="202" cm="1">
        <f t="array" ref="BV45">_xlfn.IFS(BV$3&lt;$B$2,SUMPRODUCT(('PA Fees Actual'!$B$5:$B$882=$E45)*('PA Fees Actual'!$A$5:$A$882&gt;=BV$3)*('PA Fees Actual'!$A$5:$A$882&lt;=EOMONTH(BV$3,0))*'PA Fees Actual'!$D$5:$D$882),BV$3&gt;=EOMONTH($X45,-1)+1,$Y45,TRUE,0)</f>
        <v>0</v>
      </c>
      <c r="BW45" s="202" cm="1">
        <f t="array" ref="BW45">_xlfn.IFS(BW$3&lt;$B$2,SUMPRODUCT(('PA Fees Actual'!$B$5:$B$882=$E45)*('PA Fees Actual'!$A$5:$A$882&gt;=BW$3)*('PA Fees Actual'!$A$5:$A$882&lt;=EOMONTH(BW$3,0))*'PA Fees Actual'!$D$5:$D$882),BW$3&gt;=EOMONTH($X45,-1)+1,$Y45,TRUE,0)</f>
        <v>0</v>
      </c>
      <c r="BX45" s="202" cm="1">
        <f t="array" ref="BX45">_xlfn.IFS(BX$3&lt;$B$2,SUMPRODUCT(('PA Fees Actual'!$B$5:$B$882=$E45)*('PA Fees Actual'!$A$5:$A$882&gt;=BX$3)*('PA Fees Actual'!$A$5:$A$882&lt;=EOMONTH(BX$3,0))*'PA Fees Actual'!$D$5:$D$882),BX$3&gt;=EOMONTH($X45,-1)+1,$Y45,TRUE,0)</f>
        <v>0</v>
      </c>
      <c r="BY45" s="202" cm="1">
        <f t="array" ref="BY45">_xlfn.IFS(BY$3&lt;$B$2,SUMPRODUCT(('PA Fees Actual'!$B$5:$B$882=$E45)*('PA Fees Actual'!$A$5:$A$882&gt;=BY$3)*('PA Fees Actual'!$A$5:$A$882&lt;=EOMONTH(BY$3,0))*'PA Fees Actual'!$D$5:$D$882),BY$3&gt;=EOMONTH($X45,-1)+1,$Y45,TRUE,0)</f>
        <v>0</v>
      </c>
      <c r="BZ45" s="202" cm="1">
        <f t="array" ref="BZ45">_xlfn.IFS(BZ$3&lt;$B$2,SUMPRODUCT(('PA Fees Actual'!$B$5:$B$882=$E45)*('PA Fees Actual'!$A$5:$A$882&gt;=BZ$3)*('PA Fees Actual'!$A$5:$A$882&lt;=EOMONTH(BZ$3,0))*'PA Fees Actual'!$D$5:$D$882),BZ$3&gt;=EOMONTH($X45,-1)+1,$Y45,TRUE,0)</f>
        <v>0</v>
      </c>
      <c r="CA45" s="202" cm="1">
        <f t="array" ref="CA45">_xlfn.IFS(CA$3&lt;$B$2,SUMPRODUCT(('PA Fees Actual'!$B$5:$B$882=$E45)*('PA Fees Actual'!$A$5:$A$882&gt;=CA$3)*('PA Fees Actual'!$A$5:$A$882&lt;=EOMONTH(CA$3,0))*'PA Fees Actual'!$D$5:$D$882),CA$3&gt;=EOMONTH($X45,-1)+1,$Y45,TRUE,0)</f>
        <v>0</v>
      </c>
      <c r="CB45" s="202" cm="1">
        <f t="array" ref="CB45">_xlfn.IFS(CB$3&lt;$B$2,SUMPRODUCT(('PA Fees Actual'!$B$5:$B$749=$E45)*('PA Fees Actual'!$A$5:$A$749&gt;=CB$3)*('PA Fees Actual'!$A$5:$A$749&lt;=EOMONTH(CB$3,0))*'PA Fees Actual'!$D$5:$D$749),CB$3&gt;=EOMONTH($X45,-1)+1,$Y45,TRUE,0)</f>
        <v>0</v>
      </c>
      <c r="CC45" s="202" cm="1">
        <f t="array" ref="CC45">_xlfn.IFS(CC$3&lt;$B$2,SUMPRODUCT(('PA Fees Actual'!$B$5:$B$749=$E45)*('PA Fees Actual'!$A$5:$A$749&gt;=CC$3)*('PA Fees Actual'!$A$5:$A$749&lt;=EOMONTH(CC$3,0))*'PA Fees Actual'!$D$5:$D$749),CC$3&gt;=EOMONTH($X45,-1)+1,$Y45,TRUE,0)</f>
        <v>0</v>
      </c>
      <c r="CD45" s="202" cm="1">
        <f t="array" ref="CD45">_xlfn.IFS(CD$3&lt;$B$2,SUMPRODUCT(('PA Fees Actual'!$B$5:$B$749=$E45)*('PA Fees Actual'!$A$5:$A$749&gt;=CD$3)*('PA Fees Actual'!$A$5:$A$749&lt;=EOMONTH(CD$3,0))*'PA Fees Actual'!$D$5:$D$749),CD$3&gt;=EOMONTH($X45,-1)+1,$Y45,TRUE,0)</f>
        <v>0</v>
      </c>
      <c r="CE45" s="202" cm="1">
        <f t="array" ref="CE45">_xlfn.IFS(CE$3&lt;$B$2,SUMPRODUCT(('PA Fees Actual'!$B$5:$B$749=$E45)*('PA Fees Actual'!$A$5:$A$749&gt;=CE$3)*('PA Fees Actual'!$A$5:$A$749&lt;=EOMONTH(CE$3,0))*'PA Fees Actual'!$D$5:$D$749),CE$3&gt;=EOMONTH($X45,-1)+1,$Y45,TRUE,0)</f>
        <v>0</v>
      </c>
      <c r="CF45" s="202" cm="1">
        <f t="array" ref="CF45">_xlfn.IFS(CF$3&lt;$B$2,SUMPRODUCT(('PA Fees Actual'!$B$5:$B$749=$E45)*('PA Fees Actual'!$A$5:$A$749&gt;=CF$3)*('PA Fees Actual'!$A$5:$A$749&lt;=EOMONTH(CF$3,0))*'PA Fees Actual'!$D$5:$D$749),CF$3&gt;=EOMONTH($X45,-1)+1,$Y45,TRUE,0)</f>
        <v>0</v>
      </c>
      <c r="CG45" s="202" cm="1">
        <f t="array" ref="CG45">_xlfn.IFS(CG$3&lt;$B$2,SUMPRODUCT(('PA Fees Actual'!$B$5:$B$749=$E45)*('PA Fees Actual'!$A$5:$A$749&gt;=CG$3)*('PA Fees Actual'!$A$5:$A$749&lt;=EOMONTH(CG$3,0))*'PA Fees Actual'!$D$5:$D$749),CG$3&gt;=EOMONTH($X45,-1)+1,$Y45,TRUE,0)</f>
        <v>0</v>
      </c>
      <c r="CI45" s="202" cm="1">
        <f t="array" ref="CI45">_xlfn.IFS(CI$3&lt;=YEAR($B$2),SUMPRODUCT(($E$4:$E$79=$E45)*($Z$2:$CG$2=CI$3)*($Z$2:$CG$2&lt;CJ$3)*$Z$4:$CG$79),CI$3&lt;YEAR($X45),0,CI$3=YEAR($X45),DATEDIF($X45,DATE(CI$3,12,31),"m")*$Y45,AND(CI$3&gt;YEAR($X45),CI$3-YEAR($X45)&lt;20),$Y45*12,CI$3-YEAR($X45)=20,DATEDIF(DATE(YEAR($X45),1,1),$X45,"m")*$Y45,CI$3-YEAR($X45)&gt;20,0)</f>
        <v>0</v>
      </c>
      <c r="CJ45" s="202" cm="1">
        <f t="array" ref="CJ45">_xlfn.IFS(CJ$3&lt;=YEAR($B$2),SUMPRODUCT(($E$4:$E$79=$E45)*($Z$2:$CG$2=CJ$3)*($Z$2:$CG$2&lt;CK$3)*$Z$4:$CG$79),CJ$3&lt;YEAR($X45),0,CJ$3=YEAR($X45),DATEDIF($X45,DATE(CJ$3,12,31),"m")*$Y45,AND(CJ$3&gt;YEAR($X45),CJ$3-YEAR($X45)&lt;20),$Y45*12,CJ$3-YEAR($X45)=20,DATEDIF(DATE(YEAR($X45),1,1),$X45,"m")*$Y45,CJ$3-YEAR($X45)&gt;20,0)</f>
        <v>0</v>
      </c>
      <c r="CK45" s="202" cm="1">
        <f t="array" ref="CK45">_xlfn.IFS(CK$3&lt;=YEAR($B$2),SUMPRODUCT(($E$4:$E$79=$E45)*($Z$2:$CG$2=CK$3)*($Z$2:$CG$2&lt;CL$3)*$Z$4:$CG$79),CK$3&lt;YEAR($X45),0,CK$3=YEAR($X45),DATEDIF($X45,DATE(CK$3,12,31),"m")*$Y45,AND(CK$3&gt;YEAR($X45),CK$3-YEAR($X45)&lt;20),$Y45*12,CK$3-YEAR($X45)=20,DATEDIF(DATE(YEAR($X45),1,1),$X45,"m")*$Y45,CK$3-YEAR($X45)&gt;20,0)</f>
        <v>0</v>
      </c>
      <c r="CL45" s="202" cm="1">
        <f t="array" ref="CL45">_xlfn.IFS(CL$3&lt;=YEAR($B$2),SUMPRODUCT(($E$4:$E$79=$E45)*($Z$2:$CG$2=CL$3)*($Z$2:$CG$2&lt;CM$3)*$Z$4:$CG$79),CL$3&lt;YEAR($X45),0,CL$3=YEAR($X45),DATEDIF($X45,DATE(CL$3,12,31),"m")*$Y45,AND(CL$3&gt;YEAR($X45),CL$3-YEAR($X45)&lt;20),$Y45*12,CL$3-YEAR($X45)=20,DATEDIF(DATE(YEAR($X45),1,1),$X45,"m")*$Y45,CL$3-YEAR($X45)&gt;20,0)</f>
        <v>0</v>
      </c>
      <c r="CM45" s="202" cm="1">
        <f t="array" ref="CM45">_xlfn.IFS(CM$3&lt;=YEAR($B$2),SUMPRODUCT(($E$4:$E$79=$E45)*($Z$2:$CG$2=CM$3)*($Z$2:$CG$2&lt;CN$3)*$Z$4:$CG$79),CM$3&lt;YEAR($X45),0,CM$3=YEAR($X45),DATEDIF($X45,DATE(CM$3,12,31),"m")*$Y45,AND(CM$3&gt;YEAR($X45),CM$3-YEAR($X45)&lt;20),$Y45*12,CM$3-YEAR($X45)=20,DATEDIF(DATE(YEAR($X45),1,1),$X45,"m")*$Y45,CM$3-YEAR($X45)&gt;20,0)</f>
        <v>0</v>
      </c>
      <c r="CN45" s="202" cm="1">
        <f t="array" ref="CN45">_xlfn.IFS(CN$3&lt;=YEAR($B$2),SUMPRODUCT(($E$4:$E$79=$E45)*($Z$2:$CG$2=CN$3)*($Z$2:$CG$2&lt;CO$3)*$Z$4:$CG$79),CN$3&lt;YEAR($X45),0,CN$3=YEAR($X45),DATEDIF($X45,DATE(CN$3,12,31),"m")*$Y45,AND(CN$3&gt;YEAR($X45),CN$3-YEAR($X45)&lt;20),$Y45*12,CN$3-YEAR($X45)=20,DATEDIF(DATE(YEAR($X45),1,1),$X45,"m")*$Y45,CN$3-YEAR($X45)&gt;20,0)</f>
        <v>7676.5625</v>
      </c>
      <c r="CO45" s="202" cm="1">
        <f t="array" ref="CO45">_xlfn.IFS(CO$3&lt;=YEAR($B$2),SUMPRODUCT(($E$4:$E$79=$E45)*($Z$2:$CG$2=CO$3)*($Z$2:$CG$2&lt;CP$3)*$Z$4:$CG$79),CO$3&lt;YEAR($X45),0,CO$3=YEAR($X45),DATEDIF($X45,DATE(CO$3,12,31),"m")*$Y45,AND(CO$3&gt;YEAR($X45),CO$3-YEAR($X45)&lt;20),$Y45*12,CO$3-YEAR($X45)=20,DATEDIF(DATE(YEAR($X45),1,1),$X45,"m")*$Y45,CO$3-YEAR($X45)&gt;20,0)</f>
        <v>18423.75</v>
      </c>
      <c r="CP45" s="202" cm="1">
        <f t="array" ref="CP45">_xlfn.IFS(CP$3&lt;=YEAR($B$2),SUMPRODUCT(($E$4:$E$79=$E45)*($Z$2:$CG$2=CP$3)*($Z$2:$CG$2&lt;CQ$3)*$Z$4:$CG$79),CP$3&lt;YEAR($X45),0,CP$3=YEAR($X45),DATEDIF($X45,DATE(CP$3,12,31),"m")*$Y45,AND(CP$3&gt;YEAR($X45),CP$3-YEAR($X45)&lt;20),$Y45*12,CP$3-YEAR($X45)=20,DATEDIF(DATE(YEAR($X45),1,1),$X45,"m")*$Y45,CP$3-YEAR($X45)&gt;20,0)</f>
        <v>18423.75</v>
      </c>
      <c r="CQ45" s="202" cm="1">
        <f t="array" ref="CQ45">_xlfn.IFS(CQ$3&lt;=YEAR($B$2),SUMPRODUCT(($E$4:$E$79=$E45)*($Z$2:$CG$2=CQ$3)*($Z$2:$CG$2&lt;CR$3)*$Z$4:$CG$79),CQ$3&lt;YEAR($X45),0,CQ$3=YEAR($X45),DATEDIF($X45,DATE(CQ$3,12,31),"m")*$Y45,AND(CQ$3&gt;YEAR($X45),CQ$3-YEAR($X45)&lt;20),$Y45*12,CQ$3-YEAR($X45)=20,DATEDIF(DATE(YEAR($X45),1,1),$X45,"m")*$Y45,CQ$3-YEAR($X45)&gt;20,0)</f>
        <v>18423.75</v>
      </c>
      <c r="CR45" s="202" cm="1">
        <f t="array" ref="CR45">_xlfn.IFS(CR$3&lt;=YEAR($B$2),SUMPRODUCT(($E$4:$E$79=$E45)*($Z$2:$CG$2=CR$3)*($Z$2:$CG$2&lt;CS$3)*$Z$4:$CG$79),CR$3&lt;YEAR($X45),0,CR$3=YEAR($X45),DATEDIF($X45,DATE(CR$3,12,31),"m")*$Y45,AND(CR$3&gt;YEAR($X45),CR$3-YEAR($X45)&lt;20),$Y45*12,CR$3-YEAR($X45)=20,DATEDIF(DATE(YEAR($X45),1,1),$X45,"m")*$Y45,CR$3-YEAR($X45)&gt;20,0)</f>
        <v>18423.75</v>
      </c>
      <c r="CS45" s="202" cm="1">
        <f t="array" ref="CS45">_xlfn.IFS(CS$3&lt;=YEAR($B$2),SUMPRODUCT(($E$4:$E$79=$E45)*($Z$2:$CG$2=CS$3)*($Z$2:$CG$2&lt;CT$3)*$Z$4:$CG$79),CS$3&lt;YEAR($X45),0,CS$3=YEAR($X45),DATEDIF($X45,DATE(CS$3,12,31),"m")*$Y45,AND(CS$3&gt;YEAR($X45),CS$3-YEAR($X45)&lt;20),$Y45*12,CS$3-YEAR($X45)=20,DATEDIF(DATE(YEAR($X45),1,1),$X45,"m")*$Y45,CS$3-YEAR($X45)&gt;20,0)</f>
        <v>18423.75</v>
      </c>
      <c r="CT45" s="202" cm="1">
        <f t="array" ref="CT45">_xlfn.IFS(CT$3&lt;=YEAR($B$2),SUMPRODUCT(($E$4:$E$79=$E45)*($Z$2:$CG$2=CT$3)*($Z$2:$CG$2&lt;CU$3)*$Z$4:$CG$79),CT$3&lt;YEAR($X45),0,CT$3=YEAR($X45),DATEDIF($X45,DATE(CT$3,12,31),"m")*$Y45,AND(CT$3&gt;YEAR($X45),CT$3-YEAR($X45)&lt;20),$Y45*12,CT$3-YEAR($X45)=20,DATEDIF(DATE(YEAR($X45),1,1),$X45,"m")*$Y45,CT$3-YEAR($X45)&gt;20,0)</f>
        <v>18423.75</v>
      </c>
      <c r="CU45" s="202" cm="1">
        <f t="array" ref="CU45">_xlfn.IFS(CU$3&lt;=YEAR($B$2),SUMPRODUCT(($E$4:$E$79=$E45)*($Z$2:$CG$2=CU$3)*($Z$2:$CG$2&lt;CV$3)*$Z$4:$CG$79),CU$3&lt;YEAR($X45),0,CU$3=YEAR($X45),DATEDIF($X45,DATE(CU$3,12,31),"m")*$Y45,AND(CU$3&gt;YEAR($X45),CU$3-YEAR($X45)&lt;20),$Y45*12,CU$3-YEAR($X45)=20,DATEDIF(DATE(YEAR($X45),1,1),$X45,"m")*$Y45,CU$3-YEAR($X45)&gt;20,0)</f>
        <v>18423.75</v>
      </c>
      <c r="CV45" s="202" cm="1">
        <f t="array" ref="CV45">_xlfn.IFS(CV$3&lt;=YEAR($B$2),SUMPRODUCT(($E$4:$E$79=$E45)*($Z$2:$CG$2=CV$3)*($Z$2:$CG$2&lt;CW$3)*$Z$4:$CG$79),CV$3&lt;YEAR($X45),0,CV$3=YEAR($X45),DATEDIF($X45,DATE(CV$3,12,31),"m")*$Y45,AND(CV$3&gt;YEAR($X45),CV$3-YEAR($X45)&lt;20),$Y45*12,CV$3-YEAR($X45)=20,DATEDIF(DATE(YEAR($X45),1,1),$X45,"m")*$Y45,CV$3-YEAR($X45)&gt;20,0)</f>
        <v>18423.75</v>
      </c>
      <c r="CW45" s="202" cm="1">
        <f t="array" ref="CW45">_xlfn.IFS(CW$3&lt;=YEAR($B$2),SUMPRODUCT(($E$4:$E$79=$E45)*($Z$2:$CG$2=CW$3)*($Z$2:$CG$2&lt;CX$3)*$Z$4:$CG$79),CW$3&lt;YEAR($X45),0,CW$3=YEAR($X45),DATEDIF($X45,DATE(CW$3,12,31),"m")*$Y45,AND(CW$3&gt;YEAR($X45),CW$3-YEAR($X45)&lt;20),$Y45*12,CW$3-YEAR($X45)=20,DATEDIF(DATE(YEAR($X45),1,1),$X45,"m")*$Y45,CW$3-YEAR($X45)&gt;20,0)</f>
        <v>18423.75</v>
      </c>
      <c r="CX45" s="202" cm="1">
        <f t="array" ref="CX45">_xlfn.IFS(CX$3&lt;=YEAR($B$2),SUMPRODUCT(($E$4:$E$79=$E45)*($Z$2:$CG$2=CX$3)*($Z$2:$CG$2&lt;CY$3)*$Z$4:$CG$79),CX$3&lt;YEAR($X45),0,CX$3=YEAR($X45),DATEDIF($X45,DATE(CX$3,12,31),"m")*$Y45,AND(CX$3&gt;YEAR($X45),CX$3-YEAR($X45)&lt;20),$Y45*12,CX$3-YEAR($X45)=20,DATEDIF(DATE(YEAR($X45),1,1),$X45,"m")*$Y45,CX$3-YEAR($X45)&gt;20,0)</f>
        <v>18423.75</v>
      </c>
      <c r="CY45" s="202" cm="1">
        <f t="array" ref="CY45">_xlfn.IFS(CY$3&lt;=YEAR($B$2),SUMPRODUCT(($E$4:$E$79=$E45)*($Z$2:$CG$2=CY$3)*($Z$2:$CG$2&lt;CZ$3)*$Z$4:$CG$79),CY$3&lt;YEAR($X45),0,CY$3=YEAR($X45),DATEDIF($X45,DATE(CY$3,12,31),"m")*$Y45,AND(CY$3&gt;YEAR($X45),CY$3-YEAR($X45)&lt;20),$Y45*12,CY$3-YEAR($X45)=20,DATEDIF(DATE(YEAR($X45),1,1),$X45,"m")*$Y45,CY$3-YEAR($X45)&gt;20,0)</f>
        <v>18423.75</v>
      </c>
      <c r="CZ45" s="202" cm="1">
        <f t="array" ref="CZ45">_xlfn.IFS(CZ$3&lt;=YEAR($B$2),SUMPRODUCT(($E$4:$E$79=$E45)*($Z$2:$CG$2=CZ$3)*($Z$2:$CG$2&lt;DA$3)*$Z$4:$CG$79),CZ$3&lt;YEAR($X45),0,CZ$3=YEAR($X45),DATEDIF($X45,DATE(CZ$3,12,31),"m")*$Y45,AND(CZ$3&gt;YEAR($X45),CZ$3-YEAR($X45)&lt;20),$Y45*12,CZ$3-YEAR($X45)=20,DATEDIF(DATE(YEAR($X45),1,1),$X45,"m")*$Y45,CZ$3-YEAR($X45)&gt;20,0)</f>
        <v>18423.75</v>
      </c>
      <c r="DA45" s="202" cm="1">
        <f t="array" ref="DA45">_xlfn.IFS(DA$3&lt;=YEAR($B$2),SUMPRODUCT(($E$4:$E$79=$E45)*($Z$2:$CG$2=DA$3)*($Z$2:$CG$2&lt;DB$3)*$Z$4:$CG$79),DA$3&lt;YEAR($X45),0,DA$3=YEAR($X45),DATEDIF($X45,DATE(DA$3,12,31),"m")*$Y45,AND(DA$3&gt;YEAR($X45),DA$3-YEAR($X45)&lt;20),$Y45*12,DA$3-YEAR($X45)=20,DATEDIF(DATE(YEAR($X45),1,1),$X45,"m")*$Y45,DA$3-YEAR($X45)&gt;20,0)</f>
        <v>18423.75</v>
      </c>
      <c r="DB45" s="202" cm="1">
        <f t="array" ref="DB45">_xlfn.IFS(DB$3&lt;=YEAR($B$2),SUMPRODUCT(($E$4:$E$79=$E45)*($Z$2:$CG$2=DB$3)*($Z$2:$CG$2&lt;DC$3)*$Z$4:$CG$79),DB$3&lt;YEAR($X45),0,DB$3=YEAR($X45),DATEDIF($X45,DATE(DB$3,12,31),"m")*$Y45,AND(DB$3&gt;YEAR($X45),DB$3-YEAR($X45)&lt;20),$Y45*12,DB$3-YEAR($X45)=20,DATEDIF(DATE(YEAR($X45),1,1),$X45,"m")*$Y45,DB$3-YEAR($X45)&gt;20,0)</f>
        <v>18423.75</v>
      </c>
      <c r="DC45" s="202" cm="1">
        <f t="array" ref="DC45">_xlfn.IFS(DC$3&lt;=YEAR($B$2),SUMPRODUCT(($E$4:$E$79=$E45)*($Z$2:$CG$2=DC$3)*($Z$2:$CG$2&lt;DD$3)*$Z$4:$CG$79),DC$3&lt;YEAR($X45),0,DC$3=YEAR($X45),DATEDIF($X45,DATE(DC$3,12,31),"m")*$Y45,AND(DC$3&gt;YEAR($X45),DC$3-YEAR($X45)&lt;20),$Y45*12,DC$3-YEAR($X45)=20,DATEDIF(DATE(YEAR($X45),1,1),$X45,"m")*$Y45,DC$3-YEAR($X45)&gt;20,0)</f>
        <v>18423.75</v>
      </c>
      <c r="DD45" s="202" cm="1">
        <f t="array" ref="DD45">_xlfn.IFS(DD$3&lt;=YEAR($B$2),SUMPRODUCT(($E$4:$E$79=$E45)*($Z$2:$CG$2=DD$3)*($Z$2:$CG$2&lt;DE$3)*$Z$4:$CG$79),DD$3&lt;YEAR($X45),0,DD$3=YEAR($X45),DATEDIF($X45,DATE(DD$3,12,31),"m")*$Y45,AND(DD$3&gt;YEAR($X45),DD$3-YEAR($X45)&lt;20),$Y45*12,DD$3-YEAR($X45)=20,DATEDIF(DATE(YEAR($X45),1,1),$X45,"m")*$Y45,DD$3-YEAR($X45)&gt;20,0)</f>
        <v>18423.75</v>
      </c>
      <c r="DE45" s="202" cm="1">
        <f t="array" ref="DE45">_xlfn.IFS(DE$3&lt;=YEAR($B$2),SUMPRODUCT(($E$4:$E$79=$E45)*($Z$2:$CG$2=DE$3)*($Z$2:$CG$2&lt;DF$3)*$Z$4:$CG$79),DE$3&lt;YEAR($X45),0,DE$3=YEAR($X45),DATEDIF($X45,DATE(DE$3,12,31),"m")*$Y45,AND(DE$3&gt;YEAR($X45),DE$3-YEAR($X45)&lt;20),$Y45*12,DE$3-YEAR($X45)=20,DATEDIF(DATE(YEAR($X45),1,1),$X45,"m")*$Y45,DE$3-YEAR($X45)&gt;20,0)</f>
        <v>18423.75</v>
      </c>
      <c r="DF45" s="202" cm="1">
        <f t="array" ref="DF45">_xlfn.IFS(DF$3&lt;=YEAR($B$2),SUMPRODUCT(($E$4:$E$79=$E45)*($Z$2:$CG$2=DF$3)*($Z$2:$CG$2&lt;DG$3)*$Z$4:$CG$79),DF$3&lt;YEAR($X45),0,DF$3=YEAR($X45),DATEDIF($X45,DATE(DF$3,12,31),"m")*$Y45,AND(DF$3&gt;YEAR($X45),DF$3-YEAR($X45)&lt;20),$Y45*12,DF$3-YEAR($X45)=20,DATEDIF(DATE(YEAR($X45),1,1),$X45,"m")*$Y45,DF$3-YEAR($X45)&gt;20,0)</f>
        <v>18423.75</v>
      </c>
      <c r="DG45" s="202" cm="1">
        <f t="array" ref="DG45">_xlfn.IFS(DG$3&lt;=YEAR($B$2),SUMPRODUCT(($E$4:$E$79=$E45)*($Z$2:$CG$2=DG$3)*($Z$2:$CG$2&lt;DH$3)*$Z$4:$CG$79),DG$3&lt;YEAR($X45),0,DG$3=YEAR($X45),DATEDIF($X45,DATE(DG$3,12,31),"m")*$Y45,AND(DG$3&gt;YEAR($X45),DG$3-YEAR($X45)&lt;20),$Y45*12,DG$3-YEAR($X45)=20,DATEDIF(DATE(YEAR($X45),1,1),$X45,"m")*$Y45,DG$3-YEAR($X45)&gt;20,0)</f>
        <v>18423.75</v>
      </c>
      <c r="DH45" s="202" cm="1">
        <f t="array" ref="DH45">_xlfn.IFS(DH$3&lt;=YEAR($B$2),SUMPRODUCT(($E$4:$E$79=$E45)*($Z$2:$CG$2=DH$3)*($Z$2:$CG$2&lt;DI$3)*$Z$4:$CG$79),DH$3&lt;YEAR($X45),0,DH$3=YEAR($X45),DATEDIF($X45,DATE(DH$3,12,31),"m")*$Y45,AND(DH$3&gt;YEAR($X45),DH$3-YEAR($X45)&lt;20),$Y45*12,DH$3-YEAR($X45)=20,DATEDIF(DATE(YEAR($X45),1,1),$X45,"m")*$Y45,DH$3-YEAR($X45)&gt;20,0)</f>
        <v>9211.875</v>
      </c>
      <c r="DI45" s="202" cm="1">
        <f t="array" ref="DI45">_xlfn.IFS(DI$3&lt;=YEAR($B$2),SUMPRODUCT(($E$4:$E$79=$E45)*($Z$2:$CG$2=DI$3)*($Z$2:$CG$2&lt;DJ$3)*$Z$4:$CG$79),DI$3&lt;YEAR($X45),0,DI$3=YEAR($X45),DATEDIF($X45,DATE(DI$3,12,31),"m")*$Y45,AND(DI$3&gt;YEAR($X45),DI$3-YEAR($X45)&lt;20),$Y45*12,DI$3-YEAR($X45)=20,DATEDIF(DATE(YEAR($X45),1,1),$X45,"m")*$Y45,DI$3-YEAR($X45)&gt;20,0)</f>
        <v>0</v>
      </c>
      <c r="DJ45" s="202" cm="1">
        <f t="array" ref="DJ45">_xlfn.IFS(DJ$3&lt;=YEAR($B$2),SUMPRODUCT(($E$4:$E$79=$E45)*($Z$2:$CG$2=DJ$3)*($Z$2:$CG$2&lt;DK$3)*$Z$4:$CG$79),DJ$3&lt;YEAR($X45),0,DJ$3=YEAR($X45),DATEDIF($X45,DATE(DJ$3,12,31),"m")*$Y45,AND(DJ$3&gt;YEAR($X45),DJ$3-YEAR($X45)&lt;20),$Y45*12,DJ$3-YEAR($X45)=20,DATEDIF(DATE(YEAR($X45),1,1),$X45,"m")*$Y45,DJ$3-YEAR($X45)&gt;20,0)</f>
        <v>0</v>
      </c>
      <c r="DK45" s="202" cm="1">
        <f t="array" ref="DK45">_xlfn.IFS(DK$3&lt;=YEAR($B$2),SUMPRODUCT(($E$4:$E$79=$E45)*($Z$2:$CG$2=DK$3)*($Z$2:$CG$2&lt;DL$3)*$Z$4:$CG$79),DK$3&lt;YEAR($X45),0,DK$3=YEAR($X45),DATEDIF($X45,DATE(DK$3,12,31),"m")*$Y45,AND(DK$3&gt;YEAR($X45),DK$3-YEAR($X45)&lt;20),$Y45*12,DK$3-YEAR($X45)=20,DATEDIF(DATE(YEAR($X45),1,1),$X45,"m")*$Y45,DK$3-YEAR($X45)&gt;20,0)</f>
        <v>0</v>
      </c>
      <c r="DL45" s="202" cm="1">
        <f t="array" ref="DL45">_xlfn.IFS(DL$3&lt;=YEAR($B$2),SUMPRODUCT(($E$4:$E$79=$E45)*($Z$2:$CG$2=DL$3)*($Z$2:$CG$2&lt;DM$3)*$Z$4:$CG$79),DL$3&lt;YEAR($X45),0,DL$3=YEAR($X45),DATEDIF($X45,DATE(DL$3,12,31),"m")*$Y45,AND(DL$3&gt;YEAR($X45),DL$3-YEAR($X45)&lt;20),$Y45*12,DL$3-YEAR($X45)=20,DATEDIF(DATE(YEAR($X45),1,1),$X45,"m")*$Y45,DL$3-YEAR($X45)&gt;20,0)</f>
        <v>0</v>
      </c>
    </row>
    <row r="46" spans="1:123">
      <c r="A46" s="155" t="str" cm="1">
        <f t="array" ref="A46">INDEX('Monthly Report July 2025'!C:C,MATCH(E46,'Monthly Report July 2025'!E:E,0),0)</f>
        <v>OCS051</v>
      </c>
      <c r="B46" s="155" t="str" cm="1">
        <f t="array" ref="B46">_xlfn.IFS(LEFT(E46,3)="PGE","PGE",LEFT(E46,2)="PP","PAC",TRUE,"IP")</f>
        <v>PAC</v>
      </c>
      <c r="C46" s="155" t="str">
        <f>IF(ISNA(MATCH(E46,'Monthly Report July 2025'!E:E,0)),"Missing","Present")</f>
        <v>Present</v>
      </c>
      <c r="D46" s="155" t="str">
        <f>IF(ISNA(MATCH(E46,'Project Operational Timelines'!C:C,0))=TRUE,"Missing","Present")</f>
        <v>Present</v>
      </c>
      <c r="E46" s="155" t="s">
        <v>154</v>
      </c>
      <c r="F46" s="155" t="str" cm="1">
        <f t="array" ref="F46">INDEX('Monthly Report July 2025'!F:F,MATCH(E46,'Monthly Report July 2025'!E:E,),0)</f>
        <v>Canyonville Solar 2</v>
      </c>
      <c r="G46" s="155" t="str" cm="1">
        <f t="array" ref="G46">_xlfn.IFS(INDEX('Monthly Report July 2025'!O:O,MATCH(E46,'Monthly Report July 2025'!E:E,0),0)="Operational","Operational",INDEX('Monthly Report July 2025'!O:O,MATCH(E46,'Monthly Report July 2025'!E:E,0),0)="Certified","Certified",TRUE,"Pre-Certified")</f>
        <v>Pre-Certified</v>
      </c>
      <c r="H46" s="155" t="str" cm="1">
        <f t="array" ref="H46">INDEX('Monthly Report July 2025'!H:H,MATCH($E46,'Monthly Report July 2025'!$E:$E,0),0)</f>
        <v>Sulus</v>
      </c>
      <c r="I46" s="155" t="str" cm="1">
        <f t="array" ref="I46">INDEX('Monthly Report July 2025'!I:I,MATCH($E46,'Monthly Report July 2025'!$E:$E,0),0)</f>
        <v>SolRiver Capital</v>
      </c>
      <c r="J46" s="174" cm="1">
        <f t="array" ref="J46">INDEX('Monthly Report July 2025'!J:J,MATCH($E46,'Monthly Report July 2025'!$E:$E,0),0)</f>
        <v>2</v>
      </c>
      <c r="K46" s="174" t="str" cm="1">
        <f t="array" ref="K46">INDEX('Monthly Report July 2025'!K:K,MATCH($E46,'Monthly Report July 2025'!$E:$E,0),0)</f>
        <v>No</v>
      </c>
      <c r="L46" s="174" t="b" cm="1">
        <f t="array" ref="L46">INDEX('Monthly Report July 2025'!L:L,MATCH(E46,'Monthly Report July 2025'!E:E,0),0)=M46</f>
        <v>1</v>
      </c>
      <c r="M46" s="273" cm="1">
        <f t="array" ref="M46">INDEX('Monthly Report July 2025'!L:L,MATCH($E46,'Monthly Report July 2025'!$E:$E,0),0)</f>
        <v>1500</v>
      </c>
      <c r="N46" s="175" cm="1">
        <f t="array" ref="N46">INDEX('Monthly Report July 2025'!M:M,MATCH($E46,'Monthly Report July 2025'!$E:$E,0),0)</f>
        <v>44692</v>
      </c>
      <c r="O46" s="175" cm="1">
        <f t="array" ref="O46">_xlfn.IFS(G46="Operational","Operational",G46="Certified","Certified",TRUE,INDEX('Monthly Report July 2025'!O:O,MATCH(E46,'Monthly Report July 2025'!E:E,0),0))</f>
        <v>46199</v>
      </c>
      <c r="P46" s="175" t="b" cm="1">
        <f t="array" ref="P46">_xlfn.IFS(G46="Operational",O46="Operational",G46="Certified",O46="Certified",TRUE,G46="Pre-Certified")</f>
        <v>1</v>
      </c>
      <c r="Q46" s="175" t="str" cm="1">
        <f t="array" ref="Q46">IF(O46="Operational",INDEX('Monthly Report July 2025'!R:R,MATCH(E46,'Monthly Report July 2025'!E:E,0),0),"")</f>
        <v/>
      </c>
      <c r="R46" s="175" t="str" cm="1">
        <f t="array" ref="R46">INDEX('Monthly Report July 2025'!P:P,MATCH(E46,'Monthly Report July 2025'!E:E,0),0)</f>
        <v>Not Yet Certified</v>
      </c>
      <c r="S46" s="175" t="b">
        <f t="shared" si="28"/>
        <v>1</v>
      </c>
      <c r="T46" s="175" cm="1">
        <f t="array" ref="T46">INDEX('Monthly Report July 2025'!U:U,MATCH(E46,'Monthly Report July 2025'!E:E,0),0)</f>
        <v>46164</v>
      </c>
      <c r="U46" s="175" t="b">
        <f t="shared" si="6"/>
        <v>1</v>
      </c>
      <c r="V46" s="156">
        <f t="shared" si="29"/>
        <v>46199</v>
      </c>
      <c r="W46" s="156" cm="1">
        <f t="array" ref="W46">_xlfn.IFS(U46=TRUE,EDATE(O46,6),U46=FALSE,T46,O46="Operational",Q46,AND(O46="Certified",EDATE(R46,6)&gt;T46),EDATE(R46,6),TRUE,T46)</f>
        <v>46382</v>
      </c>
      <c r="X46" s="156">
        <f t="shared" si="30"/>
        <v>46444</v>
      </c>
      <c r="Y46" s="157">
        <f t="shared" si="31"/>
        <v>1083.75</v>
      </c>
      <c r="Z46" s="202" cm="1">
        <f t="array" ref="Z46">_xlfn.IFS(Z$3&lt;$B$2,SUMPRODUCT(('PA Fees Actual'!$B$5:$B$882=$E46)*('PA Fees Actual'!$A$5:$A$882&gt;=Z$3)*('PA Fees Actual'!$A$5:$A$882&lt;=EOMONTH(Z$3,0))*'PA Fees Actual'!$D$5:$D$882),Z$3&gt;=EOMONTH($X46,-1)+1,$Y46,TRUE,0)</f>
        <v>0</v>
      </c>
      <c r="AA46" s="202" cm="1">
        <f t="array" ref="AA46">_xlfn.IFS(AA$3&lt;$B$2,SUMPRODUCT(('PA Fees Actual'!$B$5:$B$882=$E46)*('PA Fees Actual'!$A$5:$A$882&gt;=AA$3)*('PA Fees Actual'!$A$5:$A$882&lt;=EOMONTH(AA$3,0))*'PA Fees Actual'!$D$5:$D$882),AA$3&gt;=EOMONTH($X46,-1)+1,$Y46,TRUE,0)</f>
        <v>0</v>
      </c>
      <c r="AB46" s="202" cm="1">
        <f t="array" ref="AB46">_xlfn.IFS(AB$3&lt;$B$2,SUMPRODUCT(('PA Fees Actual'!$B$5:$B$882=$E46)*('PA Fees Actual'!$A$5:$A$882&gt;=AB$3)*('PA Fees Actual'!$A$5:$A$882&lt;=EOMONTH(AB$3,0))*'PA Fees Actual'!$D$5:$D$882),AB$3&gt;=EOMONTH($X46,-1)+1,$Y46,TRUE,0)</f>
        <v>0</v>
      </c>
      <c r="AC46" s="202" cm="1">
        <f t="array" ref="AC46">_xlfn.IFS(AC$3&lt;$B$2,SUMPRODUCT(('PA Fees Actual'!$B$5:$B$882=$E46)*('PA Fees Actual'!$A$5:$A$882&gt;=AC$3)*('PA Fees Actual'!$A$5:$A$882&lt;=EOMONTH(AC$3,0))*'PA Fees Actual'!$D$5:$D$882),AC$3&gt;=EOMONTH($X46,-1)+1,$Y46,TRUE,0)</f>
        <v>0</v>
      </c>
      <c r="AD46" s="202" cm="1">
        <f t="array" ref="AD46">_xlfn.IFS(AD$3&lt;$B$2,SUMPRODUCT(('PA Fees Actual'!$B$5:$B$882=$E46)*('PA Fees Actual'!$A$5:$A$882&gt;=AD$3)*('PA Fees Actual'!$A$5:$A$882&lt;=EOMONTH(AD$3,0))*'PA Fees Actual'!$D$5:$D$882),AD$3&gt;=EOMONTH($X46,-1)+1,$Y46,TRUE,0)</f>
        <v>0</v>
      </c>
      <c r="AE46" s="202" cm="1">
        <f t="array" ref="AE46">_xlfn.IFS(AE$3&lt;$B$2,SUMPRODUCT(('PA Fees Actual'!$B$5:$B$882=$E46)*('PA Fees Actual'!$A$5:$A$882&gt;=AE$3)*('PA Fees Actual'!$A$5:$A$882&lt;=EOMONTH(AE$3,0))*'PA Fees Actual'!$D$5:$D$882),AE$3&gt;=EOMONTH($X46,-1)+1,$Y46,TRUE,0)</f>
        <v>0</v>
      </c>
      <c r="AF46" s="202" cm="1">
        <f t="array" ref="AF46">_xlfn.IFS(AF$3&lt;$B$2,SUMPRODUCT(('PA Fees Actual'!$B$5:$B$882=$E46)*('PA Fees Actual'!$A$5:$A$882&gt;=AF$3)*('PA Fees Actual'!$A$5:$A$882&lt;=EOMONTH(AF$3,0))*'PA Fees Actual'!$D$5:$D$882),AF$3&gt;=EOMONTH($X46,-1)+1,$Y46,TRUE,0)</f>
        <v>0</v>
      </c>
      <c r="AG46" s="202" cm="1">
        <f t="array" ref="AG46">_xlfn.IFS(AG$3&lt;$B$2,SUMPRODUCT(('PA Fees Actual'!$B$5:$B$882=$E46)*('PA Fees Actual'!$A$5:$A$882&gt;=AG$3)*('PA Fees Actual'!$A$5:$A$882&lt;=EOMONTH(AG$3,0))*'PA Fees Actual'!$D$5:$D$882),AG$3&gt;=EOMONTH($X46,-1)+1,$Y46,TRUE,0)</f>
        <v>0</v>
      </c>
      <c r="AH46" s="202" cm="1">
        <f t="array" ref="AH46">_xlfn.IFS(AH$3&lt;$B$2,SUMPRODUCT(('PA Fees Actual'!$B$5:$B$882=$E46)*('PA Fees Actual'!$A$5:$A$882&gt;=AH$3)*('PA Fees Actual'!$A$5:$A$882&lt;=EOMONTH(AH$3,0))*'PA Fees Actual'!$D$5:$D$882),AH$3&gt;=EOMONTH($X46,-1)+1,$Y46,TRUE,0)</f>
        <v>0</v>
      </c>
      <c r="AI46" s="202" cm="1">
        <f t="array" ref="AI46">_xlfn.IFS(AI$3&lt;$B$2,SUMPRODUCT(('PA Fees Actual'!$B$5:$B$882=$E46)*('PA Fees Actual'!$A$5:$A$882&gt;=AI$3)*('PA Fees Actual'!$A$5:$A$882&lt;=EOMONTH(AI$3,0))*'PA Fees Actual'!$D$5:$D$882),AI$3&gt;=EOMONTH($X46,-1)+1,$Y46,TRUE,0)</f>
        <v>0</v>
      </c>
      <c r="AJ46" s="202" cm="1">
        <f t="array" ref="AJ46">_xlfn.IFS(AJ$3&lt;$B$2,SUMPRODUCT(('PA Fees Actual'!$B$5:$B$882=$E46)*('PA Fees Actual'!$A$5:$A$882&gt;=AJ$3)*('PA Fees Actual'!$A$5:$A$882&lt;=EOMONTH(AJ$3,0))*'PA Fees Actual'!$D$5:$D$882),AJ$3&gt;=EOMONTH($X46,-1)+1,$Y46,TRUE,0)</f>
        <v>0</v>
      </c>
      <c r="AK46" s="202" cm="1">
        <f t="array" ref="AK46">_xlfn.IFS(AK$3&lt;$B$2,SUMPRODUCT(('PA Fees Actual'!$B$5:$B$882=$E46)*('PA Fees Actual'!$A$5:$A$882&gt;=AK$3)*('PA Fees Actual'!$A$5:$A$882&lt;=EOMONTH(AK$3,0))*'PA Fees Actual'!$D$5:$D$882),AK$3&gt;=EOMONTH($X46,-1)+1,$Y46,TRUE,0)</f>
        <v>0</v>
      </c>
      <c r="AL46" s="202" cm="1">
        <f t="array" ref="AL46">_xlfn.IFS(AL$3&lt;$B$2,SUMPRODUCT(('PA Fees Actual'!$B$5:$B$882=$E46)*('PA Fees Actual'!$A$5:$A$882&gt;=AL$3)*('PA Fees Actual'!$A$5:$A$882&lt;=EOMONTH(AL$3,0))*'PA Fees Actual'!$D$5:$D$882),AL$3&gt;=EOMONTH($X46,-1)+1,$Y46,TRUE,0)</f>
        <v>0</v>
      </c>
      <c r="AM46" s="202" cm="1">
        <f t="array" ref="AM46">_xlfn.IFS(AM$3&lt;$B$2,SUMPRODUCT(('PA Fees Actual'!$B$5:$B$882=$E46)*('PA Fees Actual'!$A$5:$A$882&gt;=AM$3)*('PA Fees Actual'!$A$5:$A$882&lt;=EOMONTH(AM$3,0))*'PA Fees Actual'!$D$5:$D$882),AM$3&gt;=EOMONTH($X46,-1)+1,$Y46,TRUE,0)</f>
        <v>0</v>
      </c>
      <c r="AN46" s="202" cm="1">
        <f t="array" ref="AN46">_xlfn.IFS(AN$3&lt;$B$2,SUMPRODUCT(('PA Fees Actual'!$B$5:$B$882=$E46)*('PA Fees Actual'!$A$5:$A$882&gt;=AN$3)*('PA Fees Actual'!$A$5:$A$882&lt;=EOMONTH(AN$3,0))*'PA Fees Actual'!$D$5:$D$882),AN$3&gt;=EOMONTH($X46,-1)+1,$Y46,TRUE,0)</f>
        <v>0</v>
      </c>
      <c r="AO46" s="202" cm="1">
        <f t="array" ref="AO46">_xlfn.IFS(AO$3&lt;$B$2,SUMPRODUCT(('PA Fees Actual'!$B$5:$B$882=$E46)*('PA Fees Actual'!$A$5:$A$882&gt;=AO$3)*('PA Fees Actual'!$A$5:$A$882&lt;=EOMONTH(AO$3,0))*'PA Fees Actual'!$D$5:$D$882),AO$3&gt;=EOMONTH($X46,-1)+1,$Y46,TRUE,0)</f>
        <v>0</v>
      </c>
      <c r="AP46" s="202" cm="1">
        <f t="array" ref="AP46">_xlfn.IFS(AP$3&lt;$B$2,SUMPRODUCT(('PA Fees Actual'!$B$5:$B$882=$E46)*('PA Fees Actual'!$A$5:$A$882&gt;=AP$3)*('PA Fees Actual'!$A$5:$A$882&lt;=EOMONTH(AP$3,0))*'PA Fees Actual'!$D$5:$D$882),AP$3&gt;=EOMONTH($X46,-1)+1,$Y46,TRUE,0)</f>
        <v>0</v>
      </c>
      <c r="AQ46" s="202" cm="1">
        <f t="array" ref="AQ46">_xlfn.IFS(AQ$3&lt;$B$2,SUMPRODUCT(('PA Fees Actual'!$B$5:$B$882=$E46)*('PA Fees Actual'!$A$5:$A$882&gt;=AQ$3)*('PA Fees Actual'!$A$5:$A$882&lt;=EOMONTH(AQ$3,0))*'PA Fees Actual'!$D$5:$D$882),AQ$3&gt;=EOMONTH($X46,-1)+1,$Y46,TRUE,0)</f>
        <v>0</v>
      </c>
      <c r="AR46" s="202" cm="1">
        <f t="array" ref="AR46">_xlfn.IFS(AR$3&lt;$B$2,SUMPRODUCT(('PA Fees Actual'!$B$5:$B$882=$E46)*('PA Fees Actual'!$A$5:$A$882&gt;=AR$3)*('PA Fees Actual'!$A$5:$A$882&lt;=EOMONTH(AR$3,0))*'PA Fees Actual'!$D$5:$D$882),AR$3&gt;=EOMONTH($X46,-1)+1,$Y46,TRUE,0)</f>
        <v>0</v>
      </c>
      <c r="AS46" s="202" cm="1">
        <f t="array" ref="AS46">_xlfn.IFS(AS$3&lt;$B$2,SUMPRODUCT(('PA Fees Actual'!$B$5:$B$882=$E46)*('PA Fees Actual'!$A$5:$A$882&gt;=AS$3)*('PA Fees Actual'!$A$5:$A$882&lt;=EOMONTH(AS$3,0))*'PA Fees Actual'!$D$5:$D$882),AS$3&gt;=EOMONTH($X46,-1)+1,$Y46,TRUE,0)</f>
        <v>0</v>
      </c>
      <c r="AT46" s="202" cm="1">
        <f t="array" ref="AT46">_xlfn.IFS(AT$3&lt;$B$2,SUMPRODUCT(('PA Fees Actual'!$B$5:$B$882=$E46)*('PA Fees Actual'!$A$5:$A$882&gt;=AT$3)*('PA Fees Actual'!$A$5:$A$882&lt;=EOMONTH(AT$3,0))*'PA Fees Actual'!$D$5:$D$882),AT$3&gt;=EOMONTH($X46,-1)+1,$Y46,TRUE,0)</f>
        <v>0</v>
      </c>
      <c r="AU46" s="202" cm="1">
        <f t="array" ref="AU46">_xlfn.IFS(AU$3&lt;$B$2,SUMPRODUCT(('PA Fees Actual'!$B$5:$B$882=$E46)*('PA Fees Actual'!$A$5:$A$882&gt;=AU$3)*('PA Fees Actual'!$A$5:$A$882&lt;=EOMONTH(AU$3,0))*'PA Fees Actual'!$D$5:$D$882),AU$3&gt;=EOMONTH($X46,-1)+1,$Y46,TRUE,0)</f>
        <v>0</v>
      </c>
      <c r="AV46" s="202" cm="1">
        <f t="array" ref="AV46">_xlfn.IFS(AV$3&lt;$B$2,SUMPRODUCT(('PA Fees Actual'!$B$5:$B$882=$E46)*('PA Fees Actual'!$A$5:$A$882&gt;=AV$3)*('PA Fees Actual'!$A$5:$A$882&lt;=EOMONTH(AV$3,0))*'PA Fees Actual'!$D$5:$D$882),AV$3&gt;=EOMONTH($X46,-1)+1,$Y46,TRUE,0)</f>
        <v>0</v>
      </c>
      <c r="AW46" s="202" cm="1">
        <f t="array" ref="AW46">_xlfn.IFS(AW$3&lt;$B$2,SUMPRODUCT(('PA Fees Actual'!$B$5:$B$882=$E46)*('PA Fees Actual'!$A$5:$A$882&gt;=AW$3)*('PA Fees Actual'!$A$5:$A$882&lt;=EOMONTH(AW$3,0))*'PA Fees Actual'!$D$5:$D$882),AW$3&gt;=EOMONTH($X46,-1)+1,$Y46,TRUE,0)</f>
        <v>0</v>
      </c>
      <c r="AX46" s="202" cm="1">
        <f t="array" ref="AX46">_xlfn.IFS(AX$3&lt;$B$2,SUMPRODUCT(('PA Fees Actual'!$B$5:$B$882=$E46)*('PA Fees Actual'!$A$5:$A$882&gt;=AX$3)*('PA Fees Actual'!$A$5:$A$882&lt;=EOMONTH(AX$3,0))*'PA Fees Actual'!$D$5:$D$882),AX$3&gt;=EOMONTH($X46,-1)+1,$Y46,TRUE,0)</f>
        <v>0</v>
      </c>
      <c r="AY46" s="202" cm="1">
        <f t="array" ref="AY46">_xlfn.IFS(AY$3&lt;$B$2,SUMPRODUCT(('PA Fees Actual'!$B$5:$B$882=$E46)*('PA Fees Actual'!$A$5:$A$882&gt;=AY$3)*('PA Fees Actual'!$A$5:$A$882&lt;=EOMONTH(AY$3,0))*'PA Fees Actual'!$D$5:$D$882),AY$3&gt;=EOMONTH($X46,-1)+1,$Y46,TRUE,0)</f>
        <v>0</v>
      </c>
      <c r="AZ46" s="202" cm="1">
        <f t="array" ref="AZ46">_xlfn.IFS(AZ$3&lt;$B$2,SUMPRODUCT(('PA Fees Actual'!$B$5:$B$882=$E46)*('PA Fees Actual'!$A$5:$A$882&gt;=AZ$3)*('PA Fees Actual'!$A$5:$A$882&lt;=EOMONTH(AZ$3,0))*'PA Fees Actual'!$D$5:$D$882),AZ$3&gt;=EOMONTH($X46,-1)+1,$Y46,TRUE,0)</f>
        <v>0</v>
      </c>
      <c r="BA46" s="202" cm="1">
        <f t="array" ref="BA46">_xlfn.IFS(BA$3&lt;$B$2,SUMPRODUCT(('PA Fees Actual'!$B$5:$B$882=$E46)*('PA Fees Actual'!$A$5:$A$882&gt;=BA$3)*('PA Fees Actual'!$A$5:$A$882&lt;=EOMONTH(BA$3,0))*'PA Fees Actual'!$D$5:$D$882),BA$3&gt;=EOMONTH($X46,-1)+1,$Y46,TRUE,0)</f>
        <v>0</v>
      </c>
      <c r="BB46" s="202" cm="1">
        <f t="array" ref="BB46">_xlfn.IFS(BB$3&lt;$B$2,SUMPRODUCT(('PA Fees Actual'!$B$5:$B$882=$E46)*('PA Fees Actual'!$A$5:$A$882&gt;=BB$3)*('PA Fees Actual'!$A$5:$A$882&lt;=EOMONTH(BB$3,0))*'PA Fees Actual'!$D$5:$D$882),BB$3&gt;=EOMONTH($X46,-1)+1,$Y46,TRUE,0)</f>
        <v>0</v>
      </c>
      <c r="BC46" s="202" cm="1">
        <f t="array" ref="BC46">_xlfn.IFS(BC$3&lt;$B$2,SUMPRODUCT(('PA Fees Actual'!$B$5:$B$882=$E46)*('PA Fees Actual'!$A$5:$A$882&gt;=BC$3)*('PA Fees Actual'!$A$5:$A$882&lt;=EOMONTH(BC$3,0))*'PA Fees Actual'!$D$5:$D$882),BC$3&gt;=EOMONTH($X46,-1)+1,$Y46,TRUE,0)</f>
        <v>0</v>
      </c>
      <c r="BD46" s="202" cm="1">
        <f t="array" ref="BD46">_xlfn.IFS(BD$3&lt;$B$2,SUMPRODUCT(('PA Fees Actual'!$B$5:$B$882=$E46)*('PA Fees Actual'!$A$5:$A$882&gt;=BD$3)*('PA Fees Actual'!$A$5:$A$882&lt;=EOMONTH(BD$3,0))*'PA Fees Actual'!$D$5:$D$882),BD$3&gt;=EOMONTH($X46,-1)+1,$Y46,TRUE,0)</f>
        <v>0</v>
      </c>
      <c r="BE46" s="202" cm="1">
        <f t="array" ref="BE46">_xlfn.IFS(BE$3&lt;$B$2,SUMPRODUCT(('PA Fees Actual'!$B$5:$B$882=$E46)*('PA Fees Actual'!$A$5:$A$882&gt;=BE$3)*('PA Fees Actual'!$A$5:$A$882&lt;=EOMONTH(BE$3,0))*'PA Fees Actual'!$D$5:$D$882),BE$3&gt;=EOMONTH($X46,-1)+1,$Y46,TRUE,0)</f>
        <v>0</v>
      </c>
      <c r="BF46" s="202" cm="1">
        <f t="array" ref="BF46">_xlfn.IFS(BF$3&lt;$B$2,SUMPRODUCT(('PA Fees Actual'!$B$5:$B$882=$E46)*('PA Fees Actual'!$A$5:$A$882&gt;=BF$3)*('PA Fees Actual'!$A$5:$A$882&lt;=EOMONTH(BF$3,0))*'PA Fees Actual'!$D$5:$D$882),BF$3&gt;=EOMONTH($X46,-1)+1,$Y46,TRUE,0)</f>
        <v>0</v>
      </c>
      <c r="BG46" s="202" cm="1">
        <f t="array" ref="BG46">_xlfn.IFS(BG$3&lt;$B$2,SUMPRODUCT(('PA Fees Actual'!$B$5:$B$882=$E46)*('PA Fees Actual'!$A$5:$A$882&gt;=BG$3)*('PA Fees Actual'!$A$5:$A$882&lt;=EOMONTH(BG$3,0))*'PA Fees Actual'!$D$5:$D$882),BG$3&gt;=EOMONTH($X46,-1)+1,$Y46,TRUE,0)</f>
        <v>0</v>
      </c>
      <c r="BH46" s="202" cm="1">
        <f t="array" ref="BH46">_xlfn.IFS(BH$3&lt;$B$2,SUMPRODUCT(('PA Fees Actual'!$B$5:$B$882=$E46)*('PA Fees Actual'!$A$5:$A$882&gt;=BH$3)*('PA Fees Actual'!$A$5:$A$882&lt;=EOMONTH(BH$3,0))*'PA Fees Actual'!$D$5:$D$882),BH$3&gt;=EOMONTH($X46,-1)+1,$Y46,TRUE,0)</f>
        <v>0</v>
      </c>
      <c r="BI46" s="202" cm="1">
        <f t="array" ref="BI46">_xlfn.IFS(BI$3&lt;$B$2,SUMPRODUCT(('PA Fees Actual'!$B$5:$B$882=$E46)*('PA Fees Actual'!$A$5:$A$882&gt;=BI$3)*('PA Fees Actual'!$A$5:$A$882&lt;=EOMONTH(BI$3,0))*'PA Fees Actual'!$D$5:$D$882),BI$3&gt;=EOMONTH($X46,-1)+1,$Y46,TRUE,0)</f>
        <v>0</v>
      </c>
      <c r="BJ46" s="202" cm="1">
        <f t="array" ref="BJ46">_xlfn.IFS(BJ$3&lt;$B$2,SUMPRODUCT(('PA Fees Actual'!$B$5:$B$882=$E46)*('PA Fees Actual'!$A$5:$A$882&gt;=BJ$3)*('PA Fees Actual'!$A$5:$A$882&lt;=EOMONTH(BJ$3,0))*'PA Fees Actual'!$D$5:$D$882),BJ$3&gt;=EOMONTH($X46,-1)+1,$Y46,TRUE,0)</f>
        <v>0</v>
      </c>
      <c r="BK46" s="202" cm="1">
        <f t="array" ref="BK46">_xlfn.IFS(BK$3&lt;$B$2,SUMPRODUCT(('PA Fees Actual'!$B$5:$B$882=$E46)*('PA Fees Actual'!$A$5:$A$882&gt;=BK$3)*('PA Fees Actual'!$A$5:$A$882&lt;=EOMONTH(BK$3,0))*'PA Fees Actual'!$D$5:$D$882),BK$3&gt;=EOMONTH($X46,-1)+1,$Y46,TRUE,0)</f>
        <v>0</v>
      </c>
      <c r="BL46" s="202" cm="1">
        <f t="array" ref="BL46">_xlfn.IFS(BL$3&lt;$B$2,SUMPRODUCT(('PA Fees Actual'!$B$5:$B$882=$E46)*('PA Fees Actual'!$A$5:$A$882&gt;=BL$3)*('PA Fees Actual'!$A$5:$A$882&lt;=EOMONTH(BL$3,0))*'PA Fees Actual'!$D$5:$D$882),BL$3&gt;=EOMONTH($X46,-1)+1,$Y46,TRUE,0)</f>
        <v>0</v>
      </c>
      <c r="BM46" s="202" cm="1">
        <f t="array" ref="BM46">_xlfn.IFS(BM$3&lt;$B$2,SUMPRODUCT(('PA Fees Actual'!$B$5:$B$882=$E46)*('PA Fees Actual'!$A$5:$A$882&gt;=BM$3)*('PA Fees Actual'!$A$5:$A$882&lt;=EOMONTH(BM$3,0))*'PA Fees Actual'!$D$5:$D$882),BM$3&gt;=EOMONTH($X46,-1)+1,$Y46,TRUE,0)</f>
        <v>0</v>
      </c>
      <c r="BN46" s="202" cm="1">
        <f t="array" ref="BN46">_xlfn.IFS(BN$3&lt;$B$2,SUMPRODUCT(('PA Fees Actual'!$B$5:$B$882=$E46)*('PA Fees Actual'!$A$5:$A$882&gt;=BN$3)*('PA Fees Actual'!$A$5:$A$882&lt;=EOMONTH(BN$3,0))*'PA Fees Actual'!$D$5:$D$882),BN$3&gt;=EOMONTH($X46,-1)+1,$Y46,TRUE,0)</f>
        <v>0</v>
      </c>
      <c r="BO46" s="202" cm="1">
        <f t="array" ref="BO46">_xlfn.IFS(BO$3&lt;$B$2,SUMPRODUCT(('PA Fees Actual'!$B$5:$B$882=$E46)*('PA Fees Actual'!$A$5:$A$882&gt;=BO$3)*('PA Fees Actual'!$A$5:$A$882&lt;=EOMONTH(BO$3,0))*'PA Fees Actual'!$D$5:$D$882),BO$3&gt;=EOMONTH($X46,-1)+1,$Y46,TRUE,0)</f>
        <v>0</v>
      </c>
      <c r="BP46" s="202" cm="1">
        <f t="array" ref="BP46">_xlfn.IFS(BP$3&lt;$B$2,SUMPRODUCT(('PA Fees Actual'!$B$5:$B$882=$E46)*('PA Fees Actual'!$A$5:$A$882&gt;=BP$3)*('PA Fees Actual'!$A$5:$A$882&lt;=EOMONTH(BP$3,0))*'PA Fees Actual'!$D$5:$D$882),BP$3&gt;=EOMONTH($X46,-1)+1,$Y46,TRUE,0)</f>
        <v>0</v>
      </c>
      <c r="BQ46" s="202" cm="1">
        <f t="array" ref="BQ46">_xlfn.IFS(BQ$3&lt;$B$2,SUMPRODUCT(('PA Fees Actual'!$B$5:$B$882=$E46)*('PA Fees Actual'!$A$5:$A$882&gt;=BQ$3)*('PA Fees Actual'!$A$5:$A$882&lt;=EOMONTH(BQ$3,0))*'PA Fees Actual'!$D$5:$D$882),BQ$3&gt;=EOMONTH($X46,-1)+1,$Y46,TRUE,0)</f>
        <v>0</v>
      </c>
      <c r="BR46" s="202" cm="1">
        <f t="array" ref="BR46">_xlfn.IFS(BR$3&lt;$B$2,SUMPRODUCT(('PA Fees Actual'!$B$5:$B$882=$E46)*('PA Fees Actual'!$A$5:$A$882&gt;=BR$3)*('PA Fees Actual'!$A$5:$A$882&lt;=EOMONTH(BR$3,0))*'PA Fees Actual'!$D$5:$D$882),BR$3&gt;=EOMONTH($X46,-1)+1,$Y46,TRUE,0)</f>
        <v>0</v>
      </c>
      <c r="BS46" s="202" cm="1">
        <f t="array" ref="BS46">_xlfn.IFS(BS$3&lt;$B$2,SUMPRODUCT(('PA Fees Actual'!$B$5:$B$882=$E46)*('PA Fees Actual'!$A$5:$A$882&gt;=BS$3)*('PA Fees Actual'!$A$5:$A$882&lt;=EOMONTH(BS$3,0))*'PA Fees Actual'!$D$5:$D$882),BS$3&gt;=EOMONTH($X46,-1)+1,$Y46,TRUE,0)</f>
        <v>0</v>
      </c>
      <c r="BT46" s="202" cm="1">
        <f t="array" ref="BT46">_xlfn.IFS(BT$3&lt;$B$2,SUMPRODUCT(('PA Fees Actual'!$B$5:$B$882=$E46)*('PA Fees Actual'!$A$5:$A$882&gt;=BT$3)*('PA Fees Actual'!$A$5:$A$882&lt;=EOMONTH(BT$3,0))*'PA Fees Actual'!$D$5:$D$882),BT$3&gt;=EOMONTH($X46,-1)+1,$Y46,TRUE,0)</f>
        <v>0</v>
      </c>
      <c r="BU46" s="202" cm="1">
        <f t="array" ref="BU46">_xlfn.IFS(BU$3&lt;$B$2,SUMPRODUCT(('PA Fees Actual'!$B$5:$B$882=$E46)*('PA Fees Actual'!$A$5:$A$882&gt;=BU$3)*('PA Fees Actual'!$A$5:$A$882&lt;=EOMONTH(BU$3,0))*'PA Fees Actual'!$D$5:$D$882),BU$3&gt;=EOMONTH($X46,-1)+1,$Y46,TRUE,0)</f>
        <v>0</v>
      </c>
      <c r="BV46" s="202" cm="1">
        <f t="array" ref="BV46">_xlfn.IFS(BV$3&lt;$B$2,SUMPRODUCT(('PA Fees Actual'!$B$5:$B$882=$E46)*('PA Fees Actual'!$A$5:$A$882&gt;=BV$3)*('PA Fees Actual'!$A$5:$A$882&lt;=EOMONTH(BV$3,0))*'PA Fees Actual'!$D$5:$D$882),BV$3&gt;=EOMONTH($X46,-1)+1,$Y46,TRUE,0)</f>
        <v>0</v>
      </c>
      <c r="BW46" s="202" cm="1">
        <f t="array" ref="BW46">_xlfn.IFS(BW$3&lt;$B$2,SUMPRODUCT(('PA Fees Actual'!$B$5:$B$882=$E46)*('PA Fees Actual'!$A$5:$A$882&gt;=BW$3)*('PA Fees Actual'!$A$5:$A$882&lt;=EOMONTH(BW$3,0))*'PA Fees Actual'!$D$5:$D$882),BW$3&gt;=EOMONTH($X46,-1)+1,$Y46,TRUE,0)</f>
        <v>0</v>
      </c>
      <c r="BX46" s="202" cm="1">
        <f t="array" ref="BX46">_xlfn.IFS(BX$3&lt;$B$2,SUMPRODUCT(('PA Fees Actual'!$B$5:$B$882=$E46)*('PA Fees Actual'!$A$5:$A$882&gt;=BX$3)*('PA Fees Actual'!$A$5:$A$882&lt;=EOMONTH(BX$3,0))*'PA Fees Actual'!$D$5:$D$882),BX$3&gt;=EOMONTH($X46,-1)+1,$Y46,TRUE,0)</f>
        <v>0</v>
      </c>
      <c r="BY46" s="202" cm="1">
        <f t="array" ref="BY46">_xlfn.IFS(BY$3&lt;$B$2,SUMPRODUCT(('PA Fees Actual'!$B$5:$B$882=$E46)*('PA Fees Actual'!$A$5:$A$882&gt;=BY$3)*('PA Fees Actual'!$A$5:$A$882&lt;=EOMONTH(BY$3,0))*'PA Fees Actual'!$D$5:$D$882),BY$3&gt;=EOMONTH($X46,-1)+1,$Y46,TRUE,0)</f>
        <v>0</v>
      </c>
      <c r="BZ46" s="202" cm="1">
        <f t="array" ref="BZ46">_xlfn.IFS(BZ$3&lt;$B$2,SUMPRODUCT(('PA Fees Actual'!$B$5:$B$882=$E46)*('PA Fees Actual'!$A$5:$A$882&gt;=BZ$3)*('PA Fees Actual'!$A$5:$A$882&lt;=EOMONTH(BZ$3,0))*'PA Fees Actual'!$D$5:$D$882),BZ$3&gt;=EOMONTH($X46,-1)+1,$Y46,TRUE,0)</f>
        <v>0</v>
      </c>
      <c r="CA46" s="202" cm="1">
        <f t="array" ref="CA46">_xlfn.IFS(CA$3&lt;$B$2,SUMPRODUCT(('PA Fees Actual'!$B$5:$B$882=$E46)*('PA Fees Actual'!$A$5:$A$882&gt;=CA$3)*('PA Fees Actual'!$A$5:$A$882&lt;=EOMONTH(CA$3,0))*'PA Fees Actual'!$D$5:$D$882),CA$3&gt;=EOMONTH($X46,-1)+1,$Y46,TRUE,0)</f>
        <v>0</v>
      </c>
      <c r="CB46" s="202" cm="1">
        <f t="array" ref="CB46">_xlfn.IFS(CB$3&lt;$B$2,SUMPRODUCT(('PA Fees Actual'!$B$5:$B$749=$E46)*('PA Fees Actual'!$A$5:$A$749&gt;=CB$3)*('PA Fees Actual'!$A$5:$A$749&lt;=EOMONTH(CB$3,0))*'PA Fees Actual'!$D$5:$D$749),CB$3&gt;=EOMONTH($X46,-1)+1,$Y46,TRUE,0)</f>
        <v>0</v>
      </c>
      <c r="CC46" s="202" cm="1">
        <f t="array" ref="CC46">_xlfn.IFS(CC$3&lt;$B$2,SUMPRODUCT(('PA Fees Actual'!$B$5:$B$749=$E46)*('PA Fees Actual'!$A$5:$A$749&gt;=CC$3)*('PA Fees Actual'!$A$5:$A$749&lt;=EOMONTH(CC$3,0))*'PA Fees Actual'!$D$5:$D$749),CC$3&gt;=EOMONTH($X46,-1)+1,$Y46,TRUE,0)</f>
        <v>0</v>
      </c>
      <c r="CD46" s="202" cm="1">
        <f t="array" ref="CD46">_xlfn.IFS(CD$3&lt;$B$2,SUMPRODUCT(('PA Fees Actual'!$B$5:$B$749=$E46)*('PA Fees Actual'!$A$5:$A$749&gt;=CD$3)*('PA Fees Actual'!$A$5:$A$749&lt;=EOMONTH(CD$3,0))*'PA Fees Actual'!$D$5:$D$749),CD$3&gt;=EOMONTH($X46,-1)+1,$Y46,TRUE,0)</f>
        <v>0</v>
      </c>
      <c r="CE46" s="202" cm="1">
        <f t="array" ref="CE46">_xlfn.IFS(CE$3&lt;$B$2,SUMPRODUCT(('PA Fees Actual'!$B$5:$B$749=$E46)*('PA Fees Actual'!$A$5:$A$749&gt;=CE$3)*('PA Fees Actual'!$A$5:$A$749&lt;=EOMONTH(CE$3,0))*'PA Fees Actual'!$D$5:$D$749),CE$3&gt;=EOMONTH($X46,-1)+1,$Y46,TRUE,0)</f>
        <v>0</v>
      </c>
      <c r="CF46" s="202" cm="1">
        <f t="array" ref="CF46">_xlfn.IFS(CF$3&lt;$B$2,SUMPRODUCT(('PA Fees Actual'!$B$5:$B$749=$E46)*('PA Fees Actual'!$A$5:$A$749&gt;=CF$3)*('PA Fees Actual'!$A$5:$A$749&lt;=EOMONTH(CF$3,0))*'PA Fees Actual'!$D$5:$D$749),CF$3&gt;=EOMONTH($X46,-1)+1,$Y46,TRUE,0)</f>
        <v>0</v>
      </c>
      <c r="CG46" s="202" cm="1">
        <f t="array" ref="CG46">_xlfn.IFS(CG$3&lt;$B$2,SUMPRODUCT(('PA Fees Actual'!$B$5:$B$749=$E46)*('PA Fees Actual'!$A$5:$A$749&gt;=CG$3)*('PA Fees Actual'!$A$5:$A$749&lt;=EOMONTH(CG$3,0))*'PA Fees Actual'!$D$5:$D$749),CG$3&gt;=EOMONTH($X46,-1)+1,$Y46,TRUE,0)</f>
        <v>0</v>
      </c>
      <c r="CI46" s="202" cm="1">
        <f t="array" ref="CI46">_xlfn.IFS(CI$3&lt;=YEAR($B$2),SUMPRODUCT(($E$4:$E$79=$E46)*($Z$2:$CG$2=CI$3)*($Z$2:$CG$2&lt;CJ$3)*$Z$4:$CG$79),CI$3&lt;YEAR($X46),0,CI$3=YEAR($X46),DATEDIF($X46,DATE(CI$3,12,31),"m")*$Y46,AND(CI$3&gt;YEAR($X46),CI$3-YEAR($X46)&lt;20),$Y46*12,CI$3-YEAR($X46)=20,DATEDIF(DATE(YEAR($X46),1,1),$X46,"m")*$Y46,CI$3-YEAR($X46)&gt;20,0)</f>
        <v>0</v>
      </c>
      <c r="CJ46" s="202" cm="1">
        <f t="array" ref="CJ46">_xlfn.IFS(CJ$3&lt;=YEAR($B$2),SUMPRODUCT(($E$4:$E$79=$E46)*($Z$2:$CG$2=CJ$3)*($Z$2:$CG$2&lt;CK$3)*$Z$4:$CG$79),CJ$3&lt;YEAR($X46),0,CJ$3=YEAR($X46),DATEDIF($X46,DATE(CJ$3,12,31),"m")*$Y46,AND(CJ$3&gt;YEAR($X46),CJ$3-YEAR($X46)&lt;20),$Y46*12,CJ$3-YEAR($X46)=20,DATEDIF(DATE(YEAR($X46),1,1),$X46,"m")*$Y46,CJ$3-YEAR($X46)&gt;20,0)</f>
        <v>0</v>
      </c>
      <c r="CK46" s="202" cm="1">
        <f t="array" ref="CK46">_xlfn.IFS(CK$3&lt;=YEAR($B$2),SUMPRODUCT(($E$4:$E$79=$E46)*($Z$2:$CG$2=CK$3)*($Z$2:$CG$2&lt;CL$3)*$Z$4:$CG$79),CK$3&lt;YEAR($X46),0,CK$3=YEAR($X46),DATEDIF($X46,DATE(CK$3,12,31),"m")*$Y46,AND(CK$3&gt;YEAR($X46),CK$3-YEAR($X46)&lt;20),$Y46*12,CK$3-YEAR($X46)=20,DATEDIF(DATE(YEAR($X46),1,1),$X46,"m")*$Y46,CK$3-YEAR($X46)&gt;20,0)</f>
        <v>0</v>
      </c>
      <c r="CL46" s="202" cm="1">
        <f t="array" ref="CL46">_xlfn.IFS(CL$3&lt;=YEAR($B$2),SUMPRODUCT(($E$4:$E$79=$E46)*($Z$2:$CG$2=CL$3)*($Z$2:$CG$2&lt;CM$3)*$Z$4:$CG$79),CL$3&lt;YEAR($X46),0,CL$3=YEAR($X46),DATEDIF($X46,DATE(CL$3,12,31),"m")*$Y46,AND(CL$3&gt;YEAR($X46),CL$3-YEAR($X46)&lt;20),$Y46*12,CL$3-YEAR($X46)=20,DATEDIF(DATE(YEAR($X46),1,1),$X46,"m")*$Y46,CL$3-YEAR($X46)&gt;20,0)</f>
        <v>0</v>
      </c>
      <c r="CM46" s="202" cm="1">
        <f t="array" ref="CM46">_xlfn.IFS(CM$3&lt;=YEAR($B$2),SUMPRODUCT(($E$4:$E$79=$E46)*($Z$2:$CG$2=CM$3)*($Z$2:$CG$2&lt;CN$3)*$Z$4:$CG$79),CM$3&lt;YEAR($X46),0,CM$3=YEAR($X46),DATEDIF($X46,DATE(CM$3,12,31),"m")*$Y46,AND(CM$3&gt;YEAR($X46),CM$3-YEAR($X46)&lt;20),$Y46*12,CM$3-YEAR($X46)=20,DATEDIF(DATE(YEAR($X46),1,1),$X46,"m")*$Y46,CM$3-YEAR($X46)&gt;20,0)</f>
        <v>0</v>
      </c>
      <c r="CN46" s="202" cm="1">
        <f t="array" ref="CN46">_xlfn.IFS(CN$3&lt;=YEAR($B$2),SUMPRODUCT(($E$4:$E$79=$E46)*($Z$2:$CG$2=CN$3)*($Z$2:$CG$2&lt;CO$3)*$Z$4:$CG$79),CN$3&lt;YEAR($X46),0,CN$3=YEAR($X46),DATEDIF($X46,DATE(CN$3,12,31),"m")*$Y46,AND(CN$3&gt;YEAR($X46),CN$3-YEAR($X46)&lt;20),$Y46*12,CN$3-YEAR($X46)=20,DATEDIF(DATE(YEAR($X46),1,1),$X46,"m")*$Y46,CN$3-YEAR($X46)&gt;20,0)</f>
        <v>0</v>
      </c>
      <c r="CO46" s="202" cm="1">
        <f t="array" ref="CO46">_xlfn.IFS(CO$3&lt;=YEAR($B$2),SUMPRODUCT(($E$4:$E$79=$E46)*($Z$2:$CG$2=CO$3)*($Z$2:$CG$2&lt;CP$3)*$Z$4:$CG$79),CO$3&lt;YEAR($X46),0,CO$3=YEAR($X46),DATEDIF($X46,DATE(CO$3,12,31),"m")*$Y46,AND(CO$3&gt;YEAR($X46),CO$3-YEAR($X46)&lt;20),$Y46*12,CO$3-YEAR($X46)=20,DATEDIF(DATE(YEAR($X46),1,1),$X46,"m")*$Y46,CO$3-YEAR($X46)&gt;20,0)</f>
        <v>10837.5</v>
      </c>
      <c r="CP46" s="202" cm="1">
        <f t="array" ref="CP46">_xlfn.IFS(CP$3&lt;=YEAR($B$2),SUMPRODUCT(($E$4:$E$79=$E46)*($Z$2:$CG$2=CP$3)*($Z$2:$CG$2&lt;CQ$3)*$Z$4:$CG$79),CP$3&lt;YEAR($X46),0,CP$3=YEAR($X46),DATEDIF($X46,DATE(CP$3,12,31),"m")*$Y46,AND(CP$3&gt;YEAR($X46),CP$3-YEAR($X46)&lt;20),$Y46*12,CP$3-YEAR($X46)=20,DATEDIF(DATE(YEAR($X46),1,1),$X46,"m")*$Y46,CP$3-YEAR($X46)&gt;20,0)</f>
        <v>13005</v>
      </c>
      <c r="CQ46" s="202" cm="1">
        <f t="array" ref="CQ46">_xlfn.IFS(CQ$3&lt;=YEAR($B$2),SUMPRODUCT(($E$4:$E$79=$E46)*($Z$2:$CG$2=CQ$3)*($Z$2:$CG$2&lt;CR$3)*$Z$4:$CG$79),CQ$3&lt;YEAR($X46),0,CQ$3=YEAR($X46),DATEDIF($X46,DATE(CQ$3,12,31),"m")*$Y46,AND(CQ$3&gt;YEAR($X46),CQ$3-YEAR($X46)&lt;20),$Y46*12,CQ$3-YEAR($X46)=20,DATEDIF(DATE(YEAR($X46),1,1),$X46,"m")*$Y46,CQ$3-YEAR($X46)&gt;20,0)</f>
        <v>13005</v>
      </c>
      <c r="CR46" s="202" cm="1">
        <f t="array" ref="CR46">_xlfn.IFS(CR$3&lt;=YEAR($B$2),SUMPRODUCT(($E$4:$E$79=$E46)*($Z$2:$CG$2=CR$3)*($Z$2:$CG$2&lt;CS$3)*$Z$4:$CG$79),CR$3&lt;YEAR($X46),0,CR$3=YEAR($X46),DATEDIF($X46,DATE(CR$3,12,31),"m")*$Y46,AND(CR$3&gt;YEAR($X46),CR$3-YEAR($X46)&lt;20),$Y46*12,CR$3-YEAR($X46)=20,DATEDIF(DATE(YEAR($X46),1,1),$X46,"m")*$Y46,CR$3-YEAR($X46)&gt;20,0)</f>
        <v>13005</v>
      </c>
      <c r="CS46" s="202" cm="1">
        <f t="array" ref="CS46">_xlfn.IFS(CS$3&lt;=YEAR($B$2),SUMPRODUCT(($E$4:$E$79=$E46)*($Z$2:$CG$2=CS$3)*($Z$2:$CG$2&lt;CT$3)*$Z$4:$CG$79),CS$3&lt;YEAR($X46),0,CS$3=YEAR($X46),DATEDIF($X46,DATE(CS$3,12,31),"m")*$Y46,AND(CS$3&gt;YEAR($X46),CS$3-YEAR($X46)&lt;20),$Y46*12,CS$3-YEAR($X46)=20,DATEDIF(DATE(YEAR($X46),1,1),$X46,"m")*$Y46,CS$3-YEAR($X46)&gt;20,0)</f>
        <v>13005</v>
      </c>
      <c r="CT46" s="202" cm="1">
        <f t="array" ref="CT46">_xlfn.IFS(CT$3&lt;=YEAR($B$2),SUMPRODUCT(($E$4:$E$79=$E46)*($Z$2:$CG$2=CT$3)*($Z$2:$CG$2&lt;CU$3)*$Z$4:$CG$79),CT$3&lt;YEAR($X46),0,CT$3=YEAR($X46),DATEDIF($X46,DATE(CT$3,12,31),"m")*$Y46,AND(CT$3&gt;YEAR($X46),CT$3-YEAR($X46)&lt;20),$Y46*12,CT$3-YEAR($X46)=20,DATEDIF(DATE(YEAR($X46),1,1),$X46,"m")*$Y46,CT$3-YEAR($X46)&gt;20,0)</f>
        <v>13005</v>
      </c>
      <c r="CU46" s="202" cm="1">
        <f t="array" ref="CU46">_xlfn.IFS(CU$3&lt;=YEAR($B$2),SUMPRODUCT(($E$4:$E$79=$E46)*($Z$2:$CG$2=CU$3)*($Z$2:$CG$2&lt;CV$3)*$Z$4:$CG$79),CU$3&lt;YEAR($X46),0,CU$3=YEAR($X46),DATEDIF($X46,DATE(CU$3,12,31),"m")*$Y46,AND(CU$3&gt;YEAR($X46),CU$3-YEAR($X46)&lt;20),$Y46*12,CU$3-YEAR($X46)=20,DATEDIF(DATE(YEAR($X46),1,1),$X46,"m")*$Y46,CU$3-YEAR($X46)&gt;20,0)</f>
        <v>13005</v>
      </c>
      <c r="CV46" s="202" cm="1">
        <f t="array" ref="CV46">_xlfn.IFS(CV$3&lt;=YEAR($B$2),SUMPRODUCT(($E$4:$E$79=$E46)*($Z$2:$CG$2=CV$3)*($Z$2:$CG$2&lt;CW$3)*$Z$4:$CG$79),CV$3&lt;YEAR($X46),0,CV$3=YEAR($X46),DATEDIF($X46,DATE(CV$3,12,31),"m")*$Y46,AND(CV$3&gt;YEAR($X46),CV$3-YEAR($X46)&lt;20),$Y46*12,CV$3-YEAR($X46)=20,DATEDIF(DATE(YEAR($X46),1,1),$X46,"m")*$Y46,CV$3-YEAR($X46)&gt;20,0)</f>
        <v>13005</v>
      </c>
      <c r="CW46" s="202" cm="1">
        <f t="array" ref="CW46">_xlfn.IFS(CW$3&lt;=YEAR($B$2),SUMPRODUCT(($E$4:$E$79=$E46)*($Z$2:$CG$2=CW$3)*($Z$2:$CG$2&lt;CX$3)*$Z$4:$CG$79),CW$3&lt;YEAR($X46),0,CW$3=YEAR($X46),DATEDIF($X46,DATE(CW$3,12,31),"m")*$Y46,AND(CW$3&gt;YEAR($X46),CW$3-YEAR($X46)&lt;20),$Y46*12,CW$3-YEAR($X46)=20,DATEDIF(DATE(YEAR($X46),1,1),$X46,"m")*$Y46,CW$3-YEAR($X46)&gt;20,0)</f>
        <v>13005</v>
      </c>
      <c r="CX46" s="202" cm="1">
        <f t="array" ref="CX46">_xlfn.IFS(CX$3&lt;=YEAR($B$2),SUMPRODUCT(($E$4:$E$79=$E46)*($Z$2:$CG$2=CX$3)*($Z$2:$CG$2&lt;CY$3)*$Z$4:$CG$79),CX$3&lt;YEAR($X46),0,CX$3=YEAR($X46),DATEDIF($X46,DATE(CX$3,12,31),"m")*$Y46,AND(CX$3&gt;YEAR($X46),CX$3-YEAR($X46)&lt;20),$Y46*12,CX$3-YEAR($X46)=20,DATEDIF(DATE(YEAR($X46),1,1),$X46,"m")*$Y46,CX$3-YEAR($X46)&gt;20,0)</f>
        <v>13005</v>
      </c>
      <c r="CY46" s="202" cm="1">
        <f t="array" ref="CY46">_xlfn.IFS(CY$3&lt;=YEAR($B$2),SUMPRODUCT(($E$4:$E$79=$E46)*($Z$2:$CG$2=CY$3)*($Z$2:$CG$2&lt;CZ$3)*$Z$4:$CG$79),CY$3&lt;YEAR($X46),0,CY$3=YEAR($X46),DATEDIF($X46,DATE(CY$3,12,31),"m")*$Y46,AND(CY$3&gt;YEAR($X46),CY$3-YEAR($X46)&lt;20),$Y46*12,CY$3-YEAR($X46)=20,DATEDIF(DATE(YEAR($X46),1,1),$X46,"m")*$Y46,CY$3-YEAR($X46)&gt;20,0)</f>
        <v>13005</v>
      </c>
      <c r="CZ46" s="202" cm="1">
        <f t="array" ref="CZ46">_xlfn.IFS(CZ$3&lt;=YEAR($B$2),SUMPRODUCT(($E$4:$E$79=$E46)*($Z$2:$CG$2=CZ$3)*($Z$2:$CG$2&lt;DA$3)*$Z$4:$CG$79),CZ$3&lt;YEAR($X46),0,CZ$3=YEAR($X46),DATEDIF($X46,DATE(CZ$3,12,31),"m")*$Y46,AND(CZ$3&gt;YEAR($X46),CZ$3-YEAR($X46)&lt;20),$Y46*12,CZ$3-YEAR($X46)=20,DATEDIF(DATE(YEAR($X46),1,1),$X46,"m")*$Y46,CZ$3-YEAR($X46)&gt;20,0)</f>
        <v>13005</v>
      </c>
      <c r="DA46" s="202" cm="1">
        <f t="array" ref="DA46">_xlfn.IFS(DA$3&lt;=YEAR($B$2),SUMPRODUCT(($E$4:$E$79=$E46)*($Z$2:$CG$2=DA$3)*($Z$2:$CG$2&lt;DB$3)*$Z$4:$CG$79),DA$3&lt;YEAR($X46),0,DA$3=YEAR($X46),DATEDIF($X46,DATE(DA$3,12,31),"m")*$Y46,AND(DA$3&gt;YEAR($X46),DA$3-YEAR($X46)&lt;20),$Y46*12,DA$3-YEAR($X46)=20,DATEDIF(DATE(YEAR($X46),1,1),$X46,"m")*$Y46,DA$3-YEAR($X46)&gt;20,0)</f>
        <v>13005</v>
      </c>
      <c r="DB46" s="202" cm="1">
        <f t="array" ref="DB46">_xlfn.IFS(DB$3&lt;=YEAR($B$2),SUMPRODUCT(($E$4:$E$79=$E46)*($Z$2:$CG$2=DB$3)*($Z$2:$CG$2&lt;DC$3)*$Z$4:$CG$79),DB$3&lt;YEAR($X46),0,DB$3=YEAR($X46),DATEDIF($X46,DATE(DB$3,12,31),"m")*$Y46,AND(DB$3&gt;YEAR($X46),DB$3-YEAR($X46)&lt;20),$Y46*12,DB$3-YEAR($X46)=20,DATEDIF(DATE(YEAR($X46),1,1),$X46,"m")*$Y46,DB$3-YEAR($X46)&gt;20,0)</f>
        <v>13005</v>
      </c>
      <c r="DC46" s="202" cm="1">
        <f t="array" ref="DC46">_xlfn.IFS(DC$3&lt;=YEAR($B$2),SUMPRODUCT(($E$4:$E$79=$E46)*($Z$2:$CG$2=DC$3)*($Z$2:$CG$2&lt;DD$3)*$Z$4:$CG$79),DC$3&lt;YEAR($X46),0,DC$3=YEAR($X46),DATEDIF($X46,DATE(DC$3,12,31),"m")*$Y46,AND(DC$3&gt;YEAR($X46),DC$3-YEAR($X46)&lt;20),$Y46*12,DC$3-YEAR($X46)=20,DATEDIF(DATE(YEAR($X46),1,1),$X46,"m")*$Y46,DC$3-YEAR($X46)&gt;20,0)</f>
        <v>13005</v>
      </c>
      <c r="DD46" s="202" cm="1">
        <f t="array" ref="DD46">_xlfn.IFS(DD$3&lt;=YEAR($B$2),SUMPRODUCT(($E$4:$E$79=$E46)*($Z$2:$CG$2=DD$3)*($Z$2:$CG$2&lt;DE$3)*$Z$4:$CG$79),DD$3&lt;YEAR($X46),0,DD$3=YEAR($X46),DATEDIF($X46,DATE(DD$3,12,31),"m")*$Y46,AND(DD$3&gt;YEAR($X46),DD$3-YEAR($X46)&lt;20),$Y46*12,DD$3-YEAR($X46)=20,DATEDIF(DATE(YEAR($X46),1,1),$X46,"m")*$Y46,DD$3-YEAR($X46)&gt;20,0)</f>
        <v>13005</v>
      </c>
      <c r="DE46" s="202" cm="1">
        <f t="array" ref="DE46">_xlfn.IFS(DE$3&lt;=YEAR($B$2),SUMPRODUCT(($E$4:$E$79=$E46)*($Z$2:$CG$2=DE$3)*($Z$2:$CG$2&lt;DF$3)*$Z$4:$CG$79),DE$3&lt;YEAR($X46),0,DE$3=YEAR($X46),DATEDIF($X46,DATE(DE$3,12,31),"m")*$Y46,AND(DE$3&gt;YEAR($X46),DE$3-YEAR($X46)&lt;20),$Y46*12,DE$3-YEAR($X46)=20,DATEDIF(DATE(YEAR($X46),1,1),$X46,"m")*$Y46,DE$3-YEAR($X46)&gt;20,0)</f>
        <v>13005</v>
      </c>
      <c r="DF46" s="202" cm="1">
        <f t="array" ref="DF46">_xlfn.IFS(DF$3&lt;=YEAR($B$2),SUMPRODUCT(($E$4:$E$79=$E46)*($Z$2:$CG$2=DF$3)*($Z$2:$CG$2&lt;DG$3)*$Z$4:$CG$79),DF$3&lt;YEAR($X46),0,DF$3=YEAR($X46),DATEDIF($X46,DATE(DF$3,12,31),"m")*$Y46,AND(DF$3&gt;YEAR($X46),DF$3-YEAR($X46)&lt;20),$Y46*12,DF$3-YEAR($X46)=20,DATEDIF(DATE(YEAR($X46),1,1),$X46,"m")*$Y46,DF$3-YEAR($X46)&gt;20,0)</f>
        <v>13005</v>
      </c>
      <c r="DG46" s="202" cm="1">
        <f t="array" ref="DG46">_xlfn.IFS(DG$3&lt;=YEAR($B$2),SUMPRODUCT(($E$4:$E$79=$E46)*($Z$2:$CG$2=DG$3)*($Z$2:$CG$2&lt;DH$3)*$Z$4:$CG$79),DG$3&lt;YEAR($X46),0,DG$3=YEAR($X46),DATEDIF($X46,DATE(DG$3,12,31),"m")*$Y46,AND(DG$3&gt;YEAR($X46),DG$3-YEAR($X46)&lt;20),$Y46*12,DG$3-YEAR($X46)=20,DATEDIF(DATE(YEAR($X46),1,1),$X46,"m")*$Y46,DG$3-YEAR($X46)&gt;20,0)</f>
        <v>13005</v>
      </c>
      <c r="DH46" s="202" cm="1">
        <f t="array" ref="DH46">_xlfn.IFS(DH$3&lt;=YEAR($B$2),SUMPRODUCT(($E$4:$E$79=$E46)*($Z$2:$CG$2=DH$3)*($Z$2:$CG$2&lt;DI$3)*$Z$4:$CG$79),DH$3&lt;YEAR($X46),0,DH$3=YEAR($X46),DATEDIF($X46,DATE(DH$3,12,31),"m")*$Y46,AND(DH$3&gt;YEAR($X46),DH$3-YEAR($X46)&lt;20),$Y46*12,DH$3-YEAR($X46)=20,DATEDIF(DATE(YEAR($X46),1,1),$X46,"m")*$Y46,DH$3-YEAR($X46)&gt;20,0)</f>
        <v>13005</v>
      </c>
      <c r="DI46" s="202" cm="1">
        <f t="array" ref="DI46">_xlfn.IFS(DI$3&lt;=YEAR($B$2),SUMPRODUCT(($E$4:$E$79=$E46)*($Z$2:$CG$2=DI$3)*($Z$2:$CG$2&lt;DJ$3)*$Z$4:$CG$79),DI$3&lt;YEAR($X46),0,DI$3=YEAR($X46),DATEDIF($X46,DATE(DI$3,12,31),"m")*$Y46,AND(DI$3&gt;YEAR($X46),DI$3-YEAR($X46)&lt;20),$Y46*12,DI$3-YEAR($X46)=20,DATEDIF(DATE(YEAR($X46),1,1),$X46,"m")*$Y46,DI$3-YEAR($X46)&gt;20,0)</f>
        <v>1083.75</v>
      </c>
      <c r="DJ46" s="202" cm="1">
        <f t="array" ref="DJ46">_xlfn.IFS(DJ$3&lt;=YEAR($B$2),SUMPRODUCT(($E$4:$E$79=$E46)*($Z$2:$CG$2=DJ$3)*($Z$2:$CG$2&lt;DK$3)*$Z$4:$CG$79),DJ$3&lt;YEAR($X46),0,DJ$3=YEAR($X46),DATEDIF($X46,DATE(DJ$3,12,31),"m")*$Y46,AND(DJ$3&gt;YEAR($X46),DJ$3-YEAR($X46)&lt;20),$Y46*12,DJ$3-YEAR($X46)=20,DATEDIF(DATE(YEAR($X46),1,1),$X46,"m")*$Y46,DJ$3-YEAR($X46)&gt;20,0)</f>
        <v>0</v>
      </c>
      <c r="DK46" s="202" cm="1">
        <f t="array" ref="DK46">_xlfn.IFS(DK$3&lt;=YEAR($B$2),SUMPRODUCT(($E$4:$E$79=$E46)*($Z$2:$CG$2=DK$3)*($Z$2:$CG$2&lt;DL$3)*$Z$4:$CG$79),DK$3&lt;YEAR($X46),0,DK$3=YEAR($X46),DATEDIF($X46,DATE(DK$3,12,31),"m")*$Y46,AND(DK$3&gt;YEAR($X46),DK$3-YEAR($X46)&lt;20),$Y46*12,DK$3-YEAR($X46)=20,DATEDIF(DATE(YEAR($X46),1,1),$X46,"m")*$Y46,DK$3-YEAR($X46)&gt;20,0)</f>
        <v>0</v>
      </c>
      <c r="DL46" s="202" cm="1">
        <f t="array" ref="DL46">_xlfn.IFS(DL$3&lt;=YEAR($B$2),SUMPRODUCT(($E$4:$E$79=$E46)*($Z$2:$CG$2=DL$3)*($Z$2:$CG$2&lt;DM$3)*$Z$4:$CG$79),DL$3&lt;YEAR($X46),0,DL$3=YEAR($X46),DATEDIF($X46,DATE(DL$3,12,31),"m")*$Y46,AND(DL$3&gt;YEAR($X46),DL$3-YEAR($X46)&lt;20),$Y46*12,DL$3-YEAR($X46)=20,DATEDIF(DATE(YEAR($X46),1,1),$X46,"m")*$Y46,DL$3-YEAR($X46)&gt;20,0)</f>
        <v>0</v>
      </c>
    </row>
    <row r="47" spans="1:123">
      <c r="A47" s="155" t="str" cm="1">
        <f t="array" ref="A47">INDEX('Monthly Report July 2025'!C:C,MATCH(E47,'Monthly Report July 2025'!E:E,0),0)</f>
        <v>OCS050</v>
      </c>
      <c r="B47" s="155" t="str" cm="1">
        <f t="array" ref="B47">_xlfn.IFS(LEFT(E47,3)="PGE","PGE",LEFT(E47,2)="PP","PAC",TRUE,"IP")</f>
        <v>PAC</v>
      </c>
      <c r="C47" s="155" t="str">
        <f>IF(ISNA(MATCH(E47,'Monthly Report July 2025'!E:E,0)),"Missing","Present")</f>
        <v>Present</v>
      </c>
      <c r="D47" s="155" t="str">
        <f>IF(ISNA(MATCH(E47,'Project Operational Timelines'!C:C,0))=TRUE,"Missing","Present")</f>
        <v>Present</v>
      </c>
      <c r="E47" s="155" t="s">
        <v>155</v>
      </c>
      <c r="F47" s="155" t="str" cm="1">
        <f t="array" ref="F47">INDEX('Monthly Report July 2025'!F:F,MATCH(E47,'Monthly Report July 2025'!E:E,),0)</f>
        <v>Canyonville Solar 1</v>
      </c>
      <c r="G47" s="155" t="str" cm="1">
        <f t="array" ref="G47">_xlfn.IFS(INDEX('Monthly Report July 2025'!O:O,MATCH(E47,'Monthly Report July 2025'!E:E,0),0)="Operational","Operational",INDEX('Monthly Report July 2025'!O:O,MATCH(E47,'Monthly Report July 2025'!E:E,0),0)="Certified","Certified",TRUE,"Pre-Certified")</f>
        <v>Pre-Certified</v>
      </c>
      <c r="H47" s="155" t="str" cm="1">
        <f t="array" ref="H47">INDEX('Monthly Report July 2025'!H:H,MATCH($E47,'Monthly Report July 2025'!$E:$E,0),0)</f>
        <v>Sulus</v>
      </c>
      <c r="I47" s="155" t="str" cm="1">
        <f t="array" ref="I47">INDEX('Monthly Report July 2025'!I:I,MATCH($E47,'Monthly Report July 2025'!$E:$E,0),0)</f>
        <v>SolRiver Capital</v>
      </c>
      <c r="J47" s="174" cm="1">
        <f t="array" ref="J47">INDEX('Monthly Report July 2025'!J:J,MATCH($E47,'Monthly Report July 2025'!$E:$E,0),0)</f>
        <v>2</v>
      </c>
      <c r="K47" s="174" t="str" cm="1">
        <f t="array" ref="K47">INDEX('Monthly Report July 2025'!K:K,MATCH($E47,'Monthly Report July 2025'!$E:$E,0),0)</f>
        <v>No</v>
      </c>
      <c r="L47" s="174" t="b" cm="1">
        <f t="array" ref="L47">INDEX('Monthly Report July 2025'!L:L,MATCH(E47,'Monthly Report July 2025'!E:E,0),0)=M47</f>
        <v>1</v>
      </c>
      <c r="M47" s="273" cm="1">
        <f t="array" ref="M47">INDEX('Monthly Report July 2025'!L:L,MATCH($E47,'Monthly Report July 2025'!$E:$E,0),0)</f>
        <v>1000</v>
      </c>
      <c r="N47" s="175" cm="1">
        <f t="array" ref="N47">INDEX('Monthly Report July 2025'!M:M,MATCH($E47,'Monthly Report July 2025'!$E:$E,0),0)</f>
        <v>44692</v>
      </c>
      <c r="O47" s="175" cm="1">
        <f t="array" ref="O47">_xlfn.IFS(G47="Operational","Operational",G47="Certified","Certified",TRUE,INDEX('Monthly Report July 2025'!O:O,MATCH(E47,'Monthly Report July 2025'!E:E,0),0))</f>
        <v>46199</v>
      </c>
      <c r="P47" s="175" t="b" cm="1">
        <f t="array" ref="P47">_xlfn.IFS(G47="Operational",O47="Operational",G47="Certified",O47="Certified",TRUE,G47="Pre-Certified")</f>
        <v>1</v>
      </c>
      <c r="Q47" s="175" t="str" cm="1">
        <f t="array" ref="Q47">IF(O47="Operational",INDEX('Monthly Report July 2025'!R:R,MATCH(E47,'Monthly Report July 2025'!E:E,0),0),"")</f>
        <v/>
      </c>
      <c r="R47" s="175" t="str" cm="1">
        <f t="array" ref="R47">INDEX('Monthly Report July 2025'!P:P,MATCH(E47,'Monthly Report July 2025'!E:E,0),0)</f>
        <v>Not Yet Certified</v>
      </c>
      <c r="S47" s="175" t="b">
        <f t="shared" si="28"/>
        <v>1</v>
      </c>
      <c r="T47" s="175" cm="1">
        <f t="array" ref="T47">INDEX('Monthly Report July 2025'!U:U,MATCH(E47,'Monthly Report July 2025'!E:E,0),0)</f>
        <v>46164</v>
      </c>
      <c r="U47" s="175" t="b">
        <f t="shared" si="6"/>
        <v>1</v>
      </c>
      <c r="V47" s="156">
        <f t="shared" si="29"/>
        <v>46199</v>
      </c>
      <c r="W47" s="156" cm="1">
        <f t="array" ref="W47">_xlfn.IFS(U47=TRUE,EDATE(O47,6),U47=FALSE,T47,O47="Operational",Q47,AND(O47="Certified",EDATE(R47,6)&gt;T47),EDATE(R47,6),TRUE,T47)</f>
        <v>46382</v>
      </c>
      <c r="X47" s="156">
        <f t="shared" si="30"/>
        <v>46444</v>
      </c>
      <c r="Y47" s="157">
        <f t="shared" si="31"/>
        <v>722.5</v>
      </c>
      <c r="Z47" s="202" cm="1">
        <f t="array" ref="Z47">_xlfn.IFS(Z$3&lt;$B$2,SUMPRODUCT(('PA Fees Actual'!$B$5:$B$882=$E47)*('PA Fees Actual'!$A$5:$A$882&gt;=Z$3)*('PA Fees Actual'!$A$5:$A$882&lt;=EOMONTH(Z$3,0))*'PA Fees Actual'!$D$5:$D$882),Z$3&gt;=EOMONTH($X47,-1)+1,$Y47,TRUE,0)</f>
        <v>0</v>
      </c>
      <c r="AA47" s="202" cm="1">
        <f t="array" ref="AA47">_xlfn.IFS(AA$3&lt;$B$2,SUMPRODUCT(('PA Fees Actual'!$B$5:$B$882=$E47)*('PA Fees Actual'!$A$5:$A$882&gt;=AA$3)*('PA Fees Actual'!$A$5:$A$882&lt;=EOMONTH(AA$3,0))*'PA Fees Actual'!$D$5:$D$882),AA$3&gt;=EOMONTH($X47,-1)+1,$Y47,TRUE,0)</f>
        <v>0</v>
      </c>
      <c r="AB47" s="202" cm="1">
        <f t="array" ref="AB47">_xlfn.IFS(AB$3&lt;$B$2,SUMPRODUCT(('PA Fees Actual'!$B$5:$B$882=$E47)*('PA Fees Actual'!$A$5:$A$882&gt;=AB$3)*('PA Fees Actual'!$A$5:$A$882&lt;=EOMONTH(AB$3,0))*'PA Fees Actual'!$D$5:$D$882),AB$3&gt;=EOMONTH($X47,-1)+1,$Y47,TRUE,0)</f>
        <v>0</v>
      </c>
      <c r="AC47" s="202" cm="1">
        <f t="array" ref="AC47">_xlfn.IFS(AC$3&lt;$B$2,SUMPRODUCT(('PA Fees Actual'!$B$5:$B$882=$E47)*('PA Fees Actual'!$A$5:$A$882&gt;=AC$3)*('PA Fees Actual'!$A$5:$A$882&lt;=EOMONTH(AC$3,0))*'PA Fees Actual'!$D$5:$D$882),AC$3&gt;=EOMONTH($X47,-1)+1,$Y47,TRUE,0)</f>
        <v>0</v>
      </c>
      <c r="AD47" s="202" cm="1">
        <f t="array" ref="AD47">_xlfn.IFS(AD$3&lt;$B$2,SUMPRODUCT(('PA Fees Actual'!$B$5:$B$882=$E47)*('PA Fees Actual'!$A$5:$A$882&gt;=AD$3)*('PA Fees Actual'!$A$5:$A$882&lt;=EOMONTH(AD$3,0))*'PA Fees Actual'!$D$5:$D$882),AD$3&gt;=EOMONTH($X47,-1)+1,$Y47,TRUE,0)</f>
        <v>0</v>
      </c>
      <c r="AE47" s="202" cm="1">
        <f t="array" ref="AE47">_xlfn.IFS(AE$3&lt;$B$2,SUMPRODUCT(('PA Fees Actual'!$B$5:$B$882=$E47)*('PA Fees Actual'!$A$5:$A$882&gt;=AE$3)*('PA Fees Actual'!$A$5:$A$882&lt;=EOMONTH(AE$3,0))*'PA Fees Actual'!$D$5:$D$882),AE$3&gt;=EOMONTH($X47,-1)+1,$Y47,TRUE,0)</f>
        <v>0</v>
      </c>
      <c r="AF47" s="202" cm="1">
        <f t="array" ref="AF47">_xlfn.IFS(AF$3&lt;$B$2,SUMPRODUCT(('PA Fees Actual'!$B$5:$B$882=$E47)*('PA Fees Actual'!$A$5:$A$882&gt;=AF$3)*('PA Fees Actual'!$A$5:$A$882&lt;=EOMONTH(AF$3,0))*'PA Fees Actual'!$D$5:$D$882),AF$3&gt;=EOMONTH($X47,-1)+1,$Y47,TRUE,0)</f>
        <v>0</v>
      </c>
      <c r="AG47" s="202" cm="1">
        <f t="array" ref="AG47">_xlfn.IFS(AG$3&lt;$B$2,SUMPRODUCT(('PA Fees Actual'!$B$5:$B$882=$E47)*('PA Fees Actual'!$A$5:$A$882&gt;=AG$3)*('PA Fees Actual'!$A$5:$A$882&lt;=EOMONTH(AG$3,0))*'PA Fees Actual'!$D$5:$D$882),AG$3&gt;=EOMONTH($X47,-1)+1,$Y47,TRUE,0)</f>
        <v>0</v>
      </c>
      <c r="AH47" s="202" cm="1">
        <f t="array" ref="AH47">_xlfn.IFS(AH$3&lt;$B$2,SUMPRODUCT(('PA Fees Actual'!$B$5:$B$882=$E47)*('PA Fees Actual'!$A$5:$A$882&gt;=AH$3)*('PA Fees Actual'!$A$5:$A$882&lt;=EOMONTH(AH$3,0))*'PA Fees Actual'!$D$5:$D$882),AH$3&gt;=EOMONTH($X47,-1)+1,$Y47,TRUE,0)</f>
        <v>0</v>
      </c>
      <c r="AI47" s="202" cm="1">
        <f t="array" ref="AI47">_xlfn.IFS(AI$3&lt;$B$2,SUMPRODUCT(('PA Fees Actual'!$B$5:$B$882=$E47)*('PA Fees Actual'!$A$5:$A$882&gt;=AI$3)*('PA Fees Actual'!$A$5:$A$882&lt;=EOMONTH(AI$3,0))*'PA Fees Actual'!$D$5:$D$882),AI$3&gt;=EOMONTH($X47,-1)+1,$Y47,TRUE,0)</f>
        <v>0</v>
      </c>
      <c r="AJ47" s="202" cm="1">
        <f t="array" ref="AJ47">_xlfn.IFS(AJ$3&lt;$B$2,SUMPRODUCT(('PA Fees Actual'!$B$5:$B$882=$E47)*('PA Fees Actual'!$A$5:$A$882&gt;=AJ$3)*('PA Fees Actual'!$A$5:$A$882&lt;=EOMONTH(AJ$3,0))*'PA Fees Actual'!$D$5:$D$882),AJ$3&gt;=EOMONTH($X47,-1)+1,$Y47,TRUE,0)</f>
        <v>0</v>
      </c>
      <c r="AK47" s="202" cm="1">
        <f t="array" ref="AK47">_xlfn.IFS(AK$3&lt;$B$2,SUMPRODUCT(('PA Fees Actual'!$B$5:$B$882=$E47)*('PA Fees Actual'!$A$5:$A$882&gt;=AK$3)*('PA Fees Actual'!$A$5:$A$882&lt;=EOMONTH(AK$3,0))*'PA Fees Actual'!$D$5:$D$882),AK$3&gt;=EOMONTH($X47,-1)+1,$Y47,TRUE,0)</f>
        <v>0</v>
      </c>
      <c r="AL47" s="202" cm="1">
        <f t="array" ref="AL47">_xlfn.IFS(AL$3&lt;$B$2,SUMPRODUCT(('PA Fees Actual'!$B$5:$B$882=$E47)*('PA Fees Actual'!$A$5:$A$882&gt;=AL$3)*('PA Fees Actual'!$A$5:$A$882&lt;=EOMONTH(AL$3,0))*'PA Fees Actual'!$D$5:$D$882),AL$3&gt;=EOMONTH($X47,-1)+1,$Y47,TRUE,0)</f>
        <v>0</v>
      </c>
      <c r="AM47" s="202" cm="1">
        <f t="array" ref="AM47">_xlfn.IFS(AM$3&lt;$B$2,SUMPRODUCT(('PA Fees Actual'!$B$5:$B$882=$E47)*('PA Fees Actual'!$A$5:$A$882&gt;=AM$3)*('PA Fees Actual'!$A$5:$A$882&lt;=EOMONTH(AM$3,0))*'PA Fees Actual'!$D$5:$D$882),AM$3&gt;=EOMONTH($X47,-1)+1,$Y47,TRUE,0)</f>
        <v>0</v>
      </c>
      <c r="AN47" s="202" cm="1">
        <f t="array" ref="AN47">_xlfn.IFS(AN$3&lt;$B$2,SUMPRODUCT(('PA Fees Actual'!$B$5:$B$882=$E47)*('PA Fees Actual'!$A$5:$A$882&gt;=AN$3)*('PA Fees Actual'!$A$5:$A$882&lt;=EOMONTH(AN$3,0))*'PA Fees Actual'!$D$5:$D$882),AN$3&gt;=EOMONTH($X47,-1)+1,$Y47,TRUE,0)</f>
        <v>0</v>
      </c>
      <c r="AO47" s="202" cm="1">
        <f t="array" ref="AO47">_xlfn.IFS(AO$3&lt;$B$2,SUMPRODUCT(('PA Fees Actual'!$B$5:$B$882=$E47)*('PA Fees Actual'!$A$5:$A$882&gt;=AO$3)*('PA Fees Actual'!$A$5:$A$882&lt;=EOMONTH(AO$3,0))*'PA Fees Actual'!$D$5:$D$882),AO$3&gt;=EOMONTH($X47,-1)+1,$Y47,TRUE,0)</f>
        <v>0</v>
      </c>
      <c r="AP47" s="202" cm="1">
        <f t="array" ref="AP47">_xlfn.IFS(AP$3&lt;$B$2,SUMPRODUCT(('PA Fees Actual'!$B$5:$B$882=$E47)*('PA Fees Actual'!$A$5:$A$882&gt;=AP$3)*('PA Fees Actual'!$A$5:$A$882&lt;=EOMONTH(AP$3,0))*'PA Fees Actual'!$D$5:$D$882),AP$3&gt;=EOMONTH($X47,-1)+1,$Y47,TRUE,0)</f>
        <v>0</v>
      </c>
      <c r="AQ47" s="202" cm="1">
        <f t="array" ref="AQ47">_xlfn.IFS(AQ$3&lt;$B$2,SUMPRODUCT(('PA Fees Actual'!$B$5:$B$882=$E47)*('PA Fees Actual'!$A$5:$A$882&gt;=AQ$3)*('PA Fees Actual'!$A$5:$A$882&lt;=EOMONTH(AQ$3,0))*'PA Fees Actual'!$D$5:$D$882),AQ$3&gt;=EOMONTH($X47,-1)+1,$Y47,TRUE,0)</f>
        <v>0</v>
      </c>
      <c r="AR47" s="202" cm="1">
        <f t="array" ref="AR47">_xlfn.IFS(AR$3&lt;$B$2,SUMPRODUCT(('PA Fees Actual'!$B$5:$B$882=$E47)*('PA Fees Actual'!$A$5:$A$882&gt;=AR$3)*('PA Fees Actual'!$A$5:$A$882&lt;=EOMONTH(AR$3,0))*'PA Fees Actual'!$D$5:$D$882),AR$3&gt;=EOMONTH($X47,-1)+1,$Y47,TRUE,0)</f>
        <v>0</v>
      </c>
      <c r="AS47" s="202" cm="1">
        <f t="array" ref="AS47">_xlfn.IFS(AS$3&lt;$B$2,SUMPRODUCT(('PA Fees Actual'!$B$5:$B$882=$E47)*('PA Fees Actual'!$A$5:$A$882&gt;=AS$3)*('PA Fees Actual'!$A$5:$A$882&lt;=EOMONTH(AS$3,0))*'PA Fees Actual'!$D$5:$D$882),AS$3&gt;=EOMONTH($X47,-1)+1,$Y47,TRUE,0)</f>
        <v>0</v>
      </c>
      <c r="AT47" s="202" cm="1">
        <f t="array" ref="AT47">_xlfn.IFS(AT$3&lt;$B$2,SUMPRODUCT(('PA Fees Actual'!$B$5:$B$882=$E47)*('PA Fees Actual'!$A$5:$A$882&gt;=AT$3)*('PA Fees Actual'!$A$5:$A$882&lt;=EOMONTH(AT$3,0))*'PA Fees Actual'!$D$5:$D$882),AT$3&gt;=EOMONTH($X47,-1)+1,$Y47,TRUE,0)</f>
        <v>0</v>
      </c>
      <c r="AU47" s="202" cm="1">
        <f t="array" ref="AU47">_xlfn.IFS(AU$3&lt;$B$2,SUMPRODUCT(('PA Fees Actual'!$B$5:$B$882=$E47)*('PA Fees Actual'!$A$5:$A$882&gt;=AU$3)*('PA Fees Actual'!$A$5:$A$882&lt;=EOMONTH(AU$3,0))*'PA Fees Actual'!$D$5:$D$882),AU$3&gt;=EOMONTH($X47,-1)+1,$Y47,TRUE,0)</f>
        <v>0</v>
      </c>
      <c r="AV47" s="202" cm="1">
        <f t="array" ref="AV47">_xlfn.IFS(AV$3&lt;$B$2,SUMPRODUCT(('PA Fees Actual'!$B$5:$B$882=$E47)*('PA Fees Actual'!$A$5:$A$882&gt;=AV$3)*('PA Fees Actual'!$A$5:$A$882&lt;=EOMONTH(AV$3,0))*'PA Fees Actual'!$D$5:$D$882),AV$3&gt;=EOMONTH($X47,-1)+1,$Y47,TRUE,0)</f>
        <v>0</v>
      </c>
      <c r="AW47" s="202" cm="1">
        <f t="array" ref="AW47">_xlfn.IFS(AW$3&lt;$B$2,SUMPRODUCT(('PA Fees Actual'!$B$5:$B$882=$E47)*('PA Fees Actual'!$A$5:$A$882&gt;=AW$3)*('PA Fees Actual'!$A$5:$A$882&lt;=EOMONTH(AW$3,0))*'PA Fees Actual'!$D$5:$D$882),AW$3&gt;=EOMONTH($X47,-1)+1,$Y47,TRUE,0)</f>
        <v>0</v>
      </c>
      <c r="AX47" s="202" cm="1">
        <f t="array" ref="AX47">_xlfn.IFS(AX$3&lt;$B$2,SUMPRODUCT(('PA Fees Actual'!$B$5:$B$882=$E47)*('PA Fees Actual'!$A$5:$A$882&gt;=AX$3)*('PA Fees Actual'!$A$5:$A$882&lt;=EOMONTH(AX$3,0))*'PA Fees Actual'!$D$5:$D$882),AX$3&gt;=EOMONTH($X47,-1)+1,$Y47,TRUE,0)</f>
        <v>0</v>
      </c>
      <c r="AY47" s="202" cm="1">
        <f t="array" ref="AY47">_xlfn.IFS(AY$3&lt;$B$2,SUMPRODUCT(('PA Fees Actual'!$B$5:$B$882=$E47)*('PA Fees Actual'!$A$5:$A$882&gt;=AY$3)*('PA Fees Actual'!$A$5:$A$882&lt;=EOMONTH(AY$3,0))*'PA Fees Actual'!$D$5:$D$882),AY$3&gt;=EOMONTH($X47,-1)+1,$Y47,TRUE,0)</f>
        <v>0</v>
      </c>
      <c r="AZ47" s="202" cm="1">
        <f t="array" ref="AZ47">_xlfn.IFS(AZ$3&lt;$B$2,SUMPRODUCT(('PA Fees Actual'!$B$5:$B$882=$E47)*('PA Fees Actual'!$A$5:$A$882&gt;=AZ$3)*('PA Fees Actual'!$A$5:$A$882&lt;=EOMONTH(AZ$3,0))*'PA Fees Actual'!$D$5:$D$882),AZ$3&gt;=EOMONTH($X47,-1)+1,$Y47,TRUE,0)</f>
        <v>0</v>
      </c>
      <c r="BA47" s="202" cm="1">
        <f t="array" ref="BA47">_xlfn.IFS(BA$3&lt;$B$2,SUMPRODUCT(('PA Fees Actual'!$B$5:$B$882=$E47)*('PA Fees Actual'!$A$5:$A$882&gt;=BA$3)*('PA Fees Actual'!$A$5:$A$882&lt;=EOMONTH(BA$3,0))*'PA Fees Actual'!$D$5:$D$882),BA$3&gt;=EOMONTH($X47,-1)+1,$Y47,TRUE,0)</f>
        <v>0</v>
      </c>
      <c r="BB47" s="202" cm="1">
        <f t="array" ref="BB47">_xlfn.IFS(BB$3&lt;$B$2,SUMPRODUCT(('PA Fees Actual'!$B$5:$B$882=$E47)*('PA Fees Actual'!$A$5:$A$882&gt;=BB$3)*('PA Fees Actual'!$A$5:$A$882&lt;=EOMONTH(BB$3,0))*'PA Fees Actual'!$D$5:$D$882),BB$3&gt;=EOMONTH($X47,-1)+1,$Y47,TRUE,0)</f>
        <v>0</v>
      </c>
      <c r="BC47" s="202" cm="1">
        <f t="array" ref="BC47">_xlfn.IFS(BC$3&lt;$B$2,SUMPRODUCT(('PA Fees Actual'!$B$5:$B$882=$E47)*('PA Fees Actual'!$A$5:$A$882&gt;=BC$3)*('PA Fees Actual'!$A$5:$A$882&lt;=EOMONTH(BC$3,0))*'PA Fees Actual'!$D$5:$D$882),BC$3&gt;=EOMONTH($X47,-1)+1,$Y47,TRUE,0)</f>
        <v>0</v>
      </c>
      <c r="BD47" s="202" cm="1">
        <f t="array" ref="BD47">_xlfn.IFS(BD$3&lt;$B$2,SUMPRODUCT(('PA Fees Actual'!$B$5:$B$882=$E47)*('PA Fees Actual'!$A$5:$A$882&gt;=BD$3)*('PA Fees Actual'!$A$5:$A$882&lt;=EOMONTH(BD$3,0))*'PA Fees Actual'!$D$5:$D$882),BD$3&gt;=EOMONTH($X47,-1)+1,$Y47,TRUE,0)</f>
        <v>0</v>
      </c>
      <c r="BE47" s="202" cm="1">
        <f t="array" ref="BE47">_xlfn.IFS(BE$3&lt;$B$2,SUMPRODUCT(('PA Fees Actual'!$B$5:$B$882=$E47)*('PA Fees Actual'!$A$5:$A$882&gt;=BE$3)*('PA Fees Actual'!$A$5:$A$882&lt;=EOMONTH(BE$3,0))*'PA Fees Actual'!$D$5:$D$882),BE$3&gt;=EOMONTH($X47,-1)+1,$Y47,TRUE,0)</f>
        <v>0</v>
      </c>
      <c r="BF47" s="202" cm="1">
        <f t="array" ref="BF47">_xlfn.IFS(BF$3&lt;$B$2,SUMPRODUCT(('PA Fees Actual'!$B$5:$B$882=$E47)*('PA Fees Actual'!$A$5:$A$882&gt;=BF$3)*('PA Fees Actual'!$A$5:$A$882&lt;=EOMONTH(BF$3,0))*'PA Fees Actual'!$D$5:$D$882),BF$3&gt;=EOMONTH($X47,-1)+1,$Y47,TRUE,0)</f>
        <v>0</v>
      </c>
      <c r="BG47" s="202" cm="1">
        <f t="array" ref="BG47">_xlfn.IFS(BG$3&lt;$B$2,SUMPRODUCT(('PA Fees Actual'!$B$5:$B$882=$E47)*('PA Fees Actual'!$A$5:$A$882&gt;=BG$3)*('PA Fees Actual'!$A$5:$A$882&lt;=EOMONTH(BG$3,0))*'PA Fees Actual'!$D$5:$D$882),BG$3&gt;=EOMONTH($X47,-1)+1,$Y47,TRUE,0)</f>
        <v>0</v>
      </c>
      <c r="BH47" s="202" cm="1">
        <f t="array" ref="BH47">_xlfn.IFS(BH$3&lt;$B$2,SUMPRODUCT(('PA Fees Actual'!$B$5:$B$882=$E47)*('PA Fees Actual'!$A$5:$A$882&gt;=BH$3)*('PA Fees Actual'!$A$5:$A$882&lt;=EOMONTH(BH$3,0))*'PA Fees Actual'!$D$5:$D$882),BH$3&gt;=EOMONTH($X47,-1)+1,$Y47,TRUE,0)</f>
        <v>0</v>
      </c>
      <c r="BI47" s="202" cm="1">
        <f t="array" ref="BI47">_xlfn.IFS(BI$3&lt;$B$2,SUMPRODUCT(('PA Fees Actual'!$B$5:$B$882=$E47)*('PA Fees Actual'!$A$5:$A$882&gt;=BI$3)*('PA Fees Actual'!$A$5:$A$882&lt;=EOMONTH(BI$3,0))*'PA Fees Actual'!$D$5:$D$882),BI$3&gt;=EOMONTH($X47,-1)+1,$Y47,TRUE,0)</f>
        <v>0</v>
      </c>
      <c r="BJ47" s="202" cm="1">
        <f t="array" ref="BJ47">_xlfn.IFS(BJ$3&lt;$B$2,SUMPRODUCT(('PA Fees Actual'!$B$5:$B$882=$E47)*('PA Fees Actual'!$A$5:$A$882&gt;=BJ$3)*('PA Fees Actual'!$A$5:$A$882&lt;=EOMONTH(BJ$3,0))*'PA Fees Actual'!$D$5:$D$882),BJ$3&gt;=EOMONTH($X47,-1)+1,$Y47,TRUE,0)</f>
        <v>0</v>
      </c>
      <c r="BK47" s="202" cm="1">
        <f t="array" ref="BK47">_xlfn.IFS(BK$3&lt;$B$2,SUMPRODUCT(('PA Fees Actual'!$B$5:$B$882=$E47)*('PA Fees Actual'!$A$5:$A$882&gt;=BK$3)*('PA Fees Actual'!$A$5:$A$882&lt;=EOMONTH(BK$3,0))*'PA Fees Actual'!$D$5:$D$882),BK$3&gt;=EOMONTH($X47,-1)+1,$Y47,TRUE,0)</f>
        <v>0</v>
      </c>
      <c r="BL47" s="202" cm="1">
        <f t="array" ref="BL47">_xlfn.IFS(BL$3&lt;$B$2,SUMPRODUCT(('PA Fees Actual'!$B$5:$B$882=$E47)*('PA Fees Actual'!$A$5:$A$882&gt;=BL$3)*('PA Fees Actual'!$A$5:$A$882&lt;=EOMONTH(BL$3,0))*'PA Fees Actual'!$D$5:$D$882),BL$3&gt;=EOMONTH($X47,-1)+1,$Y47,TRUE,0)</f>
        <v>0</v>
      </c>
      <c r="BM47" s="202" cm="1">
        <f t="array" ref="BM47">_xlfn.IFS(BM$3&lt;$B$2,SUMPRODUCT(('PA Fees Actual'!$B$5:$B$882=$E47)*('PA Fees Actual'!$A$5:$A$882&gt;=BM$3)*('PA Fees Actual'!$A$5:$A$882&lt;=EOMONTH(BM$3,0))*'PA Fees Actual'!$D$5:$D$882),BM$3&gt;=EOMONTH($X47,-1)+1,$Y47,TRUE,0)</f>
        <v>0</v>
      </c>
      <c r="BN47" s="202" cm="1">
        <f t="array" ref="BN47">_xlfn.IFS(BN$3&lt;$B$2,SUMPRODUCT(('PA Fees Actual'!$B$5:$B$882=$E47)*('PA Fees Actual'!$A$5:$A$882&gt;=BN$3)*('PA Fees Actual'!$A$5:$A$882&lt;=EOMONTH(BN$3,0))*'PA Fees Actual'!$D$5:$D$882),BN$3&gt;=EOMONTH($X47,-1)+1,$Y47,TRUE,0)</f>
        <v>0</v>
      </c>
      <c r="BO47" s="202" cm="1">
        <f t="array" ref="BO47">_xlfn.IFS(BO$3&lt;$B$2,SUMPRODUCT(('PA Fees Actual'!$B$5:$B$882=$E47)*('PA Fees Actual'!$A$5:$A$882&gt;=BO$3)*('PA Fees Actual'!$A$5:$A$882&lt;=EOMONTH(BO$3,0))*'PA Fees Actual'!$D$5:$D$882),BO$3&gt;=EOMONTH($X47,-1)+1,$Y47,TRUE,0)</f>
        <v>0</v>
      </c>
      <c r="BP47" s="202" cm="1">
        <f t="array" ref="BP47">_xlfn.IFS(BP$3&lt;$B$2,SUMPRODUCT(('PA Fees Actual'!$B$5:$B$882=$E47)*('PA Fees Actual'!$A$5:$A$882&gt;=BP$3)*('PA Fees Actual'!$A$5:$A$882&lt;=EOMONTH(BP$3,0))*'PA Fees Actual'!$D$5:$D$882),BP$3&gt;=EOMONTH($X47,-1)+1,$Y47,TRUE,0)</f>
        <v>0</v>
      </c>
      <c r="BQ47" s="202" cm="1">
        <f t="array" ref="BQ47">_xlfn.IFS(BQ$3&lt;$B$2,SUMPRODUCT(('PA Fees Actual'!$B$5:$B$882=$E47)*('PA Fees Actual'!$A$5:$A$882&gt;=BQ$3)*('PA Fees Actual'!$A$5:$A$882&lt;=EOMONTH(BQ$3,0))*'PA Fees Actual'!$D$5:$D$882),BQ$3&gt;=EOMONTH($X47,-1)+1,$Y47,TRUE,0)</f>
        <v>0</v>
      </c>
      <c r="BR47" s="202" cm="1">
        <f t="array" ref="BR47">_xlfn.IFS(BR$3&lt;$B$2,SUMPRODUCT(('PA Fees Actual'!$B$5:$B$882=$E47)*('PA Fees Actual'!$A$5:$A$882&gt;=BR$3)*('PA Fees Actual'!$A$5:$A$882&lt;=EOMONTH(BR$3,0))*'PA Fees Actual'!$D$5:$D$882),BR$3&gt;=EOMONTH($X47,-1)+1,$Y47,TRUE,0)</f>
        <v>0</v>
      </c>
      <c r="BS47" s="202" cm="1">
        <f t="array" ref="BS47">_xlfn.IFS(BS$3&lt;$B$2,SUMPRODUCT(('PA Fees Actual'!$B$5:$B$882=$E47)*('PA Fees Actual'!$A$5:$A$882&gt;=BS$3)*('PA Fees Actual'!$A$5:$A$882&lt;=EOMONTH(BS$3,0))*'PA Fees Actual'!$D$5:$D$882),BS$3&gt;=EOMONTH($X47,-1)+1,$Y47,TRUE,0)</f>
        <v>0</v>
      </c>
      <c r="BT47" s="202" cm="1">
        <f t="array" ref="BT47">_xlfn.IFS(BT$3&lt;$B$2,SUMPRODUCT(('PA Fees Actual'!$B$5:$B$882=$E47)*('PA Fees Actual'!$A$5:$A$882&gt;=BT$3)*('PA Fees Actual'!$A$5:$A$882&lt;=EOMONTH(BT$3,0))*'PA Fees Actual'!$D$5:$D$882),BT$3&gt;=EOMONTH($X47,-1)+1,$Y47,TRUE,0)</f>
        <v>0</v>
      </c>
      <c r="BU47" s="202" cm="1">
        <f t="array" ref="BU47">_xlfn.IFS(BU$3&lt;$B$2,SUMPRODUCT(('PA Fees Actual'!$B$5:$B$882=$E47)*('PA Fees Actual'!$A$5:$A$882&gt;=BU$3)*('PA Fees Actual'!$A$5:$A$882&lt;=EOMONTH(BU$3,0))*'PA Fees Actual'!$D$5:$D$882),BU$3&gt;=EOMONTH($X47,-1)+1,$Y47,TRUE,0)</f>
        <v>0</v>
      </c>
      <c r="BV47" s="202" cm="1">
        <f t="array" ref="BV47">_xlfn.IFS(BV$3&lt;$B$2,SUMPRODUCT(('PA Fees Actual'!$B$5:$B$882=$E47)*('PA Fees Actual'!$A$5:$A$882&gt;=BV$3)*('PA Fees Actual'!$A$5:$A$882&lt;=EOMONTH(BV$3,0))*'PA Fees Actual'!$D$5:$D$882),BV$3&gt;=EOMONTH($X47,-1)+1,$Y47,TRUE,0)</f>
        <v>0</v>
      </c>
      <c r="BW47" s="202" cm="1">
        <f t="array" ref="BW47">_xlfn.IFS(BW$3&lt;$B$2,SUMPRODUCT(('PA Fees Actual'!$B$5:$B$882=$E47)*('PA Fees Actual'!$A$5:$A$882&gt;=BW$3)*('PA Fees Actual'!$A$5:$A$882&lt;=EOMONTH(BW$3,0))*'PA Fees Actual'!$D$5:$D$882),BW$3&gt;=EOMONTH($X47,-1)+1,$Y47,TRUE,0)</f>
        <v>0</v>
      </c>
      <c r="BX47" s="202" cm="1">
        <f t="array" ref="BX47">_xlfn.IFS(BX$3&lt;$B$2,SUMPRODUCT(('PA Fees Actual'!$B$5:$B$882=$E47)*('PA Fees Actual'!$A$5:$A$882&gt;=BX$3)*('PA Fees Actual'!$A$5:$A$882&lt;=EOMONTH(BX$3,0))*'PA Fees Actual'!$D$5:$D$882),BX$3&gt;=EOMONTH($X47,-1)+1,$Y47,TRUE,0)</f>
        <v>0</v>
      </c>
      <c r="BY47" s="202" cm="1">
        <f t="array" ref="BY47">_xlfn.IFS(BY$3&lt;$B$2,SUMPRODUCT(('PA Fees Actual'!$B$5:$B$882=$E47)*('PA Fees Actual'!$A$5:$A$882&gt;=BY$3)*('PA Fees Actual'!$A$5:$A$882&lt;=EOMONTH(BY$3,0))*'PA Fees Actual'!$D$5:$D$882),BY$3&gt;=EOMONTH($X47,-1)+1,$Y47,TRUE,0)</f>
        <v>0</v>
      </c>
      <c r="BZ47" s="202" cm="1">
        <f t="array" ref="BZ47">_xlfn.IFS(BZ$3&lt;$B$2,SUMPRODUCT(('PA Fees Actual'!$B$5:$B$882=$E47)*('PA Fees Actual'!$A$5:$A$882&gt;=BZ$3)*('PA Fees Actual'!$A$5:$A$882&lt;=EOMONTH(BZ$3,0))*'PA Fees Actual'!$D$5:$D$882),BZ$3&gt;=EOMONTH($X47,-1)+1,$Y47,TRUE,0)</f>
        <v>0</v>
      </c>
      <c r="CA47" s="202" cm="1">
        <f t="array" ref="CA47">_xlfn.IFS(CA$3&lt;$B$2,SUMPRODUCT(('PA Fees Actual'!$B$5:$B$882=$E47)*('PA Fees Actual'!$A$5:$A$882&gt;=CA$3)*('PA Fees Actual'!$A$5:$A$882&lt;=EOMONTH(CA$3,0))*'PA Fees Actual'!$D$5:$D$882),CA$3&gt;=EOMONTH($X47,-1)+1,$Y47,TRUE,0)</f>
        <v>0</v>
      </c>
      <c r="CB47" s="202" cm="1">
        <f t="array" ref="CB47">_xlfn.IFS(CB$3&lt;$B$2,SUMPRODUCT(('PA Fees Actual'!$B$5:$B$749=$E47)*('PA Fees Actual'!$A$5:$A$749&gt;=CB$3)*('PA Fees Actual'!$A$5:$A$749&lt;=EOMONTH(CB$3,0))*'PA Fees Actual'!$D$5:$D$749),CB$3&gt;=EOMONTH($X47,-1)+1,$Y47,TRUE,0)</f>
        <v>0</v>
      </c>
      <c r="CC47" s="202" cm="1">
        <f t="array" ref="CC47">_xlfn.IFS(CC$3&lt;$B$2,SUMPRODUCT(('PA Fees Actual'!$B$5:$B$749=$E47)*('PA Fees Actual'!$A$5:$A$749&gt;=CC$3)*('PA Fees Actual'!$A$5:$A$749&lt;=EOMONTH(CC$3,0))*'PA Fees Actual'!$D$5:$D$749),CC$3&gt;=EOMONTH($X47,-1)+1,$Y47,TRUE,0)</f>
        <v>0</v>
      </c>
      <c r="CD47" s="202" cm="1">
        <f t="array" ref="CD47">_xlfn.IFS(CD$3&lt;$B$2,SUMPRODUCT(('PA Fees Actual'!$B$5:$B$749=$E47)*('PA Fees Actual'!$A$5:$A$749&gt;=CD$3)*('PA Fees Actual'!$A$5:$A$749&lt;=EOMONTH(CD$3,0))*'PA Fees Actual'!$D$5:$D$749),CD$3&gt;=EOMONTH($X47,-1)+1,$Y47,TRUE,0)</f>
        <v>0</v>
      </c>
      <c r="CE47" s="202" cm="1">
        <f t="array" ref="CE47">_xlfn.IFS(CE$3&lt;$B$2,SUMPRODUCT(('PA Fees Actual'!$B$5:$B$749=$E47)*('PA Fees Actual'!$A$5:$A$749&gt;=CE$3)*('PA Fees Actual'!$A$5:$A$749&lt;=EOMONTH(CE$3,0))*'PA Fees Actual'!$D$5:$D$749),CE$3&gt;=EOMONTH($X47,-1)+1,$Y47,TRUE,0)</f>
        <v>0</v>
      </c>
      <c r="CF47" s="202" cm="1">
        <f t="array" ref="CF47">_xlfn.IFS(CF$3&lt;$B$2,SUMPRODUCT(('PA Fees Actual'!$B$5:$B$749=$E47)*('PA Fees Actual'!$A$5:$A$749&gt;=CF$3)*('PA Fees Actual'!$A$5:$A$749&lt;=EOMONTH(CF$3,0))*'PA Fees Actual'!$D$5:$D$749),CF$3&gt;=EOMONTH($X47,-1)+1,$Y47,TRUE,0)</f>
        <v>0</v>
      </c>
      <c r="CG47" s="202" cm="1">
        <f t="array" ref="CG47">_xlfn.IFS(CG$3&lt;$B$2,SUMPRODUCT(('PA Fees Actual'!$B$5:$B$749=$E47)*('PA Fees Actual'!$A$5:$A$749&gt;=CG$3)*('PA Fees Actual'!$A$5:$A$749&lt;=EOMONTH(CG$3,0))*'PA Fees Actual'!$D$5:$D$749),CG$3&gt;=EOMONTH($X47,-1)+1,$Y47,TRUE,0)</f>
        <v>0</v>
      </c>
      <c r="CI47" s="202" cm="1">
        <f t="array" ref="CI47">_xlfn.IFS(CI$3&lt;=YEAR($B$2),SUMPRODUCT(($E$4:$E$79=$E47)*($Z$2:$CG$2=CI$3)*($Z$2:$CG$2&lt;CJ$3)*$Z$4:$CG$79),CI$3&lt;YEAR($X47),0,CI$3=YEAR($X47),DATEDIF($X47,DATE(CI$3,12,31),"m")*$Y47,AND(CI$3&gt;YEAR($X47),CI$3-YEAR($X47)&lt;20),$Y47*12,CI$3-YEAR($X47)=20,DATEDIF(DATE(YEAR($X47),1,1),$X47,"m")*$Y47,CI$3-YEAR($X47)&gt;20,0)</f>
        <v>0</v>
      </c>
      <c r="CJ47" s="202" cm="1">
        <f t="array" ref="CJ47">_xlfn.IFS(CJ$3&lt;=YEAR($B$2),SUMPRODUCT(($E$4:$E$79=$E47)*($Z$2:$CG$2=CJ$3)*($Z$2:$CG$2&lt;CK$3)*$Z$4:$CG$79),CJ$3&lt;YEAR($X47),0,CJ$3=YEAR($X47),DATEDIF($X47,DATE(CJ$3,12,31),"m")*$Y47,AND(CJ$3&gt;YEAR($X47),CJ$3-YEAR($X47)&lt;20),$Y47*12,CJ$3-YEAR($X47)=20,DATEDIF(DATE(YEAR($X47),1,1),$X47,"m")*$Y47,CJ$3-YEAR($X47)&gt;20,0)</f>
        <v>0</v>
      </c>
      <c r="CK47" s="202" cm="1">
        <f t="array" ref="CK47">_xlfn.IFS(CK$3&lt;=YEAR($B$2),SUMPRODUCT(($E$4:$E$79=$E47)*($Z$2:$CG$2=CK$3)*($Z$2:$CG$2&lt;CL$3)*$Z$4:$CG$79),CK$3&lt;YEAR($X47),0,CK$3=YEAR($X47),DATEDIF($X47,DATE(CK$3,12,31),"m")*$Y47,AND(CK$3&gt;YEAR($X47),CK$3-YEAR($X47)&lt;20),$Y47*12,CK$3-YEAR($X47)=20,DATEDIF(DATE(YEAR($X47),1,1),$X47,"m")*$Y47,CK$3-YEAR($X47)&gt;20,0)</f>
        <v>0</v>
      </c>
      <c r="CL47" s="202" cm="1">
        <f t="array" ref="CL47">_xlfn.IFS(CL$3&lt;=YEAR($B$2),SUMPRODUCT(($E$4:$E$79=$E47)*($Z$2:$CG$2=CL$3)*($Z$2:$CG$2&lt;CM$3)*$Z$4:$CG$79),CL$3&lt;YEAR($X47),0,CL$3=YEAR($X47),DATEDIF($X47,DATE(CL$3,12,31),"m")*$Y47,AND(CL$3&gt;YEAR($X47),CL$3-YEAR($X47)&lt;20),$Y47*12,CL$3-YEAR($X47)=20,DATEDIF(DATE(YEAR($X47),1,1),$X47,"m")*$Y47,CL$3-YEAR($X47)&gt;20,0)</f>
        <v>0</v>
      </c>
      <c r="CM47" s="202" cm="1">
        <f t="array" ref="CM47">_xlfn.IFS(CM$3&lt;=YEAR($B$2),SUMPRODUCT(($E$4:$E$79=$E47)*($Z$2:$CG$2=CM$3)*($Z$2:$CG$2&lt;CN$3)*$Z$4:$CG$79),CM$3&lt;YEAR($X47),0,CM$3=YEAR($X47),DATEDIF($X47,DATE(CM$3,12,31),"m")*$Y47,AND(CM$3&gt;YEAR($X47),CM$3-YEAR($X47)&lt;20),$Y47*12,CM$3-YEAR($X47)=20,DATEDIF(DATE(YEAR($X47),1,1),$X47,"m")*$Y47,CM$3-YEAR($X47)&gt;20,0)</f>
        <v>0</v>
      </c>
      <c r="CN47" s="202" cm="1">
        <f t="array" ref="CN47">_xlfn.IFS(CN$3&lt;=YEAR($B$2),SUMPRODUCT(($E$4:$E$79=$E47)*($Z$2:$CG$2=CN$3)*($Z$2:$CG$2&lt;CO$3)*$Z$4:$CG$79),CN$3&lt;YEAR($X47),0,CN$3=YEAR($X47),DATEDIF($X47,DATE(CN$3,12,31),"m")*$Y47,AND(CN$3&gt;YEAR($X47),CN$3-YEAR($X47)&lt;20),$Y47*12,CN$3-YEAR($X47)=20,DATEDIF(DATE(YEAR($X47),1,1),$X47,"m")*$Y47,CN$3-YEAR($X47)&gt;20,0)</f>
        <v>0</v>
      </c>
      <c r="CO47" s="202" cm="1">
        <f t="array" ref="CO47">_xlfn.IFS(CO$3&lt;=YEAR($B$2),SUMPRODUCT(($E$4:$E$79=$E47)*($Z$2:$CG$2=CO$3)*($Z$2:$CG$2&lt;CP$3)*$Z$4:$CG$79),CO$3&lt;YEAR($X47),0,CO$3=YEAR($X47),DATEDIF($X47,DATE(CO$3,12,31),"m")*$Y47,AND(CO$3&gt;YEAR($X47),CO$3-YEAR($X47)&lt;20),$Y47*12,CO$3-YEAR($X47)=20,DATEDIF(DATE(YEAR($X47),1,1),$X47,"m")*$Y47,CO$3-YEAR($X47)&gt;20,0)</f>
        <v>7225</v>
      </c>
      <c r="CP47" s="202" cm="1">
        <f t="array" ref="CP47">_xlfn.IFS(CP$3&lt;=YEAR($B$2),SUMPRODUCT(($E$4:$E$79=$E47)*($Z$2:$CG$2=CP$3)*($Z$2:$CG$2&lt;CQ$3)*$Z$4:$CG$79),CP$3&lt;YEAR($X47),0,CP$3=YEAR($X47),DATEDIF($X47,DATE(CP$3,12,31),"m")*$Y47,AND(CP$3&gt;YEAR($X47),CP$3-YEAR($X47)&lt;20),$Y47*12,CP$3-YEAR($X47)=20,DATEDIF(DATE(YEAR($X47),1,1),$X47,"m")*$Y47,CP$3-YEAR($X47)&gt;20,0)</f>
        <v>8670</v>
      </c>
      <c r="CQ47" s="202" cm="1">
        <f t="array" ref="CQ47">_xlfn.IFS(CQ$3&lt;=YEAR($B$2),SUMPRODUCT(($E$4:$E$79=$E47)*($Z$2:$CG$2=CQ$3)*($Z$2:$CG$2&lt;CR$3)*$Z$4:$CG$79),CQ$3&lt;YEAR($X47),0,CQ$3=YEAR($X47),DATEDIF($X47,DATE(CQ$3,12,31),"m")*$Y47,AND(CQ$3&gt;YEAR($X47),CQ$3-YEAR($X47)&lt;20),$Y47*12,CQ$3-YEAR($X47)=20,DATEDIF(DATE(YEAR($X47),1,1),$X47,"m")*$Y47,CQ$3-YEAR($X47)&gt;20,0)</f>
        <v>8670</v>
      </c>
      <c r="CR47" s="202" cm="1">
        <f t="array" ref="CR47">_xlfn.IFS(CR$3&lt;=YEAR($B$2),SUMPRODUCT(($E$4:$E$79=$E47)*($Z$2:$CG$2=CR$3)*($Z$2:$CG$2&lt;CS$3)*$Z$4:$CG$79),CR$3&lt;YEAR($X47),0,CR$3=YEAR($X47),DATEDIF($X47,DATE(CR$3,12,31),"m")*$Y47,AND(CR$3&gt;YEAR($X47),CR$3-YEAR($X47)&lt;20),$Y47*12,CR$3-YEAR($X47)=20,DATEDIF(DATE(YEAR($X47),1,1),$X47,"m")*$Y47,CR$3-YEAR($X47)&gt;20,0)</f>
        <v>8670</v>
      </c>
      <c r="CS47" s="202" cm="1">
        <f t="array" ref="CS47">_xlfn.IFS(CS$3&lt;=YEAR($B$2),SUMPRODUCT(($E$4:$E$79=$E47)*($Z$2:$CG$2=CS$3)*($Z$2:$CG$2&lt;CT$3)*$Z$4:$CG$79),CS$3&lt;YEAR($X47),0,CS$3=YEAR($X47),DATEDIF($X47,DATE(CS$3,12,31),"m")*$Y47,AND(CS$3&gt;YEAR($X47),CS$3-YEAR($X47)&lt;20),$Y47*12,CS$3-YEAR($X47)=20,DATEDIF(DATE(YEAR($X47),1,1),$X47,"m")*$Y47,CS$3-YEAR($X47)&gt;20,0)</f>
        <v>8670</v>
      </c>
      <c r="CT47" s="202" cm="1">
        <f t="array" ref="CT47">_xlfn.IFS(CT$3&lt;=YEAR($B$2),SUMPRODUCT(($E$4:$E$79=$E47)*($Z$2:$CG$2=CT$3)*($Z$2:$CG$2&lt;CU$3)*$Z$4:$CG$79),CT$3&lt;YEAR($X47),0,CT$3=YEAR($X47),DATEDIF($X47,DATE(CT$3,12,31),"m")*$Y47,AND(CT$3&gt;YEAR($X47),CT$3-YEAR($X47)&lt;20),$Y47*12,CT$3-YEAR($X47)=20,DATEDIF(DATE(YEAR($X47),1,1),$X47,"m")*$Y47,CT$3-YEAR($X47)&gt;20,0)</f>
        <v>8670</v>
      </c>
      <c r="CU47" s="202" cm="1">
        <f t="array" ref="CU47">_xlfn.IFS(CU$3&lt;=YEAR($B$2),SUMPRODUCT(($E$4:$E$79=$E47)*($Z$2:$CG$2=CU$3)*($Z$2:$CG$2&lt;CV$3)*$Z$4:$CG$79),CU$3&lt;YEAR($X47),0,CU$3=YEAR($X47),DATEDIF($X47,DATE(CU$3,12,31),"m")*$Y47,AND(CU$3&gt;YEAR($X47),CU$3-YEAR($X47)&lt;20),$Y47*12,CU$3-YEAR($X47)=20,DATEDIF(DATE(YEAR($X47),1,1),$X47,"m")*$Y47,CU$3-YEAR($X47)&gt;20,0)</f>
        <v>8670</v>
      </c>
      <c r="CV47" s="202" cm="1">
        <f t="array" ref="CV47">_xlfn.IFS(CV$3&lt;=YEAR($B$2),SUMPRODUCT(($E$4:$E$79=$E47)*($Z$2:$CG$2=CV$3)*($Z$2:$CG$2&lt;CW$3)*$Z$4:$CG$79),CV$3&lt;YEAR($X47),0,CV$3=YEAR($X47),DATEDIF($X47,DATE(CV$3,12,31),"m")*$Y47,AND(CV$3&gt;YEAR($X47),CV$3-YEAR($X47)&lt;20),$Y47*12,CV$3-YEAR($X47)=20,DATEDIF(DATE(YEAR($X47),1,1),$X47,"m")*$Y47,CV$3-YEAR($X47)&gt;20,0)</f>
        <v>8670</v>
      </c>
      <c r="CW47" s="202" cm="1">
        <f t="array" ref="CW47">_xlfn.IFS(CW$3&lt;=YEAR($B$2),SUMPRODUCT(($E$4:$E$79=$E47)*($Z$2:$CG$2=CW$3)*($Z$2:$CG$2&lt;CX$3)*$Z$4:$CG$79),CW$3&lt;YEAR($X47),0,CW$3=YEAR($X47),DATEDIF($X47,DATE(CW$3,12,31),"m")*$Y47,AND(CW$3&gt;YEAR($X47),CW$3-YEAR($X47)&lt;20),$Y47*12,CW$3-YEAR($X47)=20,DATEDIF(DATE(YEAR($X47),1,1),$X47,"m")*$Y47,CW$3-YEAR($X47)&gt;20,0)</f>
        <v>8670</v>
      </c>
      <c r="CX47" s="202" cm="1">
        <f t="array" ref="CX47">_xlfn.IFS(CX$3&lt;=YEAR($B$2),SUMPRODUCT(($E$4:$E$79=$E47)*($Z$2:$CG$2=CX$3)*($Z$2:$CG$2&lt;CY$3)*$Z$4:$CG$79),CX$3&lt;YEAR($X47),0,CX$3=YEAR($X47),DATEDIF($X47,DATE(CX$3,12,31),"m")*$Y47,AND(CX$3&gt;YEAR($X47),CX$3-YEAR($X47)&lt;20),$Y47*12,CX$3-YEAR($X47)=20,DATEDIF(DATE(YEAR($X47),1,1),$X47,"m")*$Y47,CX$3-YEAR($X47)&gt;20,0)</f>
        <v>8670</v>
      </c>
      <c r="CY47" s="202" cm="1">
        <f t="array" ref="CY47">_xlfn.IFS(CY$3&lt;=YEAR($B$2),SUMPRODUCT(($E$4:$E$79=$E47)*($Z$2:$CG$2=CY$3)*($Z$2:$CG$2&lt;CZ$3)*$Z$4:$CG$79),CY$3&lt;YEAR($X47),0,CY$3=YEAR($X47),DATEDIF($X47,DATE(CY$3,12,31),"m")*$Y47,AND(CY$3&gt;YEAR($X47),CY$3-YEAR($X47)&lt;20),$Y47*12,CY$3-YEAR($X47)=20,DATEDIF(DATE(YEAR($X47),1,1),$X47,"m")*$Y47,CY$3-YEAR($X47)&gt;20,0)</f>
        <v>8670</v>
      </c>
      <c r="CZ47" s="202" cm="1">
        <f t="array" ref="CZ47">_xlfn.IFS(CZ$3&lt;=YEAR($B$2),SUMPRODUCT(($E$4:$E$79=$E47)*($Z$2:$CG$2=CZ$3)*($Z$2:$CG$2&lt;DA$3)*$Z$4:$CG$79),CZ$3&lt;YEAR($X47),0,CZ$3=YEAR($X47),DATEDIF($X47,DATE(CZ$3,12,31),"m")*$Y47,AND(CZ$3&gt;YEAR($X47),CZ$3-YEAR($X47)&lt;20),$Y47*12,CZ$3-YEAR($X47)=20,DATEDIF(DATE(YEAR($X47),1,1),$X47,"m")*$Y47,CZ$3-YEAR($X47)&gt;20,0)</f>
        <v>8670</v>
      </c>
      <c r="DA47" s="202" cm="1">
        <f t="array" ref="DA47">_xlfn.IFS(DA$3&lt;=YEAR($B$2),SUMPRODUCT(($E$4:$E$79=$E47)*($Z$2:$CG$2=DA$3)*($Z$2:$CG$2&lt;DB$3)*$Z$4:$CG$79),DA$3&lt;YEAR($X47),0,DA$3=YEAR($X47),DATEDIF($X47,DATE(DA$3,12,31),"m")*$Y47,AND(DA$3&gt;YEAR($X47),DA$3-YEAR($X47)&lt;20),$Y47*12,DA$3-YEAR($X47)=20,DATEDIF(DATE(YEAR($X47),1,1),$X47,"m")*$Y47,DA$3-YEAR($X47)&gt;20,0)</f>
        <v>8670</v>
      </c>
      <c r="DB47" s="202" cm="1">
        <f t="array" ref="DB47">_xlfn.IFS(DB$3&lt;=YEAR($B$2),SUMPRODUCT(($E$4:$E$79=$E47)*($Z$2:$CG$2=DB$3)*($Z$2:$CG$2&lt;DC$3)*$Z$4:$CG$79),DB$3&lt;YEAR($X47),0,DB$3=YEAR($X47),DATEDIF($X47,DATE(DB$3,12,31),"m")*$Y47,AND(DB$3&gt;YEAR($X47),DB$3-YEAR($X47)&lt;20),$Y47*12,DB$3-YEAR($X47)=20,DATEDIF(DATE(YEAR($X47),1,1),$X47,"m")*$Y47,DB$3-YEAR($X47)&gt;20,0)</f>
        <v>8670</v>
      </c>
      <c r="DC47" s="202" cm="1">
        <f t="array" ref="DC47">_xlfn.IFS(DC$3&lt;=YEAR($B$2),SUMPRODUCT(($E$4:$E$79=$E47)*($Z$2:$CG$2=DC$3)*($Z$2:$CG$2&lt;DD$3)*$Z$4:$CG$79),DC$3&lt;YEAR($X47),0,DC$3=YEAR($X47),DATEDIF($X47,DATE(DC$3,12,31),"m")*$Y47,AND(DC$3&gt;YEAR($X47),DC$3-YEAR($X47)&lt;20),$Y47*12,DC$3-YEAR($X47)=20,DATEDIF(DATE(YEAR($X47),1,1),$X47,"m")*$Y47,DC$3-YEAR($X47)&gt;20,0)</f>
        <v>8670</v>
      </c>
      <c r="DD47" s="202" cm="1">
        <f t="array" ref="DD47">_xlfn.IFS(DD$3&lt;=YEAR($B$2),SUMPRODUCT(($E$4:$E$79=$E47)*($Z$2:$CG$2=DD$3)*($Z$2:$CG$2&lt;DE$3)*$Z$4:$CG$79),DD$3&lt;YEAR($X47),0,DD$3=YEAR($X47),DATEDIF($X47,DATE(DD$3,12,31),"m")*$Y47,AND(DD$3&gt;YEAR($X47),DD$3-YEAR($X47)&lt;20),$Y47*12,DD$3-YEAR($X47)=20,DATEDIF(DATE(YEAR($X47),1,1),$X47,"m")*$Y47,DD$3-YEAR($X47)&gt;20,0)</f>
        <v>8670</v>
      </c>
      <c r="DE47" s="202" cm="1">
        <f t="array" ref="DE47">_xlfn.IFS(DE$3&lt;=YEAR($B$2),SUMPRODUCT(($E$4:$E$79=$E47)*($Z$2:$CG$2=DE$3)*($Z$2:$CG$2&lt;DF$3)*$Z$4:$CG$79),DE$3&lt;YEAR($X47),0,DE$3=YEAR($X47),DATEDIF($X47,DATE(DE$3,12,31),"m")*$Y47,AND(DE$3&gt;YEAR($X47),DE$3-YEAR($X47)&lt;20),$Y47*12,DE$3-YEAR($X47)=20,DATEDIF(DATE(YEAR($X47),1,1),$X47,"m")*$Y47,DE$3-YEAR($X47)&gt;20,0)</f>
        <v>8670</v>
      </c>
      <c r="DF47" s="202" cm="1">
        <f t="array" ref="DF47">_xlfn.IFS(DF$3&lt;=YEAR($B$2),SUMPRODUCT(($E$4:$E$79=$E47)*($Z$2:$CG$2=DF$3)*($Z$2:$CG$2&lt;DG$3)*$Z$4:$CG$79),DF$3&lt;YEAR($X47),0,DF$3=YEAR($X47),DATEDIF($X47,DATE(DF$3,12,31),"m")*$Y47,AND(DF$3&gt;YEAR($X47),DF$3-YEAR($X47)&lt;20),$Y47*12,DF$3-YEAR($X47)=20,DATEDIF(DATE(YEAR($X47),1,1),$X47,"m")*$Y47,DF$3-YEAR($X47)&gt;20,0)</f>
        <v>8670</v>
      </c>
      <c r="DG47" s="202" cm="1">
        <f t="array" ref="DG47">_xlfn.IFS(DG$3&lt;=YEAR($B$2),SUMPRODUCT(($E$4:$E$79=$E47)*($Z$2:$CG$2=DG$3)*($Z$2:$CG$2&lt;DH$3)*$Z$4:$CG$79),DG$3&lt;YEAR($X47),0,DG$3=YEAR($X47),DATEDIF($X47,DATE(DG$3,12,31),"m")*$Y47,AND(DG$3&gt;YEAR($X47),DG$3-YEAR($X47)&lt;20),$Y47*12,DG$3-YEAR($X47)=20,DATEDIF(DATE(YEAR($X47),1,1),$X47,"m")*$Y47,DG$3-YEAR($X47)&gt;20,0)</f>
        <v>8670</v>
      </c>
      <c r="DH47" s="202" cm="1">
        <f t="array" ref="DH47">_xlfn.IFS(DH$3&lt;=YEAR($B$2),SUMPRODUCT(($E$4:$E$79=$E47)*($Z$2:$CG$2=DH$3)*($Z$2:$CG$2&lt;DI$3)*$Z$4:$CG$79),DH$3&lt;YEAR($X47),0,DH$3=YEAR($X47),DATEDIF($X47,DATE(DH$3,12,31),"m")*$Y47,AND(DH$3&gt;YEAR($X47),DH$3-YEAR($X47)&lt;20),$Y47*12,DH$3-YEAR($X47)=20,DATEDIF(DATE(YEAR($X47),1,1),$X47,"m")*$Y47,DH$3-YEAR($X47)&gt;20,0)</f>
        <v>8670</v>
      </c>
      <c r="DI47" s="202" cm="1">
        <f t="array" ref="DI47">_xlfn.IFS(DI$3&lt;=YEAR($B$2),SUMPRODUCT(($E$4:$E$79=$E47)*($Z$2:$CG$2=DI$3)*($Z$2:$CG$2&lt;DJ$3)*$Z$4:$CG$79),DI$3&lt;YEAR($X47),0,DI$3=YEAR($X47),DATEDIF($X47,DATE(DI$3,12,31),"m")*$Y47,AND(DI$3&gt;YEAR($X47),DI$3-YEAR($X47)&lt;20),$Y47*12,DI$3-YEAR($X47)=20,DATEDIF(DATE(YEAR($X47),1,1),$X47,"m")*$Y47,DI$3-YEAR($X47)&gt;20,0)</f>
        <v>722.5</v>
      </c>
      <c r="DJ47" s="202" cm="1">
        <f t="array" ref="DJ47">_xlfn.IFS(DJ$3&lt;=YEAR($B$2),SUMPRODUCT(($E$4:$E$79=$E47)*($Z$2:$CG$2=DJ$3)*($Z$2:$CG$2&lt;DK$3)*$Z$4:$CG$79),DJ$3&lt;YEAR($X47),0,DJ$3=YEAR($X47),DATEDIF($X47,DATE(DJ$3,12,31),"m")*$Y47,AND(DJ$3&gt;YEAR($X47),DJ$3-YEAR($X47)&lt;20),$Y47*12,DJ$3-YEAR($X47)=20,DATEDIF(DATE(YEAR($X47),1,1),$X47,"m")*$Y47,DJ$3-YEAR($X47)&gt;20,0)</f>
        <v>0</v>
      </c>
      <c r="DK47" s="202" cm="1">
        <f t="array" ref="DK47">_xlfn.IFS(DK$3&lt;=YEAR($B$2),SUMPRODUCT(($E$4:$E$79=$E47)*($Z$2:$CG$2=DK$3)*($Z$2:$CG$2&lt;DL$3)*$Z$4:$CG$79),DK$3&lt;YEAR($X47),0,DK$3=YEAR($X47),DATEDIF($X47,DATE(DK$3,12,31),"m")*$Y47,AND(DK$3&gt;YEAR($X47),DK$3-YEAR($X47)&lt;20),$Y47*12,DK$3-YEAR($X47)=20,DATEDIF(DATE(YEAR($X47),1,1),$X47,"m")*$Y47,DK$3-YEAR($X47)&gt;20,0)</f>
        <v>0</v>
      </c>
      <c r="DL47" s="202" cm="1">
        <f t="array" ref="DL47">_xlfn.IFS(DL$3&lt;=YEAR($B$2),SUMPRODUCT(($E$4:$E$79=$E47)*($Z$2:$CG$2=DL$3)*($Z$2:$CG$2&lt;DM$3)*$Z$4:$CG$79),DL$3&lt;YEAR($X47),0,DL$3=YEAR($X47),DATEDIF($X47,DATE(DL$3,12,31),"m")*$Y47,AND(DL$3&gt;YEAR($X47),DL$3-YEAR($X47)&lt;20),$Y47*12,DL$3-YEAR($X47)=20,DATEDIF(DATE(YEAR($X47),1,1),$X47,"m")*$Y47,DL$3-YEAR($X47)&gt;20,0)</f>
        <v>0</v>
      </c>
    </row>
    <row r="48" spans="1:123">
      <c r="A48" s="155" t="str" cm="1">
        <f t="array" ref="A48">INDEX('Monthly Report July 2025'!C:C,MATCH(E48,'Monthly Report July 2025'!E:E,0),0)</f>
        <v>OCS035</v>
      </c>
      <c r="B48" s="155" t="str" cm="1">
        <f t="array" ref="B48">_xlfn.IFS(LEFT(E48,3)="PGE","PGE",LEFT(E48,2)="PP","PAC",TRUE,"IP")</f>
        <v>PAC</v>
      </c>
      <c r="C48" s="155" t="str">
        <f>IF(ISNA(MATCH(E48,'Monthly Report July 2025'!E:E,0)),"Missing","Present")</f>
        <v>Present</v>
      </c>
      <c r="D48" s="155" t="str">
        <f>IF(ISNA(MATCH(E48,'Project Operational Timelines'!C:C,0))=TRUE,"Missing","Present")</f>
        <v>Present</v>
      </c>
      <c r="E48" s="155" t="s">
        <v>156</v>
      </c>
      <c r="F48" s="155" t="str" cm="1">
        <f t="array" ref="F48">INDEX('Monthly Report July 2025'!F:F,MATCH(E48,'Monthly Report July 2025'!E:E,),0)</f>
        <v>Orchard Knob Solar</v>
      </c>
      <c r="G48" s="155" t="str" cm="1">
        <f t="array" ref="G48">_xlfn.IFS(INDEX('Monthly Report July 2025'!O:O,MATCH(E48,'Monthly Report July 2025'!E:E,0),0)="Operational","Operational",INDEX('Monthly Report July 2025'!O:O,MATCH(E48,'Monthly Report July 2025'!E:E,0),0)="Certified","Certified",TRUE,"Pre-Certified")</f>
        <v>Operational</v>
      </c>
      <c r="H48" s="155" t="str" cm="1">
        <f t="array" ref="H48">INDEX('Monthly Report July 2025'!H:H,MATCH($E48,'Monthly Report July 2025'!$E:$E,0),0)</f>
        <v>TLS Capital</v>
      </c>
      <c r="I48" s="155" t="str" cm="1">
        <f t="array" ref="I48">INDEX('Monthly Report July 2025'!I:I,MATCH($E48,'Monthly Report July 2025'!$E:$E,0),0)</f>
        <v>Luminace</v>
      </c>
      <c r="J48" s="174" cm="1">
        <f t="array" ref="J48">INDEX('Monthly Report July 2025'!J:J,MATCH($E48,'Monthly Report July 2025'!$E:$E,0),0)</f>
        <v>2</v>
      </c>
      <c r="K48" s="174" t="str" cm="1">
        <f t="array" ref="K48">INDEX('Monthly Report July 2025'!K:K,MATCH($E48,'Monthly Report July 2025'!$E:$E,0),0)</f>
        <v>No</v>
      </c>
      <c r="L48" s="174" t="b" cm="1">
        <f t="array" ref="L48">INDEX('Monthly Report July 2025'!L:L,MATCH(E48,'Monthly Report July 2025'!E:E,0),0)=M48</f>
        <v>1</v>
      </c>
      <c r="M48" s="273" cm="1">
        <f t="array" ref="M48">INDEX('Monthly Report July 2025'!L:L,MATCH($E48,'Monthly Report July 2025'!$E:$E,0),0)</f>
        <v>2250</v>
      </c>
      <c r="N48" s="175" cm="1">
        <f t="array" ref="N48">INDEX('Monthly Report July 2025'!M:M,MATCH($E48,'Monthly Report July 2025'!$E:$E,0),0)</f>
        <v>44666</v>
      </c>
      <c r="O48" s="175" t="str" cm="1">
        <f t="array" ref="O48">_xlfn.IFS(G48="Operational","Operational",G48="Certified","Certified",TRUE,INDEX('Monthly Report July 2025'!O:O,MATCH(E48,'Monthly Report July 2025'!E:E,0),0))</f>
        <v>Operational</v>
      </c>
      <c r="P48" s="175" t="b" cm="1">
        <f t="array" ref="P48">_xlfn.IFS(G48="Operational",O48="Operational",G48="Certified",O48="Certified",TRUE,G48="Pre-Certified")</f>
        <v>1</v>
      </c>
      <c r="Q48" s="175" cm="1">
        <f t="array" ref="Q48">IF(O48="Operational",INDEX('Monthly Report July 2025'!R:R,MATCH(E48,'Monthly Report July 2025'!E:E,0),0),"")</f>
        <v>45681</v>
      </c>
      <c r="R48" s="175" cm="1">
        <f t="array" ref="R48">INDEX('Monthly Report July 2025'!P:P,MATCH(E48,'Monthly Report July 2025'!E:E,0),0)</f>
        <v>45595</v>
      </c>
      <c r="S48" s="175" t="b">
        <f t="shared" si="28"/>
        <v>1</v>
      </c>
      <c r="T48" s="175" cm="1">
        <f t="array" ref="T48">INDEX('Monthly Report July 2025'!U:U,MATCH(E48,'Monthly Report July 2025'!E:E,0),0)</f>
        <v>45548</v>
      </c>
      <c r="U48" s="175" t="str">
        <f t="shared" si="6"/>
        <v>IGNORE</v>
      </c>
      <c r="V48" s="156">
        <f t="shared" si="29"/>
        <v>45595</v>
      </c>
      <c r="W48" s="156" cm="1">
        <f t="array" ref="W48">_xlfn.IFS(U48=TRUE,EDATE(O48,6),U48=FALSE,T48,O48="Operational",Q48,AND(O48="Certified",EDATE(R48,6)&gt;T48),EDATE(R48,6),TRUE,T48)</f>
        <v>45681</v>
      </c>
      <c r="X48" s="156">
        <f t="shared" si="30"/>
        <v>45740</v>
      </c>
      <c r="Y48" s="157">
        <f t="shared" si="31"/>
        <v>1625.625</v>
      </c>
      <c r="Z48" s="202" cm="1">
        <f t="array" ref="Z48">_xlfn.IFS(Z$3&lt;$B$2,SUMPRODUCT(('PA Fees Actual'!$B$5:$B$882=$E48)*('PA Fees Actual'!$A$5:$A$882&gt;=Z$3)*('PA Fees Actual'!$A$5:$A$882&lt;=EOMONTH(Z$3,0))*'PA Fees Actual'!$D$5:$D$882),Z$3&gt;=EOMONTH($X48,-1)+1,$Y48,TRUE,0)</f>
        <v>0</v>
      </c>
      <c r="AA48" s="202" cm="1">
        <f t="array" ref="AA48">_xlfn.IFS(AA$3&lt;$B$2,SUMPRODUCT(('PA Fees Actual'!$B$5:$B$882=$E48)*('PA Fees Actual'!$A$5:$A$882&gt;=AA$3)*('PA Fees Actual'!$A$5:$A$882&lt;=EOMONTH(AA$3,0))*'PA Fees Actual'!$D$5:$D$882),AA$3&gt;=EOMONTH($X48,-1)+1,$Y48,TRUE,0)</f>
        <v>0</v>
      </c>
      <c r="AB48" s="202" cm="1">
        <f t="array" ref="AB48">_xlfn.IFS(AB$3&lt;$B$2,SUMPRODUCT(('PA Fees Actual'!$B$5:$B$882=$E48)*('PA Fees Actual'!$A$5:$A$882&gt;=AB$3)*('PA Fees Actual'!$A$5:$A$882&lt;=EOMONTH(AB$3,0))*'PA Fees Actual'!$D$5:$D$882),AB$3&gt;=EOMONTH($X48,-1)+1,$Y48,TRUE,0)</f>
        <v>0</v>
      </c>
      <c r="AC48" s="202" cm="1">
        <f t="array" ref="AC48">_xlfn.IFS(AC$3&lt;$B$2,SUMPRODUCT(('PA Fees Actual'!$B$5:$B$882=$E48)*('PA Fees Actual'!$A$5:$A$882&gt;=AC$3)*('PA Fees Actual'!$A$5:$A$882&lt;=EOMONTH(AC$3,0))*'PA Fees Actual'!$D$5:$D$882),AC$3&gt;=EOMONTH($X48,-1)+1,$Y48,TRUE,0)</f>
        <v>0</v>
      </c>
      <c r="AD48" s="202" cm="1">
        <f t="array" ref="AD48">_xlfn.IFS(AD$3&lt;$B$2,SUMPRODUCT(('PA Fees Actual'!$B$5:$B$882=$E48)*('PA Fees Actual'!$A$5:$A$882&gt;=AD$3)*('PA Fees Actual'!$A$5:$A$882&lt;=EOMONTH(AD$3,0))*'PA Fees Actual'!$D$5:$D$882),AD$3&gt;=EOMONTH($X48,-1)+1,$Y48,TRUE,0)</f>
        <v>0</v>
      </c>
      <c r="AE48" s="202" cm="1">
        <f t="array" ref="AE48">_xlfn.IFS(AE$3&lt;$B$2,SUMPRODUCT(('PA Fees Actual'!$B$5:$B$882=$E48)*('PA Fees Actual'!$A$5:$A$882&gt;=AE$3)*('PA Fees Actual'!$A$5:$A$882&lt;=EOMONTH(AE$3,0))*'PA Fees Actual'!$D$5:$D$882),AE$3&gt;=EOMONTH($X48,-1)+1,$Y48,TRUE,0)</f>
        <v>0</v>
      </c>
      <c r="AF48" s="202" cm="1">
        <f t="array" ref="AF48">_xlfn.IFS(AF$3&lt;$B$2,SUMPRODUCT(('PA Fees Actual'!$B$5:$B$882=$E48)*('PA Fees Actual'!$A$5:$A$882&gt;=AF$3)*('PA Fees Actual'!$A$5:$A$882&lt;=EOMONTH(AF$3,0))*'PA Fees Actual'!$D$5:$D$882),AF$3&gt;=EOMONTH($X48,-1)+1,$Y48,TRUE,0)</f>
        <v>0</v>
      </c>
      <c r="AG48" s="202" cm="1">
        <f t="array" ref="AG48">_xlfn.IFS(AG$3&lt;$B$2,SUMPRODUCT(('PA Fees Actual'!$B$5:$B$882=$E48)*('PA Fees Actual'!$A$5:$A$882&gt;=AG$3)*('PA Fees Actual'!$A$5:$A$882&lt;=EOMONTH(AG$3,0))*'PA Fees Actual'!$D$5:$D$882),AG$3&gt;=EOMONTH($X48,-1)+1,$Y48,TRUE,0)</f>
        <v>0</v>
      </c>
      <c r="AH48" s="202" cm="1">
        <f t="array" ref="AH48">_xlfn.IFS(AH$3&lt;$B$2,SUMPRODUCT(('PA Fees Actual'!$B$5:$B$882=$E48)*('PA Fees Actual'!$A$5:$A$882&gt;=AH$3)*('PA Fees Actual'!$A$5:$A$882&lt;=EOMONTH(AH$3,0))*'PA Fees Actual'!$D$5:$D$882),AH$3&gt;=EOMONTH($X48,-1)+1,$Y48,TRUE,0)</f>
        <v>0</v>
      </c>
      <c r="AI48" s="202" cm="1">
        <f t="array" ref="AI48">_xlfn.IFS(AI$3&lt;$B$2,SUMPRODUCT(('PA Fees Actual'!$B$5:$B$882=$E48)*('PA Fees Actual'!$A$5:$A$882&gt;=AI$3)*('PA Fees Actual'!$A$5:$A$882&lt;=EOMONTH(AI$3,0))*'PA Fees Actual'!$D$5:$D$882),AI$3&gt;=EOMONTH($X48,-1)+1,$Y48,TRUE,0)</f>
        <v>0</v>
      </c>
      <c r="AJ48" s="202" cm="1">
        <f t="array" ref="AJ48">_xlfn.IFS(AJ$3&lt;$B$2,SUMPRODUCT(('PA Fees Actual'!$B$5:$B$882=$E48)*('PA Fees Actual'!$A$5:$A$882&gt;=AJ$3)*('PA Fees Actual'!$A$5:$A$882&lt;=EOMONTH(AJ$3,0))*'PA Fees Actual'!$D$5:$D$882),AJ$3&gt;=EOMONTH($X48,-1)+1,$Y48,TRUE,0)</f>
        <v>0</v>
      </c>
      <c r="AK48" s="202" cm="1">
        <f t="array" ref="AK48">_xlfn.IFS(AK$3&lt;$B$2,SUMPRODUCT(('PA Fees Actual'!$B$5:$B$882=$E48)*('PA Fees Actual'!$A$5:$A$882&gt;=AK$3)*('PA Fees Actual'!$A$5:$A$882&lt;=EOMONTH(AK$3,0))*'PA Fees Actual'!$D$5:$D$882),AK$3&gt;=EOMONTH($X48,-1)+1,$Y48,TRUE,0)</f>
        <v>0</v>
      </c>
      <c r="AL48" s="202" cm="1">
        <f t="array" ref="AL48">_xlfn.IFS(AL$3&lt;$B$2,SUMPRODUCT(('PA Fees Actual'!$B$5:$B$882=$E48)*('PA Fees Actual'!$A$5:$A$882&gt;=AL$3)*('PA Fees Actual'!$A$5:$A$882&lt;=EOMONTH(AL$3,0))*'PA Fees Actual'!$D$5:$D$882),AL$3&gt;=EOMONTH($X48,-1)+1,$Y48,TRUE,0)</f>
        <v>0</v>
      </c>
      <c r="AM48" s="202" cm="1">
        <f t="array" ref="AM48">_xlfn.IFS(AM$3&lt;$B$2,SUMPRODUCT(('PA Fees Actual'!$B$5:$B$882=$E48)*('PA Fees Actual'!$A$5:$A$882&gt;=AM$3)*('PA Fees Actual'!$A$5:$A$882&lt;=EOMONTH(AM$3,0))*'PA Fees Actual'!$D$5:$D$882),AM$3&gt;=EOMONTH($X48,-1)+1,$Y48,TRUE,0)</f>
        <v>0</v>
      </c>
      <c r="AN48" s="202" cm="1">
        <f t="array" ref="AN48">_xlfn.IFS(AN$3&lt;$B$2,SUMPRODUCT(('PA Fees Actual'!$B$5:$B$882=$E48)*('PA Fees Actual'!$A$5:$A$882&gt;=AN$3)*('PA Fees Actual'!$A$5:$A$882&lt;=EOMONTH(AN$3,0))*'PA Fees Actual'!$D$5:$D$882),AN$3&gt;=EOMONTH($X48,-1)+1,$Y48,TRUE,0)</f>
        <v>0</v>
      </c>
      <c r="AO48" s="202" cm="1">
        <f t="array" ref="AO48">_xlfn.IFS(AO$3&lt;$B$2,SUMPRODUCT(('PA Fees Actual'!$B$5:$B$882=$E48)*('PA Fees Actual'!$A$5:$A$882&gt;=AO$3)*('PA Fees Actual'!$A$5:$A$882&lt;=EOMONTH(AO$3,0))*'PA Fees Actual'!$D$5:$D$882),AO$3&gt;=EOMONTH($X48,-1)+1,$Y48,TRUE,0)</f>
        <v>0</v>
      </c>
      <c r="AP48" s="202" cm="1">
        <f t="array" ref="AP48">_xlfn.IFS(AP$3&lt;$B$2,SUMPRODUCT(('PA Fees Actual'!$B$5:$B$882=$E48)*('PA Fees Actual'!$A$5:$A$882&gt;=AP$3)*('PA Fees Actual'!$A$5:$A$882&lt;=EOMONTH(AP$3,0))*'PA Fees Actual'!$D$5:$D$882),AP$3&gt;=EOMONTH($X48,-1)+1,$Y48,TRUE,0)</f>
        <v>0</v>
      </c>
      <c r="AQ48" s="202" cm="1">
        <f t="array" ref="AQ48">_xlfn.IFS(AQ$3&lt;$B$2,SUMPRODUCT(('PA Fees Actual'!$B$5:$B$882=$E48)*('PA Fees Actual'!$A$5:$A$882&gt;=AQ$3)*('PA Fees Actual'!$A$5:$A$882&lt;=EOMONTH(AQ$3,0))*'PA Fees Actual'!$D$5:$D$882),AQ$3&gt;=EOMONTH($X48,-1)+1,$Y48,TRUE,0)</f>
        <v>0</v>
      </c>
      <c r="AR48" s="202" cm="1">
        <f t="array" ref="AR48">_xlfn.IFS(AR$3&lt;$B$2,SUMPRODUCT(('PA Fees Actual'!$B$5:$B$882=$E48)*('PA Fees Actual'!$A$5:$A$882&gt;=AR$3)*('PA Fees Actual'!$A$5:$A$882&lt;=EOMONTH(AR$3,0))*'PA Fees Actual'!$D$5:$D$882),AR$3&gt;=EOMONTH($X48,-1)+1,$Y48,TRUE,0)</f>
        <v>0</v>
      </c>
      <c r="AS48" s="202" cm="1">
        <f t="array" ref="AS48">_xlfn.IFS(AS$3&lt;$B$2,SUMPRODUCT(('PA Fees Actual'!$B$5:$B$882=$E48)*('PA Fees Actual'!$A$5:$A$882&gt;=AS$3)*('PA Fees Actual'!$A$5:$A$882&lt;=EOMONTH(AS$3,0))*'PA Fees Actual'!$D$5:$D$882),AS$3&gt;=EOMONTH($X48,-1)+1,$Y48,TRUE,0)</f>
        <v>0</v>
      </c>
      <c r="AT48" s="202" cm="1">
        <f t="array" ref="AT48">_xlfn.IFS(AT$3&lt;$B$2,SUMPRODUCT(('PA Fees Actual'!$B$5:$B$882=$E48)*('PA Fees Actual'!$A$5:$A$882&gt;=AT$3)*('PA Fees Actual'!$A$5:$A$882&lt;=EOMONTH(AT$3,0))*'PA Fees Actual'!$D$5:$D$882),AT$3&gt;=EOMONTH($X48,-1)+1,$Y48,TRUE,0)</f>
        <v>0</v>
      </c>
      <c r="AU48" s="202" cm="1">
        <f t="array" ref="AU48">_xlfn.IFS(AU$3&lt;$B$2,SUMPRODUCT(('PA Fees Actual'!$B$5:$B$882=$E48)*('PA Fees Actual'!$A$5:$A$882&gt;=AU$3)*('PA Fees Actual'!$A$5:$A$882&lt;=EOMONTH(AU$3,0))*'PA Fees Actual'!$D$5:$D$882),AU$3&gt;=EOMONTH($X48,-1)+1,$Y48,TRUE,0)</f>
        <v>0</v>
      </c>
      <c r="AV48" s="202" cm="1">
        <f t="array" ref="AV48">_xlfn.IFS(AV$3&lt;$B$2,SUMPRODUCT(('PA Fees Actual'!$B$5:$B$882=$E48)*('PA Fees Actual'!$A$5:$A$882&gt;=AV$3)*('PA Fees Actual'!$A$5:$A$882&lt;=EOMONTH(AV$3,0))*'PA Fees Actual'!$D$5:$D$882),AV$3&gt;=EOMONTH($X48,-1)+1,$Y48,TRUE,0)</f>
        <v>0</v>
      </c>
      <c r="AW48" s="202" cm="1">
        <f t="array" ref="AW48">_xlfn.IFS(AW$3&lt;$B$2,SUMPRODUCT(('PA Fees Actual'!$B$5:$B$882=$E48)*('PA Fees Actual'!$A$5:$A$882&gt;=AW$3)*('PA Fees Actual'!$A$5:$A$882&lt;=EOMONTH(AW$3,0))*'PA Fees Actual'!$D$5:$D$882),AW$3&gt;=EOMONTH($X48,-1)+1,$Y48,TRUE,0)</f>
        <v>0</v>
      </c>
      <c r="AX48" s="202" cm="1">
        <f t="array" ref="AX48">_xlfn.IFS(AX$3&lt;$B$2,SUMPRODUCT(('PA Fees Actual'!$B$5:$B$882=$E48)*('PA Fees Actual'!$A$5:$A$882&gt;=AX$3)*('PA Fees Actual'!$A$5:$A$882&lt;=EOMONTH(AX$3,0))*'PA Fees Actual'!$D$5:$D$882),AX$3&gt;=EOMONTH($X48,-1)+1,$Y48,TRUE,0)</f>
        <v>0</v>
      </c>
      <c r="AY48" s="202" cm="1">
        <f t="array" ref="AY48">_xlfn.IFS(AY$3&lt;$B$2,SUMPRODUCT(('PA Fees Actual'!$B$5:$B$882=$E48)*('PA Fees Actual'!$A$5:$A$882&gt;=AY$3)*('PA Fees Actual'!$A$5:$A$882&lt;=EOMONTH(AY$3,0))*'PA Fees Actual'!$D$5:$D$882),AY$3&gt;=EOMONTH($X48,-1)+1,$Y48,TRUE,0)</f>
        <v>0</v>
      </c>
      <c r="AZ48" s="202" cm="1">
        <f t="array" ref="AZ48">_xlfn.IFS(AZ$3&lt;$B$2,SUMPRODUCT(('PA Fees Actual'!$B$5:$B$882=$E48)*('PA Fees Actual'!$A$5:$A$882&gt;=AZ$3)*('PA Fees Actual'!$A$5:$A$882&lt;=EOMONTH(AZ$3,0))*'PA Fees Actual'!$D$5:$D$882),AZ$3&gt;=EOMONTH($X48,-1)+1,$Y48,TRUE,0)</f>
        <v>0</v>
      </c>
      <c r="BA48" s="202" cm="1">
        <f t="array" ref="BA48">_xlfn.IFS(BA$3&lt;$B$2,SUMPRODUCT(('PA Fees Actual'!$B$5:$B$882=$E48)*('PA Fees Actual'!$A$5:$A$882&gt;=BA$3)*('PA Fees Actual'!$A$5:$A$882&lt;=EOMONTH(BA$3,0))*'PA Fees Actual'!$D$5:$D$882),BA$3&gt;=EOMONTH($X48,-1)+1,$Y48,TRUE,0)</f>
        <v>0</v>
      </c>
      <c r="BB48" s="202" cm="1">
        <f t="array" ref="BB48">_xlfn.IFS(BB$3&lt;$B$2,SUMPRODUCT(('PA Fees Actual'!$B$5:$B$882=$E48)*('PA Fees Actual'!$A$5:$A$882&gt;=BB$3)*('PA Fees Actual'!$A$5:$A$882&lt;=EOMONTH(BB$3,0))*'PA Fees Actual'!$D$5:$D$882),BB$3&gt;=EOMONTH($X48,-1)+1,$Y48,TRUE,0)</f>
        <v>0</v>
      </c>
      <c r="BC48" s="202" cm="1">
        <f t="array" ref="BC48">_xlfn.IFS(BC$3&lt;$B$2,SUMPRODUCT(('PA Fees Actual'!$B$5:$B$882=$E48)*('PA Fees Actual'!$A$5:$A$882&gt;=BC$3)*('PA Fees Actual'!$A$5:$A$882&lt;=EOMONTH(BC$3,0))*'PA Fees Actual'!$D$5:$D$882),BC$3&gt;=EOMONTH($X48,-1)+1,$Y48,TRUE,0)</f>
        <v>0</v>
      </c>
      <c r="BD48" s="202" cm="1">
        <f t="array" ref="BD48">_xlfn.IFS(BD$3&lt;$B$2,SUMPRODUCT(('PA Fees Actual'!$B$5:$B$882=$E48)*('PA Fees Actual'!$A$5:$A$882&gt;=BD$3)*('PA Fees Actual'!$A$5:$A$882&lt;=EOMONTH(BD$3,0))*'PA Fees Actual'!$D$5:$D$882),BD$3&gt;=EOMONTH($X48,-1)+1,$Y48,TRUE,0)</f>
        <v>0</v>
      </c>
      <c r="BE48" s="202" cm="1">
        <f t="array" ref="BE48">_xlfn.IFS(BE$3&lt;$B$2,SUMPRODUCT(('PA Fees Actual'!$B$5:$B$882=$E48)*('PA Fees Actual'!$A$5:$A$882&gt;=BE$3)*('PA Fees Actual'!$A$5:$A$882&lt;=EOMONTH(BE$3,0))*'PA Fees Actual'!$D$5:$D$882),BE$3&gt;=EOMONTH($X48,-1)+1,$Y48,TRUE,0)</f>
        <v>0</v>
      </c>
      <c r="BF48" s="202" cm="1">
        <f t="array" ref="BF48">_xlfn.IFS(BF$3&lt;$B$2,SUMPRODUCT(('PA Fees Actual'!$B$5:$B$882=$E48)*('PA Fees Actual'!$A$5:$A$882&gt;=BF$3)*('PA Fees Actual'!$A$5:$A$882&lt;=EOMONTH(BF$3,0))*'PA Fees Actual'!$D$5:$D$882),BF$3&gt;=EOMONTH($X48,-1)+1,$Y48,TRUE,0)</f>
        <v>0</v>
      </c>
      <c r="BG48" s="202" cm="1">
        <f t="array" ref="BG48">_xlfn.IFS(BG$3&lt;$B$2,SUMPRODUCT(('PA Fees Actual'!$B$5:$B$882=$E48)*('PA Fees Actual'!$A$5:$A$882&gt;=BG$3)*('PA Fees Actual'!$A$5:$A$882&lt;=EOMONTH(BG$3,0))*'PA Fees Actual'!$D$5:$D$882),BG$3&gt;=EOMONTH($X48,-1)+1,$Y48,TRUE,0)</f>
        <v>0</v>
      </c>
      <c r="BH48" s="202" cm="1">
        <f t="array" ref="BH48">_xlfn.IFS(BH$3&lt;$B$2,SUMPRODUCT(('PA Fees Actual'!$B$5:$B$882=$E48)*('PA Fees Actual'!$A$5:$A$882&gt;=BH$3)*('PA Fees Actual'!$A$5:$A$882&lt;=EOMONTH(BH$3,0))*'PA Fees Actual'!$D$5:$D$882),BH$3&gt;=EOMONTH($X48,-1)+1,$Y48,TRUE,0)</f>
        <v>0</v>
      </c>
      <c r="BI48" s="202" cm="1">
        <f t="array" ref="BI48">_xlfn.IFS(BI$3&lt;$B$2,SUMPRODUCT(('PA Fees Actual'!$B$5:$B$882=$E48)*('PA Fees Actual'!$A$5:$A$882&gt;=BI$3)*('PA Fees Actual'!$A$5:$A$882&lt;=EOMONTH(BI$3,0))*'PA Fees Actual'!$D$5:$D$882),BI$3&gt;=EOMONTH($X48,-1)+1,$Y48,TRUE,0)</f>
        <v>0</v>
      </c>
      <c r="BJ48" s="202" cm="1">
        <f t="array" ref="BJ48">_xlfn.IFS(BJ$3&lt;$B$2,SUMPRODUCT(('PA Fees Actual'!$B$5:$B$882=$E48)*('PA Fees Actual'!$A$5:$A$882&gt;=BJ$3)*('PA Fees Actual'!$A$5:$A$882&lt;=EOMONTH(BJ$3,0))*'PA Fees Actual'!$D$5:$D$882),BJ$3&gt;=EOMONTH($X48,-1)+1,$Y48,TRUE,0)</f>
        <v>0</v>
      </c>
      <c r="BK48" s="202" cm="1">
        <f t="array" ref="BK48">_xlfn.IFS(BK$3&lt;$B$2,SUMPRODUCT(('PA Fees Actual'!$B$5:$B$882=$E48)*('PA Fees Actual'!$A$5:$A$882&gt;=BK$3)*('PA Fees Actual'!$A$5:$A$882&lt;=EOMONTH(BK$3,0))*'PA Fees Actual'!$D$5:$D$882),BK$3&gt;=EOMONTH($X48,-1)+1,$Y48,TRUE,0)</f>
        <v>0</v>
      </c>
      <c r="BL48" s="202" cm="1">
        <f t="array" ref="BL48">_xlfn.IFS(BL$3&lt;$B$2,SUMPRODUCT(('PA Fees Actual'!$B$5:$B$882=$E48)*('PA Fees Actual'!$A$5:$A$882&gt;=BL$3)*('PA Fees Actual'!$A$5:$A$882&lt;=EOMONTH(BL$3,0))*'PA Fees Actual'!$D$5:$D$882),BL$3&gt;=EOMONTH($X48,-1)+1,$Y48,TRUE,0)</f>
        <v>0</v>
      </c>
      <c r="BM48" s="202" cm="1">
        <f t="array" ref="BM48">_xlfn.IFS(BM$3&lt;$B$2,SUMPRODUCT(('PA Fees Actual'!$B$5:$B$882=$E48)*('PA Fees Actual'!$A$5:$A$882&gt;=BM$3)*('PA Fees Actual'!$A$5:$A$882&lt;=EOMONTH(BM$3,0))*'PA Fees Actual'!$D$5:$D$882),BM$3&gt;=EOMONTH($X48,-1)+1,$Y48,TRUE,0)</f>
        <v>0</v>
      </c>
      <c r="BN48" s="202" cm="1">
        <f t="array" ref="BN48">_xlfn.IFS(BN$3&lt;$B$2,SUMPRODUCT(('PA Fees Actual'!$B$5:$B$882=$E48)*('PA Fees Actual'!$A$5:$A$882&gt;=BN$3)*('PA Fees Actual'!$A$5:$A$882&lt;=EOMONTH(BN$3,0))*'PA Fees Actual'!$D$5:$D$882),BN$3&gt;=EOMONTH($X48,-1)+1,$Y48,TRUE,0)</f>
        <v>0</v>
      </c>
      <c r="BO48" s="202" cm="1">
        <f t="array" ref="BO48">_xlfn.IFS(BO$3&lt;$B$2,SUMPRODUCT(('PA Fees Actual'!$B$5:$B$882=$E48)*('PA Fees Actual'!$A$5:$A$882&gt;=BO$3)*('PA Fees Actual'!$A$5:$A$882&lt;=EOMONTH(BO$3,0))*'PA Fees Actual'!$D$5:$D$882),BO$3&gt;=EOMONTH($X48,-1)+1,$Y48,TRUE,0)</f>
        <v>0</v>
      </c>
      <c r="BP48" s="202" cm="1">
        <f t="array" ref="BP48">_xlfn.IFS(BP$3&lt;$B$2,SUMPRODUCT(('PA Fees Actual'!$B$5:$B$882=$E48)*('PA Fees Actual'!$A$5:$A$882&gt;=BP$3)*('PA Fees Actual'!$A$5:$A$882&lt;=EOMONTH(BP$3,0))*'PA Fees Actual'!$D$5:$D$882),BP$3&gt;=EOMONTH($X48,-1)+1,$Y48,TRUE,0)</f>
        <v>0</v>
      </c>
      <c r="BQ48" s="202" cm="1">
        <f t="array" ref="BQ48">_xlfn.IFS(BQ$3&lt;$B$2,SUMPRODUCT(('PA Fees Actual'!$B$5:$B$882=$E48)*('PA Fees Actual'!$A$5:$A$882&gt;=BQ$3)*('PA Fees Actual'!$A$5:$A$882&lt;=EOMONTH(BQ$3,0))*'PA Fees Actual'!$D$5:$D$882),BQ$3&gt;=EOMONTH($X48,-1)+1,$Y48,TRUE,0)</f>
        <v>0</v>
      </c>
      <c r="BR48" s="202" cm="1">
        <f t="array" ref="BR48">_xlfn.IFS(BR$3&lt;$B$2,SUMPRODUCT(('PA Fees Actual'!$B$5:$B$882=$E48)*('PA Fees Actual'!$A$5:$A$882&gt;=BR$3)*('PA Fees Actual'!$A$5:$A$882&lt;=EOMONTH(BR$3,0))*'PA Fees Actual'!$D$5:$D$882),BR$3&gt;=EOMONTH($X48,-1)+1,$Y48,TRUE,0)</f>
        <v>0</v>
      </c>
      <c r="BS48" s="202" cm="1">
        <f t="array" ref="BS48">_xlfn.IFS(BS$3&lt;$B$2,SUMPRODUCT(('PA Fees Actual'!$B$5:$B$882=$E48)*('PA Fees Actual'!$A$5:$A$882&gt;=BS$3)*('PA Fees Actual'!$A$5:$A$882&lt;=EOMONTH(BS$3,0))*'PA Fees Actual'!$D$5:$D$882),BS$3&gt;=EOMONTH($X48,-1)+1,$Y48,TRUE,0)</f>
        <v>0</v>
      </c>
      <c r="BT48" s="202" cm="1">
        <f t="array" ref="BT48">_xlfn.IFS(BT$3&lt;$B$2,SUMPRODUCT(('PA Fees Actual'!$B$5:$B$882=$E48)*('PA Fees Actual'!$A$5:$A$882&gt;=BT$3)*('PA Fees Actual'!$A$5:$A$882&lt;=EOMONTH(BT$3,0))*'PA Fees Actual'!$D$5:$D$882),BT$3&gt;=EOMONTH($X48,-1)+1,$Y48,TRUE,0)</f>
        <v>0</v>
      </c>
      <c r="BU48" s="202" cm="1">
        <f t="array" ref="BU48">_xlfn.IFS(BU$3&lt;$B$2,SUMPRODUCT(('PA Fees Actual'!$B$5:$B$882=$E48)*('PA Fees Actual'!$A$5:$A$882&gt;=BU$3)*('PA Fees Actual'!$A$5:$A$882&lt;=EOMONTH(BU$3,0))*'PA Fees Actual'!$D$5:$D$882),BU$3&gt;=EOMONTH($X48,-1)+1,$Y48,TRUE,0)</f>
        <v>0</v>
      </c>
      <c r="BV48" s="202" cm="1">
        <f t="array" ref="BV48">_xlfn.IFS(BV$3&lt;$B$2,SUMPRODUCT(('PA Fees Actual'!$B$5:$B$882=$E48)*('PA Fees Actual'!$A$5:$A$882&gt;=BV$3)*('PA Fees Actual'!$A$5:$A$882&lt;=EOMONTH(BV$3,0))*'PA Fees Actual'!$D$5:$D$882),BV$3&gt;=EOMONTH($X48,-1)+1,$Y48,TRUE,0)</f>
        <v>0</v>
      </c>
      <c r="BW48" s="202" cm="1">
        <f t="array" ref="BW48">_xlfn.IFS(BW$3&lt;$B$2,SUMPRODUCT(('PA Fees Actual'!$B$5:$B$882=$E48)*('PA Fees Actual'!$A$5:$A$882&gt;=BW$3)*('PA Fees Actual'!$A$5:$A$882&lt;=EOMONTH(BW$3,0))*'PA Fees Actual'!$D$5:$D$882),BW$3&gt;=EOMONTH($X48,-1)+1,$Y48,TRUE,0)</f>
        <v>0</v>
      </c>
      <c r="BX48" s="202" cm="1">
        <f t="array" ref="BX48">_xlfn.IFS(BX$3&lt;$B$2,SUMPRODUCT(('PA Fees Actual'!$B$5:$B$882=$E48)*('PA Fees Actual'!$A$5:$A$882&gt;=BX$3)*('PA Fees Actual'!$A$5:$A$882&lt;=EOMONTH(BX$3,0))*'PA Fees Actual'!$D$5:$D$882),BX$3&gt;=EOMONTH($X48,-1)+1,$Y48,TRUE,0)</f>
        <v>0</v>
      </c>
      <c r="BY48" s="202" cm="1">
        <f t="array" ref="BY48">_xlfn.IFS(BY$3&lt;$B$2,SUMPRODUCT(('PA Fees Actual'!$B$5:$B$882=$E48)*('PA Fees Actual'!$A$5:$A$882&gt;=BY$3)*('PA Fees Actual'!$A$5:$A$882&lt;=EOMONTH(BY$3,0))*'PA Fees Actual'!$D$5:$D$882),BY$3&gt;=EOMONTH($X48,-1)+1,$Y48,TRUE,0)</f>
        <v>0</v>
      </c>
      <c r="BZ48" s="202" cm="1">
        <f t="array" ref="BZ48">_xlfn.IFS(BZ$3&lt;$B$2,SUMPRODUCT(('PA Fees Actual'!$B$5:$B$882=$E48)*('PA Fees Actual'!$A$5:$A$882&gt;=BZ$3)*('PA Fees Actual'!$A$5:$A$882&lt;=EOMONTH(BZ$3,0))*'PA Fees Actual'!$D$5:$D$882),BZ$3&gt;=EOMONTH($X48,-1)+1,$Y48,TRUE,0)</f>
        <v>1702.79</v>
      </c>
      <c r="CA48" s="202" cm="1">
        <f t="array" ref="CA48">_xlfn.IFS(CA$3&lt;$B$2,SUMPRODUCT(('PA Fees Actual'!$B$5:$B$882=$E48)*('PA Fees Actual'!$A$5:$A$882&gt;=CA$3)*('PA Fees Actual'!$A$5:$A$882&lt;=EOMONTH(CA$3,0))*'PA Fees Actual'!$D$5:$D$882),CA$3&gt;=EOMONTH($X48,-1)+1,$Y48,TRUE,0)</f>
        <v>0</v>
      </c>
      <c r="CB48" s="202" cm="1">
        <f t="array" ref="CB48">_xlfn.IFS(CB$3&lt;$B$2,SUMPRODUCT(('PA Fees Actual'!$B$5:$B$882=$E48)*('PA Fees Actual'!$A$5:$A$882&gt;=CB$3)*('PA Fees Actual'!$A$5:$A$882&lt;=EOMONTH(CB$3,0))*'PA Fees Actual'!$D$5:$D$882),CB$3&gt;=EOMONTH($X48,-1)+1,$Y48,TRUE,0)</f>
        <v>1625.625</v>
      </c>
      <c r="CC48" s="202" cm="1">
        <f t="array" ref="CC48">_xlfn.IFS(CC$3&lt;$B$2,SUMPRODUCT(('PA Fees Actual'!$B$5:$B$882=$E48)*('PA Fees Actual'!$A$5:$A$882&gt;=CC$3)*('PA Fees Actual'!$A$5:$A$882&lt;=EOMONTH(CC$3,0))*'PA Fees Actual'!$D$5:$D$882),CC$3&gt;=EOMONTH($X48,-1)+1,$Y48,TRUE,0)</f>
        <v>1625.625</v>
      </c>
      <c r="CD48" s="202" cm="1">
        <f t="array" ref="CD48">_xlfn.IFS(CD$3&lt;$B$2,SUMPRODUCT(('PA Fees Actual'!$B$5:$B$882=$E48)*('PA Fees Actual'!$A$5:$A$882&gt;=CD$3)*('PA Fees Actual'!$A$5:$A$882&lt;=EOMONTH(CD$3,0))*'PA Fees Actual'!$D$5:$D$882),CD$3&gt;=EOMONTH($X48,-1)+1,$Y48,TRUE,0)</f>
        <v>1625.625</v>
      </c>
      <c r="CE48" s="202" cm="1">
        <f t="array" ref="CE48">_xlfn.IFS(CE$3&lt;$B$2,SUMPRODUCT(('PA Fees Actual'!$B$5:$B$882=$E48)*('PA Fees Actual'!$A$5:$A$882&gt;=CE$3)*('PA Fees Actual'!$A$5:$A$882&lt;=EOMONTH(CE$3,0))*'PA Fees Actual'!$D$5:$D$882),CE$3&gt;=EOMONTH($X48,-1)+1,$Y48,TRUE,0)</f>
        <v>1625.625</v>
      </c>
      <c r="CF48" s="202" cm="1">
        <f t="array" ref="CF48">_xlfn.IFS(CF$3&lt;$B$2,SUMPRODUCT(('PA Fees Actual'!$B$5:$B$882=$E48)*('PA Fees Actual'!$A$5:$A$882&gt;=CF$3)*('PA Fees Actual'!$A$5:$A$882&lt;=EOMONTH(CF$3,0))*'PA Fees Actual'!$D$5:$D$882),CF$3&gt;=EOMONTH($X48,-1)+1,$Y48,TRUE,0)</f>
        <v>1625.625</v>
      </c>
      <c r="CG48" s="202" cm="1">
        <f t="array" ref="CG48">_xlfn.IFS(CG$3&lt;$B$2,SUMPRODUCT(('PA Fees Actual'!$B$5:$B$882=$E48)*('PA Fees Actual'!$A$5:$A$882&gt;=CG$3)*('PA Fees Actual'!$A$5:$A$882&lt;=EOMONTH(CG$3,0))*'PA Fees Actual'!$D$5:$D$882),CG$3&gt;=EOMONTH($X48,-1)+1,$Y48,TRUE,0)</f>
        <v>1625.625</v>
      </c>
      <c r="CI48" s="202" cm="1">
        <f t="array" ref="CI48">_xlfn.IFS(CI$3&lt;=YEAR($B$2),SUMPRODUCT(($E$4:$E$79=$E48)*($Z$2:$CG$2=CI$3)*($Z$2:$CG$2&lt;CJ$3)*$Z$4:$CG$79),CI$3&lt;YEAR($X48),0,CI$3=YEAR($X48),DATEDIF($X48,DATE(CI$3,12,31),"m")*$Y48,AND(CI$3&gt;YEAR($X48),CI$3-YEAR($X48)&lt;20),$Y48*12,CI$3-YEAR($X48)=20,DATEDIF(DATE(YEAR($X48),1,1),$X48,"m")*$Y48,CI$3-YEAR($X48)&gt;20,0)</f>
        <v>0</v>
      </c>
      <c r="CJ48" s="202" cm="1">
        <f t="array" ref="CJ48">_xlfn.IFS(CJ$3&lt;=YEAR($B$2),SUMPRODUCT(($E$4:$E$79=$E48)*($Z$2:$CG$2=CJ$3)*($Z$2:$CG$2&lt;CK$3)*$Z$4:$CG$79),CJ$3&lt;YEAR($X48),0,CJ$3=YEAR($X48),DATEDIF($X48,DATE(CJ$3,12,31),"m")*$Y48,AND(CJ$3&gt;YEAR($X48),CJ$3-YEAR($X48)&lt;20),$Y48*12,CJ$3-YEAR($X48)=20,DATEDIF(DATE(YEAR($X48),1,1),$X48,"m")*$Y48,CJ$3-YEAR($X48)&gt;20,0)</f>
        <v>0</v>
      </c>
      <c r="CK48" s="202" cm="1">
        <f t="array" ref="CK48">_xlfn.IFS(CK$3&lt;=YEAR($B$2),SUMPRODUCT(($E$4:$E$79=$E48)*($Z$2:$CG$2=CK$3)*($Z$2:$CG$2&lt;CL$3)*$Z$4:$CG$79),CK$3&lt;YEAR($X48),0,CK$3=YEAR($X48),DATEDIF($X48,DATE(CK$3,12,31),"m")*$Y48,AND(CK$3&gt;YEAR($X48),CK$3-YEAR($X48)&lt;20),$Y48*12,CK$3-YEAR($X48)=20,DATEDIF(DATE(YEAR($X48),1,1),$X48,"m")*$Y48,CK$3-YEAR($X48)&gt;20,0)</f>
        <v>0</v>
      </c>
      <c r="CL48" s="202" cm="1">
        <f t="array" ref="CL48">_xlfn.IFS(CL$3&lt;=YEAR($B$2),SUMPRODUCT(($E$4:$E$79=$E48)*($Z$2:$CG$2=CL$3)*($Z$2:$CG$2&lt;CM$3)*$Z$4:$CG$79),CL$3&lt;YEAR($X48),0,CL$3=YEAR($X48),DATEDIF($X48,DATE(CL$3,12,31),"m")*$Y48,AND(CL$3&gt;YEAR($X48),CL$3-YEAR($X48)&lt;20),$Y48*12,CL$3-YEAR($X48)=20,DATEDIF(DATE(YEAR($X48),1,1),$X48,"m")*$Y48,CL$3-YEAR($X48)&gt;20,0)</f>
        <v>0</v>
      </c>
      <c r="CM48" s="202" cm="1">
        <f t="array" ref="CM48">_xlfn.IFS(CM$3&lt;=YEAR($B$2),SUMPRODUCT(($E$4:$E$79=$E48)*($Z$2:$CG$2=CM$3)*($Z$2:$CG$2&lt;CN$3)*$Z$4:$CG$79),CM$3&lt;YEAR($X48),0,CM$3=YEAR($X48),DATEDIF($X48,DATE(CM$3,12,31),"m")*$Y48,AND(CM$3&gt;YEAR($X48),CM$3-YEAR($X48)&lt;20),$Y48*12,CM$3-YEAR($X48)=20,DATEDIF(DATE(YEAR($X48),1,1),$X48,"m")*$Y48,CM$3-YEAR($X48)&gt;20,0)</f>
        <v>11456.54</v>
      </c>
      <c r="CN48" s="202" cm="1">
        <f t="array" ref="CN48">_xlfn.IFS(CN$3&lt;=YEAR($B$2),SUMPRODUCT(($E$4:$E$79=$E48)*($Z$2:$CG$2=CN$3)*($Z$2:$CG$2&lt;CO$3)*$Z$4:$CG$79),CN$3&lt;YEAR($X48),0,CN$3=YEAR($X48),DATEDIF($X48,DATE(CN$3,12,31),"m")*$Y48,AND(CN$3&gt;YEAR($X48),CN$3-YEAR($X48)&lt;20),$Y48*12,CN$3-YEAR($X48)=20,DATEDIF(DATE(YEAR($X48),1,1),$X48,"m")*$Y48,CN$3-YEAR($X48)&gt;20,0)</f>
        <v>19507.5</v>
      </c>
      <c r="CO48" s="202" cm="1">
        <f t="array" ref="CO48">_xlfn.IFS(CO$3&lt;=YEAR($B$2),SUMPRODUCT(($E$4:$E$79=$E48)*($Z$2:$CG$2=CO$3)*($Z$2:$CG$2&lt;CP$3)*$Z$4:$CG$79),CO$3&lt;YEAR($X48),0,CO$3=YEAR($X48),DATEDIF($X48,DATE(CO$3,12,31),"m")*$Y48,AND(CO$3&gt;YEAR($X48),CO$3-YEAR($X48)&lt;20),$Y48*12,CO$3-YEAR($X48)=20,DATEDIF(DATE(YEAR($X48),1,1),$X48,"m")*$Y48,CO$3-YEAR($X48)&gt;20,0)</f>
        <v>19507.5</v>
      </c>
      <c r="CP48" s="202" cm="1">
        <f t="array" ref="CP48">_xlfn.IFS(CP$3&lt;=YEAR($B$2),SUMPRODUCT(($E$4:$E$79=$E48)*($Z$2:$CG$2=CP$3)*($Z$2:$CG$2&lt;CQ$3)*$Z$4:$CG$79),CP$3&lt;YEAR($X48),0,CP$3=YEAR($X48),DATEDIF($X48,DATE(CP$3,12,31),"m")*$Y48,AND(CP$3&gt;YEAR($X48),CP$3-YEAR($X48)&lt;20),$Y48*12,CP$3-YEAR($X48)=20,DATEDIF(DATE(YEAR($X48),1,1),$X48,"m")*$Y48,CP$3-YEAR($X48)&gt;20,0)</f>
        <v>19507.5</v>
      </c>
      <c r="CQ48" s="202" cm="1">
        <f t="array" ref="CQ48">_xlfn.IFS(CQ$3&lt;=YEAR($B$2),SUMPRODUCT(($E$4:$E$79=$E48)*($Z$2:$CG$2=CQ$3)*($Z$2:$CG$2&lt;CR$3)*$Z$4:$CG$79),CQ$3&lt;YEAR($X48),0,CQ$3=YEAR($X48),DATEDIF($X48,DATE(CQ$3,12,31),"m")*$Y48,AND(CQ$3&gt;YEAR($X48),CQ$3-YEAR($X48)&lt;20),$Y48*12,CQ$3-YEAR($X48)=20,DATEDIF(DATE(YEAR($X48),1,1),$X48,"m")*$Y48,CQ$3-YEAR($X48)&gt;20,0)</f>
        <v>19507.5</v>
      </c>
      <c r="CR48" s="202" cm="1">
        <f t="array" ref="CR48">_xlfn.IFS(CR$3&lt;=YEAR($B$2),SUMPRODUCT(($E$4:$E$79=$E48)*($Z$2:$CG$2=CR$3)*($Z$2:$CG$2&lt;CS$3)*$Z$4:$CG$79),CR$3&lt;YEAR($X48),0,CR$3=YEAR($X48),DATEDIF($X48,DATE(CR$3,12,31),"m")*$Y48,AND(CR$3&gt;YEAR($X48),CR$3-YEAR($X48)&lt;20),$Y48*12,CR$3-YEAR($X48)=20,DATEDIF(DATE(YEAR($X48),1,1),$X48,"m")*$Y48,CR$3-YEAR($X48)&gt;20,0)</f>
        <v>19507.5</v>
      </c>
      <c r="CS48" s="202" cm="1">
        <f t="array" ref="CS48">_xlfn.IFS(CS$3&lt;=YEAR($B$2),SUMPRODUCT(($E$4:$E$79=$E48)*($Z$2:$CG$2=CS$3)*($Z$2:$CG$2&lt;CT$3)*$Z$4:$CG$79),CS$3&lt;YEAR($X48),0,CS$3=YEAR($X48),DATEDIF($X48,DATE(CS$3,12,31),"m")*$Y48,AND(CS$3&gt;YEAR($X48),CS$3-YEAR($X48)&lt;20),$Y48*12,CS$3-YEAR($X48)=20,DATEDIF(DATE(YEAR($X48),1,1),$X48,"m")*$Y48,CS$3-YEAR($X48)&gt;20,0)</f>
        <v>19507.5</v>
      </c>
      <c r="CT48" s="202" cm="1">
        <f t="array" ref="CT48">_xlfn.IFS(CT$3&lt;=YEAR($B$2),SUMPRODUCT(($E$4:$E$79=$E48)*($Z$2:$CG$2=CT$3)*($Z$2:$CG$2&lt;CU$3)*$Z$4:$CG$79),CT$3&lt;YEAR($X48),0,CT$3=YEAR($X48),DATEDIF($X48,DATE(CT$3,12,31),"m")*$Y48,AND(CT$3&gt;YEAR($X48),CT$3-YEAR($X48)&lt;20),$Y48*12,CT$3-YEAR($X48)=20,DATEDIF(DATE(YEAR($X48),1,1),$X48,"m")*$Y48,CT$3-YEAR($X48)&gt;20,0)</f>
        <v>19507.5</v>
      </c>
      <c r="CU48" s="202" cm="1">
        <f t="array" ref="CU48">_xlfn.IFS(CU$3&lt;=YEAR($B$2),SUMPRODUCT(($E$4:$E$79=$E48)*($Z$2:$CG$2=CU$3)*($Z$2:$CG$2&lt;CV$3)*$Z$4:$CG$79),CU$3&lt;YEAR($X48),0,CU$3=YEAR($X48),DATEDIF($X48,DATE(CU$3,12,31),"m")*$Y48,AND(CU$3&gt;YEAR($X48),CU$3-YEAR($X48)&lt;20),$Y48*12,CU$3-YEAR($X48)=20,DATEDIF(DATE(YEAR($X48),1,1),$X48,"m")*$Y48,CU$3-YEAR($X48)&gt;20,0)</f>
        <v>19507.5</v>
      </c>
      <c r="CV48" s="202" cm="1">
        <f t="array" ref="CV48">_xlfn.IFS(CV$3&lt;=YEAR($B$2),SUMPRODUCT(($E$4:$E$79=$E48)*($Z$2:$CG$2=CV$3)*($Z$2:$CG$2&lt;CW$3)*$Z$4:$CG$79),CV$3&lt;YEAR($X48),0,CV$3=YEAR($X48),DATEDIF($X48,DATE(CV$3,12,31),"m")*$Y48,AND(CV$3&gt;YEAR($X48),CV$3-YEAR($X48)&lt;20),$Y48*12,CV$3-YEAR($X48)=20,DATEDIF(DATE(YEAR($X48),1,1),$X48,"m")*$Y48,CV$3-YEAR($X48)&gt;20,0)</f>
        <v>19507.5</v>
      </c>
      <c r="CW48" s="202" cm="1">
        <f t="array" ref="CW48">_xlfn.IFS(CW$3&lt;=YEAR($B$2),SUMPRODUCT(($E$4:$E$79=$E48)*($Z$2:$CG$2=CW$3)*($Z$2:$CG$2&lt;CX$3)*$Z$4:$CG$79),CW$3&lt;YEAR($X48),0,CW$3=YEAR($X48),DATEDIF($X48,DATE(CW$3,12,31),"m")*$Y48,AND(CW$3&gt;YEAR($X48),CW$3-YEAR($X48)&lt;20),$Y48*12,CW$3-YEAR($X48)=20,DATEDIF(DATE(YEAR($X48),1,1),$X48,"m")*$Y48,CW$3-YEAR($X48)&gt;20,0)</f>
        <v>19507.5</v>
      </c>
      <c r="CX48" s="202" cm="1">
        <f t="array" ref="CX48">_xlfn.IFS(CX$3&lt;=YEAR($B$2),SUMPRODUCT(($E$4:$E$79=$E48)*($Z$2:$CG$2=CX$3)*($Z$2:$CG$2&lt;CY$3)*$Z$4:$CG$79),CX$3&lt;YEAR($X48),0,CX$3=YEAR($X48),DATEDIF($X48,DATE(CX$3,12,31),"m")*$Y48,AND(CX$3&gt;YEAR($X48),CX$3-YEAR($X48)&lt;20),$Y48*12,CX$3-YEAR($X48)=20,DATEDIF(DATE(YEAR($X48),1,1),$X48,"m")*$Y48,CX$3-YEAR($X48)&gt;20,0)</f>
        <v>19507.5</v>
      </c>
      <c r="CY48" s="202" cm="1">
        <f t="array" ref="CY48">_xlfn.IFS(CY$3&lt;=YEAR($B$2),SUMPRODUCT(($E$4:$E$79=$E48)*($Z$2:$CG$2=CY$3)*($Z$2:$CG$2&lt;CZ$3)*$Z$4:$CG$79),CY$3&lt;YEAR($X48),0,CY$3=YEAR($X48),DATEDIF($X48,DATE(CY$3,12,31),"m")*$Y48,AND(CY$3&gt;YEAR($X48),CY$3-YEAR($X48)&lt;20),$Y48*12,CY$3-YEAR($X48)=20,DATEDIF(DATE(YEAR($X48),1,1),$X48,"m")*$Y48,CY$3-YEAR($X48)&gt;20,0)</f>
        <v>19507.5</v>
      </c>
      <c r="CZ48" s="202" cm="1">
        <f t="array" ref="CZ48">_xlfn.IFS(CZ$3&lt;=YEAR($B$2),SUMPRODUCT(($E$4:$E$79=$E48)*($Z$2:$CG$2=CZ$3)*($Z$2:$CG$2&lt;DA$3)*$Z$4:$CG$79),CZ$3&lt;YEAR($X48),0,CZ$3=YEAR($X48),DATEDIF($X48,DATE(CZ$3,12,31),"m")*$Y48,AND(CZ$3&gt;YEAR($X48),CZ$3-YEAR($X48)&lt;20),$Y48*12,CZ$3-YEAR($X48)=20,DATEDIF(DATE(YEAR($X48),1,1),$X48,"m")*$Y48,CZ$3-YEAR($X48)&gt;20,0)</f>
        <v>19507.5</v>
      </c>
      <c r="DA48" s="202" cm="1">
        <f t="array" ref="DA48">_xlfn.IFS(DA$3&lt;=YEAR($B$2),SUMPRODUCT(($E$4:$E$79=$E48)*($Z$2:$CG$2=DA$3)*($Z$2:$CG$2&lt;DB$3)*$Z$4:$CG$79),DA$3&lt;YEAR($X48),0,DA$3=YEAR($X48),DATEDIF($X48,DATE(DA$3,12,31),"m")*$Y48,AND(DA$3&gt;YEAR($X48),DA$3-YEAR($X48)&lt;20),$Y48*12,DA$3-YEAR($X48)=20,DATEDIF(DATE(YEAR($X48),1,1),$X48,"m")*$Y48,DA$3-YEAR($X48)&gt;20,0)</f>
        <v>19507.5</v>
      </c>
      <c r="DB48" s="202" cm="1">
        <f t="array" ref="DB48">_xlfn.IFS(DB$3&lt;=YEAR($B$2),SUMPRODUCT(($E$4:$E$79=$E48)*($Z$2:$CG$2=DB$3)*($Z$2:$CG$2&lt;DC$3)*$Z$4:$CG$79),DB$3&lt;YEAR($X48),0,DB$3=YEAR($X48),DATEDIF($X48,DATE(DB$3,12,31),"m")*$Y48,AND(DB$3&gt;YEAR($X48),DB$3-YEAR($X48)&lt;20),$Y48*12,DB$3-YEAR($X48)=20,DATEDIF(DATE(YEAR($X48),1,1),$X48,"m")*$Y48,DB$3-YEAR($X48)&gt;20,0)</f>
        <v>19507.5</v>
      </c>
      <c r="DC48" s="202" cm="1">
        <f t="array" ref="DC48">_xlfn.IFS(DC$3&lt;=YEAR($B$2),SUMPRODUCT(($E$4:$E$79=$E48)*($Z$2:$CG$2=DC$3)*($Z$2:$CG$2&lt;DD$3)*$Z$4:$CG$79),DC$3&lt;YEAR($X48),0,DC$3=YEAR($X48),DATEDIF($X48,DATE(DC$3,12,31),"m")*$Y48,AND(DC$3&gt;YEAR($X48),DC$3-YEAR($X48)&lt;20),$Y48*12,DC$3-YEAR($X48)=20,DATEDIF(DATE(YEAR($X48),1,1),$X48,"m")*$Y48,DC$3-YEAR($X48)&gt;20,0)</f>
        <v>19507.5</v>
      </c>
      <c r="DD48" s="202" cm="1">
        <f t="array" ref="DD48">_xlfn.IFS(DD$3&lt;=YEAR($B$2),SUMPRODUCT(($E$4:$E$79=$E48)*($Z$2:$CG$2=DD$3)*($Z$2:$CG$2&lt;DE$3)*$Z$4:$CG$79),DD$3&lt;YEAR($X48),0,DD$3=YEAR($X48),DATEDIF($X48,DATE(DD$3,12,31),"m")*$Y48,AND(DD$3&gt;YEAR($X48),DD$3-YEAR($X48)&lt;20),$Y48*12,DD$3-YEAR($X48)=20,DATEDIF(DATE(YEAR($X48),1,1),$X48,"m")*$Y48,DD$3-YEAR($X48)&gt;20,0)</f>
        <v>19507.5</v>
      </c>
      <c r="DE48" s="202" cm="1">
        <f t="array" ref="DE48">_xlfn.IFS(DE$3&lt;=YEAR($B$2),SUMPRODUCT(($E$4:$E$79=$E48)*($Z$2:$CG$2=DE$3)*($Z$2:$CG$2&lt;DF$3)*$Z$4:$CG$79),DE$3&lt;YEAR($X48),0,DE$3=YEAR($X48),DATEDIF($X48,DATE(DE$3,12,31),"m")*$Y48,AND(DE$3&gt;YEAR($X48),DE$3-YEAR($X48)&lt;20),$Y48*12,DE$3-YEAR($X48)=20,DATEDIF(DATE(YEAR($X48),1,1),$X48,"m")*$Y48,DE$3-YEAR($X48)&gt;20,0)</f>
        <v>19507.5</v>
      </c>
      <c r="DF48" s="202" cm="1">
        <f t="array" ref="DF48">_xlfn.IFS(DF$3&lt;=YEAR($B$2),SUMPRODUCT(($E$4:$E$79=$E48)*($Z$2:$CG$2=DF$3)*($Z$2:$CG$2&lt;DG$3)*$Z$4:$CG$79),DF$3&lt;YEAR($X48),0,DF$3=YEAR($X48),DATEDIF($X48,DATE(DF$3,12,31),"m")*$Y48,AND(DF$3&gt;YEAR($X48),DF$3-YEAR($X48)&lt;20),$Y48*12,DF$3-YEAR($X48)=20,DATEDIF(DATE(YEAR($X48),1,1),$X48,"m")*$Y48,DF$3-YEAR($X48)&gt;20,0)</f>
        <v>19507.5</v>
      </c>
      <c r="DG48" s="202" cm="1">
        <f t="array" ref="DG48">_xlfn.IFS(DG$3&lt;=YEAR($B$2),SUMPRODUCT(($E$4:$E$79=$E48)*($Z$2:$CG$2=DG$3)*($Z$2:$CG$2&lt;DH$3)*$Z$4:$CG$79),DG$3&lt;YEAR($X48),0,DG$3=YEAR($X48),DATEDIF($X48,DATE(DG$3,12,31),"m")*$Y48,AND(DG$3&gt;YEAR($X48),DG$3-YEAR($X48)&lt;20),$Y48*12,DG$3-YEAR($X48)=20,DATEDIF(DATE(YEAR($X48),1,1),$X48,"m")*$Y48,DG$3-YEAR($X48)&gt;20,0)</f>
        <v>3251.25</v>
      </c>
      <c r="DH48" s="202" cm="1">
        <f t="array" ref="DH48">_xlfn.IFS(DH$3&lt;=YEAR($B$2),SUMPRODUCT(($E$4:$E$79=$E48)*($Z$2:$CG$2=DH$3)*($Z$2:$CG$2&lt;DI$3)*$Z$4:$CG$79),DH$3&lt;YEAR($X48),0,DH$3=YEAR($X48),DATEDIF($X48,DATE(DH$3,12,31),"m")*$Y48,AND(DH$3&gt;YEAR($X48),DH$3-YEAR($X48)&lt;20),$Y48*12,DH$3-YEAR($X48)=20,DATEDIF(DATE(YEAR($X48),1,1),$X48,"m")*$Y48,DH$3-YEAR($X48)&gt;20,0)</f>
        <v>0</v>
      </c>
      <c r="DI48" s="202" cm="1">
        <f t="array" ref="DI48">_xlfn.IFS(DI$3&lt;=YEAR($B$2),SUMPRODUCT(($E$4:$E$79=$E48)*($Z$2:$CG$2=DI$3)*($Z$2:$CG$2&lt;DJ$3)*$Z$4:$CG$79),DI$3&lt;YEAR($X48),0,DI$3=YEAR($X48),DATEDIF($X48,DATE(DI$3,12,31),"m")*$Y48,AND(DI$3&gt;YEAR($X48),DI$3-YEAR($X48)&lt;20),$Y48*12,DI$3-YEAR($X48)=20,DATEDIF(DATE(YEAR($X48),1,1),$X48,"m")*$Y48,DI$3-YEAR($X48)&gt;20,0)</f>
        <v>0</v>
      </c>
      <c r="DJ48" s="202" cm="1">
        <f t="array" ref="DJ48">_xlfn.IFS(DJ$3&lt;=YEAR($B$2),SUMPRODUCT(($E$4:$E$79=$E48)*($Z$2:$CG$2=DJ$3)*($Z$2:$CG$2&lt;DK$3)*$Z$4:$CG$79),DJ$3&lt;YEAR($X48),0,DJ$3=YEAR($X48),DATEDIF($X48,DATE(DJ$3,12,31),"m")*$Y48,AND(DJ$3&gt;YEAR($X48),DJ$3-YEAR($X48)&lt;20),$Y48*12,DJ$3-YEAR($X48)=20,DATEDIF(DATE(YEAR($X48),1,1),$X48,"m")*$Y48,DJ$3-YEAR($X48)&gt;20,0)</f>
        <v>0</v>
      </c>
      <c r="DK48" s="202" cm="1">
        <f t="array" ref="DK48">_xlfn.IFS(DK$3&lt;=YEAR($B$2),SUMPRODUCT(($E$4:$E$79=$E48)*($Z$2:$CG$2=DK$3)*($Z$2:$CG$2&lt;DL$3)*$Z$4:$CG$79),DK$3&lt;YEAR($X48),0,DK$3=YEAR($X48),DATEDIF($X48,DATE(DK$3,12,31),"m")*$Y48,AND(DK$3&gt;YEAR($X48),DK$3-YEAR($X48)&lt;20),$Y48*12,DK$3-YEAR($X48)=20,DATEDIF(DATE(YEAR($X48),1,1),$X48,"m")*$Y48,DK$3-YEAR($X48)&gt;20,0)</f>
        <v>0</v>
      </c>
      <c r="DL48" s="202" cm="1">
        <f t="array" ref="DL48">_xlfn.IFS(DL$3&lt;=YEAR($B$2),SUMPRODUCT(($E$4:$E$79=$E48)*($Z$2:$CG$2=DL$3)*($Z$2:$CG$2&lt;DM$3)*$Z$4:$CG$79),DL$3&lt;YEAR($X48),0,DL$3=YEAR($X48),DATEDIF($X48,DATE(DL$3,12,31),"m")*$Y48,AND(DL$3&gt;YEAR($X48),DL$3-YEAR($X48)&lt;20),$Y48*12,DL$3-YEAR($X48)=20,DATEDIF(DATE(YEAR($X48),1,1),$X48,"m")*$Y48,DL$3-YEAR($X48)&gt;20,0)</f>
        <v>0</v>
      </c>
    </row>
    <row r="49" spans="1:116">
      <c r="A49" s="155" t="str" cm="1">
        <f t="array" ref="A49">INDEX('Monthly Report July 2025'!C:C,MATCH(E49,'Monthly Report July 2025'!E:E,0),0)</f>
        <v>OCS012</v>
      </c>
      <c r="B49" s="155" t="str" cm="1">
        <f t="array" ref="B49">_xlfn.IFS(LEFT(E49,3)="PGE","PGE",LEFT(E49,2)="PP","PAC",TRUE,"IP")</f>
        <v>PAC</v>
      </c>
      <c r="C49" s="155" t="str">
        <f>IF(ISNA(MATCH(E49,'Monthly Report July 2025'!E:E,0)),"Missing","Present")</f>
        <v>Present</v>
      </c>
      <c r="D49" s="155" t="str">
        <f>IF(ISNA(MATCH(E49,'Project Operational Timelines'!C:C,0))=TRUE,"Missing","Present")</f>
        <v>Present</v>
      </c>
      <c r="E49" s="155" t="s">
        <v>157</v>
      </c>
      <c r="F49" s="155" t="str" cm="1">
        <f t="array" ref="F49">INDEX('Monthly Report July 2025'!F:F,MATCH(E49,'Monthly Report July 2025'!E:E,),0)</f>
        <v>Goodling Annex</v>
      </c>
      <c r="G49" s="155" t="str" cm="1">
        <f t="array" ref="G49">_xlfn.IFS(INDEX('Monthly Report July 2025'!O:O,MATCH(E49,'Monthly Report July 2025'!E:E,0),0)="Operational","Operational",INDEX('Monthly Report July 2025'!O:O,MATCH(E49,'Monthly Report July 2025'!E:E,0),0)="Certified","Certified",TRUE,"Pre-Certified")</f>
        <v>Certified</v>
      </c>
      <c r="H49" s="155" t="str" cm="1">
        <f t="array" ref="H49">INDEX('Monthly Report July 2025'!H:H,MATCH($E49,'Monthly Report July 2025'!$E:$E,0),0)</f>
        <v>Bonneville Environmental Foundation</v>
      </c>
      <c r="I49" s="155" t="str" cm="1">
        <f t="array" ref="I49">INDEX('Monthly Report July 2025'!I:I,MATCH($E49,'Monthly Report July 2025'!$E:$E,0),0)</f>
        <v>Bonneville Environmental Foundation</v>
      </c>
      <c r="J49" s="174" cm="1">
        <f t="array" ref="J49">INDEX('Monthly Report July 2025'!J:J,MATCH($E49,'Monthly Report July 2025'!$E:$E,0),0)</f>
        <v>1</v>
      </c>
      <c r="K49" s="174" t="str" cm="1">
        <f t="array" ref="K49">INDEX('Monthly Report July 2025'!K:K,MATCH($E49,'Monthly Report July 2025'!$E:$E,0),0)</f>
        <v>Yes</v>
      </c>
      <c r="L49" s="174" t="b" cm="1">
        <f t="array" ref="L49">INDEX('Monthly Report July 2025'!L:L,MATCH(E49,'Monthly Report July 2025'!E:E,0),0)=M49</f>
        <v>1</v>
      </c>
      <c r="M49" s="273" cm="1">
        <f t="array" ref="M49">INDEX('Monthly Report July 2025'!L:L,MATCH($E49,'Monthly Report July 2025'!$E:$E,0),0)</f>
        <v>1000</v>
      </c>
      <c r="N49" s="175" cm="1">
        <f t="array" ref="N49">INDEX('Monthly Report July 2025'!M:M,MATCH($E49,'Monthly Report July 2025'!$E:$E,0),0)</f>
        <v>43948</v>
      </c>
      <c r="O49" s="175" t="str" cm="1">
        <f t="array" ref="O49">_xlfn.IFS(G49="Operational","Operational",G49="Certified","Certified",TRUE,INDEX('Monthly Report July 2025'!O:O,MATCH(E49,'Monthly Report July 2025'!E:E,0),0))</f>
        <v>Certified</v>
      </c>
      <c r="P49" s="175" t="b" cm="1">
        <f t="array" ref="P49">_xlfn.IFS(G49="Operational",O49="Operational",G49="Certified",O49="Certified",TRUE,G49="Pre-Certified")</f>
        <v>1</v>
      </c>
      <c r="Q49" s="175" t="str" cm="1">
        <f t="array" ref="Q49">IF(O49="Operational",INDEX('Monthly Report July 2025'!R:R,MATCH(E49,'Monthly Report July 2025'!E:E,0),0),"")</f>
        <v/>
      </c>
      <c r="R49" s="175" cm="1">
        <f t="array" ref="R49">INDEX('Monthly Report July 2025'!P:P,MATCH(E49,'Monthly Report July 2025'!E:E,0),0)</f>
        <v>45595</v>
      </c>
      <c r="S49" s="175" t="b">
        <f t="shared" si="28"/>
        <v>1</v>
      </c>
      <c r="T49" s="175" cm="1">
        <f t="array" ref="T49">INDEX('Monthly Report July 2025'!U:U,MATCH(E49,'Monthly Report July 2025'!E:E,0),0)</f>
        <v>45548</v>
      </c>
      <c r="U49" s="175" t="str">
        <f t="shared" si="6"/>
        <v>IGNORE</v>
      </c>
      <c r="V49" s="156">
        <f t="shared" si="29"/>
        <v>45595</v>
      </c>
      <c r="W49" s="156" cm="1">
        <f t="array" ref="W49">_xlfn.IFS(U49=TRUE,EDATE(O49,6),U49=FALSE,T49,O49="Operational",Q49,AND(O49="Certified",EDATE(R49,6)&gt;T49),EDATE(R49,6),TRUE,T49)</f>
        <v>45777</v>
      </c>
      <c r="X49" s="156">
        <f t="shared" si="30"/>
        <v>45838</v>
      </c>
      <c r="Y49" s="157">
        <f t="shared" si="31"/>
        <v>382.5</v>
      </c>
      <c r="Z49" s="202" cm="1">
        <f t="array" ref="Z49">_xlfn.IFS(Z$3&lt;$B$2,SUMPRODUCT(('PA Fees Actual'!$B$5:$B$882=$E49)*('PA Fees Actual'!$A$5:$A$882&gt;=Z$3)*('PA Fees Actual'!$A$5:$A$882&lt;=EOMONTH(Z$3,0))*'PA Fees Actual'!$D$5:$D$882),Z$3&gt;=EOMONTH($X49,-1)+1,$Y49,TRUE,0)</f>
        <v>0</v>
      </c>
      <c r="AA49" s="202" cm="1">
        <f t="array" ref="AA49">_xlfn.IFS(AA$3&lt;$B$2,SUMPRODUCT(('PA Fees Actual'!$B$5:$B$882=$E49)*('PA Fees Actual'!$A$5:$A$882&gt;=AA$3)*('PA Fees Actual'!$A$5:$A$882&lt;=EOMONTH(AA$3,0))*'PA Fees Actual'!$D$5:$D$882),AA$3&gt;=EOMONTH($X49,-1)+1,$Y49,TRUE,0)</f>
        <v>0</v>
      </c>
      <c r="AB49" s="202" cm="1">
        <f t="array" ref="AB49">_xlfn.IFS(AB$3&lt;$B$2,SUMPRODUCT(('PA Fees Actual'!$B$5:$B$882=$E49)*('PA Fees Actual'!$A$5:$A$882&gt;=AB$3)*('PA Fees Actual'!$A$5:$A$882&lt;=EOMONTH(AB$3,0))*'PA Fees Actual'!$D$5:$D$882),AB$3&gt;=EOMONTH($X49,-1)+1,$Y49,TRUE,0)</f>
        <v>0</v>
      </c>
      <c r="AC49" s="202" cm="1">
        <f t="array" ref="AC49">_xlfn.IFS(AC$3&lt;$B$2,SUMPRODUCT(('PA Fees Actual'!$B$5:$B$882=$E49)*('PA Fees Actual'!$A$5:$A$882&gt;=AC$3)*('PA Fees Actual'!$A$5:$A$882&lt;=EOMONTH(AC$3,0))*'PA Fees Actual'!$D$5:$D$882),AC$3&gt;=EOMONTH($X49,-1)+1,$Y49,TRUE,0)</f>
        <v>0</v>
      </c>
      <c r="AD49" s="202" cm="1">
        <f t="array" ref="AD49">_xlfn.IFS(AD$3&lt;$B$2,SUMPRODUCT(('PA Fees Actual'!$B$5:$B$882=$E49)*('PA Fees Actual'!$A$5:$A$882&gt;=AD$3)*('PA Fees Actual'!$A$5:$A$882&lt;=EOMONTH(AD$3,0))*'PA Fees Actual'!$D$5:$D$882),AD$3&gt;=EOMONTH($X49,-1)+1,$Y49,TRUE,0)</f>
        <v>0</v>
      </c>
      <c r="AE49" s="202" cm="1">
        <f t="array" ref="AE49">_xlfn.IFS(AE$3&lt;$B$2,SUMPRODUCT(('PA Fees Actual'!$B$5:$B$882=$E49)*('PA Fees Actual'!$A$5:$A$882&gt;=AE$3)*('PA Fees Actual'!$A$5:$A$882&lt;=EOMONTH(AE$3,0))*'PA Fees Actual'!$D$5:$D$882),AE$3&gt;=EOMONTH($X49,-1)+1,$Y49,TRUE,0)</f>
        <v>0</v>
      </c>
      <c r="AF49" s="202" cm="1">
        <f t="array" ref="AF49">_xlfn.IFS(AF$3&lt;$B$2,SUMPRODUCT(('PA Fees Actual'!$B$5:$B$882=$E49)*('PA Fees Actual'!$A$5:$A$882&gt;=AF$3)*('PA Fees Actual'!$A$5:$A$882&lt;=EOMONTH(AF$3,0))*'PA Fees Actual'!$D$5:$D$882),AF$3&gt;=EOMONTH($X49,-1)+1,$Y49,TRUE,0)</f>
        <v>0</v>
      </c>
      <c r="AG49" s="202" cm="1">
        <f t="array" ref="AG49">_xlfn.IFS(AG$3&lt;$B$2,SUMPRODUCT(('PA Fees Actual'!$B$5:$B$882=$E49)*('PA Fees Actual'!$A$5:$A$882&gt;=AG$3)*('PA Fees Actual'!$A$5:$A$882&lt;=EOMONTH(AG$3,0))*'PA Fees Actual'!$D$5:$D$882),AG$3&gt;=EOMONTH($X49,-1)+1,$Y49,TRUE,0)</f>
        <v>0</v>
      </c>
      <c r="AH49" s="202" cm="1">
        <f t="array" ref="AH49">_xlfn.IFS(AH$3&lt;$B$2,SUMPRODUCT(('PA Fees Actual'!$B$5:$B$882=$E49)*('PA Fees Actual'!$A$5:$A$882&gt;=AH$3)*('PA Fees Actual'!$A$5:$A$882&lt;=EOMONTH(AH$3,0))*'PA Fees Actual'!$D$5:$D$882),AH$3&gt;=EOMONTH($X49,-1)+1,$Y49,TRUE,0)</f>
        <v>0</v>
      </c>
      <c r="AI49" s="202" cm="1">
        <f t="array" ref="AI49">_xlfn.IFS(AI$3&lt;$B$2,SUMPRODUCT(('PA Fees Actual'!$B$5:$B$882=$E49)*('PA Fees Actual'!$A$5:$A$882&gt;=AI$3)*('PA Fees Actual'!$A$5:$A$882&lt;=EOMONTH(AI$3,0))*'PA Fees Actual'!$D$5:$D$882),AI$3&gt;=EOMONTH($X49,-1)+1,$Y49,TRUE,0)</f>
        <v>0</v>
      </c>
      <c r="AJ49" s="202" cm="1">
        <f t="array" ref="AJ49">_xlfn.IFS(AJ$3&lt;$B$2,SUMPRODUCT(('PA Fees Actual'!$B$5:$B$882=$E49)*('PA Fees Actual'!$A$5:$A$882&gt;=AJ$3)*('PA Fees Actual'!$A$5:$A$882&lt;=EOMONTH(AJ$3,0))*'PA Fees Actual'!$D$5:$D$882),AJ$3&gt;=EOMONTH($X49,-1)+1,$Y49,TRUE,0)</f>
        <v>0</v>
      </c>
      <c r="AK49" s="202" cm="1">
        <f t="array" ref="AK49">_xlfn.IFS(AK$3&lt;$B$2,SUMPRODUCT(('PA Fees Actual'!$B$5:$B$882=$E49)*('PA Fees Actual'!$A$5:$A$882&gt;=AK$3)*('PA Fees Actual'!$A$5:$A$882&lt;=EOMONTH(AK$3,0))*'PA Fees Actual'!$D$5:$D$882),AK$3&gt;=EOMONTH($X49,-1)+1,$Y49,TRUE,0)</f>
        <v>0</v>
      </c>
      <c r="AL49" s="202" cm="1">
        <f t="array" ref="AL49">_xlfn.IFS(AL$3&lt;$B$2,SUMPRODUCT(('PA Fees Actual'!$B$5:$B$882=$E49)*('PA Fees Actual'!$A$5:$A$882&gt;=AL$3)*('PA Fees Actual'!$A$5:$A$882&lt;=EOMONTH(AL$3,0))*'PA Fees Actual'!$D$5:$D$882),AL$3&gt;=EOMONTH($X49,-1)+1,$Y49,TRUE,0)</f>
        <v>0</v>
      </c>
      <c r="AM49" s="202" cm="1">
        <f t="array" ref="AM49">_xlfn.IFS(AM$3&lt;$B$2,SUMPRODUCT(('PA Fees Actual'!$B$5:$B$882=$E49)*('PA Fees Actual'!$A$5:$A$882&gt;=AM$3)*('PA Fees Actual'!$A$5:$A$882&lt;=EOMONTH(AM$3,0))*'PA Fees Actual'!$D$5:$D$882),AM$3&gt;=EOMONTH($X49,-1)+1,$Y49,TRUE,0)</f>
        <v>0</v>
      </c>
      <c r="AN49" s="202" cm="1">
        <f t="array" ref="AN49">_xlfn.IFS(AN$3&lt;$B$2,SUMPRODUCT(('PA Fees Actual'!$B$5:$B$882=$E49)*('PA Fees Actual'!$A$5:$A$882&gt;=AN$3)*('PA Fees Actual'!$A$5:$A$882&lt;=EOMONTH(AN$3,0))*'PA Fees Actual'!$D$5:$D$882),AN$3&gt;=EOMONTH($X49,-1)+1,$Y49,TRUE,0)</f>
        <v>0</v>
      </c>
      <c r="AO49" s="202" cm="1">
        <f t="array" ref="AO49">_xlfn.IFS(AO$3&lt;$B$2,SUMPRODUCT(('PA Fees Actual'!$B$5:$B$882=$E49)*('PA Fees Actual'!$A$5:$A$882&gt;=AO$3)*('PA Fees Actual'!$A$5:$A$882&lt;=EOMONTH(AO$3,0))*'PA Fees Actual'!$D$5:$D$882),AO$3&gt;=EOMONTH($X49,-1)+1,$Y49,TRUE,0)</f>
        <v>0</v>
      </c>
      <c r="AP49" s="202" cm="1">
        <f t="array" ref="AP49">_xlfn.IFS(AP$3&lt;$B$2,SUMPRODUCT(('PA Fees Actual'!$B$5:$B$882=$E49)*('PA Fees Actual'!$A$5:$A$882&gt;=AP$3)*('PA Fees Actual'!$A$5:$A$882&lt;=EOMONTH(AP$3,0))*'PA Fees Actual'!$D$5:$D$882),AP$3&gt;=EOMONTH($X49,-1)+1,$Y49,TRUE,0)</f>
        <v>0</v>
      </c>
      <c r="AQ49" s="202" cm="1">
        <f t="array" ref="AQ49">_xlfn.IFS(AQ$3&lt;$B$2,SUMPRODUCT(('PA Fees Actual'!$B$5:$B$882=$E49)*('PA Fees Actual'!$A$5:$A$882&gt;=AQ$3)*('PA Fees Actual'!$A$5:$A$882&lt;=EOMONTH(AQ$3,0))*'PA Fees Actual'!$D$5:$D$882),AQ$3&gt;=EOMONTH($X49,-1)+1,$Y49,TRUE,0)</f>
        <v>0</v>
      </c>
      <c r="AR49" s="202" cm="1">
        <f t="array" ref="AR49">_xlfn.IFS(AR$3&lt;$B$2,SUMPRODUCT(('PA Fees Actual'!$B$5:$B$882=$E49)*('PA Fees Actual'!$A$5:$A$882&gt;=AR$3)*('PA Fees Actual'!$A$5:$A$882&lt;=EOMONTH(AR$3,0))*'PA Fees Actual'!$D$5:$D$882),AR$3&gt;=EOMONTH($X49,-1)+1,$Y49,TRUE,0)</f>
        <v>0</v>
      </c>
      <c r="AS49" s="202" cm="1">
        <f t="array" ref="AS49">_xlfn.IFS(AS$3&lt;$B$2,SUMPRODUCT(('PA Fees Actual'!$B$5:$B$882=$E49)*('PA Fees Actual'!$A$5:$A$882&gt;=AS$3)*('PA Fees Actual'!$A$5:$A$882&lt;=EOMONTH(AS$3,0))*'PA Fees Actual'!$D$5:$D$882),AS$3&gt;=EOMONTH($X49,-1)+1,$Y49,TRUE,0)</f>
        <v>0</v>
      </c>
      <c r="AT49" s="202" cm="1">
        <f t="array" ref="AT49">_xlfn.IFS(AT$3&lt;$B$2,SUMPRODUCT(('PA Fees Actual'!$B$5:$B$882=$E49)*('PA Fees Actual'!$A$5:$A$882&gt;=AT$3)*('PA Fees Actual'!$A$5:$A$882&lt;=EOMONTH(AT$3,0))*'PA Fees Actual'!$D$5:$D$882),AT$3&gt;=EOMONTH($X49,-1)+1,$Y49,TRUE,0)</f>
        <v>0</v>
      </c>
      <c r="AU49" s="202" cm="1">
        <f t="array" ref="AU49">_xlfn.IFS(AU$3&lt;$B$2,SUMPRODUCT(('PA Fees Actual'!$B$5:$B$882=$E49)*('PA Fees Actual'!$A$5:$A$882&gt;=AU$3)*('PA Fees Actual'!$A$5:$A$882&lt;=EOMONTH(AU$3,0))*'PA Fees Actual'!$D$5:$D$882),AU$3&gt;=EOMONTH($X49,-1)+1,$Y49,TRUE,0)</f>
        <v>0</v>
      </c>
      <c r="AV49" s="202" cm="1">
        <f t="array" ref="AV49">_xlfn.IFS(AV$3&lt;$B$2,SUMPRODUCT(('PA Fees Actual'!$B$5:$B$882=$E49)*('PA Fees Actual'!$A$5:$A$882&gt;=AV$3)*('PA Fees Actual'!$A$5:$A$882&lt;=EOMONTH(AV$3,0))*'PA Fees Actual'!$D$5:$D$882),AV$3&gt;=EOMONTH($X49,-1)+1,$Y49,TRUE,0)</f>
        <v>0</v>
      </c>
      <c r="AW49" s="202" cm="1">
        <f t="array" ref="AW49">_xlfn.IFS(AW$3&lt;$B$2,SUMPRODUCT(('PA Fees Actual'!$B$5:$B$882=$E49)*('PA Fees Actual'!$A$5:$A$882&gt;=AW$3)*('PA Fees Actual'!$A$5:$A$882&lt;=EOMONTH(AW$3,0))*'PA Fees Actual'!$D$5:$D$882),AW$3&gt;=EOMONTH($X49,-1)+1,$Y49,TRUE,0)</f>
        <v>0</v>
      </c>
      <c r="AX49" s="202" cm="1">
        <f t="array" ref="AX49">_xlfn.IFS(AX$3&lt;$B$2,SUMPRODUCT(('PA Fees Actual'!$B$5:$B$882=$E49)*('PA Fees Actual'!$A$5:$A$882&gt;=AX$3)*('PA Fees Actual'!$A$5:$A$882&lt;=EOMONTH(AX$3,0))*'PA Fees Actual'!$D$5:$D$882),AX$3&gt;=EOMONTH($X49,-1)+1,$Y49,TRUE,0)</f>
        <v>0</v>
      </c>
      <c r="AY49" s="202" cm="1">
        <f t="array" ref="AY49">_xlfn.IFS(AY$3&lt;$B$2,SUMPRODUCT(('PA Fees Actual'!$B$5:$B$882=$E49)*('PA Fees Actual'!$A$5:$A$882&gt;=AY$3)*('PA Fees Actual'!$A$5:$A$882&lt;=EOMONTH(AY$3,0))*'PA Fees Actual'!$D$5:$D$882),AY$3&gt;=EOMONTH($X49,-1)+1,$Y49,TRUE,0)</f>
        <v>0</v>
      </c>
      <c r="AZ49" s="202" cm="1">
        <f t="array" ref="AZ49">_xlfn.IFS(AZ$3&lt;$B$2,SUMPRODUCT(('PA Fees Actual'!$B$5:$B$882=$E49)*('PA Fees Actual'!$A$5:$A$882&gt;=AZ$3)*('PA Fees Actual'!$A$5:$A$882&lt;=EOMONTH(AZ$3,0))*'PA Fees Actual'!$D$5:$D$882),AZ$3&gt;=EOMONTH($X49,-1)+1,$Y49,TRUE,0)</f>
        <v>0</v>
      </c>
      <c r="BA49" s="202" cm="1">
        <f t="array" ref="BA49">_xlfn.IFS(BA$3&lt;$B$2,SUMPRODUCT(('PA Fees Actual'!$B$5:$B$882=$E49)*('PA Fees Actual'!$A$5:$A$882&gt;=BA$3)*('PA Fees Actual'!$A$5:$A$882&lt;=EOMONTH(BA$3,0))*'PA Fees Actual'!$D$5:$D$882),BA$3&gt;=EOMONTH($X49,-1)+1,$Y49,TRUE,0)</f>
        <v>0</v>
      </c>
      <c r="BB49" s="202" cm="1">
        <f t="array" ref="BB49">_xlfn.IFS(BB$3&lt;$B$2,SUMPRODUCT(('PA Fees Actual'!$B$5:$B$882=$E49)*('PA Fees Actual'!$A$5:$A$882&gt;=BB$3)*('PA Fees Actual'!$A$5:$A$882&lt;=EOMONTH(BB$3,0))*'PA Fees Actual'!$D$5:$D$882),BB$3&gt;=EOMONTH($X49,-1)+1,$Y49,TRUE,0)</f>
        <v>0</v>
      </c>
      <c r="BC49" s="202" cm="1">
        <f t="array" ref="BC49">_xlfn.IFS(BC$3&lt;$B$2,SUMPRODUCT(('PA Fees Actual'!$B$5:$B$882=$E49)*('PA Fees Actual'!$A$5:$A$882&gt;=BC$3)*('PA Fees Actual'!$A$5:$A$882&lt;=EOMONTH(BC$3,0))*'PA Fees Actual'!$D$5:$D$882),BC$3&gt;=EOMONTH($X49,-1)+1,$Y49,TRUE,0)</f>
        <v>0</v>
      </c>
      <c r="BD49" s="202" cm="1">
        <f t="array" ref="BD49">_xlfn.IFS(BD$3&lt;$B$2,SUMPRODUCT(('PA Fees Actual'!$B$5:$B$882=$E49)*('PA Fees Actual'!$A$5:$A$882&gt;=BD$3)*('PA Fees Actual'!$A$5:$A$882&lt;=EOMONTH(BD$3,0))*'PA Fees Actual'!$D$5:$D$882),BD$3&gt;=EOMONTH($X49,-1)+1,$Y49,TRUE,0)</f>
        <v>0</v>
      </c>
      <c r="BE49" s="202" cm="1">
        <f t="array" ref="BE49">_xlfn.IFS(BE$3&lt;$B$2,SUMPRODUCT(('PA Fees Actual'!$B$5:$B$882=$E49)*('PA Fees Actual'!$A$5:$A$882&gt;=BE$3)*('PA Fees Actual'!$A$5:$A$882&lt;=EOMONTH(BE$3,0))*'PA Fees Actual'!$D$5:$D$882),BE$3&gt;=EOMONTH($X49,-1)+1,$Y49,TRUE,0)</f>
        <v>0</v>
      </c>
      <c r="BF49" s="202" cm="1">
        <f t="array" ref="BF49">_xlfn.IFS(BF$3&lt;$B$2,SUMPRODUCT(('PA Fees Actual'!$B$5:$B$882=$E49)*('PA Fees Actual'!$A$5:$A$882&gt;=BF$3)*('PA Fees Actual'!$A$5:$A$882&lt;=EOMONTH(BF$3,0))*'PA Fees Actual'!$D$5:$D$882),BF$3&gt;=EOMONTH($X49,-1)+1,$Y49,TRUE,0)</f>
        <v>0</v>
      </c>
      <c r="BG49" s="202" cm="1">
        <f t="array" ref="BG49">_xlfn.IFS(BG$3&lt;$B$2,SUMPRODUCT(('PA Fees Actual'!$B$5:$B$882=$E49)*('PA Fees Actual'!$A$5:$A$882&gt;=BG$3)*('PA Fees Actual'!$A$5:$A$882&lt;=EOMONTH(BG$3,0))*'PA Fees Actual'!$D$5:$D$882),BG$3&gt;=EOMONTH($X49,-1)+1,$Y49,TRUE,0)</f>
        <v>0</v>
      </c>
      <c r="BH49" s="202" cm="1">
        <f t="array" ref="BH49">_xlfn.IFS(BH$3&lt;$B$2,SUMPRODUCT(('PA Fees Actual'!$B$5:$B$882=$E49)*('PA Fees Actual'!$A$5:$A$882&gt;=BH$3)*('PA Fees Actual'!$A$5:$A$882&lt;=EOMONTH(BH$3,0))*'PA Fees Actual'!$D$5:$D$882),BH$3&gt;=EOMONTH($X49,-1)+1,$Y49,TRUE,0)</f>
        <v>0</v>
      </c>
      <c r="BI49" s="202" cm="1">
        <f t="array" ref="BI49">_xlfn.IFS(BI$3&lt;$B$2,SUMPRODUCT(('PA Fees Actual'!$B$5:$B$882=$E49)*('PA Fees Actual'!$A$5:$A$882&gt;=BI$3)*('PA Fees Actual'!$A$5:$A$882&lt;=EOMONTH(BI$3,0))*'PA Fees Actual'!$D$5:$D$882),BI$3&gt;=EOMONTH($X49,-1)+1,$Y49,TRUE,0)</f>
        <v>0</v>
      </c>
      <c r="BJ49" s="202" cm="1">
        <f t="array" ref="BJ49">_xlfn.IFS(BJ$3&lt;$B$2,SUMPRODUCT(('PA Fees Actual'!$B$5:$B$882=$E49)*('PA Fees Actual'!$A$5:$A$882&gt;=BJ$3)*('PA Fees Actual'!$A$5:$A$882&lt;=EOMONTH(BJ$3,0))*'PA Fees Actual'!$D$5:$D$882),BJ$3&gt;=EOMONTH($X49,-1)+1,$Y49,TRUE,0)</f>
        <v>0</v>
      </c>
      <c r="BK49" s="202" cm="1">
        <f t="array" ref="BK49">_xlfn.IFS(BK$3&lt;$B$2,SUMPRODUCT(('PA Fees Actual'!$B$5:$B$882=$E49)*('PA Fees Actual'!$A$5:$A$882&gt;=BK$3)*('PA Fees Actual'!$A$5:$A$882&lt;=EOMONTH(BK$3,0))*'PA Fees Actual'!$D$5:$D$882),BK$3&gt;=EOMONTH($X49,-1)+1,$Y49,TRUE,0)</f>
        <v>0</v>
      </c>
      <c r="BL49" s="202" cm="1">
        <f t="array" ref="BL49">_xlfn.IFS(BL$3&lt;$B$2,SUMPRODUCT(('PA Fees Actual'!$B$5:$B$882=$E49)*('PA Fees Actual'!$A$5:$A$882&gt;=BL$3)*('PA Fees Actual'!$A$5:$A$882&lt;=EOMONTH(BL$3,0))*'PA Fees Actual'!$D$5:$D$882),BL$3&gt;=EOMONTH($X49,-1)+1,$Y49,TRUE,0)</f>
        <v>0</v>
      </c>
      <c r="BM49" s="202" cm="1">
        <f t="array" ref="BM49">_xlfn.IFS(BM$3&lt;$B$2,SUMPRODUCT(('PA Fees Actual'!$B$5:$B$882=$E49)*('PA Fees Actual'!$A$5:$A$882&gt;=BM$3)*('PA Fees Actual'!$A$5:$A$882&lt;=EOMONTH(BM$3,0))*'PA Fees Actual'!$D$5:$D$882),BM$3&gt;=EOMONTH($X49,-1)+1,$Y49,TRUE,0)</f>
        <v>0</v>
      </c>
      <c r="BN49" s="202" cm="1">
        <f t="array" ref="BN49">_xlfn.IFS(BN$3&lt;$B$2,SUMPRODUCT(('PA Fees Actual'!$B$5:$B$882=$E49)*('PA Fees Actual'!$A$5:$A$882&gt;=BN$3)*('PA Fees Actual'!$A$5:$A$882&lt;=EOMONTH(BN$3,0))*'PA Fees Actual'!$D$5:$D$882),BN$3&gt;=EOMONTH($X49,-1)+1,$Y49,TRUE,0)</f>
        <v>0</v>
      </c>
      <c r="BO49" s="202" cm="1">
        <f t="array" ref="BO49">_xlfn.IFS(BO$3&lt;$B$2,SUMPRODUCT(('PA Fees Actual'!$B$5:$B$882=$E49)*('PA Fees Actual'!$A$5:$A$882&gt;=BO$3)*('PA Fees Actual'!$A$5:$A$882&lt;=EOMONTH(BO$3,0))*'PA Fees Actual'!$D$5:$D$882),BO$3&gt;=EOMONTH($X49,-1)+1,$Y49,TRUE,0)</f>
        <v>0</v>
      </c>
      <c r="BP49" s="202" cm="1">
        <f t="array" ref="BP49">_xlfn.IFS(BP$3&lt;$B$2,SUMPRODUCT(('PA Fees Actual'!$B$5:$B$882=$E49)*('PA Fees Actual'!$A$5:$A$882&gt;=BP$3)*('PA Fees Actual'!$A$5:$A$882&lt;=EOMONTH(BP$3,0))*'PA Fees Actual'!$D$5:$D$882),BP$3&gt;=EOMONTH($X49,-1)+1,$Y49,TRUE,0)</f>
        <v>0</v>
      </c>
      <c r="BQ49" s="202" cm="1">
        <f t="array" ref="BQ49">_xlfn.IFS(BQ$3&lt;$B$2,SUMPRODUCT(('PA Fees Actual'!$B$5:$B$882=$E49)*('PA Fees Actual'!$A$5:$A$882&gt;=BQ$3)*('PA Fees Actual'!$A$5:$A$882&lt;=EOMONTH(BQ$3,0))*'PA Fees Actual'!$D$5:$D$882),BQ$3&gt;=EOMONTH($X49,-1)+1,$Y49,TRUE,0)</f>
        <v>0</v>
      </c>
      <c r="BR49" s="202" cm="1">
        <f t="array" ref="BR49">_xlfn.IFS(BR$3&lt;$B$2,SUMPRODUCT(('PA Fees Actual'!$B$5:$B$882=$E49)*('PA Fees Actual'!$A$5:$A$882&gt;=BR$3)*('PA Fees Actual'!$A$5:$A$882&lt;=EOMONTH(BR$3,0))*'PA Fees Actual'!$D$5:$D$882),BR$3&gt;=EOMONTH($X49,-1)+1,$Y49,TRUE,0)</f>
        <v>0</v>
      </c>
      <c r="BS49" s="202" cm="1">
        <f t="array" ref="BS49">_xlfn.IFS(BS$3&lt;$B$2,SUMPRODUCT(('PA Fees Actual'!$B$5:$B$882=$E49)*('PA Fees Actual'!$A$5:$A$882&gt;=BS$3)*('PA Fees Actual'!$A$5:$A$882&lt;=EOMONTH(BS$3,0))*'PA Fees Actual'!$D$5:$D$882),BS$3&gt;=EOMONTH($X49,-1)+1,$Y49,TRUE,0)</f>
        <v>0</v>
      </c>
      <c r="BT49" s="202" cm="1">
        <f t="array" ref="BT49">_xlfn.IFS(BT$3&lt;$B$2,SUMPRODUCT(('PA Fees Actual'!$B$5:$B$882=$E49)*('PA Fees Actual'!$A$5:$A$882&gt;=BT$3)*('PA Fees Actual'!$A$5:$A$882&lt;=EOMONTH(BT$3,0))*'PA Fees Actual'!$D$5:$D$882),BT$3&gt;=EOMONTH($X49,-1)+1,$Y49,TRUE,0)</f>
        <v>0</v>
      </c>
      <c r="BU49" s="202" cm="1">
        <f t="array" ref="BU49">_xlfn.IFS(BU$3&lt;$B$2,SUMPRODUCT(('PA Fees Actual'!$B$5:$B$882=$E49)*('PA Fees Actual'!$A$5:$A$882&gt;=BU$3)*('PA Fees Actual'!$A$5:$A$882&lt;=EOMONTH(BU$3,0))*'PA Fees Actual'!$D$5:$D$882),BU$3&gt;=EOMONTH($X49,-1)+1,$Y49,TRUE,0)</f>
        <v>0</v>
      </c>
      <c r="BV49" s="202" cm="1">
        <f t="array" ref="BV49">_xlfn.IFS(BV$3&lt;$B$2,SUMPRODUCT(('PA Fees Actual'!$B$5:$B$882=$E49)*('PA Fees Actual'!$A$5:$A$882&gt;=BV$3)*('PA Fees Actual'!$A$5:$A$882&lt;=EOMONTH(BV$3,0))*'PA Fees Actual'!$D$5:$D$882),BV$3&gt;=EOMONTH($X49,-1)+1,$Y49,TRUE,0)</f>
        <v>0</v>
      </c>
      <c r="BW49" s="202" cm="1">
        <f t="array" ref="BW49">_xlfn.IFS(BW$3&lt;$B$2,SUMPRODUCT(('PA Fees Actual'!$B$5:$B$882=$E49)*('PA Fees Actual'!$A$5:$A$882&gt;=BW$3)*('PA Fees Actual'!$A$5:$A$882&lt;=EOMONTH(BW$3,0))*'PA Fees Actual'!$D$5:$D$882),BW$3&gt;=EOMONTH($X49,-1)+1,$Y49,TRUE,0)</f>
        <v>0</v>
      </c>
      <c r="BX49" s="202" cm="1">
        <f t="array" ref="BX49">_xlfn.IFS(BX$3&lt;$B$2,SUMPRODUCT(('PA Fees Actual'!$B$5:$B$882=$E49)*('PA Fees Actual'!$A$5:$A$882&gt;=BX$3)*('PA Fees Actual'!$A$5:$A$882&lt;=EOMONTH(BX$3,0))*'PA Fees Actual'!$D$5:$D$882),BX$3&gt;=EOMONTH($X49,-1)+1,$Y49,TRUE,0)</f>
        <v>0</v>
      </c>
      <c r="BY49" s="202" cm="1">
        <f t="array" ref="BY49">_xlfn.IFS(BY$3&lt;$B$2,SUMPRODUCT(('PA Fees Actual'!$B$5:$B$882=$E49)*('PA Fees Actual'!$A$5:$A$882&gt;=BY$3)*('PA Fees Actual'!$A$5:$A$882&lt;=EOMONTH(BY$3,0))*'PA Fees Actual'!$D$5:$D$882),BY$3&gt;=EOMONTH($X49,-1)+1,$Y49,TRUE,0)</f>
        <v>0</v>
      </c>
      <c r="BZ49" s="202" cm="1">
        <f t="array" ref="BZ49">_xlfn.IFS(BZ$3&lt;$B$2,SUMPRODUCT(('PA Fees Actual'!$B$5:$B$882=$E49)*('PA Fees Actual'!$A$5:$A$882&gt;=BZ$3)*('PA Fees Actual'!$A$5:$A$882&lt;=EOMONTH(BZ$3,0))*'PA Fees Actual'!$D$5:$D$882),BZ$3&gt;=EOMONTH($X49,-1)+1,$Y49,TRUE,0)</f>
        <v>0</v>
      </c>
      <c r="CA49" s="202" cm="1">
        <f t="array" ref="CA49">_xlfn.IFS(CA$3&lt;$B$2,SUMPRODUCT(('PA Fees Actual'!$B$5:$B$882=$E49)*('PA Fees Actual'!$A$5:$A$882&gt;=CA$3)*('PA Fees Actual'!$A$5:$A$882&lt;=EOMONTH(CA$3,0))*'PA Fees Actual'!$D$5:$D$882),CA$3&gt;=EOMONTH($X49,-1)+1,$Y49,TRUE,0)</f>
        <v>0</v>
      </c>
      <c r="CB49" s="202" cm="1">
        <f t="array" ref="CB49">_xlfn.IFS(CB$3&lt;$B$2,SUMPRODUCT(('PA Fees Actual'!$B$5:$B$749=$E49)*('PA Fees Actual'!$A$5:$A$749&gt;=CB$3)*('PA Fees Actual'!$A$5:$A$749&lt;=EOMONTH(CB$3,0))*'PA Fees Actual'!$D$5:$D$749),CB$3&gt;=EOMONTH($X49,-1)+1,$Y49,TRUE,0)</f>
        <v>382.5</v>
      </c>
      <c r="CC49" s="202" cm="1">
        <f t="array" ref="CC49">_xlfn.IFS(CC$3&lt;$B$2,SUMPRODUCT(('PA Fees Actual'!$B$5:$B$749=$E49)*('PA Fees Actual'!$A$5:$A$749&gt;=CC$3)*('PA Fees Actual'!$A$5:$A$749&lt;=EOMONTH(CC$3,0))*'PA Fees Actual'!$D$5:$D$749),CC$3&gt;=EOMONTH($X49,-1)+1,$Y49,TRUE,0)</f>
        <v>382.5</v>
      </c>
      <c r="CD49" s="202" cm="1">
        <f t="array" ref="CD49">_xlfn.IFS(CD$3&lt;$B$2,SUMPRODUCT(('PA Fees Actual'!$B$5:$B$749=$E49)*('PA Fees Actual'!$A$5:$A$749&gt;=CD$3)*('PA Fees Actual'!$A$5:$A$749&lt;=EOMONTH(CD$3,0))*'PA Fees Actual'!$D$5:$D$749),CD$3&gt;=EOMONTH($X49,-1)+1,$Y49,TRUE,0)</f>
        <v>382.5</v>
      </c>
      <c r="CE49" s="202" cm="1">
        <f t="array" ref="CE49">_xlfn.IFS(CE$3&lt;$B$2,SUMPRODUCT(('PA Fees Actual'!$B$5:$B$749=$E49)*('PA Fees Actual'!$A$5:$A$749&gt;=CE$3)*('PA Fees Actual'!$A$5:$A$749&lt;=EOMONTH(CE$3,0))*'PA Fees Actual'!$D$5:$D$749),CE$3&gt;=EOMONTH($X49,-1)+1,$Y49,TRUE,0)</f>
        <v>382.5</v>
      </c>
      <c r="CF49" s="202" cm="1">
        <f t="array" ref="CF49">_xlfn.IFS(CF$3&lt;$B$2,SUMPRODUCT(('PA Fees Actual'!$B$5:$B$749=$E49)*('PA Fees Actual'!$A$5:$A$749&gt;=CF$3)*('PA Fees Actual'!$A$5:$A$749&lt;=EOMONTH(CF$3,0))*'PA Fees Actual'!$D$5:$D$749),CF$3&gt;=EOMONTH($X49,-1)+1,$Y49,TRUE,0)</f>
        <v>382.5</v>
      </c>
      <c r="CG49" s="202" cm="1">
        <f t="array" ref="CG49">_xlfn.IFS(CG$3&lt;$B$2,SUMPRODUCT(('PA Fees Actual'!$B$5:$B$749=$E49)*('PA Fees Actual'!$A$5:$A$749&gt;=CG$3)*('PA Fees Actual'!$A$5:$A$749&lt;=EOMONTH(CG$3,0))*'PA Fees Actual'!$D$5:$D$749),CG$3&gt;=EOMONTH($X49,-1)+1,$Y49,TRUE,0)</f>
        <v>382.5</v>
      </c>
      <c r="CI49" s="202" cm="1">
        <f t="array" ref="CI49">_xlfn.IFS(CI$3&lt;=YEAR($B$2),SUMPRODUCT(($E$4:$E$79=$E49)*($Z$2:$CG$2=CI$3)*($Z$2:$CG$2&lt;CJ$3)*$Z$4:$CG$79),CI$3&lt;YEAR($X49),0,CI$3=YEAR($X49),DATEDIF($X49,DATE(CI$3,12,31),"m")*$Y49,AND(CI$3&gt;YEAR($X49),CI$3-YEAR($X49)&lt;20),$Y49*12,CI$3-YEAR($X49)=20,DATEDIF(DATE(YEAR($X49),1,1),$X49,"m")*$Y49,CI$3-YEAR($X49)&gt;20,0)</f>
        <v>0</v>
      </c>
      <c r="CJ49" s="202" cm="1">
        <f t="array" ref="CJ49">_xlfn.IFS(CJ$3&lt;=YEAR($B$2),SUMPRODUCT(($E$4:$E$79=$E49)*($Z$2:$CG$2=CJ$3)*($Z$2:$CG$2&lt;CK$3)*$Z$4:$CG$79),CJ$3&lt;YEAR($X49),0,CJ$3=YEAR($X49),DATEDIF($X49,DATE(CJ$3,12,31),"m")*$Y49,AND(CJ$3&gt;YEAR($X49),CJ$3-YEAR($X49)&lt;20),$Y49*12,CJ$3-YEAR($X49)=20,DATEDIF(DATE(YEAR($X49),1,1),$X49,"m")*$Y49,CJ$3-YEAR($X49)&gt;20,0)</f>
        <v>0</v>
      </c>
      <c r="CK49" s="202" cm="1">
        <f t="array" ref="CK49">_xlfn.IFS(CK$3&lt;=YEAR($B$2),SUMPRODUCT(($E$4:$E$79=$E49)*($Z$2:$CG$2=CK$3)*($Z$2:$CG$2&lt;CL$3)*$Z$4:$CG$79),CK$3&lt;YEAR($X49),0,CK$3=YEAR($X49),DATEDIF($X49,DATE(CK$3,12,31),"m")*$Y49,AND(CK$3&gt;YEAR($X49),CK$3-YEAR($X49)&lt;20),$Y49*12,CK$3-YEAR($X49)=20,DATEDIF(DATE(YEAR($X49),1,1),$X49,"m")*$Y49,CK$3-YEAR($X49)&gt;20,0)</f>
        <v>0</v>
      </c>
      <c r="CL49" s="202" cm="1">
        <f t="array" ref="CL49">_xlfn.IFS(CL$3&lt;=YEAR($B$2),SUMPRODUCT(($E$4:$E$79=$E49)*($Z$2:$CG$2=CL$3)*($Z$2:$CG$2&lt;CM$3)*$Z$4:$CG$79),CL$3&lt;YEAR($X49),0,CL$3=YEAR($X49),DATEDIF($X49,DATE(CL$3,12,31),"m")*$Y49,AND(CL$3&gt;YEAR($X49),CL$3-YEAR($X49)&lt;20),$Y49*12,CL$3-YEAR($X49)=20,DATEDIF(DATE(YEAR($X49),1,1),$X49,"m")*$Y49,CL$3-YEAR($X49)&gt;20,0)</f>
        <v>0</v>
      </c>
      <c r="CM49" s="202" cm="1">
        <f t="array" ref="CM49">_xlfn.IFS(CM$3&lt;=YEAR($B$2),SUMPRODUCT(($E$4:$E$79=$E49)*($Z$2:$CG$2=CM$3)*($Z$2:$CG$2&lt;CN$3)*$Z$4:$CG$79),CM$3&lt;YEAR($X49),0,CM$3=YEAR($X49),DATEDIF($X49,DATE(CM$3,12,31),"m")*$Y49,AND(CM$3&gt;YEAR($X49),CM$3-YEAR($X49)&lt;20),$Y49*12,CM$3-YEAR($X49)=20,DATEDIF(DATE(YEAR($X49),1,1),$X49,"m")*$Y49,CM$3-YEAR($X49)&gt;20,0)</f>
        <v>2295</v>
      </c>
      <c r="CN49" s="202" cm="1">
        <f t="array" ref="CN49">_xlfn.IFS(CN$3&lt;=YEAR($B$2),SUMPRODUCT(($E$4:$E$79=$E49)*($Z$2:$CG$2=CN$3)*($Z$2:$CG$2&lt;CO$3)*$Z$4:$CG$79),CN$3&lt;YEAR($X49),0,CN$3=YEAR($X49),DATEDIF($X49,DATE(CN$3,12,31),"m")*$Y49,AND(CN$3&gt;YEAR($X49),CN$3-YEAR($X49)&lt;20),$Y49*12,CN$3-YEAR($X49)=20,DATEDIF(DATE(YEAR($X49),1,1),$X49,"m")*$Y49,CN$3-YEAR($X49)&gt;20,0)</f>
        <v>4590</v>
      </c>
      <c r="CO49" s="202" cm="1">
        <f t="array" ref="CO49">_xlfn.IFS(CO$3&lt;=YEAR($B$2),SUMPRODUCT(($E$4:$E$79=$E49)*($Z$2:$CG$2=CO$3)*($Z$2:$CG$2&lt;CP$3)*$Z$4:$CG$79),CO$3&lt;YEAR($X49),0,CO$3=YEAR($X49),DATEDIF($X49,DATE(CO$3,12,31),"m")*$Y49,AND(CO$3&gt;YEAR($X49),CO$3-YEAR($X49)&lt;20),$Y49*12,CO$3-YEAR($X49)=20,DATEDIF(DATE(YEAR($X49),1,1),$X49,"m")*$Y49,CO$3-YEAR($X49)&gt;20,0)</f>
        <v>4590</v>
      </c>
      <c r="CP49" s="202" cm="1">
        <f t="array" ref="CP49">_xlfn.IFS(CP$3&lt;=YEAR($B$2),SUMPRODUCT(($E$4:$E$79=$E49)*($Z$2:$CG$2=CP$3)*($Z$2:$CG$2&lt;CQ$3)*$Z$4:$CG$79),CP$3&lt;YEAR($X49),0,CP$3=YEAR($X49),DATEDIF($X49,DATE(CP$3,12,31),"m")*$Y49,AND(CP$3&gt;YEAR($X49),CP$3-YEAR($X49)&lt;20),$Y49*12,CP$3-YEAR($X49)=20,DATEDIF(DATE(YEAR($X49),1,1),$X49,"m")*$Y49,CP$3-YEAR($X49)&gt;20,0)</f>
        <v>4590</v>
      </c>
      <c r="CQ49" s="202" cm="1">
        <f t="array" ref="CQ49">_xlfn.IFS(CQ$3&lt;=YEAR($B$2),SUMPRODUCT(($E$4:$E$79=$E49)*($Z$2:$CG$2=CQ$3)*($Z$2:$CG$2&lt;CR$3)*$Z$4:$CG$79),CQ$3&lt;YEAR($X49),0,CQ$3=YEAR($X49),DATEDIF($X49,DATE(CQ$3,12,31),"m")*$Y49,AND(CQ$3&gt;YEAR($X49),CQ$3-YEAR($X49)&lt;20),$Y49*12,CQ$3-YEAR($X49)=20,DATEDIF(DATE(YEAR($X49),1,1),$X49,"m")*$Y49,CQ$3-YEAR($X49)&gt;20,0)</f>
        <v>4590</v>
      </c>
      <c r="CR49" s="202" cm="1">
        <f t="array" ref="CR49">_xlfn.IFS(CR$3&lt;=YEAR($B$2),SUMPRODUCT(($E$4:$E$79=$E49)*($Z$2:$CG$2=CR$3)*($Z$2:$CG$2&lt;CS$3)*$Z$4:$CG$79),CR$3&lt;YEAR($X49),0,CR$3=YEAR($X49),DATEDIF($X49,DATE(CR$3,12,31),"m")*$Y49,AND(CR$3&gt;YEAR($X49),CR$3-YEAR($X49)&lt;20),$Y49*12,CR$3-YEAR($X49)=20,DATEDIF(DATE(YEAR($X49),1,1),$X49,"m")*$Y49,CR$3-YEAR($X49)&gt;20,0)</f>
        <v>4590</v>
      </c>
      <c r="CS49" s="202" cm="1">
        <f t="array" ref="CS49">_xlfn.IFS(CS$3&lt;=YEAR($B$2),SUMPRODUCT(($E$4:$E$79=$E49)*($Z$2:$CG$2=CS$3)*($Z$2:$CG$2&lt;CT$3)*$Z$4:$CG$79),CS$3&lt;YEAR($X49),0,CS$3=YEAR($X49),DATEDIF($X49,DATE(CS$3,12,31),"m")*$Y49,AND(CS$3&gt;YEAR($X49),CS$3-YEAR($X49)&lt;20),$Y49*12,CS$3-YEAR($X49)=20,DATEDIF(DATE(YEAR($X49),1,1),$X49,"m")*$Y49,CS$3-YEAR($X49)&gt;20,0)</f>
        <v>4590</v>
      </c>
      <c r="CT49" s="202" cm="1">
        <f t="array" ref="CT49">_xlfn.IFS(CT$3&lt;=YEAR($B$2),SUMPRODUCT(($E$4:$E$79=$E49)*($Z$2:$CG$2=CT$3)*($Z$2:$CG$2&lt;CU$3)*$Z$4:$CG$79),CT$3&lt;YEAR($X49),0,CT$3=YEAR($X49),DATEDIF($X49,DATE(CT$3,12,31),"m")*$Y49,AND(CT$3&gt;YEAR($X49),CT$3-YEAR($X49)&lt;20),$Y49*12,CT$3-YEAR($X49)=20,DATEDIF(DATE(YEAR($X49),1,1),$X49,"m")*$Y49,CT$3-YEAR($X49)&gt;20,0)</f>
        <v>4590</v>
      </c>
      <c r="CU49" s="202" cm="1">
        <f t="array" ref="CU49">_xlfn.IFS(CU$3&lt;=YEAR($B$2),SUMPRODUCT(($E$4:$E$79=$E49)*($Z$2:$CG$2=CU$3)*($Z$2:$CG$2&lt;CV$3)*$Z$4:$CG$79),CU$3&lt;YEAR($X49),0,CU$3=YEAR($X49),DATEDIF($X49,DATE(CU$3,12,31),"m")*$Y49,AND(CU$3&gt;YEAR($X49),CU$3-YEAR($X49)&lt;20),$Y49*12,CU$3-YEAR($X49)=20,DATEDIF(DATE(YEAR($X49),1,1),$X49,"m")*$Y49,CU$3-YEAR($X49)&gt;20,0)</f>
        <v>4590</v>
      </c>
      <c r="CV49" s="202" cm="1">
        <f t="array" ref="CV49">_xlfn.IFS(CV$3&lt;=YEAR($B$2),SUMPRODUCT(($E$4:$E$79=$E49)*($Z$2:$CG$2=CV$3)*($Z$2:$CG$2&lt;CW$3)*$Z$4:$CG$79),CV$3&lt;YEAR($X49),0,CV$3=YEAR($X49),DATEDIF($X49,DATE(CV$3,12,31),"m")*$Y49,AND(CV$3&gt;YEAR($X49),CV$3-YEAR($X49)&lt;20),$Y49*12,CV$3-YEAR($X49)=20,DATEDIF(DATE(YEAR($X49),1,1),$X49,"m")*$Y49,CV$3-YEAR($X49)&gt;20,0)</f>
        <v>4590</v>
      </c>
      <c r="CW49" s="202" cm="1">
        <f t="array" ref="CW49">_xlfn.IFS(CW$3&lt;=YEAR($B$2),SUMPRODUCT(($E$4:$E$79=$E49)*($Z$2:$CG$2=CW$3)*($Z$2:$CG$2&lt;CX$3)*$Z$4:$CG$79),CW$3&lt;YEAR($X49),0,CW$3=YEAR($X49),DATEDIF($X49,DATE(CW$3,12,31),"m")*$Y49,AND(CW$3&gt;YEAR($X49),CW$3-YEAR($X49)&lt;20),$Y49*12,CW$3-YEAR($X49)=20,DATEDIF(DATE(YEAR($X49),1,1),$X49,"m")*$Y49,CW$3-YEAR($X49)&gt;20,0)</f>
        <v>4590</v>
      </c>
      <c r="CX49" s="202" cm="1">
        <f t="array" ref="CX49">_xlfn.IFS(CX$3&lt;=YEAR($B$2),SUMPRODUCT(($E$4:$E$79=$E49)*($Z$2:$CG$2=CX$3)*($Z$2:$CG$2&lt;CY$3)*$Z$4:$CG$79),CX$3&lt;YEAR($X49),0,CX$3=YEAR($X49),DATEDIF($X49,DATE(CX$3,12,31),"m")*$Y49,AND(CX$3&gt;YEAR($X49),CX$3-YEAR($X49)&lt;20),$Y49*12,CX$3-YEAR($X49)=20,DATEDIF(DATE(YEAR($X49),1,1),$X49,"m")*$Y49,CX$3-YEAR($X49)&gt;20,0)</f>
        <v>4590</v>
      </c>
      <c r="CY49" s="202" cm="1">
        <f t="array" ref="CY49">_xlfn.IFS(CY$3&lt;=YEAR($B$2),SUMPRODUCT(($E$4:$E$79=$E49)*($Z$2:$CG$2=CY$3)*($Z$2:$CG$2&lt;CZ$3)*$Z$4:$CG$79),CY$3&lt;YEAR($X49),0,CY$3=YEAR($X49),DATEDIF($X49,DATE(CY$3,12,31),"m")*$Y49,AND(CY$3&gt;YEAR($X49),CY$3-YEAR($X49)&lt;20),$Y49*12,CY$3-YEAR($X49)=20,DATEDIF(DATE(YEAR($X49),1,1),$X49,"m")*$Y49,CY$3-YEAR($X49)&gt;20,0)</f>
        <v>4590</v>
      </c>
      <c r="CZ49" s="202" cm="1">
        <f t="array" ref="CZ49">_xlfn.IFS(CZ$3&lt;=YEAR($B$2),SUMPRODUCT(($E$4:$E$79=$E49)*($Z$2:$CG$2=CZ$3)*($Z$2:$CG$2&lt;DA$3)*$Z$4:$CG$79),CZ$3&lt;YEAR($X49),0,CZ$3=YEAR($X49),DATEDIF($X49,DATE(CZ$3,12,31),"m")*$Y49,AND(CZ$3&gt;YEAR($X49),CZ$3-YEAR($X49)&lt;20),$Y49*12,CZ$3-YEAR($X49)=20,DATEDIF(DATE(YEAR($X49),1,1),$X49,"m")*$Y49,CZ$3-YEAR($X49)&gt;20,0)</f>
        <v>4590</v>
      </c>
      <c r="DA49" s="202" cm="1">
        <f t="array" ref="DA49">_xlfn.IFS(DA$3&lt;=YEAR($B$2),SUMPRODUCT(($E$4:$E$79=$E49)*($Z$2:$CG$2=DA$3)*($Z$2:$CG$2&lt;DB$3)*$Z$4:$CG$79),DA$3&lt;YEAR($X49),0,DA$3=YEAR($X49),DATEDIF($X49,DATE(DA$3,12,31),"m")*$Y49,AND(DA$3&gt;YEAR($X49),DA$3-YEAR($X49)&lt;20),$Y49*12,DA$3-YEAR($X49)=20,DATEDIF(DATE(YEAR($X49),1,1),$X49,"m")*$Y49,DA$3-YEAR($X49)&gt;20,0)</f>
        <v>4590</v>
      </c>
      <c r="DB49" s="202" cm="1">
        <f t="array" ref="DB49">_xlfn.IFS(DB$3&lt;=YEAR($B$2),SUMPRODUCT(($E$4:$E$79=$E49)*($Z$2:$CG$2=DB$3)*($Z$2:$CG$2&lt;DC$3)*$Z$4:$CG$79),DB$3&lt;YEAR($X49),0,DB$3=YEAR($X49),DATEDIF($X49,DATE(DB$3,12,31),"m")*$Y49,AND(DB$3&gt;YEAR($X49),DB$3-YEAR($X49)&lt;20),$Y49*12,DB$3-YEAR($X49)=20,DATEDIF(DATE(YEAR($X49),1,1),$X49,"m")*$Y49,DB$3-YEAR($X49)&gt;20,0)</f>
        <v>4590</v>
      </c>
      <c r="DC49" s="202" cm="1">
        <f t="array" ref="DC49">_xlfn.IFS(DC$3&lt;=YEAR($B$2),SUMPRODUCT(($E$4:$E$79=$E49)*($Z$2:$CG$2=DC$3)*($Z$2:$CG$2&lt;DD$3)*$Z$4:$CG$79),DC$3&lt;YEAR($X49),0,DC$3=YEAR($X49),DATEDIF($X49,DATE(DC$3,12,31),"m")*$Y49,AND(DC$3&gt;YEAR($X49),DC$3-YEAR($X49)&lt;20),$Y49*12,DC$3-YEAR($X49)=20,DATEDIF(DATE(YEAR($X49),1,1),$X49,"m")*$Y49,DC$3-YEAR($X49)&gt;20,0)</f>
        <v>4590</v>
      </c>
      <c r="DD49" s="202" cm="1">
        <f t="array" ref="DD49">_xlfn.IFS(DD$3&lt;=YEAR($B$2),SUMPRODUCT(($E$4:$E$79=$E49)*($Z$2:$CG$2=DD$3)*($Z$2:$CG$2&lt;DE$3)*$Z$4:$CG$79),DD$3&lt;YEAR($X49),0,DD$3=YEAR($X49),DATEDIF($X49,DATE(DD$3,12,31),"m")*$Y49,AND(DD$3&gt;YEAR($X49),DD$3-YEAR($X49)&lt;20),$Y49*12,DD$3-YEAR($X49)=20,DATEDIF(DATE(YEAR($X49),1,1),$X49,"m")*$Y49,DD$3-YEAR($X49)&gt;20,0)</f>
        <v>4590</v>
      </c>
      <c r="DE49" s="202" cm="1">
        <f t="array" ref="DE49">_xlfn.IFS(DE$3&lt;=YEAR($B$2),SUMPRODUCT(($E$4:$E$79=$E49)*($Z$2:$CG$2=DE$3)*($Z$2:$CG$2&lt;DF$3)*$Z$4:$CG$79),DE$3&lt;YEAR($X49),0,DE$3=YEAR($X49),DATEDIF($X49,DATE(DE$3,12,31),"m")*$Y49,AND(DE$3&gt;YEAR($X49),DE$3-YEAR($X49)&lt;20),$Y49*12,DE$3-YEAR($X49)=20,DATEDIF(DATE(YEAR($X49),1,1),$X49,"m")*$Y49,DE$3-YEAR($X49)&gt;20,0)</f>
        <v>4590</v>
      </c>
      <c r="DF49" s="202" cm="1">
        <f t="array" ref="DF49">_xlfn.IFS(DF$3&lt;=YEAR($B$2),SUMPRODUCT(($E$4:$E$79=$E49)*($Z$2:$CG$2=DF$3)*($Z$2:$CG$2&lt;DG$3)*$Z$4:$CG$79),DF$3&lt;YEAR($X49),0,DF$3=YEAR($X49),DATEDIF($X49,DATE(DF$3,12,31),"m")*$Y49,AND(DF$3&gt;YEAR($X49),DF$3-YEAR($X49)&lt;20),$Y49*12,DF$3-YEAR($X49)=20,DATEDIF(DATE(YEAR($X49),1,1),$X49,"m")*$Y49,DF$3-YEAR($X49)&gt;20,0)</f>
        <v>4590</v>
      </c>
      <c r="DG49" s="202" cm="1">
        <f t="array" ref="DG49">_xlfn.IFS(DG$3&lt;=YEAR($B$2),SUMPRODUCT(($E$4:$E$79=$E49)*($Z$2:$CG$2=DG$3)*($Z$2:$CG$2&lt;DH$3)*$Z$4:$CG$79),DG$3&lt;YEAR($X49),0,DG$3=YEAR($X49),DATEDIF($X49,DATE(DG$3,12,31),"m")*$Y49,AND(DG$3&gt;YEAR($X49),DG$3-YEAR($X49)&lt;20),$Y49*12,DG$3-YEAR($X49)=20,DATEDIF(DATE(YEAR($X49),1,1),$X49,"m")*$Y49,DG$3-YEAR($X49)&gt;20,0)</f>
        <v>1912.5</v>
      </c>
      <c r="DH49" s="202" cm="1">
        <f t="array" ref="DH49">_xlfn.IFS(DH$3&lt;=YEAR($B$2),SUMPRODUCT(($E$4:$E$79=$E49)*($Z$2:$CG$2=DH$3)*($Z$2:$CG$2&lt;DI$3)*$Z$4:$CG$79),DH$3&lt;YEAR($X49),0,DH$3=YEAR($X49),DATEDIF($X49,DATE(DH$3,12,31),"m")*$Y49,AND(DH$3&gt;YEAR($X49),DH$3-YEAR($X49)&lt;20),$Y49*12,DH$3-YEAR($X49)=20,DATEDIF(DATE(YEAR($X49),1,1),$X49,"m")*$Y49,DH$3-YEAR($X49)&gt;20,0)</f>
        <v>0</v>
      </c>
      <c r="DI49" s="202" cm="1">
        <f t="array" ref="DI49">_xlfn.IFS(DI$3&lt;=YEAR($B$2),SUMPRODUCT(($E$4:$E$79=$E49)*($Z$2:$CG$2=DI$3)*($Z$2:$CG$2&lt;DJ$3)*$Z$4:$CG$79),DI$3&lt;YEAR($X49),0,DI$3=YEAR($X49),DATEDIF($X49,DATE(DI$3,12,31),"m")*$Y49,AND(DI$3&gt;YEAR($X49),DI$3-YEAR($X49)&lt;20),$Y49*12,DI$3-YEAR($X49)=20,DATEDIF(DATE(YEAR($X49),1,1),$X49,"m")*$Y49,DI$3-YEAR($X49)&gt;20,0)</f>
        <v>0</v>
      </c>
      <c r="DJ49" s="202" cm="1">
        <f t="array" ref="DJ49">_xlfn.IFS(DJ$3&lt;=YEAR($B$2),SUMPRODUCT(($E$4:$E$79=$E49)*($Z$2:$CG$2=DJ$3)*($Z$2:$CG$2&lt;DK$3)*$Z$4:$CG$79),DJ$3&lt;YEAR($X49),0,DJ$3=YEAR($X49),DATEDIF($X49,DATE(DJ$3,12,31),"m")*$Y49,AND(DJ$3&gt;YEAR($X49),DJ$3-YEAR($X49)&lt;20),$Y49*12,DJ$3-YEAR($X49)=20,DATEDIF(DATE(YEAR($X49),1,1),$X49,"m")*$Y49,DJ$3-YEAR($X49)&gt;20,0)</f>
        <v>0</v>
      </c>
      <c r="DK49" s="202" cm="1">
        <f t="array" ref="DK49">_xlfn.IFS(DK$3&lt;=YEAR($B$2),SUMPRODUCT(($E$4:$E$79=$E49)*($Z$2:$CG$2=DK$3)*($Z$2:$CG$2&lt;DL$3)*$Z$4:$CG$79),DK$3&lt;YEAR($X49),0,DK$3=YEAR($X49),DATEDIF($X49,DATE(DK$3,12,31),"m")*$Y49,AND(DK$3&gt;YEAR($X49),DK$3-YEAR($X49)&lt;20),$Y49*12,DK$3-YEAR($X49)=20,DATEDIF(DATE(YEAR($X49),1,1),$X49,"m")*$Y49,DK$3-YEAR($X49)&gt;20,0)</f>
        <v>0</v>
      </c>
      <c r="DL49" s="202" cm="1">
        <f t="array" ref="DL49">_xlfn.IFS(DL$3&lt;=YEAR($B$2),SUMPRODUCT(($E$4:$E$79=$E49)*($Z$2:$CG$2=DL$3)*($Z$2:$CG$2&lt;DM$3)*$Z$4:$CG$79),DL$3&lt;YEAR($X49),0,DL$3=YEAR($X49),DATEDIF($X49,DATE(DL$3,12,31),"m")*$Y49,AND(DL$3&gt;YEAR($X49),DL$3-YEAR($X49)&lt;20),$Y49*12,DL$3-YEAR($X49)=20,DATEDIF(DATE(YEAR($X49),1,1),$X49,"m")*$Y49,DL$3-YEAR($X49)&gt;20,0)</f>
        <v>0</v>
      </c>
    </row>
    <row r="50" spans="1:116">
      <c r="A50" s="155" t="str" cm="1">
        <f t="array" ref="A50">INDEX('Monthly Report July 2025'!C:C,MATCH(E50,'Monthly Report July 2025'!E:E,0),0)</f>
        <v>SPQ0220</v>
      </c>
      <c r="B50" s="155" t="str" cm="1">
        <f t="array" ref="B50">_xlfn.IFS(LEFT(E50,3)="PGE","PGE",LEFT(E50,2)="PP","PAC",TRUE,"IP")</f>
        <v>PGE</v>
      </c>
      <c r="C50" s="155" t="str">
        <f>IF(ISNA(MATCH(E50,'Monthly Report July 2025'!E:E,0)),"Missing","Present")</f>
        <v>Present</v>
      </c>
      <c r="D50" s="155" t="str">
        <f>IF(ISNA(MATCH(E50,'Project Operational Timelines'!C:C,0))=TRUE,"Missing","Present")</f>
        <v>Present</v>
      </c>
      <c r="E50" s="155" t="s">
        <v>158</v>
      </c>
      <c r="F50" s="155" t="str" cm="1">
        <f t="array" ref="F50">INDEX('Monthly Report July 2025'!F:F,MATCH(E50,'Monthly Report July 2025'!E:E,),0)</f>
        <v>Cork Solar LLC</v>
      </c>
      <c r="G50" s="155" t="str" cm="1">
        <f t="array" ref="G50">_xlfn.IFS(INDEX('Monthly Report July 2025'!O:O,MATCH(E50,'Monthly Report July 2025'!E:E,0),0)="Operational","Operational",INDEX('Monthly Report July 2025'!O:O,MATCH(E50,'Monthly Report July 2025'!E:E,0),0)="Certified","Certified",TRUE,"Pre-Certified")</f>
        <v>Operational</v>
      </c>
      <c r="H50" s="155" t="str" cm="1">
        <f t="array" ref="H50">INDEX('Monthly Report July 2025'!H:H,MATCH($E50,'Monthly Report July 2025'!$E:$E,0),0)</f>
        <v>Solar Town</v>
      </c>
      <c r="I50" s="155" t="str" cm="1">
        <f t="array" ref="I50">INDEX('Monthly Report July 2025'!I:I,MATCH($E50,'Monthly Report July 2025'!$E:$E,0),0)</f>
        <v>Luminace</v>
      </c>
      <c r="J50" s="174" cm="1">
        <f t="array" ref="J50">INDEX('Monthly Report July 2025'!J:J,MATCH($E50,'Monthly Report July 2025'!$E:$E,0),0)</f>
        <v>2</v>
      </c>
      <c r="K50" s="174" t="str" cm="1">
        <f t="array" ref="K50">INDEX('Monthly Report July 2025'!K:K,MATCH($E50,'Monthly Report July 2025'!$E:$E,0),0)</f>
        <v>No</v>
      </c>
      <c r="L50" s="174" t="b" cm="1">
        <f t="array" ref="L50">INDEX('Monthly Report July 2025'!L:L,MATCH(E50,'Monthly Report July 2025'!E:E,0),0)=M50</f>
        <v>1</v>
      </c>
      <c r="M50" s="273" cm="1">
        <f t="array" ref="M50">INDEX('Monthly Report July 2025'!L:L,MATCH($E50,'Monthly Report July 2025'!$E:$E,0),0)</f>
        <v>1260</v>
      </c>
      <c r="N50" s="175" cm="1">
        <f t="array" ref="N50">INDEX('Monthly Report July 2025'!M:M,MATCH($E50,'Monthly Report July 2025'!$E:$E,0),0)</f>
        <v>44681</v>
      </c>
      <c r="O50" s="175" t="str" cm="1">
        <f t="array" ref="O50">_xlfn.IFS(G50="Operational","Operational",G50="Certified","Certified",TRUE,INDEX('Monthly Report July 2025'!O:O,MATCH(E50,'Monthly Report July 2025'!E:E,0),0))</f>
        <v>Operational</v>
      </c>
      <c r="P50" s="175" t="b" cm="1">
        <f t="array" ref="P50">_xlfn.IFS(G50="Operational",O50="Operational",G50="Certified",O50="Certified",TRUE,G50="Pre-Certified")</f>
        <v>1</v>
      </c>
      <c r="Q50" s="175" cm="1">
        <f t="array" ref="Q50">IF(O50="Operational",INDEX('Monthly Report July 2025'!R:R,MATCH(E50,'Monthly Report July 2025'!E:E,0),0),"")</f>
        <v>45642</v>
      </c>
      <c r="R50" s="175" cm="1">
        <f t="array" ref="R50">INDEX('Monthly Report July 2025'!P:P,MATCH(E50,'Monthly Report July 2025'!E:E,0),0)</f>
        <v>45637</v>
      </c>
      <c r="S50" s="175" t="b">
        <f t="shared" si="28"/>
        <v>1</v>
      </c>
      <c r="T50" s="175" cm="1">
        <f t="array" ref="T50">INDEX('Monthly Report July 2025'!U:U,MATCH(E50,'Monthly Report July 2025'!E:E,0),0)</f>
        <v>45561</v>
      </c>
      <c r="U50" s="175" t="str">
        <f t="shared" si="6"/>
        <v>IGNORE</v>
      </c>
      <c r="V50" s="156">
        <f t="shared" si="29"/>
        <v>45637</v>
      </c>
      <c r="W50" s="156" cm="1">
        <f t="array" ref="W50">_xlfn.IFS(U50=TRUE,EDATE(O50,6),U50=FALSE,T50,O50="Operational",Q50,AND(O50="Certified",EDATE(R50,6)&gt;T50),EDATE(R50,6),TRUE,T50)</f>
        <v>45642</v>
      </c>
      <c r="X50" s="156">
        <f t="shared" si="30"/>
        <v>45704</v>
      </c>
      <c r="Y50" s="157">
        <f t="shared" si="31"/>
        <v>910.35</v>
      </c>
      <c r="Z50" s="202" cm="1">
        <f t="array" ref="Z50">_xlfn.IFS(Z$3&lt;$B$2,SUMPRODUCT(('PA Fees Actual'!$B$5:$B$882=$E50)*('PA Fees Actual'!$A$5:$A$882&gt;=Z$3)*('PA Fees Actual'!$A$5:$A$882&lt;=EOMONTH(Z$3,0))*'PA Fees Actual'!$D$5:$D$882),Z$3&gt;=EOMONTH($X50,-1)+1,$Y50,TRUE,0)</f>
        <v>0</v>
      </c>
      <c r="AA50" s="202" cm="1">
        <f t="array" ref="AA50">_xlfn.IFS(AA$3&lt;$B$2,SUMPRODUCT(('PA Fees Actual'!$B$5:$B$882=$E50)*('PA Fees Actual'!$A$5:$A$882&gt;=AA$3)*('PA Fees Actual'!$A$5:$A$882&lt;=EOMONTH(AA$3,0))*'PA Fees Actual'!$D$5:$D$882),AA$3&gt;=EOMONTH($X50,-1)+1,$Y50,TRUE,0)</f>
        <v>0</v>
      </c>
      <c r="AB50" s="202" cm="1">
        <f t="array" ref="AB50">_xlfn.IFS(AB$3&lt;$B$2,SUMPRODUCT(('PA Fees Actual'!$B$5:$B$882=$E50)*('PA Fees Actual'!$A$5:$A$882&gt;=AB$3)*('PA Fees Actual'!$A$5:$A$882&lt;=EOMONTH(AB$3,0))*'PA Fees Actual'!$D$5:$D$882),AB$3&gt;=EOMONTH($X50,-1)+1,$Y50,TRUE,0)</f>
        <v>0</v>
      </c>
      <c r="AC50" s="202" cm="1">
        <f t="array" ref="AC50">_xlfn.IFS(AC$3&lt;$B$2,SUMPRODUCT(('PA Fees Actual'!$B$5:$B$882=$E50)*('PA Fees Actual'!$A$5:$A$882&gt;=AC$3)*('PA Fees Actual'!$A$5:$A$882&lt;=EOMONTH(AC$3,0))*'PA Fees Actual'!$D$5:$D$882),AC$3&gt;=EOMONTH($X50,-1)+1,$Y50,TRUE,0)</f>
        <v>0</v>
      </c>
      <c r="AD50" s="202" cm="1">
        <f t="array" ref="AD50">_xlfn.IFS(AD$3&lt;$B$2,SUMPRODUCT(('PA Fees Actual'!$B$5:$B$882=$E50)*('PA Fees Actual'!$A$5:$A$882&gt;=AD$3)*('PA Fees Actual'!$A$5:$A$882&lt;=EOMONTH(AD$3,0))*'PA Fees Actual'!$D$5:$D$882),AD$3&gt;=EOMONTH($X50,-1)+1,$Y50,TRUE,0)</f>
        <v>0</v>
      </c>
      <c r="AE50" s="202" cm="1">
        <f t="array" ref="AE50">_xlfn.IFS(AE$3&lt;$B$2,SUMPRODUCT(('PA Fees Actual'!$B$5:$B$882=$E50)*('PA Fees Actual'!$A$5:$A$882&gt;=AE$3)*('PA Fees Actual'!$A$5:$A$882&lt;=EOMONTH(AE$3,0))*'PA Fees Actual'!$D$5:$D$882),AE$3&gt;=EOMONTH($X50,-1)+1,$Y50,TRUE,0)</f>
        <v>0</v>
      </c>
      <c r="AF50" s="202" cm="1">
        <f t="array" ref="AF50">_xlfn.IFS(AF$3&lt;$B$2,SUMPRODUCT(('PA Fees Actual'!$B$5:$B$882=$E50)*('PA Fees Actual'!$A$5:$A$882&gt;=AF$3)*('PA Fees Actual'!$A$5:$A$882&lt;=EOMONTH(AF$3,0))*'PA Fees Actual'!$D$5:$D$882),AF$3&gt;=EOMONTH($X50,-1)+1,$Y50,TRUE,0)</f>
        <v>0</v>
      </c>
      <c r="AG50" s="202" cm="1">
        <f t="array" ref="AG50">_xlfn.IFS(AG$3&lt;$B$2,SUMPRODUCT(('PA Fees Actual'!$B$5:$B$882=$E50)*('PA Fees Actual'!$A$5:$A$882&gt;=AG$3)*('PA Fees Actual'!$A$5:$A$882&lt;=EOMONTH(AG$3,0))*'PA Fees Actual'!$D$5:$D$882),AG$3&gt;=EOMONTH($X50,-1)+1,$Y50,TRUE,0)</f>
        <v>0</v>
      </c>
      <c r="AH50" s="202" cm="1">
        <f t="array" ref="AH50">_xlfn.IFS(AH$3&lt;$B$2,SUMPRODUCT(('PA Fees Actual'!$B$5:$B$882=$E50)*('PA Fees Actual'!$A$5:$A$882&gt;=AH$3)*('PA Fees Actual'!$A$5:$A$882&lt;=EOMONTH(AH$3,0))*'PA Fees Actual'!$D$5:$D$882),AH$3&gt;=EOMONTH($X50,-1)+1,$Y50,TRUE,0)</f>
        <v>0</v>
      </c>
      <c r="AI50" s="202" cm="1">
        <f t="array" ref="AI50">_xlfn.IFS(AI$3&lt;$B$2,SUMPRODUCT(('PA Fees Actual'!$B$5:$B$882=$E50)*('PA Fees Actual'!$A$5:$A$882&gt;=AI$3)*('PA Fees Actual'!$A$5:$A$882&lt;=EOMONTH(AI$3,0))*'PA Fees Actual'!$D$5:$D$882),AI$3&gt;=EOMONTH($X50,-1)+1,$Y50,TRUE,0)</f>
        <v>0</v>
      </c>
      <c r="AJ50" s="202" cm="1">
        <f t="array" ref="AJ50">_xlfn.IFS(AJ$3&lt;$B$2,SUMPRODUCT(('PA Fees Actual'!$B$5:$B$882=$E50)*('PA Fees Actual'!$A$5:$A$882&gt;=AJ$3)*('PA Fees Actual'!$A$5:$A$882&lt;=EOMONTH(AJ$3,0))*'PA Fees Actual'!$D$5:$D$882),AJ$3&gt;=EOMONTH($X50,-1)+1,$Y50,TRUE,0)</f>
        <v>0</v>
      </c>
      <c r="AK50" s="202" cm="1">
        <f t="array" ref="AK50">_xlfn.IFS(AK$3&lt;$B$2,SUMPRODUCT(('PA Fees Actual'!$B$5:$B$882=$E50)*('PA Fees Actual'!$A$5:$A$882&gt;=AK$3)*('PA Fees Actual'!$A$5:$A$882&lt;=EOMONTH(AK$3,0))*'PA Fees Actual'!$D$5:$D$882),AK$3&gt;=EOMONTH($X50,-1)+1,$Y50,TRUE,0)</f>
        <v>0</v>
      </c>
      <c r="AL50" s="202" cm="1">
        <f t="array" ref="AL50">_xlfn.IFS(AL$3&lt;$B$2,SUMPRODUCT(('PA Fees Actual'!$B$5:$B$882=$E50)*('PA Fees Actual'!$A$5:$A$882&gt;=AL$3)*('PA Fees Actual'!$A$5:$A$882&lt;=EOMONTH(AL$3,0))*'PA Fees Actual'!$D$5:$D$882),AL$3&gt;=EOMONTH($X50,-1)+1,$Y50,TRUE,0)</f>
        <v>0</v>
      </c>
      <c r="AM50" s="202" cm="1">
        <f t="array" ref="AM50">_xlfn.IFS(AM$3&lt;$B$2,SUMPRODUCT(('PA Fees Actual'!$B$5:$B$882=$E50)*('PA Fees Actual'!$A$5:$A$882&gt;=AM$3)*('PA Fees Actual'!$A$5:$A$882&lt;=EOMONTH(AM$3,0))*'PA Fees Actual'!$D$5:$D$882),AM$3&gt;=EOMONTH($X50,-1)+1,$Y50,TRUE,0)</f>
        <v>0</v>
      </c>
      <c r="AN50" s="202" cm="1">
        <f t="array" ref="AN50">_xlfn.IFS(AN$3&lt;$B$2,SUMPRODUCT(('PA Fees Actual'!$B$5:$B$882=$E50)*('PA Fees Actual'!$A$5:$A$882&gt;=AN$3)*('PA Fees Actual'!$A$5:$A$882&lt;=EOMONTH(AN$3,0))*'PA Fees Actual'!$D$5:$D$882),AN$3&gt;=EOMONTH($X50,-1)+1,$Y50,TRUE,0)</f>
        <v>0</v>
      </c>
      <c r="AO50" s="202" cm="1">
        <f t="array" ref="AO50">_xlfn.IFS(AO$3&lt;$B$2,SUMPRODUCT(('PA Fees Actual'!$B$5:$B$882=$E50)*('PA Fees Actual'!$A$5:$A$882&gt;=AO$3)*('PA Fees Actual'!$A$5:$A$882&lt;=EOMONTH(AO$3,0))*'PA Fees Actual'!$D$5:$D$882),AO$3&gt;=EOMONTH($X50,-1)+1,$Y50,TRUE,0)</f>
        <v>0</v>
      </c>
      <c r="AP50" s="202" cm="1">
        <f t="array" ref="AP50">_xlfn.IFS(AP$3&lt;$B$2,SUMPRODUCT(('PA Fees Actual'!$B$5:$B$882=$E50)*('PA Fees Actual'!$A$5:$A$882&gt;=AP$3)*('PA Fees Actual'!$A$5:$A$882&lt;=EOMONTH(AP$3,0))*'PA Fees Actual'!$D$5:$D$882),AP$3&gt;=EOMONTH($X50,-1)+1,$Y50,TRUE,0)</f>
        <v>0</v>
      </c>
      <c r="AQ50" s="202" cm="1">
        <f t="array" ref="AQ50">_xlfn.IFS(AQ$3&lt;$B$2,SUMPRODUCT(('PA Fees Actual'!$B$5:$B$882=$E50)*('PA Fees Actual'!$A$5:$A$882&gt;=AQ$3)*('PA Fees Actual'!$A$5:$A$882&lt;=EOMONTH(AQ$3,0))*'PA Fees Actual'!$D$5:$D$882),AQ$3&gt;=EOMONTH($X50,-1)+1,$Y50,TRUE,0)</f>
        <v>0</v>
      </c>
      <c r="AR50" s="202" cm="1">
        <f t="array" ref="AR50">_xlfn.IFS(AR$3&lt;$B$2,SUMPRODUCT(('PA Fees Actual'!$B$5:$B$882=$E50)*('PA Fees Actual'!$A$5:$A$882&gt;=AR$3)*('PA Fees Actual'!$A$5:$A$882&lt;=EOMONTH(AR$3,0))*'PA Fees Actual'!$D$5:$D$882),AR$3&gt;=EOMONTH($X50,-1)+1,$Y50,TRUE,0)</f>
        <v>0</v>
      </c>
      <c r="AS50" s="202" cm="1">
        <f t="array" ref="AS50">_xlfn.IFS(AS$3&lt;$B$2,SUMPRODUCT(('PA Fees Actual'!$B$5:$B$882=$E50)*('PA Fees Actual'!$A$5:$A$882&gt;=AS$3)*('PA Fees Actual'!$A$5:$A$882&lt;=EOMONTH(AS$3,0))*'PA Fees Actual'!$D$5:$D$882),AS$3&gt;=EOMONTH($X50,-1)+1,$Y50,TRUE,0)</f>
        <v>0</v>
      </c>
      <c r="AT50" s="202" cm="1">
        <f t="array" ref="AT50">_xlfn.IFS(AT$3&lt;$B$2,SUMPRODUCT(('PA Fees Actual'!$B$5:$B$882=$E50)*('PA Fees Actual'!$A$5:$A$882&gt;=AT$3)*('PA Fees Actual'!$A$5:$A$882&lt;=EOMONTH(AT$3,0))*'PA Fees Actual'!$D$5:$D$882),AT$3&gt;=EOMONTH($X50,-1)+1,$Y50,TRUE,0)</f>
        <v>0</v>
      </c>
      <c r="AU50" s="202" cm="1">
        <f t="array" ref="AU50">_xlfn.IFS(AU$3&lt;$B$2,SUMPRODUCT(('PA Fees Actual'!$B$5:$B$882=$E50)*('PA Fees Actual'!$A$5:$A$882&gt;=AU$3)*('PA Fees Actual'!$A$5:$A$882&lt;=EOMONTH(AU$3,0))*'PA Fees Actual'!$D$5:$D$882),AU$3&gt;=EOMONTH($X50,-1)+1,$Y50,TRUE,0)</f>
        <v>0</v>
      </c>
      <c r="AV50" s="202" cm="1">
        <f t="array" ref="AV50">_xlfn.IFS(AV$3&lt;$B$2,SUMPRODUCT(('PA Fees Actual'!$B$5:$B$882=$E50)*('PA Fees Actual'!$A$5:$A$882&gt;=AV$3)*('PA Fees Actual'!$A$5:$A$882&lt;=EOMONTH(AV$3,0))*'PA Fees Actual'!$D$5:$D$882),AV$3&gt;=EOMONTH($X50,-1)+1,$Y50,TRUE,0)</f>
        <v>0</v>
      </c>
      <c r="AW50" s="202" cm="1">
        <f t="array" ref="AW50">_xlfn.IFS(AW$3&lt;$B$2,SUMPRODUCT(('PA Fees Actual'!$B$5:$B$882=$E50)*('PA Fees Actual'!$A$5:$A$882&gt;=AW$3)*('PA Fees Actual'!$A$5:$A$882&lt;=EOMONTH(AW$3,0))*'PA Fees Actual'!$D$5:$D$882),AW$3&gt;=EOMONTH($X50,-1)+1,$Y50,TRUE,0)</f>
        <v>0</v>
      </c>
      <c r="AX50" s="202" cm="1">
        <f t="array" ref="AX50">_xlfn.IFS(AX$3&lt;$B$2,SUMPRODUCT(('PA Fees Actual'!$B$5:$B$882=$E50)*('PA Fees Actual'!$A$5:$A$882&gt;=AX$3)*('PA Fees Actual'!$A$5:$A$882&lt;=EOMONTH(AX$3,0))*'PA Fees Actual'!$D$5:$D$882),AX$3&gt;=EOMONTH($X50,-1)+1,$Y50,TRUE,0)</f>
        <v>0</v>
      </c>
      <c r="AY50" s="202" cm="1">
        <f t="array" ref="AY50">_xlfn.IFS(AY$3&lt;$B$2,SUMPRODUCT(('PA Fees Actual'!$B$5:$B$882=$E50)*('PA Fees Actual'!$A$5:$A$882&gt;=AY$3)*('PA Fees Actual'!$A$5:$A$882&lt;=EOMONTH(AY$3,0))*'PA Fees Actual'!$D$5:$D$882),AY$3&gt;=EOMONTH($X50,-1)+1,$Y50,TRUE,0)</f>
        <v>0</v>
      </c>
      <c r="AZ50" s="202" cm="1">
        <f t="array" ref="AZ50">_xlfn.IFS(AZ$3&lt;$B$2,SUMPRODUCT(('PA Fees Actual'!$B$5:$B$882=$E50)*('PA Fees Actual'!$A$5:$A$882&gt;=AZ$3)*('PA Fees Actual'!$A$5:$A$882&lt;=EOMONTH(AZ$3,0))*'PA Fees Actual'!$D$5:$D$882),AZ$3&gt;=EOMONTH($X50,-1)+1,$Y50,TRUE,0)</f>
        <v>0</v>
      </c>
      <c r="BA50" s="202" cm="1">
        <f t="array" ref="BA50">_xlfn.IFS(BA$3&lt;$B$2,SUMPRODUCT(('PA Fees Actual'!$B$5:$B$882=$E50)*('PA Fees Actual'!$A$5:$A$882&gt;=BA$3)*('PA Fees Actual'!$A$5:$A$882&lt;=EOMONTH(BA$3,0))*'PA Fees Actual'!$D$5:$D$882),BA$3&gt;=EOMONTH($X50,-1)+1,$Y50,TRUE,0)</f>
        <v>0</v>
      </c>
      <c r="BB50" s="202" cm="1">
        <f t="array" ref="BB50">_xlfn.IFS(BB$3&lt;$B$2,SUMPRODUCT(('PA Fees Actual'!$B$5:$B$882=$E50)*('PA Fees Actual'!$A$5:$A$882&gt;=BB$3)*('PA Fees Actual'!$A$5:$A$882&lt;=EOMONTH(BB$3,0))*'PA Fees Actual'!$D$5:$D$882),BB$3&gt;=EOMONTH($X50,-1)+1,$Y50,TRUE,0)</f>
        <v>0</v>
      </c>
      <c r="BC50" s="202" cm="1">
        <f t="array" ref="BC50">_xlfn.IFS(BC$3&lt;$B$2,SUMPRODUCT(('PA Fees Actual'!$B$5:$B$882=$E50)*('PA Fees Actual'!$A$5:$A$882&gt;=BC$3)*('PA Fees Actual'!$A$5:$A$882&lt;=EOMONTH(BC$3,0))*'PA Fees Actual'!$D$5:$D$882),BC$3&gt;=EOMONTH($X50,-1)+1,$Y50,TRUE,0)</f>
        <v>0</v>
      </c>
      <c r="BD50" s="202" cm="1">
        <f t="array" ref="BD50">_xlfn.IFS(BD$3&lt;$B$2,SUMPRODUCT(('PA Fees Actual'!$B$5:$B$882=$E50)*('PA Fees Actual'!$A$5:$A$882&gt;=BD$3)*('PA Fees Actual'!$A$5:$A$882&lt;=EOMONTH(BD$3,0))*'PA Fees Actual'!$D$5:$D$882),BD$3&gt;=EOMONTH($X50,-1)+1,$Y50,TRUE,0)</f>
        <v>0</v>
      </c>
      <c r="BE50" s="202" cm="1">
        <f t="array" ref="BE50">_xlfn.IFS(BE$3&lt;$B$2,SUMPRODUCT(('PA Fees Actual'!$B$5:$B$882=$E50)*('PA Fees Actual'!$A$5:$A$882&gt;=BE$3)*('PA Fees Actual'!$A$5:$A$882&lt;=EOMONTH(BE$3,0))*'PA Fees Actual'!$D$5:$D$882),BE$3&gt;=EOMONTH($X50,-1)+1,$Y50,TRUE,0)</f>
        <v>0</v>
      </c>
      <c r="BF50" s="202" cm="1">
        <f t="array" ref="BF50">_xlfn.IFS(BF$3&lt;$B$2,SUMPRODUCT(('PA Fees Actual'!$B$5:$B$882=$E50)*('PA Fees Actual'!$A$5:$A$882&gt;=BF$3)*('PA Fees Actual'!$A$5:$A$882&lt;=EOMONTH(BF$3,0))*'PA Fees Actual'!$D$5:$D$882),BF$3&gt;=EOMONTH($X50,-1)+1,$Y50,TRUE,0)</f>
        <v>0</v>
      </c>
      <c r="BG50" s="202" cm="1">
        <f t="array" ref="BG50">_xlfn.IFS(BG$3&lt;$B$2,SUMPRODUCT(('PA Fees Actual'!$B$5:$B$882=$E50)*('PA Fees Actual'!$A$5:$A$882&gt;=BG$3)*('PA Fees Actual'!$A$5:$A$882&lt;=EOMONTH(BG$3,0))*'PA Fees Actual'!$D$5:$D$882),BG$3&gt;=EOMONTH($X50,-1)+1,$Y50,TRUE,0)</f>
        <v>0</v>
      </c>
      <c r="BH50" s="202" cm="1">
        <f t="array" ref="BH50">_xlfn.IFS(BH$3&lt;$B$2,SUMPRODUCT(('PA Fees Actual'!$B$5:$B$882=$E50)*('PA Fees Actual'!$A$5:$A$882&gt;=BH$3)*('PA Fees Actual'!$A$5:$A$882&lt;=EOMONTH(BH$3,0))*'PA Fees Actual'!$D$5:$D$882),BH$3&gt;=EOMONTH($X50,-1)+1,$Y50,TRUE,0)</f>
        <v>0</v>
      </c>
      <c r="BI50" s="202" cm="1">
        <f t="array" ref="BI50">_xlfn.IFS(BI$3&lt;$B$2,SUMPRODUCT(('PA Fees Actual'!$B$5:$B$882=$E50)*('PA Fees Actual'!$A$5:$A$882&gt;=BI$3)*('PA Fees Actual'!$A$5:$A$882&lt;=EOMONTH(BI$3,0))*'PA Fees Actual'!$D$5:$D$882),BI$3&gt;=EOMONTH($X50,-1)+1,$Y50,TRUE,0)</f>
        <v>0</v>
      </c>
      <c r="BJ50" s="202" cm="1">
        <f t="array" ref="BJ50">_xlfn.IFS(BJ$3&lt;$B$2,SUMPRODUCT(('PA Fees Actual'!$B$5:$B$882=$E50)*('PA Fees Actual'!$A$5:$A$882&gt;=BJ$3)*('PA Fees Actual'!$A$5:$A$882&lt;=EOMONTH(BJ$3,0))*'PA Fees Actual'!$D$5:$D$882),BJ$3&gt;=EOMONTH($X50,-1)+1,$Y50,TRUE,0)</f>
        <v>0</v>
      </c>
      <c r="BK50" s="202" cm="1">
        <f t="array" ref="BK50">_xlfn.IFS(BK$3&lt;$B$2,SUMPRODUCT(('PA Fees Actual'!$B$5:$B$882=$E50)*('PA Fees Actual'!$A$5:$A$882&gt;=BK$3)*('PA Fees Actual'!$A$5:$A$882&lt;=EOMONTH(BK$3,0))*'PA Fees Actual'!$D$5:$D$882),BK$3&gt;=EOMONTH($X50,-1)+1,$Y50,TRUE,0)</f>
        <v>0</v>
      </c>
      <c r="BL50" s="202" cm="1">
        <f t="array" ref="BL50">_xlfn.IFS(BL$3&lt;$B$2,SUMPRODUCT(('PA Fees Actual'!$B$5:$B$882=$E50)*('PA Fees Actual'!$A$5:$A$882&gt;=BL$3)*('PA Fees Actual'!$A$5:$A$882&lt;=EOMONTH(BL$3,0))*'PA Fees Actual'!$D$5:$D$882),BL$3&gt;=EOMONTH($X50,-1)+1,$Y50,TRUE,0)</f>
        <v>0</v>
      </c>
      <c r="BM50" s="202" cm="1">
        <f t="array" ref="BM50">_xlfn.IFS(BM$3&lt;$B$2,SUMPRODUCT(('PA Fees Actual'!$B$5:$B$882=$E50)*('PA Fees Actual'!$A$5:$A$882&gt;=BM$3)*('PA Fees Actual'!$A$5:$A$882&lt;=EOMONTH(BM$3,0))*'PA Fees Actual'!$D$5:$D$882),BM$3&gt;=EOMONTH($X50,-1)+1,$Y50,TRUE,0)</f>
        <v>0</v>
      </c>
      <c r="BN50" s="202" cm="1">
        <f t="array" ref="BN50">_xlfn.IFS(BN$3&lt;$B$2,SUMPRODUCT(('PA Fees Actual'!$B$5:$B$882=$E50)*('PA Fees Actual'!$A$5:$A$882&gt;=BN$3)*('PA Fees Actual'!$A$5:$A$882&lt;=EOMONTH(BN$3,0))*'PA Fees Actual'!$D$5:$D$882),BN$3&gt;=EOMONTH($X50,-1)+1,$Y50,TRUE,0)</f>
        <v>0</v>
      </c>
      <c r="BO50" s="202" cm="1">
        <f t="array" ref="BO50">_xlfn.IFS(BO$3&lt;$B$2,SUMPRODUCT(('PA Fees Actual'!$B$5:$B$882=$E50)*('PA Fees Actual'!$A$5:$A$882&gt;=BO$3)*('PA Fees Actual'!$A$5:$A$882&lt;=EOMONTH(BO$3,0))*'PA Fees Actual'!$D$5:$D$882),BO$3&gt;=EOMONTH($X50,-1)+1,$Y50,TRUE,0)</f>
        <v>0</v>
      </c>
      <c r="BP50" s="202" cm="1">
        <f t="array" ref="BP50">_xlfn.IFS(BP$3&lt;$B$2,SUMPRODUCT(('PA Fees Actual'!$B$5:$B$882=$E50)*('PA Fees Actual'!$A$5:$A$882&gt;=BP$3)*('PA Fees Actual'!$A$5:$A$882&lt;=EOMONTH(BP$3,0))*'PA Fees Actual'!$D$5:$D$882),BP$3&gt;=EOMONTH($X50,-1)+1,$Y50,TRUE,0)</f>
        <v>0</v>
      </c>
      <c r="BQ50" s="202" cm="1">
        <f t="array" ref="BQ50">_xlfn.IFS(BQ$3&lt;$B$2,SUMPRODUCT(('PA Fees Actual'!$B$5:$B$882=$E50)*('PA Fees Actual'!$A$5:$A$882&gt;=BQ$3)*('PA Fees Actual'!$A$5:$A$882&lt;=EOMONTH(BQ$3,0))*'PA Fees Actual'!$D$5:$D$882),BQ$3&gt;=EOMONTH($X50,-1)+1,$Y50,TRUE,0)</f>
        <v>0</v>
      </c>
      <c r="BR50" s="202" cm="1">
        <f t="array" ref="BR50">_xlfn.IFS(BR$3&lt;$B$2,SUMPRODUCT(('PA Fees Actual'!$B$5:$B$882=$E50)*('PA Fees Actual'!$A$5:$A$882&gt;=BR$3)*('PA Fees Actual'!$A$5:$A$882&lt;=EOMONTH(BR$3,0))*'PA Fees Actual'!$D$5:$D$882),BR$3&gt;=EOMONTH($X50,-1)+1,$Y50,TRUE,0)</f>
        <v>0</v>
      </c>
      <c r="BS50" s="202" cm="1">
        <f t="array" ref="BS50">_xlfn.IFS(BS$3&lt;$B$2,SUMPRODUCT(('PA Fees Actual'!$B$5:$B$882=$E50)*('PA Fees Actual'!$A$5:$A$882&gt;=BS$3)*('PA Fees Actual'!$A$5:$A$882&lt;=EOMONTH(BS$3,0))*'PA Fees Actual'!$D$5:$D$882),BS$3&gt;=EOMONTH($X50,-1)+1,$Y50,TRUE,0)</f>
        <v>0</v>
      </c>
      <c r="BT50" s="202" cm="1">
        <f t="array" ref="BT50">_xlfn.IFS(BT$3&lt;$B$2,SUMPRODUCT(('PA Fees Actual'!$B$5:$B$882=$E50)*('PA Fees Actual'!$A$5:$A$882&gt;=BT$3)*('PA Fees Actual'!$A$5:$A$882&lt;=EOMONTH(BT$3,0))*'PA Fees Actual'!$D$5:$D$882),BT$3&gt;=EOMONTH($X50,-1)+1,$Y50,TRUE,0)</f>
        <v>0</v>
      </c>
      <c r="BU50" s="202" cm="1">
        <f t="array" ref="BU50">_xlfn.IFS(BU$3&lt;$B$2,SUMPRODUCT(('PA Fees Actual'!$B$5:$B$882=$E50)*('PA Fees Actual'!$A$5:$A$882&gt;=BU$3)*('PA Fees Actual'!$A$5:$A$882&lt;=EOMONTH(BU$3,0))*'PA Fees Actual'!$D$5:$D$882),BU$3&gt;=EOMONTH($X50,-1)+1,$Y50,TRUE,0)</f>
        <v>0</v>
      </c>
      <c r="BV50" s="202" cm="1">
        <f t="array" ref="BV50">_xlfn.IFS(BV$3&lt;$B$2,SUMPRODUCT(('PA Fees Actual'!$B$5:$B$882=$E50)*('PA Fees Actual'!$A$5:$A$882&gt;=BV$3)*('PA Fees Actual'!$A$5:$A$882&lt;=EOMONTH(BV$3,0))*'PA Fees Actual'!$D$5:$D$882),BV$3&gt;=EOMONTH($X50,-1)+1,$Y50,TRUE,0)</f>
        <v>0</v>
      </c>
      <c r="BW50" s="202" cm="1">
        <f t="array" ref="BW50">_xlfn.IFS(BW$3&lt;$B$2,SUMPRODUCT(('PA Fees Actual'!$B$5:$B$882=$E50)*('PA Fees Actual'!$A$5:$A$882&gt;=BW$3)*('PA Fees Actual'!$A$5:$A$882&lt;=EOMONTH(BW$3,0))*'PA Fees Actual'!$D$5:$D$882),BW$3&gt;=EOMONTH($X50,-1)+1,$Y50,TRUE,0)</f>
        <v>264.60000000000002</v>
      </c>
      <c r="BX50" s="202" cm="1">
        <f t="array" ref="BX50">_xlfn.IFS(BX$3&lt;$B$2,SUMPRODUCT(('PA Fees Actual'!$B$5:$B$882=$E50)*('PA Fees Actual'!$A$5:$A$882&gt;=BX$3)*('PA Fees Actual'!$A$5:$A$882&lt;=EOMONTH(BX$3,0))*'PA Fees Actual'!$D$5:$D$882),BX$3&gt;=EOMONTH($X50,-1)+1,$Y50,TRUE,0)</f>
        <v>1518.22</v>
      </c>
      <c r="BY50" s="202" cm="1">
        <f t="array" ref="BY50">_xlfn.IFS(BY$3&lt;$B$2,SUMPRODUCT(('PA Fees Actual'!$B$5:$B$882=$E50)*('PA Fees Actual'!$A$5:$A$882&gt;=BY$3)*('PA Fees Actual'!$A$5:$A$882&lt;=EOMONTH(BY$3,0))*'PA Fees Actual'!$D$5:$D$882),BY$3&gt;=EOMONTH($X50,-1)+1,$Y50,TRUE,0)</f>
        <v>1028.2</v>
      </c>
      <c r="BZ50" s="202" cm="1">
        <f t="array" ref="BZ50">_xlfn.IFS(BZ$3&lt;$B$2,SUMPRODUCT(('PA Fees Actual'!$B$5:$B$882=$E50)*('PA Fees Actual'!$A$5:$A$882&gt;=BZ$3)*('PA Fees Actual'!$A$5:$A$882&lt;=EOMONTH(BZ$3,0))*'PA Fees Actual'!$D$5:$D$882),BZ$3&gt;=EOMONTH($X50,-1)+1,$Y50,TRUE,0)</f>
        <v>5.23</v>
      </c>
      <c r="CA50" s="202" cm="1">
        <f t="array" ref="CA50">_xlfn.IFS(CA$3&lt;$B$2,SUMPRODUCT(('PA Fees Actual'!$B$5:$B$882=$E50)*('PA Fees Actual'!$A$5:$A$882&gt;=CA$3)*('PA Fees Actual'!$A$5:$A$882&lt;=EOMONTH(CA$3,0))*'PA Fees Actual'!$D$5:$D$882),CA$3&gt;=EOMONTH($X50,-1)+1,$Y50,TRUE,0)</f>
        <v>1947.48</v>
      </c>
      <c r="CB50" s="202" cm="1">
        <f t="array" ref="CB50">_xlfn.IFS(CB$3&lt;$B$2,SUMPRODUCT(('PA Fees Actual'!$B$5:$B$882=$E50)*('PA Fees Actual'!$A$5:$A$882&gt;=CB$3)*('PA Fees Actual'!$A$5:$A$882&lt;=EOMONTH(CB$3,0))*'PA Fees Actual'!$D$5:$D$882),CB$3&gt;=EOMONTH($X50,-1)+1,$Y50,TRUE,0)</f>
        <v>910.35</v>
      </c>
      <c r="CC50" s="202" cm="1">
        <f t="array" ref="CC50">_xlfn.IFS(CC$3&lt;$B$2,SUMPRODUCT(('PA Fees Actual'!$B$5:$B$882=$E50)*('PA Fees Actual'!$A$5:$A$882&gt;=CC$3)*('PA Fees Actual'!$A$5:$A$882&lt;=EOMONTH(CC$3,0))*'PA Fees Actual'!$D$5:$D$882),CC$3&gt;=EOMONTH($X50,-1)+1,$Y50,TRUE,0)</f>
        <v>910.35</v>
      </c>
      <c r="CD50" s="202" cm="1">
        <f t="array" ref="CD50">_xlfn.IFS(CD$3&lt;$B$2,SUMPRODUCT(('PA Fees Actual'!$B$5:$B$882=$E50)*('PA Fees Actual'!$A$5:$A$882&gt;=CD$3)*('PA Fees Actual'!$A$5:$A$882&lt;=EOMONTH(CD$3,0))*'PA Fees Actual'!$D$5:$D$882),CD$3&gt;=EOMONTH($X50,-1)+1,$Y50,TRUE,0)</f>
        <v>910.35</v>
      </c>
      <c r="CE50" s="202" cm="1">
        <f t="array" ref="CE50">_xlfn.IFS(CE$3&lt;$B$2,SUMPRODUCT(('PA Fees Actual'!$B$5:$B$882=$E50)*('PA Fees Actual'!$A$5:$A$882&gt;=CE$3)*('PA Fees Actual'!$A$5:$A$882&lt;=EOMONTH(CE$3,0))*'PA Fees Actual'!$D$5:$D$882),CE$3&gt;=EOMONTH($X50,-1)+1,$Y50,TRUE,0)</f>
        <v>910.35</v>
      </c>
      <c r="CF50" s="202" cm="1">
        <f t="array" ref="CF50">_xlfn.IFS(CF$3&lt;$B$2,SUMPRODUCT(('PA Fees Actual'!$B$5:$B$882=$E50)*('PA Fees Actual'!$A$5:$A$882&gt;=CF$3)*('PA Fees Actual'!$A$5:$A$882&lt;=EOMONTH(CF$3,0))*'PA Fees Actual'!$D$5:$D$882),CF$3&gt;=EOMONTH($X50,-1)+1,$Y50,TRUE,0)</f>
        <v>910.35</v>
      </c>
      <c r="CG50" s="202" cm="1">
        <f t="array" ref="CG50">_xlfn.IFS(CG$3&lt;$B$2,SUMPRODUCT(('PA Fees Actual'!$B$5:$B$882=$E50)*('PA Fees Actual'!$A$5:$A$882&gt;=CG$3)*('PA Fees Actual'!$A$5:$A$882&lt;=EOMONTH(CG$3,0))*'PA Fees Actual'!$D$5:$D$882),CG$3&gt;=EOMONTH($X50,-1)+1,$Y50,TRUE,0)</f>
        <v>910.35</v>
      </c>
      <c r="CI50" s="202" cm="1">
        <f t="array" ref="CI50">_xlfn.IFS(CI$3&lt;=YEAR($B$2),SUMPRODUCT(($E$4:$E$79=$E50)*($Z$2:$CG$2=CI$3)*($Z$2:$CG$2&lt;CJ$3)*$Z$4:$CG$79),CI$3&lt;YEAR($X50),0,CI$3=YEAR($X50),DATEDIF($X50,DATE(CI$3,12,31),"m")*$Y50,AND(CI$3&gt;YEAR($X50),CI$3-YEAR($X50)&lt;20),$Y50*12,CI$3-YEAR($X50)=20,DATEDIF(DATE(YEAR($X50),1,1),$X50,"m")*$Y50,CI$3-YEAR($X50)&gt;20,0)</f>
        <v>0</v>
      </c>
      <c r="CJ50" s="202" cm="1">
        <f t="array" ref="CJ50">_xlfn.IFS(CJ$3&lt;=YEAR($B$2),SUMPRODUCT(($E$4:$E$79=$E50)*($Z$2:$CG$2=CJ$3)*($Z$2:$CG$2&lt;CK$3)*$Z$4:$CG$79),CJ$3&lt;YEAR($X50),0,CJ$3=YEAR($X50),DATEDIF($X50,DATE(CJ$3,12,31),"m")*$Y50,AND(CJ$3&gt;YEAR($X50),CJ$3-YEAR($X50)&lt;20),$Y50*12,CJ$3-YEAR($X50)=20,DATEDIF(DATE(YEAR($X50),1,1),$X50,"m")*$Y50,CJ$3-YEAR($X50)&gt;20,0)</f>
        <v>0</v>
      </c>
      <c r="CK50" s="202" cm="1">
        <f t="array" ref="CK50">_xlfn.IFS(CK$3&lt;=YEAR($B$2),SUMPRODUCT(($E$4:$E$79=$E50)*($Z$2:$CG$2=CK$3)*($Z$2:$CG$2&lt;CL$3)*$Z$4:$CG$79),CK$3&lt;YEAR($X50),0,CK$3=YEAR($X50),DATEDIF($X50,DATE(CK$3,12,31),"m")*$Y50,AND(CK$3&gt;YEAR($X50),CK$3-YEAR($X50)&lt;20),$Y50*12,CK$3-YEAR($X50)=20,DATEDIF(DATE(YEAR($X50),1,1),$X50,"m")*$Y50,CK$3-YEAR($X50)&gt;20,0)</f>
        <v>0</v>
      </c>
      <c r="CL50" s="202" cm="1">
        <f t="array" ref="CL50">_xlfn.IFS(CL$3&lt;=YEAR($B$2),SUMPRODUCT(($E$4:$E$79=$E50)*($Z$2:$CG$2=CL$3)*($Z$2:$CG$2&lt;CM$3)*$Z$4:$CG$79),CL$3&lt;YEAR($X50),0,CL$3=YEAR($X50),DATEDIF($X50,DATE(CL$3,12,31),"m")*$Y50,AND(CL$3&gt;YEAR($X50),CL$3-YEAR($X50)&lt;20),$Y50*12,CL$3-YEAR($X50)=20,DATEDIF(DATE(YEAR($X50),1,1),$X50,"m")*$Y50,CL$3-YEAR($X50)&gt;20,0)</f>
        <v>0</v>
      </c>
      <c r="CM50" s="202" cm="1">
        <f t="array" ref="CM50">_xlfn.IFS(CM$3&lt;=YEAR($B$2),SUMPRODUCT(($E$4:$E$79=$E50)*($Z$2:$CG$2=CM$3)*($Z$2:$CG$2&lt;CN$3)*$Z$4:$CG$79),CM$3&lt;YEAR($X50),0,CM$3=YEAR($X50),DATEDIF($X50,DATE(CM$3,12,31),"m")*$Y50,AND(CM$3&gt;YEAR($X50),CM$3-YEAR($X50)&lt;20),$Y50*12,CM$3-YEAR($X50)=20,DATEDIF(DATE(YEAR($X50),1,1),$X50,"m")*$Y50,CM$3-YEAR($X50)&gt;20,0)</f>
        <v>10225.830000000002</v>
      </c>
      <c r="CN50" s="202" cm="1">
        <f t="array" ref="CN50">_xlfn.IFS(CN$3&lt;=YEAR($B$2),SUMPRODUCT(($E$4:$E$79=$E50)*($Z$2:$CG$2=CN$3)*($Z$2:$CG$2&lt;CO$3)*$Z$4:$CG$79),CN$3&lt;YEAR($X50),0,CN$3=YEAR($X50),DATEDIF($X50,DATE(CN$3,12,31),"m")*$Y50,AND(CN$3&gt;YEAR($X50),CN$3-YEAR($X50)&lt;20),$Y50*12,CN$3-YEAR($X50)=20,DATEDIF(DATE(YEAR($X50),1,1),$X50,"m")*$Y50,CN$3-YEAR($X50)&gt;20,0)</f>
        <v>10924.2</v>
      </c>
      <c r="CO50" s="202" cm="1">
        <f t="array" ref="CO50">_xlfn.IFS(CO$3&lt;=YEAR($B$2),SUMPRODUCT(($E$4:$E$79=$E50)*($Z$2:$CG$2=CO$3)*($Z$2:$CG$2&lt;CP$3)*$Z$4:$CG$79),CO$3&lt;YEAR($X50),0,CO$3=YEAR($X50),DATEDIF($X50,DATE(CO$3,12,31),"m")*$Y50,AND(CO$3&gt;YEAR($X50),CO$3-YEAR($X50)&lt;20),$Y50*12,CO$3-YEAR($X50)=20,DATEDIF(DATE(YEAR($X50),1,1),$X50,"m")*$Y50,CO$3-YEAR($X50)&gt;20,0)</f>
        <v>10924.2</v>
      </c>
      <c r="CP50" s="202" cm="1">
        <f t="array" ref="CP50">_xlfn.IFS(CP$3&lt;=YEAR($B$2),SUMPRODUCT(($E$4:$E$79=$E50)*($Z$2:$CG$2=CP$3)*($Z$2:$CG$2&lt;CQ$3)*$Z$4:$CG$79),CP$3&lt;YEAR($X50),0,CP$3=YEAR($X50),DATEDIF($X50,DATE(CP$3,12,31),"m")*$Y50,AND(CP$3&gt;YEAR($X50),CP$3-YEAR($X50)&lt;20),$Y50*12,CP$3-YEAR($X50)=20,DATEDIF(DATE(YEAR($X50),1,1),$X50,"m")*$Y50,CP$3-YEAR($X50)&gt;20,0)</f>
        <v>10924.2</v>
      </c>
      <c r="CQ50" s="202" cm="1">
        <f t="array" ref="CQ50">_xlfn.IFS(CQ$3&lt;=YEAR($B$2),SUMPRODUCT(($E$4:$E$79=$E50)*($Z$2:$CG$2=CQ$3)*($Z$2:$CG$2&lt;CR$3)*$Z$4:$CG$79),CQ$3&lt;YEAR($X50),0,CQ$3=YEAR($X50),DATEDIF($X50,DATE(CQ$3,12,31),"m")*$Y50,AND(CQ$3&gt;YEAR($X50),CQ$3-YEAR($X50)&lt;20),$Y50*12,CQ$3-YEAR($X50)=20,DATEDIF(DATE(YEAR($X50),1,1),$X50,"m")*$Y50,CQ$3-YEAR($X50)&gt;20,0)</f>
        <v>10924.2</v>
      </c>
      <c r="CR50" s="202" cm="1">
        <f t="array" ref="CR50">_xlfn.IFS(CR$3&lt;=YEAR($B$2),SUMPRODUCT(($E$4:$E$79=$E50)*($Z$2:$CG$2=CR$3)*($Z$2:$CG$2&lt;CS$3)*$Z$4:$CG$79),CR$3&lt;YEAR($X50),0,CR$3=YEAR($X50),DATEDIF($X50,DATE(CR$3,12,31),"m")*$Y50,AND(CR$3&gt;YEAR($X50),CR$3-YEAR($X50)&lt;20),$Y50*12,CR$3-YEAR($X50)=20,DATEDIF(DATE(YEAR($X50),1,1),$X50,"m")*$Y50,CR$3-YEAR($X50)&gt;20,0)</f>
        <v>10924.2</v>
      </c>
      <c r="CS50" s="202" cm="1">
        <f t="array" ref="CS50">_xlfn.IFS(CS$3&lt;=YEAR($B$2),SUMPRODUCT(($E$4:$E$79=$E50)*($Z$2:$CG$2=CS$3)*($Z$2:$CG$2&lt;CT$3)*$Z$4:$CG$79),CS$3&lt;YEAR($X50),0,CS$3=YEAR($X50),DATEDIF($X50,DATE(CS$3,12,31),"m")*$Y50,AND(CS$3&gt;YEAR($X50),CS$3-YEAR($X50)&lt;20),$Y50*12,CS$3-YEAR($X50)=20,DATEDIF(DATE(YEAR($X50),1,1),$X50,"m")*$Y50,CS$3-YEAR($X50)&gt;20,0)</f>
        <v>10924.2</v>
      </c>
      <c r="CT50" s="202" cm="1">
        <f t="array" ref="CT50">_xlfn.IFS(CT$3&lt;=YEAR($B$2),SUMPRODUCT(($E$4:$E$79=$E50)*($Z$2:$CG$2=CT$3)*($Z$2:$CG$2&lt;CU$3)*$Z$4:$CG$79),CT$3&lt;YEAR($X50),0,CT$3=YEAR($X50),DATEDIF($X50,DATE(CT$3,12,31),"m")*$Y50,AND(CT$3&gt;YEAR($X50),CT$3-YEAR($X50)&lt;20),$Y50*12,CT$3-YEAR($X50)=20,DATEDIF(DATE(YEAR($X50),1,1),$X50,"m")*$Y50,CT$3-YEAR($X50)&gt;20,0)</f>
        <v>10924.2</v>
      </c>
      <c r="CU50" s="202" cm="1">
        <f t="array" ref="CU50">_xlfn.IFS(CU$3&lt;=YEAR($B$2),SUMPRODUCT(($E$4:$E$79=$E50)*($Z$2:$CG$2=CU$3)*($Z$2:$CG$2&lt;CV$3)*$Z$4:$CG$79),CU$3&lt;YEAR($X50),0,CU$3=YEAR($X50),DATEDIF($X50,DATE(CU$3,12,31),"m")*$Y50,AND(CU$3&gt;YEAR($X50),CU$3-YEAR($X50)&lt;20),$Y50*12,CU$3-YEAR($X50)=20,DATEDIF(DATE(YEAR($X50),1,1),$X50,"m")*$Y50,CU$3-YEAR($X50)&gt;20,0)</f>
        <v>10924.2</v>
      </c>
      <c r="CV50" s="202" cm="1">
        <f t="array" ref="CV50">_xlfn.IFS(CV$3&lt;=YEAR($B$2),SUMPRODUCT(($E$4:$E$79=$E50)*($Z$2:$CG$2=CV$3)*($Z$2:$CG$2&lt;CW$3)*$Z$4:$CG$79),CV$3&lt;YEAR($X50),0,CV$3=YEAR($X50),DATEDIF($X50,DATE(CV$3,12,31),"m")*$Y50,AND(CV$3&gt;YEAR($X50),CV$3-YEAR($X50)&lt;20),$Y50*12,CV$3-YEAR($X50)=20,DATEDIF(DATE(YEAR($X50),1,1),$X50,"m")*$Y50,CV$3-YEAR($X50)&gt;20,0)</f>
        <v>10924.2</v>
      </c>
      <c r="CW50" s="202" cm="1">
        <f t="array" ref="CW50">_xlfn.IFS(CW$3&lt;=YEAR($B$2),SUMPRODUCT(($E$4:$E$79=$E50)*($Z$2:$CG$2=CW$3)*($Z$2:$CG$2&lt;CX$3)*$Z$4:$CG$79),CW$3&lt;YEAR($X50),0,CW$3=YEAR($X50),DATEDIF($X50,DATE(CW$3,12,31),"m")*$Y50,AND(CW$3&gt;YEAR($X50),CW$3-YEAR($X50)&lt;20),$Y50*12,CW$3-YEAR($X50)=20,DATEDIF(DATE(YEAR($X50),1,1),$X50,"m")*$Y50,CW$3-YEAR($X50)&gt;20,0)</f>
        <v>10924.2</v>
      </c>
      <c r="CX50" s="202" cm="1">
        <f t="array" ref="CX50">_xlfn.IFS(CX$3&lt;=YEAR($B$2),SUMPRODUCT(($E$4:$E$79=$E50)*($Z$2:$CG$2=CX$3)*($Z$2:$CG$2&lt;CY$3)*$Z$4:$CG$79),CX$3&lt;YEAR($X50),0,CX$3=YEAR($X50),DATEDIF($X50,DATE(CX$3,12,31),"m")*$Y50,AND(CX$3&gt;YEAR($X50),CX$3-YEAR($X50)&lt;20),$Y50*12,CX$3-YEAR($X50)=20,DATEDIF(DATE(YEAR($X50),1,1),$X50,"m")*$Y50,CX$3-YEAR($X50)&gt;20,0)</f>
        <v>10924.2</v>
      </c>
      <c r="CY50" s="202" cm="1">
        <f t="array" ref="CY50">_xlfn.IFS(CY$3&lt;=YEAR($B$2),SUMPRODUCT(($E$4:$E$79=$E50)*($Z$2:$CG$2=CY$3)*($Z$2:$CG$2&lt;CZ$3)*$Z$4:$CG$79),CY$3&lt;YEAR($X50),0,CY$3=YEAR($X50),DATEDIF($X50,DATE(CY$3,12,31),"m")*$Y50,AND(CY$3&gt;YEAR($X50),CY$3-YEAR($X50)&lt;20),$Y50*12,CY$3-YEAR($X50)=20,DATEDIF(DATE(YEAR($X50),1,1),$X50,"m")*$Y50,CY$3-YEAR($X50)&gt;20,0)</f>
        <v>10924.2</v>
      </c>
      <c r="CZ50" s="202" cm="1">
        <f t="array" ref="CZ50">_xlfn.IFS(CZ$3&lt;=YEAR($B$2),SUMPRODUCT(($E$4:$E$79=$E50)*($Z$2:$CG$2=CZ$3)*($Z$2:$CG$2&lt;DA$3)*$Z$4:$CG$79),CZ$3&lt;YEAR($X50),0,CZ$3=YEAR($X50),DATEDIF($X50,DATE(CZ$3,12,31),"m")*$Y50,AND(CZ$3&gt;YEAR($X50),CZ$3-YEAR($X50)&lt;20),$Y50*12,CZ$3-YEAR($X50)=20,DATEDIF(DATE(YEAR($X50),1,1),$X50,"m")*$Y50,CZ$3-YEAR($X50)&gt;20,0)</f>
        <v>10924.2</v>
      </c>
      <c r="DA50" s="202" cm="1">
        <f t="array" ref="DA50">_xlfn.IFS(DA$3&lt;=YEAR($B$2),SUMPRODUCT(($E$4:$E$79=$E50)*($Z$2:$CG$2=DA$3)*($Z$2:$CG$2&lt;DB$3)*$Z$4:$CG$79),DA$3&lt;YEAR($X50),0,DA$3=YEAR($X50),DATEDIF($X50,DATE(DA$3,12,31),"m")*$Y50,AND(DA$3&gt;YEAR($X50),DA$3-YEAR($X50)&lt;20),$Y50*12,DA$3-YEAR($X50)=20,DATEDIF(DATE(YEAR($X50),1,1),$X50,"m")*$Y50,DA$3-YEAR($X50)&gt;20,0)</f>
        <v>10924.2</v>
      </c>
      <c r="DB50" s="202" cm="1">
        <f t="array" ref="DB50">_xlfn.IFS(DB$3&lt;=YEAR($B$2),SUMPRODUCT(($E$4:$E$79=$E50)*($Z$2:$CG$2=DB$3)*($Z$2:$CG$2&lt;DC$3)*$Z$4:$CG$79),DB$3&lt;YEAR($X50),0,DB$3=YEAR($X50),DATEDIF($X50,DATE(DB$3,12,31),"m")*$Y50,AND(DB$3&gt;YEAR($X50),DB$3-YEAR($X50)&lt;20),$Y50*12,DB$3-YEAR($X50)=20,DATEDIF(DATE(YEAR($X50),1,1),$X50,"m")*$Y50,DB$3-YEAR($X50)&gt;20,0)</f>
        <v>10924.2</v>
      </c>
      <c r="DC50" s="202" cm="1">
        <f t="array" ref="DC50">_xlfn.IFS(DC$3&lt;=YEAR($B$2),SUMPRODUCT(($E$4:$E$79=$E50)*($Z$2:$CG$2=DC$3)*($Z$2:$CG$2&lt;DD$3)*$Z$4:$CG$79),DC$3&lt;YEAR($X50),0,DC$3=YEAR($X50),DATEDIF($X50,DATE(DC$3,12,31),"m")*$Y50,AND(DC$3&gt;YEAR($X50),DC$3-YEAR($X50)&lt;20),$Y50*12,DC$3-YEAR($X50)=20,DATEDIF(DATE(YEAR($X50),1,1),$X50,"m")*$Y50,DC$3-YEAR($X50)&gt;20,0)</f>
        <v>10924.2</v>
      </c>
      <c r="DD50" s="202" cm="1">
        <f t="array" ref="DD50">_xlfn.IFS(DD$3&lt;=YEAR($B$2),SUMPRODUCT(($E$4:$E$79=$E50)*($Z$2:$CG$2=DD$3)*($Z$2:$CG$2&lt;DE$3)*$Z$4:$CG$79),DD$3&lt;YEAR($X50),0,DD$3=YEAR($X50),DATEDIF($X50,DATE(DD$3,12,31),"m")*$Y50,AND(DD$3&gt;YEAR($X50),DD$3-YEAR($X50)&lt;20),$Y50*12,DD$3-YEAR($X50)=20,DATEDIF(DATE(YEAR($X50),1,1),$X50,"m")*$Y50,DD$3-YEAR($X50)&gt;20,0)</f>
        <v>10924.2</v>
      </c>
      <c r="DE50" s="202" cm="1">
        <f t="array" ref="DE50">_xlfn.IFS(DE$3&lt;=YEAR($B$2),SUMPRODUCT(($E$4:$E$79=$E50)*($Z$2:$CG$2=DE$3)*($Z$2:$CG$2&lt;DF$3)*$Z$4:$CG$79),DE$3&lt;YEAR($X50),0,DE$3=YEAR($X50),DATEDIF($X50,DATE(DE$3,12,31),"m")*$Y50,AND(DE$3&gt;YEAR($X50),DE$3-YEAR($X50)&lt;20),$Y50*12,DE$3-YEAR($X50)=20,DATEDIF(DATE(YEAR($X50),1,1),$X50,"m")*$Y50,DE$3-YEAR($X50)&gt;20,0)</f>
        <v>10924.2</v>
      </c>
      <c r="DF50" s="202" cm="1">
        <f t="array" ref="DF50">_xlfn.IFS(DF$3&lt;=YEAR($B$2),SUMPRODUCT(($E$4:$E$79=$E50)*($Z$2:$CG$2=DF$3)*($Z$2:$CG$2&lt;DG$3)*$Z$4:$CG$79),DF$3&lt;YEAR($X50),0,DF$3=YEAR($X50),DATEDIF($X50,DATE(DF$3,12,31),"m")*$Y50,AND(DF$3&gt;YEAR($X50),DF$3-YEAR($X50)&lt;20),$Y50*12,DF$3-YEAR($X50)=20,DATEDIF(DATE(YEAR($X50),1,1),$X50,"m")*$Y50,DF$3-YEAR($X50)&gt;20,0)</f>
        <v>10924.2</v>
      </c>
      <c r="DG50" s="202" cm="1">
        <f t="array" ref="DG50">_xlfn.IFS(DG$3&lt;=YEAR($B$2),SUMPRODUCT(($E$4:$E$79=$E50)*($Z$2:$CG$2=DG$3)*($Z$2:$CG$2&lt;DH$3)*$Z$4:$CG$79),DG$3&lt;YEAR($X50),0,DG$3=YEAR($X50),DATEDIF($X50,DATE(DG$3,12,31),"m")*$Y50,AND(DG$3&gt;YEAR($X50),DG$3-YEAR($X50)&lt;20),$Y50*12,DG$3-YEAR($X50)=20,DATEDIF(DATE(YEAR($X50),1,1),$X50,"m")*$Y50,DG$3-YEAR($X50)&gt;20,0)</f>
        <v>910.35</v>
      </c>
      <c r="DH50" s="202" cm="1">
        <f t="array" ref="DH50">_xlfn.IFS(DH$3&lt;=YEAR($B$2),SUMPRODUCT(($E$4:$E$79=$E50)*($Z$2:$CG$2=DH$3)*($Z$2:$CG$2&lt;DI$3)*$Z$4:$CG$79),DH$3&lt;YEAR($X50),0,DH$3=YEAR($X50),DATEDIF($X50,DATE(DH$3,12,31),"m")*$Y50,AND(DH$3&gt;YEAR($X50),DH$3-YEAR($X50)&lt;20),$Y50*12,DH$3-YEAR($X50)=20,DATEDIF(DATE(YEAR($X50),1,1),$X50,"m")*$Y50,DH$3-YEAR($X50)&gt;20,0)</f>
        <v>0</v>
      </c>
      <c r="DI50" s="202" cm="1">
        <f t="array" ref="DI50">_xlfn.IFS(DI$3&lt;=YEAR($B$2),SUMPRODUCT(($E$4:$E$79=$E50)*($Z$2:$CG$2=DI$3)*($Z$2:$CG$2&lt;DJ$3)*$Z$4:$CG$79),DI$3&lt;YEAR($X50),0,DI$3=YEAR($X50),DATEDIF($X50,DATE(DI$3,12,31),"m")*$Y50,AND(DI$3&gt;YEAR($X50),DI$3-YEAR($X50)&lt;20),$Y50*12,DI$3-YEAR($X50)=20,DATEDIF(DATE(YEAR($X50),1,1),$X50,"m")*$Y50,DI$3-YEAR($X50)&gt;20,0)</f>
        <v>0</v>
      </c>
      <c r="DJ50" s="202" cm="1">
        <f t="array" ref="DJ50">_xlfn.IFS(DJ$3&lt;=YEAR($B$2),SUMPRODUCT(($E$4:$E$79=$E50)*($Z$2:$CG$2=DJ$3)*($Z$2:$CG$2&lt;DK$3)*$Z$4:$CG$79),DJ$3&lt;YEAR($X50),0,DJ$3=YEAR($X50),DATEDIF($X50,DATE(DJ$3,12,31),"m")*$Y50,AND(DJ$3&gt;YEAR($X50),DJ$3-YEAR($X50)&lt;20),$Y50*12,DJ$3-YEAR($X50)=20,DATEDIF(DATE(YEAR($X50),1,1),$X50,"m")*$Y50,DJ$3-YEAR($X50)&gt;20,0)</f>
        <v>0</v>
      </c>
      <c r="DK50" s="202" cm="1">
        <f t="array" ref="DK50">_xlfn.IFS(DK$3&lt;=YEAR($B$2),SUMPRODUCT(($E$4:$E$79=$E50)*($Z$2:$CG$2=DK$3)*($Z$2:$CG$2&lt;DL$3)*$Z$4:$CG$79),DK$3&lt;YEAR($X50),0,DK$3=YEAR($X50),DATEDIF($X50,DATE(DK$3,12,31),"m")*$Y50,AND(DK$3&gt;YEAR($X50),DK$3-YEAR($X50)&lt;20),$Y50*12,DK$3-YEAR($X50)=20,DATEDIF(DATE(YEAR($X50),1,1),$X50,"m")*$Y50,DK$3-YEAR($X50)&gt;20,0)</f>
        <v>0</v>
      </c>
      <c r="DL50" s="202" cm="1">
        <f t="array" ref="DL50">_xlfn.IFS(DL$3&lt;=YEAR($B$2),SUMPRODUCT(($E$4:$E$79=$E50)*($Z$2:$CG$2=DL$3)*($Z$2:$CG$2&lt;DM$3)*$Z$4:$CG$79),DL$3&lt;YEAR($X50),0,DL$3=YEAR($X50),DATEDIF($X50,DATE(DL$3,12,31),"m")*$Y50,AND(DL$3&gt;YEAR($X50),DL$3-YEAR($X50)&lt;20),$Y50*12,DL$3-YEAR($X50)=20,DATEDIF(DATE(YEAR($X50),1,1),$X50,"m")*$Y50,DL$3-YEAR($X50)&gt;20,0)</f>
        <v>0</v>
      </c>
    </row>
    <row r="51" spans="1:116">
      <c r="A51" s="155" t="str" cm="1">
        <f t="array" ref="A51">INDEX('Monthly Report July 2025'!C:C,MATCH(E51,'Monthly Report July 2025'!E:E,0),0)</f>
        <v>SPQ0179</v>
      </c>
      <c r="B51" s="155" t="str" cm="1">
        <f t="array" ref="B51">_xlfn.IFS(LEFT(E51,3)="PGE","PGE",LEFT(E51,2)="PP","PAC",TRUE,"IP")</f>
        <v>PGE</v>
      </c>
      <c r="C51" s="155" t="str">
        <f>IF(ISNA(MATCH(E51,'Monthly Report July 2025'!E:E,0)),"Missing","Present")</f>
        <v>Present</v>
      </c>
      <c r="D51" s="155" t="str">
        <f>IF(ISNA(MATCH(E51,'Project Operational Timelines'!C:C,0))=TRUE,"Missing","Present")</f>
        <v>Present</v>
      </c>
      <c r="E51" s="155" t="s">
        <v>159</v>
      </c>
      <c r="F51" s="155" t="str" cm="1">
        <f t="array" ref="F51">INDEX('Monthly Report July 2025'!F:F,MATCH(E51,'Monthly Report July 2025'!E:E,),0)</f>
        <v>Waterford Solar</v>
      </c>
      <c r="G51" s="155" t="str" cm="1">
        <f t="array" ref="G51">_xlfn.IFS(INDEX('Monthly Report July 2025'!O:O,MATCH(E51,'Monthly Report July 2025'!E:E,0),0)="Operational","Operational",INDEX('Monthly Report July 2025'!O:O,MATCH(E51,'Monthly Report July 2025'!E:E,0),0)="Certified","Certified",TRUE,"Pre-Certified")</f>
        <v>Operational</v>
      </c>
      <c r="H51" s="155" t="str" cm="1">
        <f t="array" ref="H51">INDEX('Monthly Report July 2025'!H:H,MATCH($E51,'Monthly Report July 2025'!$E:$E,0),0)</f>
        <v>Solar Town</v>
      </c>
      <c r="I51" s="155" t="str" cm="1">
        <f t="array" ref="I51">INDEX('Monthly Report July 2025'!I:I,MATCH($E51,'Monthly Report July 2025'!$E:$E,0),0)</f>
        <v>Luminace</v>
      </c>
      <c r="J51" s="174" cm="1">
        <f t="array" ref="J51">INDEX('Monthly Report July 2025'!J:J,MATCH($E51,'Monthly Report July 2025'!$E:$E,0),0)</f>
        <v>2</v>
      </c>
      <c r="K51" s="174" t="str" cm="1">
        <f t="array" ref="K51">INDEX('Monthly Report July 2025'!K:K,MATCH($E51,'Monthly Report July 2025'!$E:$E,0),0)</f>
        <v>No</v>
      </c>
      <c r="L51" s="174" t="b" cm="1">
        <f t="array" ref="L51">INDEX('Monthly Report July 2025'!L:L,MATCH(E51,'Monthly Report July 2025'!E:E,0),0)=M51</f>
        <v>1</v>
      </c>
      <c r="M51" s="273" cm="1">
        <f t="array" ref="M51">INDEX('Monthly Report July 2025'!L:L,MATCH($E51,'Monthly Report July 2025'!$E:$E,0),0)</f>
        <v>2565</v>
      </c>
      <c r="N51" s="175" cm="1">
        <f t="array" ref="N51">INDEX('Monthly Report July 2025'!M:M,MATCH($E51,'Monthly Report July 2025'!$E:$E,0),0)</f>
        <v>44681</v>
      </c>
      <c r="O51" s="175" t="str" cm="1">
        <f t="array" ref="O51">_xlfn.IFS(G51="Operational","Operational",G51="Certified","Certified",TRUE,INDEX('Monthly Report July 2025'!O:O,MATCH(E51,'Monthly Report July 2025'!E:E,0),0))</f>
        <v>Operational</v>
      </c>
      <c r="P51" s="175" t="b" cm="1">
        <f t="array" ref="P51">_xlfn.IFS(G51="Operational",O51="Operational",G51="Certified",O51="Certified",TRUE,G51="Pre-Certified")</f>
        <v>1</v>
      </c>
      <c r="Q51" s="175" cm="1">
        <f t="array" ref="Q51">IF(O51="Operational",INDEX('Monthly Report July 2025'!R:R,MATCH(E51,'Monthly Report July 2025'!E:E,0),0),"")</f>
        <v>45839</v>
      </c>
      <c r="R51" s="175" cm="1">
        <f t="array" ref="R51">INDEX('Monthly Report July 2025'!P:P,MATCH(E51,'Monthly Report July 2025'!E:E,0),0)</f>
        <v>45819</v>
      </c>
      <c r="S51" s="175" t="b">
        <f t="shared" si="28"/>
        <v>1</v>
      </c>
      <c r="T51" s="175" cm="1">
        <f t="array" ref="T51">INDEX('Monthly Report July 2025'!U:U,MATCH(E51,'Monthly Report July 2025'!E:E,0),0)</f>
        <v>45499</v>
      </c>
      <c r="U51" s="175" t="str">
        <f t="shared" si="6"/>
        <v>IGNORE</v>
      </c>
      <c r="V51" s="156">
        <f t="shared" si="29"/>
        <v>45819</v>
      </c>
      <c r="W51" s="156" cm="1">
        <f t="array" ref="W51">_xlfn.IFS(U51=TRUE,EDATE(O51,6),U51=FALSE,T51,O51="Operational",Q51,AND(O51="Certified",EDATE(R51,6)&gt;T51),EDATE(R51,6),TRUE,T51)</f>
        <v>45839</v>
      </c>
      <c r="X51" s="156">
        <f t="shared" si="30"/>
        <v>45901</v>
      </c>
      <c r="Y51" s="157">
        <f>IF(K51="No",M51*0.85*0.85,M51*0.85*0.45)</f>
        <v>1853.2124999999999</v>
      </c>
      <c r="Z51" s="202" cm="1">
        <f t="array" ref="Z51">_xlfn.IFS(Z$3&lt;$B$2,SUMPRODUCT(('PA Fees Actual'!$B$5:$B$882=$E51)*('PA Fees Actual'!$A$5:$A$882&gt;=Z$3)*('PA Fees Actual'!$A$5:$A$882&lt;=EOMONTH(Z$3,0))*'PA Fees Actual'!$D$5:$D$882),Z$3&gt;=EOMONTH($X51,-1)+1,$Y51,TRUE,0)</f>
        <v>0</v>
      </c>
      <c r="AA51" s="202" cm="1">
        <f t="array" ref="AA51">_xlfn.IFS(AA$3&lt;$B$2,SUMPRODUCT(('PA Fees Actual'!$B$5:$B$882=$E51)*('PA Fees Actual'!$A$5:$A$882&gt;=AA$3)*('PA Fees Actual'!$A$5:$A$882&lt;=EOMONTH(AA$3,0))*'PA Fees Actual'!$D$5:$D$882),AA$3&gt;=EOMONTH($X51,-1)+1,$Y51,TRUE,0)</f>
        <v>0</v>
      </c>
      <c r="AB51" s="202" cm="1">
        <f t="array" ref="AB51">_xlfn.IFS(AB$3&lt;$B$2,SUMPRODUCT(('PA Fees Actual'!$B$5:$B$882=$E51)*('PA Fees Actual'!$A$5:$A$882&gt;=AB$3)*('PA Fees Actual'!$A$5:$A$882&lt;=EOMONTH(AB$3,0))*'PA Fees Actual'!$D$5:$D$882),AB$3&gt;=EOMONTH($X51,-1)+1,$Y51,TRUE,0)</f>
        <v>0</v>
      </c>
      <c r="AC51" s="202" cm="1">
        <f t="array" ref="AC51">_xlfn.IFS(AC$3&lt;$B$2,SUMPRODUCT(('PA Fees Actual'!$B$5:$B$882=$E51)*('PA Fees Actual'!$A$5:$A$882&gt;=AC$3)*('PA Fees Actual'!$A$5:$A$882&lt;=EOMONTH(AC$3,0))*'PA Fees Actual'!$D$5:$D$882),AC$3&gt;=EOMONTH($X51,-1)+1,$Y51,TRUE,0)</f>
        <v>0</v>
      </c>
      <c r="AD51" s="202" cm="1">
        <f t="array" ref="AD51">_xlfn.IFS(AD$3&lt;$B$2,SUMPRODUCT(('PA Fees Actual'!$B$5:$B$882=$E51)*('PA Fees Actual'!$A$5:$A$882&gt;=AD$3)*('PA Fees Actual'!$A$5:$A$882&lt;=EOMONTH(AD$3,0))*'PA Fees Actual'!$D$5:$D$882),AD$3&gt;=EOMONTH($X51,-1)+1,$Y51,TRUE,0)</f>
        <v>0</v>
      </c>
      <c r="AE51" s="202" cm="1">
        <f t="array" ref="AE51">_xlfn.IFS(AE$3&lt;$B$2,SUMPRODUCT(('PA Fees Actual'!$B$5:$B$882=$E51)*('PA Fees Actual'!$A$5:$A$882&gt;=AE$3)*('PA Fees Actual'!$A$5:$A$882&lt;=EOMONTH(AE$3,0))*'PA Fees Actual'!$D$5:$D$882),AE$3&gt;=EOMONTH($X51,-1)+1,$Y51,TRUE,0)</f>
        <v>0</v>
      </c>
      <c r="AF51" s="202" cm="1">
        <f t="array" ref="AF51">_xlfn.IFS(AF$3&lt;$B$2,SUMPRODUCT(('PA Fees Actual'!$B$5:$B$882=$E51)*('PA Fees Actual'!$A$5:$A$882&gt;=AF$3)*('PA Fees Actual'!$A$5:$A$882&lt;=EOMONTH(AF$3,0))*'PA Fees Actual'!$D$5:$D$882),AF$3&gt;=EOMONTH($X51,-1)+1,$Y51,TRUE,0)</f>
        <v>0</v>
      </c>
      <c r="AG51" s="202" cm="1">
        <f t="array" ref="AG51">_xlfn.IFS(AG$3&lt;$B$2,SUMPRODUCT(('PA Fees Actual'!$B$5:$B$882=$E51)*('PA Fees Actual'!$A$5:$A$882&gt;=AG$3)*('PA Fees Actual'!$A$5:$A$882&lt;=EOMONTH(AG$3,0))*'PA Fees Actual'!$D$5:$D$882),AG$3&gt;=EOMONTH($X51,-1)+1,$Y51,TRUE,0)</f>
        <v>0</v>
      </c>
      <c r="AH51" s="202" cm="1">
        <f t="array" ref="AH51">_xlfn.IFS(AH$3&lt;$B$2,SUMPRODUCT(('PA Fees Actual'!$B$5:$B$882=$E51)*('PA Fees Actual'!$A$5:$A$882&gt;=AH$3)*('PA Fees Actual'!$A$5:$A$882&lt;=EOMONTH(AH$3,0))*'PA Fees Actual'!$D$5:$D$882),AH$3&gt;=EOMONTH($X51,-1)+1,$Y51,TRUE,0)</f>
        <v>0</v>
      </c>
      <c r="AI51" s="202" cm="1">
        <f t="array" ref="AI51">_xlfn.IFS(AI$3&lt;$B$2,SUMPRODUCT(('PA Fees Actual'!$B$5:$B$882=$E51)*('PA Fees Actual'!$A$5:$A$882&gt;=AI$3)*('PA Fees Actual'!$A$5:$A$882&lt;=EOMONTH(AI$3,0))*'PA Fees Actual'!$D$5:$D$882),AI$3&gt;=EOMONTH($X51,-1)+1,$Y51,TRUE,0)</f>
        <v>0</v>
      </c>
      <c r="AJ51" s="202" cm="1">
        <f t="array" ref="AJ51">_xlfn.IFS(AJ$3&lt;$B$2,SUMPRODUCT(('PA Fees Actual'!$B$5:$B$882=$E51)*('PA Fees Actual'!$A$5:$A$882&gt;=AJ$3)*('PA Fees Actual'!$A$5:$A$882&lt;=EOMONTH(AJ$3,0))*'PA Fees Actual'!$D$5:$D$882),AJ$3&gt;=EOMONTH($X51,-1)+1,$Y51,TRUE,0)</f>
        <v>0</v>
      </c>
      <c r="AK51" s="202" cm="1">
        <f t="array" ref="AK51">_xlfn.IFS(AK$3&lt;$B$2,SUMPRODUCT(('PA Fees Actual'!$B$5:$B$882=$E51)*('PA Fees Actual'!$A$5:$A$882&gt;=AK$3)*('PA Fees Actual'!$A$5:$A$882&lt;=EOMONTH(AK$3,0))*'PA Fees Actual'!$D$5:$D$882),AK$3&gt;=EOMONTH($X51,-1)+1,$Y51,TRUE,0)</f>
        <v>0</v>
      </c>
      <c r="AL51" s="202" cm="1">
        <f t="array" ref="AL51">_xlfn.IFS(AL$3&lt;$B$2,SUMPRODUCT(('PA Fees Actual'!$B$5:$B$882=$E51)*('PA Fees Actual'!$A$5:$A$882&gt;=AL$3)*('PA Fees Actual'!$A$5:$A$882&lt;=EOMONTH(AL$3,0))*'PA Fees Actual'!$D$5:$D$882),AL$3&gt;=EOMONTH($X51,-1)+1,$Y51,TRUE,0)</f>
        <v>0</v>
      </c>
      <c r="AM51" s="202" cm="1">
        <f t="array" ref="AM51">_xlfn.IFS(AM$3&lt;$B$2,SUMPRODUCT(('PA Fees Actual'!$B$5:$B$882=$E51)*('PA Fees Actual'!$A$5:$A$882&gt;=AM$3)*('PA Fees Actual'!$A$5:$A$882&lt;=EOMONTH(AM$3,0))*'PA Fees Actual'!$D$5:$D$882),AM$3&gt;=EOMONTH($X51,-1)+1,$Y51,TRUE,0)</f>
        <v>0</v>
      </c>
      <c r="AN51" s="202" cm="1">
        <f t="array" ref="AN51">_xlfn.IFS(AN$3&lt;$B$2,SUMPRODUCT(('PA Fees Actual'!$B$5:$B$882=$E51)*('PA Fees Actual'!$A$5:$A$882&gt;=AN$3)*('PA Fees Actual'!$A$5:$A$882&lt;=EOMONTH(AN$3,0))*'PA Fees Actual'!$D$5:$D$882),AN$3&gt;=EOMONTH($X51,-1)+1,$Y51,TRUE,0)</f>
        <v>0</v>
      </c>
      <c r="AO51" s="202" cm="1">
        <f t="array" ref="AO51">_xlfn.IFS(AO$3&lt;$B$2,SUMPRODUCT(('PA Fees Actual'!$B$5:$B$882=$E51)*('PA Fees Actual'!$A$5:$A$882&gt;=AO$3)*('PA Fees Actual'!$A$5:$A$882&lt;=EOMONTH(AO$3,0))*'PA Fees Actual'!$D$5:$D$882),AO$3&gt;=EOMONTH($X51,-1)+1,$Y51,TRUE,0)</f>
        <v>0</v>
      </c>
      <c r="AP51" s="202" cm="1">
        <f t="array" ref="AP51">_xlfn.IFS(AP$3&lt;$B$2,SUMPRODUCT(('PA Fees Actual'!$B$5:$B$882=$E51)*('PA Fees Actual'!$A$5:$A$882&gt;=AP$3)*('PA Fees Actual'!$A$5:$A$882&lt;=EOMONTH(AP$3,0))*'PA Fees Actual'!$D$5:$D$882),AP$3&gt;=EOMONTH($X51,-1)+1,$Y51,TRUE,0)</f>
        <v>0</v>
      </c>
      <c r="AQ51" s="202" cm="1">
        <f t="array" ref="AQ51">_xlfn.IFS(AQ$3&lt;$B$2,SUMPRODUCT(('PA Fees Actual'!$B$5:$B$882=$E51)*('PA Fees Actual'!$A$5:$A$882&gt;=AQ$3)*('PA Fees Actual'!$A$5:$A$882&lt;=EOMONTH(AQ$3,0))*'PA Fees Actual'!$D$5:$D$882),AQ$3&gt;=EOMONTH($X51,-1)+1,$Y51,TRUE,0)</f>
        <v>0</v>
      </c>
      <c r="AR51" s="202" cm="1">
        <f t="array" ref="AR51">_xlfn.IFS(AR$3&lt;$B$2,SUMPRODUCT(('PA Fees Actual'!$B$5:$B$882=$E51)*('PA Fees Actual'!$A$5:$A$882&gt;=AR$3)*('PA Fees Actual'!$A$5:$A$882&lt;=EOMONTH(AR$3,0))*'PA Fees Actual'!$D$5:$D$882),AR$3&gt;=EOMONTH($X51,-1)+1,$Y51,TRUE,0)</f>
        <v>0</v>
      </c>
      <c r="AS51" s="202" cm="1">
        <f t="array" ref="AS51">_xlfn.IFS(AS$3&lt;$B$2,SUMPRODUCT(('PA Fees Actual'!$B$5:$B$882=$E51)*('PA Fees Actual'!$A$5:$A$882&gt;=AS$3)*('PA Fees Actual'!$A$5:$A$882&lt;=EOMONTH(AS$3,0))*'PA Fees Actual'!$D$5:$D$882),AS$3&gt;=EOMONTH($X51,-1)+1,$Y51,TRUE,0)</f>
        <v>0</v>
      </c>
      <c r="AT51" s="202" cm="1">
        <f t="array" ref="AT51">_xlfn.IFS(AT$3&lt;$B$2,SUMPRODUCT(('PA Fees Actual'!$B$5:$B$882=$E51)*('PA Fees Actual'!$A$5:$A$882&gt;=AT$3)*('PA Fees Actual'!$A$5:$A$882&lt;=EOMONTH(AT$3,0))*'PA Fees Actual'!$D$5:$D$882),AT$3&gt;=EOMONTH($X51,-1)+1,$Y51,TRUE,0)</f>
        <v>0</v>
      </c>
      <c r="AU51" s="202" cm="1">
        <f t="array" ref="AU51">_xlfn.IFS(AU$3&lt;$B$2,SUMPRODUCT(('PA Fees Actual'!$B$5:$B$882=$E51)*('PA Fees Actual'!$A$5:$A$882&gt;=AU$3)*('PA Fees Actual'!$A$5:$A$882&lt;=EOMONTH(AU$3,0))*'PA Fees Actual'!$D$5:$D$882),AU$3&gt;=EOMONTH($X51,-1)+1,$Y51,TRUE,0)</f>
        <v>0</v>
      </c>
      <c r="AV51" s="202" cm="1">
        <f t="array" ref="AV51">_xlfn.IFS(AV$3&lt;$B$2,SUMPRODUCT(('PA Fees Actual'!$B$5:$B$882=$E51)*('PA Fees Actual'!$A$5:$A$882&gt;=AV$3)*('PA Fees Actual'!$A$5:$A$882&lt;=EOMONTH(AV$3,0))*'PA Fees Actual'!$D$5:$D$882),AV$3&gt;=EOMONTH($X51,-1)+1,$Y51,TRUE,0)</f>
        <v>0</v>
      </c>
      <c r="AW51" s="202" cm="1">
        <f t="array" ref="AW51">_xlfn.IFS(AW$3&lt;$B$2,SUMPRODUCT(('PA Fees Actual'!$B$5:$B$882=$E51)*('PA Fees Actual'!$A$5:$A$882&gt;=AW$3)*('PA Fees Actual'!$A$5:$A$882&lt;=EOMONTH(AW$3,0))*'PA Fees Actual'!$D$5:$D$882),AW$3&gt;=EOMONTH($X51,-1)+1,$Y51,TRUE,0)</f>
        <v>0</v>
      </c>
      <c r="AX51" s="202" cm="1">
        <f t="array" ref="AX51">_xlfn.IFS(AX$3&lt;$B$2,SUMPRODUCT(('PA Fees Actual'!$B$5:$B$882=$E51)*('PA Fees Actual'!$A$5:$A$882&gt;=AX$3)*('PA Fees Actual'!$A$5:$A$882&lt;=EOMONTH(AX$3,0))*'PA Fees Actual'!$D$5:$D$882),AX$3&gt;=EOMONTH($X51,-1)+1,$Y51,TRUE,0)</f>
        <v>0</v>
      </c>
      <c r="AY51" s="202" cm="1">
        <f t="array" ref="AY51">_xlfn.IFS(AY$3&lt;$B$2,SUMPRODUCT(('PA Fees Actual'!$B$5:$B$882=$E51)*('PA Fees Actual'!$A$5:$A$882&gt;=AY$3)*('PA Fees Actual'!$A$5:$A$882&lt;=EOMONTH(AY$3,0))*'PA Fees Actual'!$D$5:$D$882),AY$3&gt;=EOMONTH($X51,-1)+1,$Y51,TRUE,0)</f>
        <v>0</v>
      </c>
      <c r="AZ51" s="202" cm="1">
        <f t="array" ref="AZ51">_xlfn.IFS(AZ$3&lt;$B$2,SUMPRODUCT(('PA Fees Actual'!$B$5:$B$882=$E51)*('PA Fees Actual'!$A$5:$A$882&gt;=AZ$3)*('PA Fees Actual'!$A$5:$A$882&lt;=EOMONTH(AZ$3,0))*'PA Fees Actual'!$D$5:$D$882),AZ$3&gt;=EOMONTH($X51,-1)+1,$Y51,TRUE,0)</f>
        <v>0</v>
      </c>
      <c r="BA51" s="202" cm="1">
        <f t="array" ref="BA51">_xlfn.IFS(BA$3&lt;$B$2,SUMPRODUCT(('PA Fees Actual'!$B$5:$B$882=$E51)*('PA Fees Actual'!$A$5:$A$882&gt;=BA$3)*('PA Fees Actual'!$A$5:$A$882&lt;=EOMONTH(BA$3,0))*'PA Fees Actual'!$D$5:$D$882),BA$3&gt;=EOMONTH($X51,-1)+1,$Y51,TRUE,0)</f>
        <v>0</v>
      </c>
      <c r="BB51" s="202" cm="1">
        <f t="array" ref="BB51">_xlfn.IFS(BB$3&lt;$B$2,SUMPRODUCT(('PA Fees Actual'!$B$5:$B$882=$E51)*('PA Fees Actual'!$A$5:$A$882&gt;=BB$3)*('PA Fees Actual'!$A$5:$A$882&lt;=EOMONTH(BB$3,0))*'PA Fees Actual'!$D$5:$D$882),BB$3&gt;=EOMONTH($X51,-1)+1,$Y51,TRUE,0)</f>
        <v>0</v>
      </c>
      <c r="BC51" s="202" cm="1">
        <f t="array" ref="BC51">_xlfn.IFS(BC$3&lt;$B$2,SUMPRODUCT(('PA Fees Actual'!$B$5:$B$882=$E51)*('PA Fees Actual'!$A$5:$A$882&gt;=BC$3)*('PA Fees Actual'!$A$5:$A$882&lt;=EOMONTH(BC$3,0))*'PA Fees Actual'!$D$5:$D$882),BC$3&gt;=EOMONTH($X51,-1)+1,$Y51,TRUE,0)</f>
        <v>0</v>
      </c>
      <c r="BD51" s="202" cm="1">
        <f t="array" ref="BD51">_xlfn.IFS(BD$3&lt;$B$2,SUMPRODUCT(('PA Fees Actual'!$B$5:$B$882=$E51)*('PA Fees Actual'!$A$5:$A$882&gt;=BD$3)*('PA Fees Actual'!$A$5:$A$882&lt;=EOMONTH(BD$3,0))*'PA Fees Actual'!$D$5:$D$882),BD$3&gt;=EOMONTH($X51,-1)+1,$Y51,TRUE,0)</f>
        <v>0</v>
      </c>
      <c r="BE51" s="202" cm="1">
        <f t="array" ref="BE51">_xlfn.IFS(BE$3&lt;$B$2,SUMPRODUCT(('PA Fees Actual'!$B$5:$B$882=$E51)*('PA Fees Actual'!$A$5:$A$882&gt;=BE$3)*('PA Fees Actual'!$A$5:$A$882&lt;=EOMONTH(BE$3,0))*'PA Fees Actual'!$D$5:$D$882),BE$3&gt;=EOMONTH($X51,-1)+1,$Y51,TRUE,0)</f>
        <v>0</v>
      </c>
      <c r="BF51" s="202" cm="1">
        <f t="array" ref="BF51">_xlfn.IFS(BF$3&lt;$B$2,SUMPRODUCT(('PA Fees Actual'!$B$5:$B$882=$E51)*('PA Fees Actual'!$A$5:$A$882&gt;=BF$3)*('PA Fees Actual'!$A$5:$A$882&lt;=EOMONTH(BF$3,0))*'PA Fees Actual'!$D$5:$D$882),BF$3&gt;=EOMONTH($X51,-1)+1,$Y51,TRUE,0)</f>
        <v>0</v>
      </c>
      <c r="BG51" s="202" cm="1">
        <f t="array" ref="BG51">_xlfn.IFS(BG$3&lt;$B$2,SUMPRODUCT(('PA Fees Actual'!$B$5:$B$882=$E51)*('PA Fees Actual'!$A$5:$A$882&gt;=BG$3)*('PA Fees Actual'!$A$5:$A$882&lt;=EOMONTH(BG$3,0))*'PA Fees Actual'!$D$5:$D$882),BG$3&gt;=EOMONTH($X51,-1)+1,$Y51,TRUE,0)</f>
        <v>0</v>
      </c>
      <c r="BH51" s="202" cm="1">
        <f t="array" ref="BH51">_xlfn.IFS(BH$3&lt;$B$2,SUMPRODUCT(('PA Fees Actual'!$B$5:$B$882=$E51)*('PA Fees Actual'!$A$5:$A$882&gt;=BH$3)*('PA Fees Actual'!$A$5:$A$882&lt;=EOMONTH(BH$3,0))*'PA Fees Actual'!$D$5:$D$882),BH$3&gt;=EOMONTH($X51,-1)+1,$Y51,TRUE,0)</f>
        <v>0</v>
      </c>
      <c r="BI51" s="202" cm="1">
        <f t="array" ref="BI51">_xlfn.IFS(BI$3&lt;$B$2,SUMPRODUCT(('PA Fees Actual'!$B$5:$B$882=$E51)*('PA Fees Actual'!$A$5:$A$882&gt;=BI$3)*('PA Fees Actual'!$A$5:$A$882&lt;=EOMONTH(BI$3,0))*'PA Fees Actual'!$D$5:$D$882),BI$3&gt;=EOMONTH($X51,-1)+1,$Y51,TRUE,0)</f>
        <v>0</v>
      </c>
      <c r="BJ51" s="202" cm="1">
        <f t="array" ref="BJ51">_xlfn.IFS(BJ$3&lt;$B$2,SUMPRODUCT(('PA Fees Actual'!$B$5:$B$882=$E51)*('PA Fees Actual'!$A$5:$A$882&gt;=BJ$3)*('PA Fees Actual'!$A$5:$A$882&lt;=EOMONTH(BJ$3,0))*'PA Fees Actual'!$D$5:$D$882),BJ$3&gt;=EOMONTH($X51,-1)+1,$Y51,TRUE,0)</f>
        <v>0</v>
      </c>
      <c r="BK51" s="202" cm="1">
        <f t="array" ref="BK51">_xlfn.IFS(BK$3&lt;$B$2,SUMPRODUCT(('PA Fees Actual'!$B$5:$B$882=$E51)*('PA Fees Actual'!$A$5:$A$882&gt;=BK$3)*('PA Fees Actual'!$A$5:$A$882&lt;=EOMONTH(BK$3,0))*'PA Fees Actual'!$D$5:$D$882),BK$3&gt;=EOMONTH($X51,-1)+1,$Y51,TRUE,0)</f>
        <v>0</v>
      </c>
      <c r="BL51" s="202" cm="1">
        <f t="array" ref="BL51">_xlfn.IFS(BL$3&lt;$B$2,SUMPRODUCT(('PA Fees Actual'!$B$5:$B$882=$E51)*('PA Fees Actual'!$A$5:$A$882&gt;=BL$3)*('PA Fees Actual'!$A$5:$A$882&lt;=EOMONTH(BL$3,0))*'PA Fees Actual'!$D$5:$D$882),BL$3&gt;=EOMONTH($X51,-1)+1,$Y51,TRUE,0)</f>
        <v>0</v>
      </c>
      <c r="BM51" s="202" cm="1">
        <f t="array" ref="BM51">_xlfn.IFS(BM$3&lt;$B$2,SUMPRODUCT(('PA Fees Actual'!$B$5:$B$882=$E51)*('PA Fees Actual'!$A$5:$A$882&gt;=BM$3)*('PA Fees Actual'!$A$5:$A$882&lt;=EOMONTH(BM$3,0))*'PA Fees Actual'!$D$5:$D$882),BM$3&gt;=EOMONTH($X51,-1)+1,$Y51,TRUE,0)</f>
        <v>0</v>
      </c>
      <c r="BN51" s="202" cm="1">
        <f t="array" ref="BN51">_xlfn.IFS(BN$3&lt;$B$2,SUMPRODUCT(('PA Fees Actual'!$B$5:$B$882=$E51)*('PA Fees Actual'!$A$5:$A$882&gt;=BN$3)*('PA Fees Actual'!$A$5:$A$882&lt;=EOMONTH(BN$3,0))*'PA Fees Actual'!$D$5:$D$882),BN$3&gt;=EOMONTH($X51,-1)+1,$Y51,TRUE,0)</f>
        <v>0</v>
      </c>
      <c r="BO51" s="202" cm="1">
        <f t="array" ref="BO51">_xlfn.IFS(BO$3&lt;$B$2,SUMPRODUCT(('PA Fees Actual'!$B$5:$B$882=$E51)*('PA Fees Actual'!$A$5:$A$882&gt;=BO$3)*('PA Fees Actual'!$A$5:$A$882&lt;=EOMONTH(BO$3,0))*'PA Fees Actual'!$D$5:$D$882),BO$3&gt;=EOMONTH($X51,-1)+1,$Y51,TRUE,0)</f>
        <v>0</v>
      </c>
      <c r="BP51" s="202" cm="1">
        <f t="array" ref="BP51">_xlfn.IFS(BP$3&lt;$B$2,SUMPRODUCT(('PA Fees Actual'!$B$5:$B$882=$E51)*('PA Fees Actual'!$A$5:$A$882&gt;=BP$3)*('PA Fees Actual'!$A$5:$A$882&lt;=EOMONTH(BP$3,0))*'PA Fees Actual'!$D$5:$D$882),BP$3&gt;=EOMONTH($X51,-1)+1,$Y51,TRUE,0)</f>
        <v>0</v>
      </c>
      <c r="BQ51" s="202" cm="1">
        <f t="array" ref="BQ51">_xlfn.IFS(BQ$3&lt;$B$2,SUMPRODUCT(('PA Fees Actual'!$B$5:$B$882=$E51)*('PA Fees Actual'!$A$5:$A$882&gt;=BQ$3)*('PA Fees Actual'!$A$5:$A$882&lt;=EOMONTH(BQ$3,0))*'PA Fees Actual'!$D$5:$D$882),BQ$3&gt;=EOMONTH($X51,-1)+1,$Y51,TRUE,0)</f>
        <v>0</v>
      </c>
      <c r="BR51" s="202" cm="1">
        <f t="array" ref="BR51">_xlfn.IFS(BR$3&lt;$B$2,SUMPRODUCT(('PA Fees Actual'!$B$5:$B$882=$E51)*('PA Fees Actual'!$A$5:$A$882&gt;=BR$3)*('PA Fees Actual'!$A$5:$A$882&lt;=EOMONTH(BR$3,0))*'PA Fees Actual'!$D$5:$D$882),BR$3&gt;=EOMONTH($X51,-1)+1,$Y51,TRUE,0)</f>
        <v>0</v>
      </c>
      <c r="BS51" s="202" cm="1">
        <f t="array" ref="BS51">_xlfn.IFS(BS$3&lt;$B$2,SUMPRODUCT(('PA Fees Actual'!$B$5:$B$882=$E51)*('PA Fees Actual'!$A$5:$A$882&gt;=BS$3)*('PA Fees Actual'!$A$5:$A$882&lt;=EOMONTH(BS$3,0))*'PA Fees Actual'!$D$5:$D$882),BS$3&gt;=EOMONTH($X51,-1)+1,$Y51,TRUE,0)</f>
        <v>0</v>
      </c>
      <c r="BT51" s="202" cm="1">
        <f t="array" ref="BT51">_xlfn.IFS(BT$3&lt;$B$2,SUMPRODUCT(('PA Fees Actual'!$B$5:$B$882=$E51)*('PA Fees Actual'!$A$5:$A$882&gt;=BT$3)*('PA Fees Actual'!$A$5:$A$882&lt;=EOMONTH(BT$3,0))*'PA Fees Actual'!$D$5:$D$882),BT$3&gt;=EOMONTH($X51,-1)+1,$Y51,TRUE,0)</f>
        <v>0</v>
      </c>
      <c r="BU51" s="202" cm="1">
        <f t="array" ref="BU51">_xlfn.IFS(BU$3&lt;$B$2,SUMPRODUCT(('PA Fees Actual'!$B$5:$B$882=$E51)*('PA Fees Actual'!$A$5:$A$882&gt;=BU$3)*('PA Fees Actual'!$A$5:$A$882&lt;=EOMONTH(BU$3,0))*'PA Fees Actual'!$D$5:$D$882),BU$3&gt;=EOMONTH($X51,-1)+1,$Y51,TRUE,0)</f>
        <v>0</v>
      </c>
      <c r="BV51" s="202" cm="1">
        <f t="array" ref="BV51">_xlfn.IFS(BV$3&lt;$B$2,SUMPRODUCT(('PA Fees Actual'!$B$5:$B$882=$E51)*('PA Fees Actual'!$A$5:$A$882&gt;=BV$3)*('PA Fees Actual'!$A$5:$A$882&lt;=EOMONTH(BV$3,0))*'PA Fees Actual'!$D$5:$D$882),BV$3&gt;=EOMONTH($X51,-1)+1,$Y51,TRUE,0)</f>
        <v>0</v>
      </c>
      <c r="BW51" s="202" cm="1">
        <f t="array" ref="BW51">_xlfn.IFS(BW$3&lt;$B$2,SUMPRODUCT(('PA Fees Actual'!$B$5:$B$882=$E51)*('PA Fees Actual'!$A$5:$A$882&gt;=BW$3)*('PA Fees Actual'!$A$5:$A$882&lt;=EOMONTH(BW$3,0))*'PA Fees Actual'!$D$5:$D$882),BW$3&gt;=EOMONTH($X51,-1)+1,$Y51,TRUE,0)</f>
        <v>0</v>
      </c>
      <c r="BX51" s="202" cm="1">
        <f t="array" ref="BX51">_xlfn.IFS(BX$3&lt;$B$2,SUMPRODUCT(('PA Fees Actual'!$B$5:$B$882=$E51)*('PA Fees Actual'!$A$5:$A$882&gt;=BX$3)*('PA Fees Actual'!$A$5:$A$882&lt;=EOMONTH(BX$3,0))*'PA Fees Actual'!$D$5:$D$882),BX$3&gt;=EOMONTH($X51,-1)+1,$Y51,TRUE,0)</f>
        <v>0</v>
      </c>
      <c r="BY51" s="202" cm="1">
        <f t="array" ref="BY51">_xlfn.IFS(BY$3&lt;$B$2,SUMPRODUCT(('PA Fees Actual'!$B$5:$B$882=$E51)*('PA Fees Actual'!$A$5:$A$882&gt;=BY$3)*('PA Fees Actual'!$A$5:$A$882&lt;=EOMONTH(BY$3,0))*'PA Fees Actual'!$D$5:$D$882),BY$3&gt;=EOMONTH($X51,-1)+1,$Y51,TRUE,0)</f>
        <v>0</v>
      </c>
      <c r="BZ51" s="202" cm="1">
        <f t="array" ref="BZ51">_xlfn.IFS(BZ$3&lt;$B$2,SUMPRODUCT(('PA Fees Actual'!$B$5:$B$882=$E51)*('PA Fees Actual'!$A$5:$A$882&gt;=BZ$3)*('PA Fees Actual'!$A$5:$A$882&lt;=EOMONTH(BZ$3,0))*'PA Fees Actual'!$D$5:$D$882),BZ$3&gt;=EOMONTH($X51,-1)+1,$Y51,TRUE,0)</f>
        <v>0</v>
      </c>
      <c r="CA51" s="202" cm="1">
        <f t="array" ref="CA51">_xlfn.IFS(CA$3&lt;$B$2,SUMPRODUCT(('PA Fees Actual'!$B$5:$B$882=$E51)*('PA Fees Actual'!$A$5:$A$882&gt;=CA$3)*('PA Fees Actual'!$A$5:$A$882&lt;=EOMONTH(CA$3,0))*'PA Fees Actual'!$D$5:$D$882),CA$3&gt;=EOMONTH($X51,-1)+1,$Y51,TRUE,0)</f>
        <v>0</v>
      </c>
      <c r="CB51" s="202" cm="1">
        <f t="array" ref="CB51">_xlfn.IFS(CB$3&lt;$B$2,SUMPRODUCT(('PA Fees Actual'!$B$5:$B$749=$E51)*('PA Fees Actual'!$A$5:$A$749&gt;=CB$3)*('PA Fees Actual'!$A$5:$A$749&lt;=EOMONTH(CB$3,0))*'PA Fees Actual'!$D$5:$D$749),CB$3&gt;=EOMONTH($X51,-1)+1,$Y51,TRUE,0)</f>
        <v>0</v>
      </c>
      <c r="CC51" s="202" cm="1">
        <f t="array" ref="CC51">_xlfn.IFS(CC$3&lt;$B$2,SUMPRODUCT(('PA Fees Actual'!$B$5:$B$749=$E51)*('PA Fees Actual'!$A$5:$A$749&gt;=CC$3)*('PA Fees Actual'!$A$5:$A$749&lt;=EOMONTH(CC$3,0))*'PA Fees Actual'!$D$5:$D$749),CC$3&gt;=EOMONTH($X51,-1)+1,$Y51,TRUE,0)</f>
        <v>0</v>
      </c>
      <c r="CD51" s="202">
        <v>1300.5</v>
      </c>
      <c r="CE51" s="202">
        <v>1300.5</v>
      </c>
      <c r="CF51" s="202">
        <v>1300.5</v>
      </c>
      <c r="CG51" s="202">
        <v>1300.5</v>
      </c>
      <c r="CI51" s="202" cm="1">
        <f t="array" ref="CI51">_xlfn.IFS(CI$3&lt;=YEAR($B$2),SUMPRODUCT(($E$4:$E$79=$E51)*($Z$2:$CG$2=CI$3)*($Z$2:$CG$2&lt;CJ$3)*$Z$4:$CG$79),CI$3&lt;YEAR($X51),0,CI$3=YEAR($X51),DATEDIF($X51,DATE(CI$3,12,31),"m")*$Y51,AND(CI$3&gt;YEAR($X51),CI$3-YEAR($X51)&lt;20),$Y51*12,CI$3-YEAR($X51)=20,DATEDIF(DATE(YEAR($X51),1,1),$X51,"m")*$Y51,CI$3-YEAR($X51)&gt;20,0)</f>
        <v>0</v>
      </c>
      <c r="CJ51" s="202" cm="1">
        <f t="array" ref="CJ51">_xlfn.IFS(CJ$3&lt;=YEAR($B$2),SUMPRODUCT(($E$4:$E$79=$E51)*($Z$2:$CG$2=CJ$3)*($Z$2:$CG$2&lt;CK$3)*$Z$4:$CG$79),CJ$3&lt;YEAR($X51),0,CJ$3=YEAR($X51),DATEDIF($X51,DATE(CJ$3,12,31),"m")*$Y51,AND(CJ$3&gt;YEAR($X51),CJ$3-YEAR($X51)&lt;20),$Y51*12,CJ$3-YEAR($X51)=20,DATEDIF(DATE(YEAR($X51),1,1),$X51,"m")*$Y51,CJ$3-YEAR($X51)&gt;20,0)</f>
        <v>0</v>
      </c>
      <c r="CK51" s="202" cm="1">
        <f t="array" ref="CK51">_xlfn.IFS(CK$3&lt;=YEAR($B$2),SUMPRODUCT(($E$4:$E$79=$E51)*($Z$2:$CG$2=CK$3)*($Z$2:$CG$2&lt;CL$3)*$Z$4:$CG$79),CK$3&lt;YEAR($X51),0,CK$3=YEAR($X51),DATEDIF($X51,DATE(CK$3,12,31),"m")*$Y51,AND(CK$3&gt;YEAR($X51),CK$3-YEAR($X51)&lt;20),$Y51*12,CK$3-YEAR($X51)=20,DATEDIF(DATE(YEAR($X51),1,1),$X51,"m")*$Y51,CK$3-YEAR($X51)&gt;20,0)</f>
        <v>0</v>
      </c>
      <c r="CL51" s="202" cm="1">
        <f t="array" ref="CL51">_xlfn.IFS(CL$3&lt;=YEAR($B$2),SUMPRODUCT(($E$4:$E$79=$E51)*($Z$2:$CG$2=CL$3)*($Z$2:$CG$2&lt;CM$3)*$Z$4:$CG$79),CL$3&lt;YEAR($X51),0,CL$3=YEAR($X51),DATEDIF($X51,DATE(CL$3,12,31),"m")*$Y51,AND(CL$3&gt;YEAR($X51),CL$3-YEAR($X51)&lt;20),$Y51*12,CL$3-YEAR($X51)=20,DATEDIF(DATE(YEAR($X51),1,1),$X51,"m")*$Y51,CL$3-YEAR($X51)&gt;20,0)</f>
        <v>0</v>
      </c>
      <c r="CM51" s="202" cm="1">
        <f t="array" ref="CM51">_xlfn.IFS(CM$3&lt;=YEAR($B$2),SUMPRODUCT(($E$4:$E$79=$E51)*($Z$2:$CG$2=CM$3)*($Z$2:$CG$2&lt;CN$3)*$Z$4:$CG$79),CM$3&lt;YEAR($X51),0,CM$3=YEAR($X51),DATEDIF($X51,DATE(CM$3,12,31),"m")*$Y51,AND(CM$3&gt;YEAR($X51),CM$3-YEAR($X51)&lt;20),$Y51*12,CM$3-YEAR($X51)=20,DATEDIF(DATE(YEAR($X51),1,1),$X51,"m")*$Y51,CM$3-YEAR($X51)&gt;20,0)</f>
        <v>5202</v>
      </c>
      <c r="CN51" s="202">
        <v>18922.275000000001</v>
      </c>
      <c r="CO51" s="202" cm="1">
        <f t="array" ref="CO51">_xlfn.IFS(CO$3&lt;=YEAR($B$2),SUMPRODUCT(($E$4:$E$79=$E51)*($Z$2:$CG$2=CO$3)*($Z$2:$CG$2&lt;CP$3)*$Z$4:$CG$79),CO$3&lt;YEAR($X51),0,CO$3=YEAR($X51),DATEDIF($X51,DATE(CO$3,12,31),"m")*$Y51,AND(CO$3&gt;YEAR($X51),CO$3-YEAR($X51)&lt;20),$Y51*12,CO$3-YEAR($X51)=20,DATEDIF(DATE(YEAR($X51),1,1),$X51,"m")*$Y51,CO$3-YEAR($X51)&gt;20,0)</f>
        <v>22238.55</v>
      </c>
      <c r="CP51" s="202" cm="1">
        <f t="array" ref="CP51">_xlfn.IFS(CP$3&lt;=YEAR($B$2),SUMPRODUCT(($E$4:$E$79=$E51)*($Z$2:$CG$2=CP$3)*($Z$2:$CG$2&lt;CQ$3)*$Z$4:$CG$79),CP$3&lt;YEAR($X51),0,CP$3=YEAR($X51),DATEDIF($X51,DATE(CP$3,12,31),"m")*$Y51,AND(CP$3&gt;YEAR($X51),CP$3-YEAR($X51)&lt;20),$Y51*12,CP$3-YEAR($X51)=20,DATEDIF(DATE(YEAR($X51),1,1),$X51,"m")*$Y51,CP$3-YEAR($X51)&gt;20,0)</f>
        <v>22238.55</v>
      </c>
      <c r="CQ51" s="202" cm="1">
        <f t="array" ref="CQ51">_xlfn.IFS(CQ$3&lt;=YEAR($B$2),SUMPRODUCT(($E$4:$E$79=$E51)*($Z$2:$CG$2=CQ$3)*($Z$2:$CG$2&lt;CR$3)*$Z$4:$CG$79),CQ$3&lt;YEAR($X51),0,CQ$3=YEAR($X51),DATEDIF($X51,DATE(CQ$3,12,31),"m")*$Y51,AND(CQ$3&gt;YEAR($X51),CQ$3-YEAR($X51)&lt;20),$Y51*12,CQ$3-YEAR($X51)=20,DATEDIF(DATE(YEAR($X51),1,1),$X51,"m")*$Y51,CQ$3-YEAR($X51)&gt;20,0)</f>
        <v>22238.55</v>
      </c>
      <c r="CR51" s="202" cm="1">
        <f t="array" ref="CR51">_xlfn.IFS(CR$3&lt;=YEAR($B$2),SUMPRODUCT(($E$4:$E$79=$E51)*($Z$2:$CG$2=CR$3)*($Z$2:$CG$2&lt;CS$3)*$Z$4:$CG$79),CR$3&lt;YEAR($X51),0,CR$3=YEAR($X51),DATEDIF($X51,DATE(CR$3,12,31),"m")*$Y51,AND(CR$3&gt;YEAR($X51),CR$3-YEAR($X51)&lt;20),$Y51*12,CR$3-YEAR($X51)=20,DATEDIF(DATE(YEAR($X51),1,1),$X51,"m")*$Y51,CR$3-YEAR($X51)&gt;20,0)</f>
        <v>22238.55</v>
      </c>
      <c r="CS51" s="202" cm="1">
        <f t="array" ref="CS51">_xlfn.IFS(CS$3&lt;=YEAR($B$2),SUMPRODUCT(($E$4:$E$79=$E51)*($Z$2:$CG$2=CS$3)*($Z$2:$CG$2&lt;CT$3)*$Z$4:$CG$79),CS$3&lt;YEAR($X51),0,CS$3=YEAR($X51),DATEDIF($X51,DATE(CS$3,12,31),"m")*$Y51,AND(CS$3&gt;YEAR($X51),CS$3-YEAR($X51)&lt;20),$Y51*12,CS$3-YEAR($X51)=20,DATEDIF(DATE(YEAR($X51),1,1),$X51,"m")*$Y51,CS$3-YEAR($X51)&gt;20,0)</f>
        <v>22238.55</v>
      </c>
      <c r="CT51" s="202" cm="1">
        <f t="array" ref="CT51">_xlfn.IFS(CT$3&lt;=YEAR($B$2),SUMPRODUCT(($E$4:$E$79=$E51)*($Z$2:$CG$2=CT$3)*($Z$2:$CG$2&lt;CU$3)*$Z$4:$CG$79),CT$3&lt;YEAR($X51),0,CT$3=YEAR($X51),DATEDIF($X51,DATE(CT$3,12,31),"m")*$Y51,AND(CT$3&gt;YEAR($X51),CT$3-YEAR($X51)&lt;20),$Y51*12,CT$3-YEAR($X51)=20,DATEDIF(DATE(YEAR($X51),1,1),$X51,"m")*$Y51,CT$3-YEAR($X51)&gt;20,0)</f>
        <v>22238.55</v>
      </c>
      <c r="CU51" s="202" cm="1">
        <f t="array" ref="CU51">_xlfn.IFS(CU$3&lt;=YEAR($B$2),SUMPRODUCT(($E$4:$E$79=$E51)*($Z$2:$CG$2=CU$3)*($Z$2:$CG$2&lt;CV$3)*$Z$4:$CG$79),CU$3&lt;YEAR($X51),0,CU$3=YEAR($X51),DATEDIF($X51,DATE(CU$3,12,31),"m")*$Y51,AND(CU$3&gt;YEAR($X51),CU$3-YEAR($X51)&lt;20),$Y51*12,CU$3-YEAR($X51)=20,DATEDIF(DATE(YEAR($X51),1,1),$X51,"m")*$Y51,CU$3-YEAR($X51)&gt;20,0)</f>
        <v>22238.55</v>
      </c>
      <c r="CV51" s="202" cm="1">
        <f t="array" ref="CV51">_xlfn.IFS(CV$3&lt;=YEAR($B$2),SUMPRODUCT(($E$4:$E$79=$E51)*($Z$2:$CG$2=CV$3)*($Z$2:$CG$2&lt;CW$3)*$Z$4:$CG$79),CV$3&lt;YEAR($X51),0,CV$3=YEAR($X51),DATEDIF($X51,DATE(CV$3,12,31),"m")*$Y51,AND(CV$3&gt;YEAR($X51),CV$3-YEAR($X51)&lt;20),$Y51*12,CV$3-YEAR($X51)=20,DATEDIF(DATE(YEAR($X51),1,1),$X51,"m")*$Y51,CV$3-YEAR($X51)&gt;20,0)</f>
        <v>22238.55</v>
      </c>
      <c r="CW51" s="202" cm="1">
        <f t="array" ref="CW51">_xlfn.IFS(CW$3&lt;=YEAR($B$2),SUMPRODUCT(($E$4:$E$79=$E51)*($Z$2:$CG$2=CW$3)*($Z$2:$CG$2&lt;CX$3)*$Z$4:$CG$79),CW$3&lt;YEAR($X51),0,CW$3=YEAR($X51),DATEDIF($X51,DATE(CW$3,12,31),"m")*$Y51,AND(CW$3&gt;YEAR($X51),CW$3-YEAR($X51)&lt;20),$Y51*12,CW$3-YEAR($X51)=20,DATEDIF(DATE(YEAR($X51),1,1),$X51,"m")*$Y51,CW$3-YEAR($X51)&gt;20,0)</f>
        <v>22238.55</v>
      </c>
      <c r="CX51" s="202" cm="1">
        <f t="array" ref="CX51">_xlfn.IFS(CX$3&lt;=YEAR($B$2),SUMPRODUCT(($E$4:$E$79=$E51)*($Z$2:$CG$2=CX$3)*($Z$2:$CG$2&lt;CY$3)*$Z$4:$CG$79),CX$3&lt;YEAR($X51),0,CX$3=YEAR($X51),DATEDIF($X51,DATE(CX$3,12,31),"m")*$Y51,AND(CX$3&gt;YEAR($X51),CX$3-YEAR($X51)&lt;20),$Y51*12,CX$3-YEAR($X51)=20,DATEDIF(DATE(YEAR($X51),1,1),$X51,"m")*$Y51,CX$3-YEAR($X51)&gt;20,0)</f>
        <v>22238.55</v>
      </c>
      <c r="CY51" s="202" cm="1">
        <f t="array" ref="CY51">_xlfn.IFS(CY$3&lt;=YEAR($B$2),SUMPRODUCT(($E$4:$E$79=$E51)*($Z$2:$CG$2=CY$3)*($Z$2:$CG$2&lt;CZ$3)*$Z$4:$CG$79),CY$3&lt;YEAR($X51),0,CY$3=YEAR($X51),DATEDIF($X51,DATE(CY$3,12,31),"m")*$Y51,AND(CY$3&gt;YEAR($X51),CY$3-YEAR($X51)&lt;20),$Y51*12,CY$3-YEAR($X51)=20,DATEDIF(DATE(YEAR($X51),1,1),$X51,"m")*$Y51,CY$3-YEAR($X51)&gt;20,0)</f>
        <v>22238.55</v>
      </c>
      <c r="CZ51" s="202" cm="1">
        <f t="array" ref="CZ51">_xlfn.IFS(CZ$3&lt;=YEAR($B$2),SUMPRODUCT(($E$4:$E$79=$E51)*($Z$2:$CG$2=CZ$3)*($Z$2:$CG$2&lt;DA$3)*$Z$4:$CG$79),CZ$3&lt;YEAR($X51),0,CZ$3=YEAR($X51),DATEDIF($X51,DATE(CZ$3,12,31),"m")*$Y51,AND(CZ$3&gt;YEAR($X51),CZ$3-YEAR($X51)&lt;20),$Y51*12,CZ$3-YEAR($X51)=20,DATEDIF(DATE(YEAR($X51),1,1),$X51,"m")*$Y51,CZ$3-YEAR($X51)&gt;20,0)</f>
        <v>22238.55</v>
      </c>
      <c r="DA51" s="202" cm="1">
        <f t="array" ref="DA51">_xlfn.IFS(DA$3&lt;=YEAR($B$2),SUMPRODUCT(($E$4:$E$79=$E51)*($Z$2:$CG$2=DA$3)*($Z$2:$CG$2&lt;DB$3)*$Z$4:$CG$79),DA$3&lt;YEAR($X51),0,DA$3=YEAR($X51),DATEDIF($X51,DATE(DA$3,12,31),"m")*$Y51,AND(DA$3&gt;YEAR($X51),DA$3-YEAR($X51)&lt;20),$Y51*12,DA$3-YEAR($X51)=20,DATEDIF(DATE(YEAR($X51),1,1),$X51,"m")*$Y51,DA$3-YEAR($X51)&gt;20,0)</f>
        <v>22238.55</v>
      </c>
      <c r="DB51" s="202" cm="1">
        <f t="array" ref="DB51">_xlfn.IFS(DB$3&lt;=YEAR($B$2),SUMPRODUCT(($E$4:$E$79=$E51)*($Z$2:$CG$2=DB$3)*($Z$2:$CG$2&lt;DC$3)*$Z$4:$CG$79),DB$3&lt;YEAR($X51),0,DB$3=YEAR($X51),DATEDIF($X51,DATE(DB$3,12,31),"m")*$Y51,AND(DB$3&gt;YEAR($X51),DB$3-YEAR($X51)&lt;20),$Y51*12,DB$3-YEAR($X51)=20,DATEDIF(DATE(YEAR($X51),1,1),$X51,"m")*$Y51,DB$3-YEAR($X51)&gt;20,0)</f>
        <v>22238.55</v>
      </c>
      <c r="DC51" s="202" cm="1">
        <f t="array" ref="DC51">_xlfn.IFS(DC$3&lt;=YEAR($B$2),SUMPRODUCT(($E$4:$E$79=$E51)*($Z$2:$CG$2=DC$3)*($Z$2:$CG$2&lt;DD$3)*$Z$4:$CG$79),DC$3&lt;YEAR($X51),0,DC$3=YEAR($X51),DATEDIF($X51,DATE(DC$3,12,31),"m")*$Y51,AND(DC$3&gt;YEAR($X51),DC$3-YEAR($X51)&lt;20),$Y51*12,DC$3-YEAR($X51)=20,DATEDIF(DATE(YEAR($X51),1,1),$X51,"m")*$Y51,DC$3-YEAR($X51)&gt;20,0)</f>
        <v>22238.55</v>
      </c>
      <c r="DD51" s="202" cm="1">
        <f t="array" ref="DD51">_xlfn.IFS(DD$3&lt;=YEAR($B$2),SUMPRODUCT(($E$4:$E$79=$E51)*($Z$2:$CG$2=DD$3)*($Z$2:$CG$2&lt;DE$3)*$Z$4:$CG$79),DD$3&lt;YEAR($X51),0,DD$3=YEAR($X51),DATEDIF($X51,DATE(DD$3,12,31),"m")*$Y51,AND(DD$3&gt;YEAR($X51),DD$3-YEAR($X51)&lt;20),$Y51*12,DD$3-YEAR($X51)=20,DATEDIF(DATE(YEAR($X51),1,1),$X51,"m")*$Y51,DD$3-YEAR($X51)&gt;20,0)</f>
        <v>22238.55</v>
      </c>
      <c r="DE51" s="202" cm="1">
        <f t="array" ref="DE51">_xlfn.IFS(DE$3&lt;=YEAR($B$2),SUMPRODUCT(($E$4:$E$79=$E51)*($Z$2:$CG$2=DE$3)*($Z$2:$CG$2&lt;DF$3)*$Z$4:$CG$79),DE$3&lt;YEAR($X51),0,DE$3=YEAR($X51),DATEDIF($X51,DATE(DE$3,12,31),"m")*$Y51,AND(DE$3&gt;YEAR($X51),DE$3-YEAR($X51)&lt;20),$Y51*12,DE$3-YEAR($X51)=20,DATEDIF(DATE(YEAR($X51),1,1),$X51,"m")*$Y51,DE$3-YEAR($X51)&gt;20,0)</f>
        <v>22238.55</v>
      </c>
      <c r="DF51" s="202" cm="1">
        <f t="array" ref="DF51">_xlfn.IFS(DF$3&lt;=YEAR($B$2),SUMPRODUCT(($E$4:$E$79=$E51)*($Z$2:$CG$2=DF$3)*($Z$2:$CG$2&lt;DG$3)*$Z$4:$CG$79),DF$3&lt;YEAR($X51),0,DF$3=YEAR($X51),DATEDIF($X51,DATE(DF$3,12,31),"m")*$Y51,AND(DF$3&gt;YEAR($X51),DF$3-YEAR($X51)&lt;20),$Y51*12,DF$3-YEAR($X51)=20,DATEDIF(DATE(YEAR($X51),1,1),$X51,"m")*$Y51,DF$3-YEAR($X51)&gt;20,0)</f>
        <v>22238.55</v>
      </c>
      <c r="DG51" s="202" cm="1">
        <f t="array" ref="DG51">_xlfn.IFS(DG$3&lt;=YEAR($B$2),SUMPRODUCT(($E$4:$E$79=$E51)*($Z$2:$CG$2=DG$3)*($Z$2:$CG$2&lt;DH$3)*$Z$4:$CG$79),DG$3&lt;YEAR($X51),0,DG$3=YEAR($X51),DATEDIF($X51,DATE(DG$3,12,31),"m")*$Y51,AND(DG$3&gt;YEAR($X51),DG$3-YEAR($X51)&lt;20),$Y51*12,DG$3-YEAR($X51)=20,DATEDIF(DATE(YEAR($X51),1,1),$X51,"m")*$Y51,DG$3-YEAR($X51)&gt;20,0)</f>
        <v>14825.699999999999</v>
      </c>
      <c r="DH51" s="202" cm="1">
        <f t="array" ref="DH51">_xlfn.IFS(DH$3&lt;=YEAR($B$2),SUMPRODUCT(($E$4:$E$79=$E51)*($Z$2:$CG$2=DH$3)*($Z$2:$CG$2&lt;DI$3)*$Z$4:$CG$79),DH$3&lt;YEAR($X51),0,DH$3=YEAR($X51),DATEDIF($X51,DATE(DH$3,12,31),"m")*$Y51,AND(DH$3&gt;YEAR($X51),DH$3-YEAR($X51)&lt;20),$Y51*12,DH$3-YEAR($X51)=20,DATEDIF(DATE(YEAR($X51),1,1),$X51,"m")*$Y51,DH$3-YEAR($X51)&gt;20,0)</f>
        <v>0</v>
      </c>
      <c r="DI51" s="202" cm="1">
        <f t="array" ref="DI51">_xlfn.IFS(DI$3&lt;=YEAR($B$2),SUMPRODUCT(($E$4:$E$79=$E51)*($Z$2:$CG$2=DI$3)*($Z$2:$CG$2&lt;DJ$3)*$Z$4:$CG$79),DI$3&lt;YEAR($X51),0,DI$3=YEAR($X51),DATEDIF($X51,DATE(DI$3,12,31),"m")*$Y51,AND(DI$3&gt;YEAR($X51),DI$3-YEAR($X51)&lt;20),$Y51*12,DI$3-YEAR($X51)=20,DATEDIF(DATE(YEAR($X51),1,1),$X51,"m")*$Y51,DI$3-YEAR($X51)&gt;20,0)</f>
        <v>0</v>
      </c>
      <c r="DJ51" s="202" cm="1">
        <f t="array" ref="DJ51">_xlfn.IFS(DJ$3&lt;=YEAR($B$2),SUMPRODUCT(($E$4:$E$79=$E51)*($Z$2:$CG$2=DJ$3)*($Z$2:$CG$2&lt;DK$3)*$Z$4:$CG$79),DJ$3&lt;YEAR($X51),0,DJ$3=YEAR($X51),DATEDIF($X51,DATE(DJ$3,12,31),"m")*$Y51,AND(DJ$3&gt;YEAR($X51),DJ$3-YEAR($X51)&lt;20),$Y51*12,DJ$3-YEAR($X51)=20,DATEDIF(DATE(YEAR($X51),1,1),$X51,"m")*$Y51,DJ$3-YEAR($X51)&gt;20,0)</f>
        <v>0</v>
      </c>
      <c r="DK51" s="202" cm="1">
        <f t="array" ref="DK51">_xlfn.IFS(DK$3&lt;=YEAR($B$2),SUMPRODUCT(($E$4:$E$79=$E51)*($Z$2:$CG$2=DK$3)*($Z$2:$CG$2&lt;DL$3)*$Z$4:$CG$79),DK$3&lt;YEAR($X51),0,DK$3=YEAR($X51),DATEDIF($X51,DATE(DK$3,12,31),"m")*$Y51,AND(DK$3&gt;YEAR($X51),DK$3-YEAR($X51)&lt;20),$Y51*12,DK$3-YEAR($X51)=20,DATEDIF(DATE(YEAR($X51),1,1),$X51,"m")*$Y51,DK$3-YEAR($X51)&gt;20,0)</f>
        <v>0</v>
      </c>
      <c r="DL51" s="202" cm="1">
        <f t="array" ref="DL51">_xlfn.IFS(DL$3&lt;=YEAR($B$2),SUMPRODUCT(($E$4:$E$79=$E51)*($Z$2:$CG$2=DL$3)*($Z$2:$CG$2&lt;DM$3)*$Z$4:$CG$79),DL$3&lt;YEAR($X51),0,DL$3=YEAR($X51),DATEDIF($X51,DATE(DL$3,12,31),"m")*$Y51,AND(DL$3&gt;YEAR($X51),DL$3-YEAR($X51)&lt;20),$Y51*12,DL$3-YEAR($X51)=20,DATEDIF(DATE(YEAR($X51),1,1),$X51,"m")*$Y51,DL$3-YEAR($X51)&gt;20,0)</f>
        <v>0</v>
      </c>
    </row>
    <row r="52" spans="1:116">
      <c r="A52" s="155" t="str" cm="1">
        <f t="array" ref="A52">INDEX('Monthly Report July 2025'!C:C,MATCH(E52,'Monthly Report July 2025'!E:E,0),0)</f>
        <v>SPQ0193</v>
      </c>
      <c r="B52" s="155" t="str" cm="1">
        <f t="array" ref="B52">_xlfn.IFS(LEFT(E52,3)="PGE","PGE",LEFT(E52,2)="PP","PAC",TRUE,"IP")</f>
        <v>PGE</v>
      </c>
      <c r="C52" s="155" t="str">
        <f>IF(ISNA(MATCH(E52,'Monthly Report July 2025'!E:E,0)),"Missing","Present")</f>
        <v>Present</v>
      </c>
      <c r="D52" s="155" t="str">
        <f>IF(ISNA(MATCH(E52,'Project Operational Timelines'!C:C,0))=TRUE,"Missing","Present")</f>
        <v>Present</v>
      </c>
      <c r="E52" s="155" t="s">
        <v>160</v>
      </c>
      <c r="F52" s="155" t="str" cm="1">
        <f t="array" ref="F52">INDEX('Monthly Report July 2025'!F:F,MATCH(E52,'Monthly Report July 2025'!E:E,),0)</f>
        <v>Dover Solar</v>
      </c>
      <c r="G52" s="155" t="str" cm="1">
        <f t="array" ref="G52">_xlfn.IFS(INDEX('Monthly Report July 2025'!O:O,MATCH(E52,'Monthly Report July 2025'!E:E,0),0)="Operational","Operational",INDEX('Monthly Report July 2025'!O:O,MATCH(E52,'Monthly Report July 2025'!E:E,0),0)="Certified","Certified",TRUE,"Pre-Certified")</f>
        <v>Operational</v>
      </c>
      <c r="H52" s="155" t="str" cm="1">
        <f t="array" ref="H52">INDEX('Monthly Report July 2025'!H:H,MATCH($E52,'Monthly Report July 2025'!$E:$E,0),0)</f>
        <v>Solar Town</v>
      </c>
      <c r="I52" s="155" t="str" cm="1">
        <f t="array" ref="I52">INDEX('Monthly Report July 2025'!I:I,MATCH($E52,'Monthly Report July 2025'!$E:$E,0),0)</f>
        <v>Luminace</v>
      </c>
      <c r="J52" s="174" cm="1">
        <f t="array" ref="J52">INDEX('Monthly Report July 2025'!J:J,MATCH($E52,'Monthly Report July 2025'!$E:$E,0),0)</f>
        <v>1</v>
      </c>
      <c r="K52" s="174" t="str" cm="1">
        <f t="array" ref="K52">INDEX('Monthly Report July 2025'!K:K,MATCH($E52,'Monthly Report July 2025'!$E:$E,0),0)</f>
        <v>No</v>
      </c>
      <c r="L52" s="174" t="b" cm="1">
        <f t="array" ref="L52">INDEX('Monthly Report July 2025'!L:L,MATCH(E52,'Monthly Report July 2025'!E:E,0),0)=M52</f>
        <v>1</v>
      </c>
      <c r="M52" s="273" cm="1">
        <f t="array" ref="M52">INDEX('Monthly Report July 2025'!L:L,MATCH($E52,'Monthly Report July 2025'!$E:$E,0),0)</f>
        <v>1980</v>
      </c>
      <c r="N52" s="175" cm="1">
        <f t="array" ref="N52">INDEX('Monthly Report July 2025'!M:M,MATCH($E52,'Monthly Report July 2025'!$E:$E,0),0)</f>
        <v>43948</v>
      </c>
      <c r="O52" s="175" t="str" cm="1">
        <f t="array" ref="O52">_xlfn.IFS(G52="Operational","Operational",G52="Certified","Certified",TRUE,INDEX('Monthly Report July 2025'!O:O,MATCH(E52,'Monthly Report July 2025'!E:E,0),0))</f>
        <v>Operational</v>
      </c>
      <c r="P52" s="175" t="b" cm="1">
        <f t="array" ref="P52">_xlfn.IFS(G52="Operational",O52="Operational",G52="Certified",O52="Certified",TRUE,G52="Pre-Certified")</f>
        <v>1</v>
      </c>
      <c r="Q52" s="175" cm="1">
        <f t="array" ref="Q52">IF(O52="Operational",INDEX('Monthly Report July 2025'!R:R,MATCH(E52,'Monthly Report July 2025'!E:E,0),0),"")</f>
        <v>45642</v>
      </c>
      <c r="R52" s="175" cm="1">
        <f t="array" ref="R52">INDEX('Monthly Report July 2025'!P:P,MATCH(E52,'Monthly Report July 2025'!E:E,0),0)</f>
        <v>45637</v>
      </c>
      <c r="S52" s="175" t="b">
        <f t="shared" si="28"/>
        <v>1</v>
      </c>
      <c r="T52" s="175" cm="1">
        <f t="array" ref="T52">INDEX('Monthly Report July 2025'!U:U,MATCH(E52,'Monthly Report July 2025'!E:E,0),0)</f>
        <v>45693</v>
      </c>
      <c r="U52" s="175" t="str">
        <f t="shared" si="6"/>
        <v>IGNORE</v>
      </c>
      <c r="V52" s="156">
        <f t="shared" si="29"/>
        <v>45637</v>
      </c>
      <c r="W52" s="156" cm="1">
        <f t="array" ref="W52">_xlfn.IFS(U52=TRUE,EDATE(O52,6),U52=FALSE,T52,O52="Operational",Q52,AND(O52="Certified",EDATE(R52,6)&gt;T52),EDATE(R52,6),TRUE,T52)</f>
        <v>45642</v>
      </c>
      <c r="X52" s="156">
        <f t="shared" si="30"/>
        <v>45704</v>
      </c>
      <c r="Y52" s="157">
        <f t="shared" si="31"/>
        <v>1430.55</v>
      </c>
      <c r="Z52" s="202" cm="1">
        <f t="array" ref="Z52">_xlfn.IFS(Z$3&lt;$B$2,SUMPRODUCT(('PA Fees Actual'!$B$5:$B$882=$E52)*('PA Fees Actual'!$A$5:$A$882&gt;=Z$3)*('PA Fees Actual'!$A$5:$A$882&lt;=EOMONTH(Z$3,0))*'PA Fees Actual'!$D$5:$D$882),Z$3&gt;=EOMONTH($X52,-1)+1,$Y52,TRUE,0)</f>
        <v>0</v>
      </c>
      <c r="AA52" s="202" cm="1">
        <f t="array" ref="AA52">_xlfn.IFS(AA$3&lt;$B$2,SUMPRODUCT(('PA Fees Actual'!$B$5:$B$882=$E52)*('PA Fees Actual'!$A$5:$A$882&gt;=AA$3)*('PA Fees Actual'!$A$5:$A$882&lt;=EOMONTH(AA$3,0))*'PA Fees Actual'!$D$5:$D$882),AA$3&gt;=EOMONTH($X52,-1)+1,$Y52,TRUE,0)</f>
        <v>0</v>
      </c>
      <c r="AB52" s="202" cm="1">
        <f t="array" ref="AB52">_xlfn.IFS(AB$3&lt;$B$2,SUMPRODUCT(('PA Fees Actual'!$B$5:$B$882=$E52)*('PA Fees Actual'!$A$5:$A$882&gt;=AB$3)*('PA Fees Actual'!$A$5:$A$882&lt;=EOMONTH(AB$3,0))*'PA Fees Actual'!$D$5:$D$882),AB$3&gt;=EOMONTH($X52,-1)+1,$Y52,TRUE,0)</f>
        <v>0</v>
      </c>
      <c r="AC52" s="202" cm="1">
        <f t="array" ref="AC52">_xlfn.IFS(AC$3&lt;$B$2,SUMPRODUCT(('PA Fees Actual'!$B$5:$B$882=$E52)*('PA Fees Actual'!$A$5:$A$882&gt;=AC$3)*('PA Fees Actual'!$A$5:$A$882&lt;=EOMONTH(AC$3,0))*'PA Fees Actual'!$D$5:$D$882),AC$3&gt;=EOMONTH($X52,-1)+1,$Y52,TRUE,0)</f>
        <v>0</v>
      </c>
      <c r="AD52" s="202" cm="1">
        <f t="array" ref="AD52">_xlfn.IFS(AD$3&lt;$B$2,SUMPRODUCT(('PA Fees Actual'!$B$5:$B$882=$E52)*('PA Fees Actual'!$A$5:$A$882&gt;=AD$3)*('PA Fees Actual'!$A$5:$A$882&lt;=EOMONTH(AD$3,0))*'PA Fees Actual'!$D$5:$D$882),AD$3&gt;=EOMONTH($X52,-1)+1,$Y52,TRUE,0)</f>
        <v>0</v>
      </c>
      <c r="AE52" s="202" cm="1">
        <f t="array" ref="AE52">_xlfn.IFS(AE$3&lt;$B$2,SUMPRODUCT(('PA Fees Actual'!$B$5:$B$882=$E52)*('PA Fees Actual'!$A$5:$A$882&gt;=AE$3)*('PA Fees Actual'!$A$5:$A$882&lt;=EOMONTH(AE$3,0))*'PA Fees Actual'!$D$5:$D$882),AE$3&gt;=EOMONTH($X52,-1)+1,$Y52,TRUE,0)</f>
        <v>0</v>
      </c>
      <c r="AF52" s="202" cm="1">
        <f t="array" ref="AF52">_xlfn.IFS(AF$3&lt;$B$2,SUMPRODUCT(('PA Fees Actual'!$B$5:$B$882=$E52)*('PA Fees Actual'!$A$5:$A$882&gt;=AF$3)*('PA Fees Actual'!$A$5:$A$882&lt;=EOMONTH(AF$3,0))*'PA Fees Actual'!$D$5:$D$882),AF$3&gt;=EOMONTH($X52,-1)+1,$Y52,TRUE,0)</f>
        <v>0</v>
      </c>
      <c r="AG52" s="202" cm="1">
        <f t="array" ref="AG52">_xlfn.IFS(AG$3&lt;$B$2,SUMPRODUCT(('PA Fees Actual'!$B$5:$B$882=$E52)*('PA Fees Actual'!$A$5:$A$882&gt;=AG$3)*('PA Fees Actual'!$A$5:$A$882&lt;=EOMONTH(AG$3,0))*'PA Fees Actual'!$D$5:$D$882),AG$3&gt;=EOMONTH($X52,-1)+1,$Y52,TRUE,0)</f>
        <v>0</v>
      </c>
      <c r="AH52" s="202" cm="1">
        <f t="array" ref="AH52">_xlfn.IFS(AH$3&lt;$B$2,SUMPRODUCT(('PA Fees Actual'!$B$5:$B$882=$E52)*('PA Fees Actual'!$A$5:$A$882&gt;=AH$3)*('PA Fees Actual'!$A$5:$A$882&lt;=EOMONTH(AH$3,0))*'PA Fees Actual'!$D$5:$D$882),AH$3&gt;=EOMONTH($X52,-1)+1,$Y52,TRUE,0)</f>
        <v>0</v>
      </c>
      <c r="AI52" s="202" cm="1">
        <f t="array" ref="AI52">_xlfn.IFS(AI$3&lt;$B$2,SUMPRODUCT(('PA Fees Actual'!$B$5:$B$882=$E52)*('PA Fees Actual'!$A$5:$A$882&gt;=AI$3)*('PA Fees Actual'!$A$5:$A$882&lt;=EOMONTH(AI$3,0))*'PA Fees Actual'!$D$5:$D$882),AI$3&gt;=EOMONTH($X52,-1)+1,$Y52,TRUE,0)</f>
        <v>0</v>
      </c>
      <c r="AJ52" s="202" cm="1">
        <f t="array" ref="AJ52">_xlfn.IFS(AJ$3&lt;$B$2,SUMPRODUCT(('PA Fees Actual'!$B$5:$B$882=$E52)*('PA Fees Actual'!$A$5:$A$882&gt;=AJ$3)*('PA Fees Actual'!$A$5:$A$882&lt;=EOMONTH(AJ$3,0))*'PA Fees Actual'!$D$5:$D$882),AJ$3&gt;=EOMONTH($X52,-1)+1,$Y52,TRUE,0)</f>
        <v>0</v>
      </c>
      <c r="AK52" s="202" cm="1">
        <f t="array" ref="AK52">_xlfn.IFS(AK$3&lt;$B$2,SUMPRODUCT(('PA Fees Actual'!$B$5:$B$882=$E52)*('PA Fees Actual'!$A$5:$A$882&gt;=AK$3)*('PA Fees Actual'!$A$5:$A$882&lt;=EOMONTH(AK$3,0))*'PA Fees Actual'!$D$5:$D$882),AK$3&gt;=EOMONTH($X52,-1)+1,$Y52,TRUE,0)</f>
        <v>0</v>
      </c>
      <c r="AL52" s="202" cm="1">
        <f t="array" ref="AL52">_xlfn.IFS(AL$3&lt;$B$2,SUMPRODUCT(('PA Fees Actual'!$B$5:$B$882=$E52)*('PA Fees Actual'!$A$5:$A$882&gt;=AL$3)*('PA Fees Actual'!$A$5:$A$882&lt;=EOMONTH(AL$3,0))*'PA Fees Actual'!$D$5:$D$882),AL$3&gt;=EOMONTH($X52,-1)+1,$Y52,TRUE,0)</f>
        <v>0</v>
      </c>
      <c r="AM52" s="202" cm="1">
        <f t="array" ref="AM52">_xlfn.IFS(AM$3&lt;$B$2,SUMPRODUCT(('PA Fees Actual'!$B$5:$B$882=$E52)*('PA Fees Actual'!$A$5:$A$882&gt;=AM$3)*('PA Fees Actual'!$A$5:$A$882&lt;=EOMONTH(AM$3,0))*'PA Fees Actual'!$D$5:$D$882),AM$3&gt;=EOMONTH($X52,-1)+1,$Y52,TRUE,0)</f>
        <v>0</v>
      </c>
      <c r="AN52" s="202" cm="1">
        <f t="array" ref="AN52">_xlfn.IFS(AN$3&lt;$B$2,SUMPRODUCT(('PA Fees Actual'!$B$5:$B$882=$E52)*('PA Fees Actual'!$A$5:$A$882&gt;=AN$3)*('PA Fees Actual'!$A$5:$A$882&lt;=EOMONTH(AN$3,0))*'PA Fees Actual'!$D$5:$D$882),AN$3&gt;=EOMONTH($X52,-1)+1,$Y52,TRUE,0)</f>
        <v>0</v>
      </c>
      <c r="AO52" s="202" cm="1">
        <f t="array" ref="AO52">_xlfn.IFS(AO$3&lt;$B$2,SUMPRODUCT(('PA Fees Actual'!$B$5:$B$882=$E52)*('PA Fees Actual'!$A$5:$A$882&gt;=AO$3)*('PA Fees Actual'!$A$5:$A$882&lt;=EOMONTH(AO$3,0))*'PA Fees Actual'!$D$5:$D$882),AO$3&gt;=EOMONTH($X52,-1)+1,$Y52,TRUE,0)</f>
        <v>0</v>
      </c>
      <c r="AP52" s="202" cm="1">
        <f t="array" ref="AP52">_xlfn.IFS(AP$3&lt;$B$2,SUMPRODUCT(('PA Fees Actual'!$B$5:$B$882=$E52)*('PA Fees Actual'!$A$5:$A$882&gt;=AP$3)*('PA Fees Actual'!$A$5:$A$882&lt;=EOMONTH(AP$3,0))*'PA Fees Actual'!$D$5:$D$882),AP$3&gt;=EOMONTH($X52,-1)+1,$Y52,TRUE,0)</f>
        <v>0</v>
      </c>
      <c r="AQ52" s="202" cm="1">
        <f t="array" ref="AQ52">_xlfn.IFS(AQ$3&lt;$B$2,SUMPRODUCT(('PA Fees Actual'!$B$5:$B$882=$E52)*('PA Fees Actual'!$A$5:$A$882&gt;=AQ$3)*('PA Fees Actual'!$A$5:$A$882&lt;=EOMONTH(AQ$3,0))*'PA Fees Actual'!$D$5:$D$882),AQ$3&gt;=EOMONTH($X52,-1)+1,$Y52,TRUE,0)</f>
        <v>0</v>
      </c>
      <c r="AR52" s="202" cm="1">
        <f t="array" ref="AR52">_xlfn.IFS(AR$3&lt;$B$2,SUMPRODUCT(('PA Fees Actual'!$B$5:$B$882=$E52)*('PA Fees Actual'!$A$5:$A$882&gt;=AR$3)*('PA Fees Actual'!$A$5:$A$882&lt;=EOMONTH(AR$3,0))*'PA Fees Actual'!$D$5:$D$882),AR$3&gt;=EOMONTH($X52,-1)+1,$Y52,TRUE,0)</f>
        <v>0</v>
      </c>
      <c r="AS52" s="202" cm="1">
        <f t="array" ref="AS52">_xlfn.IFS(AS$3&lt;$B$2,SUMPRODUCT(('PA Fees Actual'!$B$5:$B$882=$E52)*('PA Fees Actual'!$A$5:$A$882&gt;=AS$3)*('PA Fees Actual'!$A$5:$A$882&lt;=EOMONTH(AS$3,0))*'PA Fees Actual'!$D$5:$D$882),AS$3&gt;=EOMONTH($X52,-1)+1,$Y52,TRUE,0)</f>
        <v>0</v>
      </c>
      <c r="AT52" s="202" cm="1">
        <f t="array" ref="AT52">_xlfn.IFS(AT$3&lt;$B$2,SUMPRODUCT(('PA Fees Actual'!$B$5:$B$882=$E52)*('PA Fees Actual'!$A$5:$A$882&gt;=AT$3)*('PA Fees Actual'!$A$5:$A$882&lt;=EOMONTH(AT$3,0))*'PA Fees Actual'!$D$5:$D$882),AT$3&gt;=EOMONTH($X52,-1)+1,$Y52,TRUE,0)</f>
        <v>0</v>
      </c>
      <c r="AU52" s="202" cm="1">
        <f t="array" ref="AU52">_xlfn.IFS(AU$3&lt;$B$2,SUMPRODUCT(('PA Fees Actual'!$B$5:$B$882=$E52)*('PA Fees Actual'!$A$5:$A$882&gt;=AU$3)*('PA Fees Actual'!$A$5:$A$882&lt;=EOMONTH(AU$3,0))*'PA Fees Actual'!$D$5:$D$882),AU$3&gt;=EOMONTH($X52,-1)+1,$Y52,TRUE,0)</f>
        <v>0</v>
      </c>
      <c r="AV52" s="202" cm="1">
        <f t="array" ref="AV52">_xlfn.IFS(AV$3&lt;$B$2,SUMPRODUCT(('PA Fees Actual'!$B$5:$B$882=$E52)*('PA Fees Actual'!$A$5:$A$882&gt;=AV$3)*('PA Fees Actual'!$A$5:$A$882&lt;=EOMONTH(AV$3,0))*'PA Fees Actual'!$D$5:$D$882),AV$3&gt;=EOMONTH($X52,-1)+1,$Y52,TRUE,0)</f>
        <v>0</v>
      </c>
      <c r="AW52" s="202" cm="1">
        <f t="array" ref="AW52">_xlfn.IFS(AW$3&lt;$B$2,SUMPRODUCT(('PA Fees Actual'!$B$5:$B$882=$E52)*('PA Fees Actual'!$A$5:$A$882&gt;=AW$3)*('PA Fees Actual'!$A$5:$A$882&lt;=EOMONTH(AW$3,0))*'PA Fees Actual'!$D$5:$D$882),AW$3&gt;=EOMONTH($X52,-1)+1,$Y52,TRUE,0)</f>
        <v>0</v>
      </c>
      <c r="AX52" s="202" cm="1">
        <f t="array" ref="AX52">_xlfn.IFS(AX$3&lt;$B$2,SUMPRODUCT(('PA Fees Actual'!$B$5:$B$882=$E52)*('PA Fees Actual'!$A$5:$A$882&gt;=AX$3)*('PA Fees Actual'!$A$5:$A$882&lt;=EOMONTH(AX$3,0))*'PA Fees Actual'!$D$5:$D$882),AX$3&gt;=EOMONTH($X52,-1)+1,$Y52,TRUE,0)</f>
        <v>0</v>
      </c>
      <c r="AY52" s="202" cm="1">
        <f t="array" ref="AY52">_xlfn.IFS(AY$3&lt;$B$2,SUMPRODUCT(('PA Fees Actual'!$B$5:$B$882=$E52)*('PA Fees Actual'!$A$5:$A$882&gt;=AY$3)*('PA Fees Actual'!$A$5:$A$882&lt;=EOMONTH(AY$3,0))*'PA Fees Actual'!$D$5:$D$882),AY$3&gt;=EOMONTH($X52,-1)+1,$Y52,TRUE,0)</f>
        <v>0</v>
      </c>
      <c r="AZ52" s="202" cm="1">
        <f t="array" ref="AZ52">_xlfn.IFS(AZ$3&lt;$B$2,SUMPRODUCT(('PA Fees Actual'!$B$5:$B$882=$E52)*('PA Fees Actual'!$A$5:$A$882&gt;=AZ$3)*('PA Fees Actual'!$A$5:$A$882&lt;=EOMONTH(AZ$3,0))*'PA Fees Actual'!$D$5:$D$882),AZ$3&gt;=EOMONTH($X52,-1)+1,$Y52,TRUE,0)</f>
        <v>0</v>
      </c>
      <c r="BA52" s="202" cm="1">
        <f t="array" ref="BA52">_xlfn.IFS(BA$3&lt;$B$2,SUMPRODUCT(('PA Fees Actual'!$B$5:$B$882=$E52)*('PA Fees Actual'!$A$5:$A$882&gt;=BA$3)*('PA Fees Actual'!$A$5:$A$882&lt;=EOMONTH(BA$3,0))*'PA Fees Actual'!$D$5:$D$882),BA$3&gt;=EOMONTH($X52,-1)+1,$Y52,TRUE,0)</f>
        <v>0</v>
      </c>
      <c r="BB52" s="202" cm="1">
        <f t="array" ref="BB52">_xlfn.IFS(BB$3&lt;$B$2,SUMPRODUCT(('PA Fees Actual'!$B$5:$B$882=$E52)*('PA Fees Actual'!$A$5:$A$882&gt;=BB$3)*('PA Fees Actual'!$A$5:$A$882&lt;=EOMONTH(BB$3,0))*'PA Fees Actual'!$D$5:$D$882),BB$3&gt;=EOMONTH($X52,-1)+1,$Y52,TRUE,0)</f>
        <v>0</v>
      </c>
      <c r="BC52" s="202" cm="1">
        <f t="array" ref="BC52">_xlfn.IFS(BC$3&lt;$B$2,SUMPRODUCT(('PA Fees Actual'!$B$5:$B$882=$E52)*('PA Fees Actual'!$A$5:$A$882&gt;=BC$3)*('PA Fees Actual'!$A$5:$A$882&lt;=EOMONTH(BC$3,0))*'PA Fees Actual'!$D$5:$D$882),BC$3&gt;=EOMONTH($X52,-1)+1,$Y52,TRUE,0)</f>
        <v>0</v>
      </c>
      <c r="BD52" s="202" cm="1">
        <f t="array" ref="BD52">_xlfn.IFS(BD$3&lt;$B$2,SUMPRODUCT(('PA Fees Actual'!$B$5:$B$882=$E52)*('PA Fees Actual'!$A$5:$A$882&gt;=BD$3)*('PA Fees Actual'!$A$5:$A$882&lt;=EOMONTH(BD$3,0))*'PA Fees Actual'!$D$5:$D$882),BD$3&gt;=EOMONTH($X52,-1)+1,$Y52,TRUE,0)</f>
        <v>0</v>
      </c>
      <c r="BE52" s="202" cm="1">
        <f t="array" ref="BE52">_xlfn.IFS(BE$3&lt;$B$2,SUMPRODUCT(('PA Fees Actual'!$B$5:$B$882=$E52)*('PA Fees Actual'!$A$5:$A$882&gt;=BE$3)*('PA Fees Actual'!$A$5:$A$882&lt;=EOMONTH(BE$3,0))*'PA Fees Actual'!$D$5:$D$882),BE$3&gt;=EOMONTH($X52,-1)+1,$Y52,TRUE,0)</f>
        <v>0</v>
      </c>
      <c r="BF52" s="202" cm="1">
        <f t="array" ref="BF52">_xlfn.IFS(BF$3&lt;$B$2,SUMPRODUCT(('PA Fees Actual'!$B$5:$B$882=$E52)*('PA Fees Actual'!$A$5:$A$882&gt;=BF$3)*('PA Fees Actual'!$A$5:$A$882&lt;=EOMONTH(BF$3,0))*'PA Fees Actual'!$D$5:$D$882),BF$3&gt;=EOMONTH($X52,-1)+1,$Y52,TRUE,0)</f>
        <v>0</v>
      </c>
      <c r="BG52" s="202" cm="1">
        <f t="array" ref="BG52">_xlfn.IFS(BG$3&lt;$B$2,SUMPRODUCT(('PA Fees Actual'!$B$5:$B$882=$E52)*('PA Fees Actual'!$A$5:$A$882&gt;=BG$3)*('PA Fees Actual'!$A$5:$A$882&lt;=EOMONTH(BG$3,0))*'PA Fees Actual'!$D$5:$D$882),BG$3&gt;=EOMONTH($X52,-1)+1,$Y52,TRUE,0)</f>
        <v>0</v>
      </c>
      <c r="BH52" s="202" cm="1">
        <f t="array" ref="BH52">_xlfn.IFS(BH$3&lt;$B$2,SUMPRODUCT(('PA Fees Actual'!$B$5:$B$882=$E52)*('PA Fees Actual'!$A$5:$A$882&gt;=BH$3)*('PA Fees Actual'!$A$5:$A$882&lt;=EOMONTH(BH$3,0))*'PA Fees Actual'!$D$5:$D$882),BH$3&gt;=EOMONTH($X52,-1)+1,$Y52,TRUE,0)</f>
        <v>0</v>
      </c>
      <c r="BI52" s="202" cm="1">
        <f t="array" ref="BI52">_xlfn.IFS(BI$3&lt;$B$2,SUMPRODUCT(('PA Fees Actual'!$B$5:$B$882=$E52)*('PA Fees Actual'!$A$5:$A$882&gt;=BI$3)*('PA Fees Actual'!$A$5:$A$882&lt;=EOMONTH(BI$3,0))*'PA Fees Actual'!$D$5:$D$882),BI$3&gt;=EOMONTH($X52,-1)+1,$Y52,TRUE,0)</f>
        <v>0</v>
      </c>
      <c r="BJ52" s="202" cm="1">
        <f t="array" ref="BJ52">_xlfn.IFS(BJ$3&lt;$B$2,SUMPRODUCT(('PA Fees Actual'!$B$5:$B$882=$E52)*('PA Fees Actual'!$A$5:$A$882&gt;=BJ$3)*('PA Fees Actual'!$A$5:$A$882&lt;=EOMONTH(BJ$3,0))*'PA Fees Actual'!$D$5:$D$882),BJ$3&gt;=EOMONTH($X52,-1)+1,$Y52,TRUE,0)</f>
        <v>0</v>
      </c>
      <c r="BK52" s="202" cm="1">
        <f t="array" ref="BK52">_xlfn.IFS(BK$3&lt;$B$2,SUMPRODUCT(('PA Fees Actual'!$B$5:$B$882=$E52)*('PA Fees Actual'!$A$5:$A$882&gt;=BK$3)*('PA Fees Actual'!$A$5:$A$882&lt;=EOMONTH(BK$3,0))*'PA Fees Actual'!$D$5:$D$882),BK$3&gt;=EOMONTH($X52,-1)+1,$Y52,TRUE,0)</f>
        <v>0</v>
      </c>
      <c r="BL52" s="202" cm="1">
        <f t="array" ref="BL52">_xlfn.IFS(BL$3&lt;$B$2,SUMPRODUCT(('PA Fees Actual'!$B$5:$B$882=$E52)*('PA Fees Actual'!$A$5:$A$882&gt;=BL$3)*('PA Fees Actual'!$A$5:$A$882&lt;=EOMONTH(BL$3,0))*'PA Fees Actual'!$D$5:$D$882),BL$3&gt;=EOMONTH($X52,-1)+1,$Y52,TRUE,0)</f>
        <v>0</v>
      </c>
      <c r="BM52" s="202" cm="1">
        <f t="array" ref="BM52">_xlfn.IFS(BM$3&lt;$B$2,SUMPRODUCT(('PA Fees Actual'!$B$5:$B$882=$E52)*('PA Fees Actual'!$A$5:$A$882&gt;=BM$3)*('PA Fees Actual'!$A$5:$A$882&lt;=EOMONTH(BM$3,0))*'PA Fees Actual'!$D$5:$D$882),BM$3&gt;=EOMONTH($X52,-1)+1,$Y52,TRUE,0)</f>
        <v>0</v>
      </c>
      <c r="BN52" s="202" cm="1">
        <f t="array" ref="BN52">_xlfn.IFS(BN$3&lt;$B$2,SUMPRODUCT(('PA Fees Actual'!$B$5:$B$882=$E52)*('PA Fees Actual'!$A$5:$A$882&gt;=BN$3)*('PA Fees Actual'!$A$5:$A$882&lt;=EOMONTH(BN$3,0))*'PA Fees Actual'!$D$5:$D$882),BN$3&gt;=EOMONTH($X52,-1)+1,$Y52,TRUE,0)</f>
        <v>0</v>
      </c>
      <c r="BO52" s="202" cm="1">
        <f t="array" ref="BO52">_xlfn.IFS(BO$3&lt;$B$2,SUMPRODUCT(('PA Fees Actual'!$B$5:$B$882=$E52)*('PA Fees Actual'!$A$5:$A$882&gt;=BO$3)*('PA Fees Actual'!$A$5:$A$882&lt;=EOMONTH(BO$3,0))*'PA Fees Actual'!$D$5:$D$882),BO$3&gt;=EOMONTH($X52,-1)+1,$Y52,TRUE,0)</f>
        <v>0</v>
      </c>
      <c r="BP52" s="202" cm="1">
        <f t="array" ref="BP52">_xlfn.IFS(BP$3&lt;$B$2,SUMPRODUCT(('PA Fees Actual'!$B$5:$B$882=$E52)*('PA Fees Actual'!$A$5:$A$882&gt;=BP$3)*('PA Fees Actual'!$A$5:$A$882&lt;=EOMONTH(BP$3,0))*'PA Fees Actual'!$D$5:$D$882),BP$3&gt;=EOMONTH($X52,-1)+1,$Y52,TRUE,0)</f>
        <v>0</v>
      </c>
      <c r="BQ52" s="202" cm="1">
        <f t="array" ref="BQ52">_xlfn.IFS(BQ$3&lt;$B$2,SUMPRODUCT(('PA Fees Actual'!$B$5:$B$882=$E52)*('PA Fees Actual'!$A$5:$A$882&gt;=BQ$3)*('PA Fees Actual'!$A$5:$A$882&lt;=EOMONTH(BQ$3,0))*'PA Fees Actual'!$D$5:$D$882),BQ$3&gt;=EOMONTH($X52,-1)+1,$Y52,TRUE,0)</f>
        <v>0</v>
      </c>
      <c r="BR52" s="202" cm="1">
        <f t="array" ref="BR52">_xlfn.IFS(BR$3&lt;$B$2,SUMPRODUCT(('PA Fees Actual'!$B$5:$B$882=$E52)*('PA Fees Actual'!$A$5:$A$882&gt;=BR$3)*('PA Fees Actual'!$A$5:$A$882&lt;=EOMONTH(BR$3,0))*'PA Fees Actual'!$D$5:$D$882),BR$3&gt;=EOMONTH($X52,-1)+1,$Y52,TRUE,0)</f>
        <v>0</v>
      </c>
      <c r="BS52" s="202" cm="1">
        <f t="array" ref="BS52">_xlfn.IFS(BS$3&lt;$B$2,SUMPRODUCT(('PA Fees Actual'!$B$5:$B$882=$E52)*('PA Fees Actual'!$A$5:$A$882&gt;=BS$3)*('PA Fees Actual'!$A$5:$A$882&lt;=EOMONTH(BS$3,0))*'PA Fees Actual'!$D$5:$D$882),BS$3&gt;=EOMONTH($X52,-1)+1,$Y52,TRUE,0)</f>
        <v>0</v>
      </c>
      <c r="BT52" s="202" cm="1">
        <f t="array" ref="BT52">_xlfn.IFS(BT$3&lt;$B$2,SUMPRODUCT(('PA Fees Actual'!$B$5:$B$882=$E52)*('PA Fees Actual'!$A$5:$A$882&gt;=BT$3)*('PA Fees Actual'!$A$5:$A$882&lt;=EOMONTH(BT$3,0))*'PA Fees Actual'!$D$5:$D$882),BT$3&gt;=EOMONTH($X52,-1)+1,$Y52,TRUE,0)</f>
        <v>0</v>
      </c>
      <c r="BU52" s="202" cm="1">
        <f t="array" ref="BU52">_xlfn.IFS(BU$3&lt;$B$2,SUMPRODUCT(('PA Fees Actual'!$B$5:$B$882=$E52)*('PA Fees Actual'!$A$5:$A$882&gt;=BU$3)*('PA Fees Actual'!$A$5:$A$882&lt;=EOMONTH(BU$3,0))*'PA Fees Actual'!$D$5:$D$882),BU$3&gt;=EOMONTH($X52,-1)+1,$Y52,TRUE,0)</f>
        <v>0</v>
      </c>
      <c r="BV52" s="202" cm="1">
        <f t="array" ref="BV52">_xlfn.IFS(BV$3&lt;$B$2,SUMPRODUCT(('PA Fees Actual'!$B$5:$B$882=$E52)*('PA Fees Actual'!$A$5:$A$882&gt;=BV$3)*('PA Fees Actual'!$A$5:$A$882&lt;=EOMONTH(BV$3,0))*'PA Fees Actual'!$D$5:$D$882),BV$3&gt;=EOMONTH($X52,-1)+1,$Y52,TRUE,0)</f>
        <v>0</v>
      </c>
      <c r="BW52" s="202" cm="1">
        <f t="array" ref="BW52">_xlfn.IFS(BW$3&lt;$B$2,SUMPRODUCT(('PA Fees Actual'!$B$5:$B$882=$E52)*('PA Fees Actual'!$A$5:$A$882&gt;=BW$3)*('PA Fees Actual'!$A$5:$A$882&lt;=EOMONTH(BW$3,0))*'PA Fees Actual'!$D$5:$D$882),BW$3&gt;=EOMONTH($X52,-1)+1,$Y52,TRUE,0)</f>
        <v>43.97</v>
      </c>
      <c r="BX52" s="202" cm="1">
        <f t="array" ref="BX52">_xlfn.IFS(BX$3&lt;$B$2,SUMPRODUCT(('PA Fees Actual'!$B$5:$B$882=$E52)*('PA Fees Actual'!$A$5:$A$882&gt;=BX$3)*('PA Fees Actual'!$A$5:$A$882&lt;=EOMONTH(BX$3,0))*'PA Fees Actual'!$D$5:$D$882),BX$3&gt;=EOMONTH($X52,-1)+1,$Y52,TRUE,0)</f>
        <v>990.34000000000015</v>
      </c>
      <c r="BY52" s="202" cm="1">
        <f t="array" ref="BY52">_xlfn.IFS(BY$3&lt;$B$2,SUMPRODUCT(('PA Fees Actual'!$B$5:$B$882=$E52)*('PA Fees Actual'!$A$5:$A$882&gt;=BY$3)*('PA Fees Actual'!$A$5:$A$882&lt;=EOMONTH(BY$3,0))*'PA Fees Actual'!$D$5:$D$882),BY$3&gt;=EOMONTH($X52,-1)+1,$Y52,TRUE,0)</f>
        <v>32.54</v>
      </c>
      <c r="BZ52" s="202" cm="1">
        <f t="array" ref="BZ52">_xlfn.IFS(BZ$3&lt;$B$2,SUMPRODUCT(('PA Fees Actual'!$B$5:$B$882=$E52)*('PA Fees Actual'!$A$5:$A$882&gt;=BZ$3)*('PA Fees Actual'!$A$5:$A$882&lt;=EOMONTH(BZ$3,0))*'PA Fees Actual'!$D$5:$D$882),BZ$3&gt;=EOMONTH($X52,-1)+1,$Y52,TRUE,0)</f>
        <v>0</v>
      </c>
      <c r="CA52" s="202" cm="1">
        <f t="array" ref="CA52">_xlfn.IFS(CA$3&lt;$B$2,SUMPRODUCT(('PA Fees Actual'!$B$5:$B$882=$E52)*('PA Fees Actual'!$A$5:$A$882&gt;=CA$3)*('PA Fees Actual'!$A$5:$A$882&lt;=EOMONTH(CA$3,0))*'PA Fees Actual'!$D$5:$D$882),CA$3&gt;=EOMONTH($X52,-1)+1,$Y52,TRUE,0)</f>
        <v>15.510000000000002</v>
      </c>
      <c r="CB52" s="202" cm="1">
        <f t="array" ref="CB52">_xlfn.IFS(CB$3&lt;$B$2,SUMPRODUCT(('PA Fees Actual'!$B$5:$B$882=$E52)*('PA Fees Actual'!$A$5:$A$882&gt;=CB$3)*('PA Fees Actual'!$A$5:$A$882&lt;=EOMONTH(CB$3,0))*'PA Fees Actual'!$D$5:$D$882),CB$3&gt;=EOMONTH($X52,-1)+1,$Y52,TRUE,0)</f>
        <v>1430.55</v>
      </c>
      <c r="CC52" s="202" cm="1">
        <f t="array" ref="CC52">_xlfn.IFS(CC$3&lt;$B$2,SUMPRODUCT(('PA Fees Actual'!$B$5:$B$882=$E52)*('PA Fees Actual'!$A$5:$A$882&gt;=CC$3)*('PA Fees Actual'!$A$5:$A$882&lt;=EOMONTH(CC$3,0))*'PA Fees Actual'!$D$5:$D$882),CC$3&gt;=EOMONTH($X52,-1)+1,$Y52,TRUE,0)</f>
        <v>1430.55</v>
      </c>
      <c r="CD52" s="202" cm="1">
        <f t="array" ref="CD52">_xlfn.IFS(CD$3&lt;$B$2,SUMPRODUCT(('PA Fees Actual'!$B$5:$B$882=$E52)*('PA Fees Actual'!$A$5:$A$882&gt;=CD$3)*('PA Fees Actual'!$A$5:$A$882&lt;=EOMONTH(CD$3,0))*'PA Fees Actual'!$D$5:$D$882),CD$3&gt;=EOMONTH($X52,-1)+1,$Y52,TRUE,0)</f>
        <v>1430.55</v>
      </c>
      <c r="CE52" s="202" cm="1">
        <f t="array" ref="CE52">_xlfn.IFS(CE$3&lt;$B$2,SUMPRODUCT(('PA Fees Actual'!$B$5:$B$882=$E52)*('PA Fees Actual'!$A$5:$A$882&gt;=CE$3)*('PA Fees Actual'!$A$5:$A$882&lt;=EOMONTH(CE$3,0))*'PA Fees Actual'!$D$5:$D$882),CE$3&gt;=EOMONTH($X52,-1)+1,$Y52,TRUE,0)</f>
        <v>1430.55</v>
      </c>
      <c r="CF52" s="202" cm="1">
        <f t="array" ref="CF52">_xlfn.IFS(CF$3&lt;$B$2,SUMPRODUCT(('PA Fees Actual'!$B$5:$B$882=$E52)*('PA Fees Actual'!$A$5:$A$882&gt;=CF$3)*('PA Fees Actual'!$A$5:$A$882&lt;=EOMONTH(CF$3,0))*'PA Fees Actual'!$D$5:$D$882),CF$3&gt;=EOMONTH($X52,-1)+1,$Y52,TRUE,0)</f>
        <v>1430.55</v>
      </c>
      <c r="CG52" s="202" cm="1">
        <f t="array" ref="CG52">_xlfn.IFS(CG$3&lt;$B$2,SUMPRODUCT(('PA Fees Actual'!$B$5:$B$882=$E52)*('PA Fees Actual'!$A$5:$A$882&gt;=CG$3)*('PA Fees Actual'!$A$5:$A$882&lt;=EOMONTH(CG$3,0))*'PA Fees Actual'!$D$5:$D$882),CG$3&gt;=EOMONTH($X52,-1)+1,$Y52,TRUE,0)</f>
        <v>1430.55</v>
      </c>
      <c r="CI52" s="202" cm="1">
        <f t="array" ref="CI52">_xlfn.IFS(CI$3&lt;=YEAR($B$2),SUMPRODUCT(($E$4:$E$79=$E52)*($Z$2:$CG$2=CI$3)*($Z$2:$CG$2&lt;CJ$3)*$Z$4:$CG$79),CI$3&lt;YEAR($X52),0,CI$3=YEAR($X52),DATEDIF($X52,DATE(CI$3,12,31),"m")*$Y52,AND(CI$3&gt;YEAR($X52),CI$3-YEAR($X52)&lt;20),$Y52*12,CI$3-YEAR($X52)=20,DATEDIF(DATE(YEAR($X52),1,1),$X52,"m")*$Y52,CI$3-YEAR($X52)&gt;20,0)</f>
        <v>0</v>
      </c>
      <c r="CJ52" s="202" cm="1">
        <f t="array" ref="CJ52">_xlfn.IFS(CJ$3&lt;=YEAR($B$2),SUMPRODUCT(($E$4:$E$79=$E52)*($Z$2:$CG$2=CJ$3)*($Z$2:$CG$2&lt;CK$3)*$Z$4:$CG$79),CJ$3&lt;YEAR($X52),0,CJ$3=YEAR($X52),DATEDIF($X52,DATE(CJ$3,12,31),"m")*$Y52,AND(CJ$3&gt;YEAR($X52),CJ$3-YEAR($X52)&lt;20),$Y52*12,CJ$3-YEAR($X52)=20,DATEDIF(DATE(YEAR($X52),1,1),$X52,"m")*$Y52,CJ$3-YEAR($X52)&gt;20,0)</f>
        <v>0</v>
      </c>
      <c r="CK52" s="202" cm="1">
        <f t="array" ref="CK52">_xlfn.IFS(CK$3&lt;=YEAR($B$2),SUMPRODUCT(($E$4:$E$79=$E52)*($Z$2:$CG$2=CK$3)*($Z$2:$CG$2&lt;CL$3)*$Z$4:$CG$79),CK$3&lt;YEAR($X52),0,CK$3=YEAR($X52),DATEDIF($X52,DATE(CK$3,12,31),"m")*$Y52,AND(CK$3&gt;YEAR($X52),CK$3-YEAR($X52)&lt;20),$Y52*12,CK$3-YEAR($X52)=20,DATEDIF(DATE(YEAR($X52),1,1),$X52,"m")*$Y52,CK$3-YEAR($X52)&gt;20,0)</f>
        <v>0</v>
      </c>
      <c r="CL52" s="202" cm="1">
        <f t="array" ref="CL52">_xlfn.IFS(CL$3&lt;=YEAR($B$2),SUMPRODUCT(($E$4:$E$79=$E52)*($Z$2:$CG$2=CL$3)*($Z$2:$CG$2&lt;CM$3)*$Z$4:$CG$79),CL$3&lt;YEAR($X52),0,CL$3=YEAR($X52),DATEDIF($X52,DATE(CL$3,12,31),"m")*$Y52,AND(CL$3&gt;YEAR($X52),CL$3-YEAR($X52)&lt;20),$Y52*12,CL$3-YEAR($X52)=20,DATEDIF(DATE(YEAR($X52),1,1),$X52,"m")*$Y52,CL$3-YEAR($X52)&gt;20,0)</f>
        <v>0</v>
      </c>
      <c r="CM52" s="202" cm="1">
        <f t="array" ref="CM52">_xlfn.IFS(CM$3&lt;=YEAR($B$2),SUMPRODUCT(($E$4:$E$79=$E52)*($Z$2:$CG$2=CM$3)*($Z$2:$CG$2&lt;CN$3)*$Z$4:$CG$79),CM$3&lt;YEAR($X52),0,CM$3=YEAR($X52),DATEDIF($X52,DATE(CM$3,12,31),"m")*$Y52,AND(CM$3&gt;YEAR($X52),CM$3-YEAR($X52)&lt;20),$Y52*12,CM$3-YEAR($X52)=20,DATEDIF(DATE(YEAR($X52),1,1),$X52,"m")*$Y52,CM$3-YEAR($X52)&gt;20,0)</f>
        <v>9665.66</v>
      </c>
      <c r="CN52" s="202" cm="1">
        <f t="array" ref="CN52">_xlfn.IFS(CN$3&lt;=YEAR($B$2),SUMPRODUCT(($E$4:$E$79=$E52)*($Z$2:$CG$2=CN$3)*($Z$2:$CG$2&lt;CO$3)*$Z$4:$CG$79),CN$3&lt;YEAR($X52),0,CN$3=YEAR($X52),DATEDIF($X52,DATE(CN$3,12,31),"m")*$Y52,AND(CN$3&gt;YEAR($X52),CN$3-YEAR($X52)&lt;20),$Y52*12,CN$3-YEAR($X52)=20,DATEDIF(DATE(YEAR($X52),1,1),$X52,"m")*$Y52,CN$3-YEAR($X52)&gt;20,0)</f>
        <v>17166.599999999999</v>
      </c>
      <c r="CO52" s="202" cm="1">
        <f t="array" ref="CO52">_xlfn.IFS(CO$3&lt;=YEAR($B$2),SUMPRODUCT(($E$4:$E$79=$E52)*($Z$2:$CG$2=CO$3)*($Z$2:$CG$2&lt;CP$3)*$Z$4:$CG$79),CO$3&lt;YEAR($X52),0,CO$3=YEAR($X52),DATEDIF($X52,DATE(CO$3,12,31),"m")*$Y52,AND(CO$3&gt;YEAR($X52),CO$3-YEAR($X52)&lt;20),$Y52*12,CO$3-YEAR($X52)=20,DATEDIF(DATE(YEAR($X52),1,1),$X52,"m")*$Y52,CO$3-YEAR($X52)&gt;20,0)</f>
        <v>17166.599999999999</v>
      </c>
      <c r="CP52" s="202" cm="1">
        <f t="array" ref="CP52">_xlfn.IFS(CP$3&lt;=YEAR($B$2),SUMPRODUCT(($E$4:$E$79=$E52)*($Z$2:$CG$2=CP$3)*($Z$2:$CG$2&lt;CQ$3)*$Z$4:$CG$79),CP$3&lt;YEAR($X52),0,CP$3=YEAR($X52),DATEDIF($X52,DATE(CP$3,12,31),"m")*$Y52,AND(CP$3&gt;YEAR($X52),CP$3-YEAR($X52)&lt;20),$Y52*12,CP$3-YEAR($X52)=20,DATEDIF(DATE(YEAR($X52),1,1),$X52,"m")*$Y52,CP$3-YEAR($X52)&gt;20,0)</f>
        <v>17166.599999999999</v>
      </c>
      <c r="CQ52" s="202" cm="1">
        <f t="array" ref="CQ52">_xlfn.IFS(CQ$3&lt;=YEAR($B$2),SUMPRODUCT(($E$4:$E$79=$E52)*($Z$2:$CG$2=CQ$3)*($Z$2:$CG$2&lt;CR$3)*$Z$4:$CG$79),CQ$3&lt;YEAR($X52),0,CQ$3=YEAR($X52),DATEDIF($X52,DATE(CQ$3,12,31),"m")*$Y52,AND(CQ$3&gt;YEAR($X52),CQ$3-YEAR($X52)&lt;20),$Y52*12,CQ$3-YEAR($X52)=20,DATEDIF(DATE(YEAR($X52),1,1),$X52,"m")*$Y52,CQ$3-YEAR($X52)&gt;20,0)</f>
        <v>17166.599999999999</v>
      </c>
      <c r="CR52" s="202" cm="1">
        <f t="array" ref="CR52">_xlfn.IFS(CR$3&lt;=YEAR($B$2),SUMPRODUCT(($E$4:$E$79=$E52)*($Z$2:$CG$2=CR$3)*($Z$2:$CG$2&lt;CS$3)*$Z$4:$CG$79),CR$3&lt;YEAR($X52),0,CR$3=YEAR($X52),DATEDIF($X52,DATE(CR$3,12,31),"m")*$Y52,AND(CR$3&gt;YEAR($X52),CR$3-YEAR($X52)&lt;20),$Y52*12,CR$3-YEAR($X52)=20,DATEDIF(DATE(YEAR($X52),1,1),$X52,"m")*$Y52,CR$3-YEAR($X52)&gt;20,0)</f>
        <v>17166.599999999999</v>
      </c>
      <c r="CS52" s="202" cm="1">
        <f t="array" ref="CS52">_xlfn.IFS(CS$3&lt;=YEAR($B$2),SUMPRODUCT(($E$4:$E$79=$E52)*($Z$2:$CG$2=CS$3)*($Z$2:$CG$2&lt;CT$3)*$Z$4:$CG$79),CS$3&lt;YEAR($X52),0,CS$3=YEAR($X52),DATEDIF($X52,DATE(CS$3,12,31),"m")*$Y52,AND(CS$3&gt;YEAR($X52),CS$3-YEAR($X52)&lt;20),$Y52*12,CS$3-YEAR($X52)=20,DATEDIF(DATE(YEAR($X52),1,1),$X52,"m")*$Y52,CS$3-YEAR($X52)&gt;20,0)</f>
        <v>17166.599999999999</v>
      </c>
      <c r="CT52" s="202" cm="1">
        <f t="array" ref="CT52">_xlfn.IFS(CT$3&lt;=YEAR($B$2),SUMPRODUCT(($E$4:$E$79=$E52)*($Z$2:$CG$2=CT$3)*($Z$2:$CG$2&lt;CU$3)*$Z$4:$CG$79),CT$3&lt;YEAR($X52),0,CT$3=YEAR($X52),DATEDIF($X52,DATE(CT$3,12,31),"m")*$Y52,AND(CT$3&gt;YEAR($X52),CT$3-YEAR($X52)&lt;20),$Y52*12,CT$3-YEAR($X52)=20,DATEDIF(DATE(YEAR($X52),1,1),$X52,"m")*$Y52,CT$3-YEAR($X52)&gt;20,0)</f>
        <v>17166.599999999999</v>
      </c>
      <c r="CU52" s="202" cm="1">
        <f t="array" ref="CU52">_xlfn.IFS(CU$3&lt;=YEAR($B$2),SUMPRODUCT(($E$4:$E$79=$E52)*($Z$2:$CG$2=CU$3)*($Z$2:$CG$2&lt;CV$3)*$Z$4:$CG$79),CU$3&lt;YEAR($X52),0,CU$3=YEAR($X52),DATEDIF($X52,DATE(CU$3,12,31),"m")*$Y52,AND(CU$3&gt;YEAR($X52),CU$3-YEAR($X52)&lt;20),$Y52*12,CU$3-YEAR($X52)=20,DATEDIF(DATE(YEAR($X52),1,1),$X52,"m")*$Y52,CU$3-YEAR($X52)&gt;20,0)</f>
        <v>17166.599999999999</v>
      </c>
      <c r="CV52" s="202" cm="1">
        <f t="array" ref="CV52">_xlfn.IFS(CV$3&lt;=YEAR($B$2),SUMPRODUCT(($E$4:$E$79=$E52)*($Z$2:$CG$2=CV$3)*($Z$2:$CG$2&lt;CW$3)*$Z$4:$CG$79),CV$3&lt;YEAR($X52),0,CV$3=YEAR($X52),DATEDIF($X52,DATE(CV$3,12,31),"m")*$Y52,AND(CV$3&gt;YEAR($X52),CV$3-YEAR($X52)&lt;20),$Y52*12,CV$3-YEAR($X52)=20,DATEDIF(DATE(YEAR($X52),1,1),$X52,"m")*$Y52,CV$3-YEAR($X52)&gt;20,0)</f>
        <v>17166.599999999999</v>
      </c>
      <c r="CW52" s="202" cm="1">
        <f t="array" ref="CW52">_xlfn.IFS(CW$3&lt;=YEAR($B$2),SUMPRODUCT(($E$4:$E$79=$E52)*($Z$2:$CG$2=CW$3)*($Z$2:$CG$2&lt;CX$3)*$Z$4:$CG$79),CW$3&lt;YEAR($X52),0,CW$3=YEAR($X52),DATEDIF($X52,DATE(CW$3,12,31),"m")*$Y52,AND(CW$3&gt;YEAR($X52),CW$3-YEAR($X52)&lt;20),$Y52*12,CW$3-YEAR($X52)=20,DATEDIF(DATE(YEAR($X52),1,1),$X52,"m")*$Y52,CW$3-YEAR($X52)&gt;20,0)</f>
        <v>17166.599999999999</v>
      </c>
      <c r="CX52" s="202" cm="1">
        <f t="array" ref="CX52">_xlfn.IFS(CX$3&lt;=YEAR($B$2),SUMPRODUCT(($E$4:$E$79=$E52)*($Z$2:$CG$2=CX$3)*($Z$2:$CG$2&lt;CY$3)*$Z$4:$CG$79),CX$3&lt;YEAR($X52),0,CX$3=YEAR($X52),DATEDIF($X52,DATE(CX$3,12,31),"m")*$Y52,AND(CX$3&gt;YEAR($X52),CX$3-YEAR($X52)&lt;20),$Y52*12,CX$3-YEAR($X52)=20,DATEDIF(DATE(YEAR($X52),1,1),$X52,"m")*$Y52,CX$3-YEAR($X52)&gt;20,0)</f>
        <v>17166.599999999999</v>
      </c>
      <c r="CY52" s="202" cm="1">
        <f t="array" ref="CY52">_xlfn.IFS(CY$3&lt;=YEAR($B$2),SUMPRODUCT(($E$4:$E$79=$E52)*($Z$2:$CG$2=CY$3)*($Z$2:$CG$2&lt;CZ$3)*$Z$4:$CG$79),CY$3&lt;YEAR($X52),0,CY$3=YEAR($X52),DATEDIF($X52,DATE(CY$3,12,31),"m")*$Y52,AND(CY$3&gt;YEAR($X52),CY$3-YEAR($X52)&lt;20),$Y52*12,CY$3-YEAR($X52)=20,DATEDIF(DATE(YEAR($X52),1,1),$X52,"m")*$Y52,CY$3-YEAR($X52)&gt;20,0)</f>
        <v>17166.599999999999</v>
      </c>
      <c r="CZ52" s="202" cm="1">
        <f t="array" ref="CZ52">_xlfn.IFS(CZ$3&lt;=YEAR($B$2),SUMPRODUCT(($E$4:$E$79=$E52)*($Z$2:$CG$2=CZ$3)*($Z$2:$CG$2&lt;DA$3)*$Z$4:$CG$79),CZ$3&lt;YEAR($X52),0,CZ$3=YEAR($X52),DATEDIF($X52,DATE(CZ$3,12,31),"m")*$Y52,AND(CZ$3&gt;YEAR($X52),CZ$3-YEAR($X52)&lt;20),$Y52*12,CZ$3-YEAR($X52)=20,DATEDIF(DATE(YEAR($X52),1,1),$X52,"m")*$Y52,CZ$3-YEAR($X52)&gt;20,0)</f>
        <v>17166.599999999999</v>
      </c>
      <c r="DA52" s="202" cm="1">
        <f t="array" ref="DA52">_xlfn.IFS(DA$3&lt;=YEAR($B$2),SUMPRODUCT(($E$4:$E$79=$E52)*($Z$2:$CG$2=DA$3)*($Z$2:$CG$2&lt;DB$3)*$Z$4:$CG$79),DA$3&lt;YEAR($X52),0,DA$3=YEAR($X52),DATEDIF($X52,DATE(DA$3,12,31),"m")*$Y52,AND(DA$3&gt;YEAR($X52),DA$3-YEAR($X52)&lt;20),$Y52*12,DA$3-YEAR($X52)=20,DATEDIF(DATE(YEAR($X52),1,1),$X52,"m")*$Y52,DA$3-YEAR($X52)&gt;20,0)</f>
        <v>17166.599999999999</v>
      </c>
      <c r="DB52" s="202" cm="1">
        <f t="array" ref="DB52">_xlfn.IFS(DB$3&lt;=YEAR($B$2),SUMPRODUCT(($E$4:$E$79=$E52)*($Z$2:$CG$2=DB$3)*($Z$2:$CG$2&lt;DC$3)*$Z$4:$CG$79),DB$3&lt;YEAR($X52),0,DB$3=YEAR($X52),DATEDIF($X52,DATE(DB$3,12,31),"m")*$Y52,AND(DB$3&gt;YEAR($X52),DB$3-YEAR($X52)&lt;20),$Y52*12,DB$3-YEAR($X52)=20,DATEDIF(DATE(YEAR($X52),1,1),$X52,"m")*$Y52,DB$3-YEAR($X52)&gt;20,0)</f>
        <v>17166.599999999999</v>
      </c>
      <c r="DC52" s="202" cm="1">
        <f t="array" ref="DC52">_xlfn.IFS(DC$3&lt;=YEAR($B$2),SUMPRODUCT(($E$4:$E$79=$E52)*($Z$2:$CG$2=DC$3)*($Z$2:$CG$2&lt;DD$3)*$Z$4:$CG$79),DC$3&lt;YEAR($X52),0,DC$3=YEAR($X52),DATEDIF($X52,DATE(DC$3,12,31),"m")*$Y52,AND(DC$3&gt;YEAR($X52),DC$3-YEAR($X52)&lt;20),$Y52*12,DC$3-YEAR($X52)=20,DATEDIF(DATE(YEAR($X52),1,1),$X52,"m")*$Y52,DC$3-YEAR($X52)&gt;20,0)</f>
        <v>17166.599999999999</v>
      </c>
      <c r="DD52" s="202" cm="1">
        <f t="array" ref="DD52">_xlfn.IFS(DD$3&lt;=YEAR($B$2),SUMPRODUCT(($E$4:$E$79=$E52)*($Z$2:$CG$2=DD$3)*($Z$2:$CG$2&lt;DE$3)*$Z$4:$CG$79),DD$3&lt;YEAR($X52),0,DD$3=YEAR($X52),DATEDIF($X52,DATE(DD$3,12,31),"m")*$Y52,AND(DD$3&gt;YEAR($X52),DD$3-YEAR($X52)&lt;20),$Y52*12,DD$3-YEAR($X52)=20,DATEDIF(DATE(YEAR($X52),1,1),$X52,"m")*$Y52,DD$3-YEAR($X52)&gt;20,0)</f>
        <v>17166.599999999999</v>
      </c>
      <c r="DE52" s="202" cm="1">
        <f t="array" ref="DE52">_xlfn.IFS(DE$3&lt;=YEAR($B$2),SUMPRODUCT(($E$4:$E$79=$E52)*($Z$2:$CG$2=DE$3)*($Z$2:$CG$2&lt;DF$3)*$Z$4:$CG$79),DE$3&lt;YEAR($X52),0,DE$3=YEAR($X52),DATEDIF($X52,DATE(DE$3,12,31),"m")*$Y52,AND(DE$3&gt;YEAR($X52),DE$3-YEAR($X52)&lt;20),$Y52*12,DE$3-YEAR($X52)=20,DATEDIF(DATE(YEAR($X52),1,1),$X52,"m")*$Y52,DE$3-YEAR($X52)&gt;20,0)</f>
        <v>17166.599999999999</v>
      </c>
      <c r="DF52" s="202" cm="1">
        <f t="array" ref="DF52">_xlfn.IFS(DF$3&lt;=YEAR($B$2),SUMPRODUCT(($E$4:$E$79=$E52)*($Z$2:$CG$2=DF$3)*($Z$2:$CG$2&lt;DG$3)*$Z$4:$CG$79),DF$3&lt;YEAR($X52),0,DF$3=YEAR($X52),DATEDIF($X52,DATE(DF$3,12,31),"m")*$Y52,AND(DF$3&gt;YEAR($X52),DF$3-YEAR($X52)&lt;20),$Y52*12,DF$3-YEAR($X52)=20,DATEDIF(DATE(YEAR($X52),1,1),$X52,"m")*$Y52,DF$3-YEAR($X52)&gt;20,0)</f>
        <v>17166.599999999999</v>
      </c>
      <c r="DG52" s="202" cm="1">
        <f t="array" ref="DG52">_xlfn.IFS(DG$3&lt;=YEAR($B$2),SUMPRODUCT(($E$4:$E$79=$E52)*($Z$2:$CG$2=DG$3)*($Z$2:$CG$2&lt;DH$3)*$Z$4:$CG$79),DG$3&lt;YEAR($X52),0,DG$3=YEAR($X52),DATEDIF($X52,DATE(DG$3,12,31),"m")*$Y52,AND(DG$3&gt;YEAR($X52),DG$3-YEAR($X52)&lt;20),$Y52*12,DG$3-YEAR($X52)=20,DATEDIF(DATE(YEAR($X52),1,1),$X52,"m")*$Y52,DG$3-YEAR($X52)&gt;20,0)</f>
        <v>1430.55</v>
      </c>
      <c r="DH52" s="202" cm="1">
        <f t="array" ref="DH52">_xlfn.IFS(DH$3&lt;=YEAR($B$2),SUMPRODUCT(($E$4:$E$79=$E52)*($Z$2:$CG$2=DH$3)*($Z$2:$CG$2&lt;DI$3)*$Z$4:$CG$79),DH$3&lt;YEAR($X52),0,DH$3=YEAR($X52),DATEDIF($X52,DATE(DH$3,12,31),"m")*$Y52,AND(DH$3&gt;YEAR($X52),DH$3-YEAR($X52)&lt;20),$Y52*12,DH$3-YEAR($X52)=20,DATEDIF(DATE(YEAR($X52),1,1),$X52,"m")*$Y52,DH$3-YEAR($X52)&gt;20,0)</f>
        <v>0</v>
      </c>
      <c r="DI52" s="202" cm="1">
        <f t="array" ref="DI52">_xlfn.IFS(DI$3&lt;=YEAR($B$2),SUMPRODUCT(($E$4:$E$79=$E52)*($Z$2:$CG$2=DI$3)*($Z$2:$CG$2&lt;DJ$3)*$Z$4:$CG$79),DI$3&lt;YEAR($X52),0,DI$3=YEAR($X52),DATEDIF($X52,DATE(DI$3,12,31),"m")*$Y52,AND(DI$3&gt;YEAR($X52),DI$3-YEAR($X52)&lt;20),$Y52*12,DI$3-YEAR($X52)=20,DATEDIF(DATE(YEAR($X52),1,1),$X52,"m")*$Y52,DI$3-YEAR($X52)&gt;20,0)</f>
        <v>0</v>
      </c>
      <c r="DJ52" s="202" cm="1">
        <f t="array" ref="DJ52">_xlfn.IFS(DJ$3&lt;=YEAR($B$2),SUMPRODUCT(($E$4:$E$79=$E52)*($Z$2:$CG$2=DJ$3)*($Z$2:$CG$2&lt;DK$3)*$Z$4:$CG$79),DJ$3&lt;YEAR($X52),0,DJ$3=YEAR($X52),DATEDIF($X52,DATE(DJ$3,12,31),"m")*$Y52,AND(DJ$3&gt;YEAR($X52),DJ$3-YEAR($X52)&lt;20),$Y52*12,DJ$3-YEAR($X52)=20,DATEDIF(DATE(YEAR($X52),1,1),$X52,"m")*$Y52,DJ$3-YEAR($X52)&gt;20,0)</f>
        <v>0</v>
      </c>
      <c r="DK52" s="202" cm="1">
        <f t="array" ref="DK52">_xlfn.IFS(DK$3&lt;=YEAR($B$2),SUMPRODUCT(($E$4:$E$79=$E52)*($Z$2:$CG$2=DK$3)*($Z$2:$CG$2&lt;DL$3)*$Z$4:$CG$79),DK$3&lt;YEAR($X52),0,DK$3=YEAR($X52),DATEDIF($X52,DATE(DK$3,12,31),"m")*$Y52,AND(DK$3&gt;YEAR($X52),DK$3-YEAR($X52)&lt;20),$Y52*12,DK$3-YEAR($X52)=20,DATEDIF(DATE(YEAR($X52),1,1),$X52,"m")*$Y52,DK$3-YEAR($X52)&gt;20,0)</f>
        <v>0</v>
      </c>
      <c r="DL52" s="202" cm="1">
        <f t="array" ref="DL52">_xlfn.IFS(DL$3&lt;=YEAR($B$2),SUMPRODUCT(($E$4:$E$79=$E52)*($Z$2:$CG$2=DL$3)*($Z$2:$CG$2&lt;DM$3)*$Z$4:$CG$79),DL$3&lt;YEAR($X52),0,DL$3=YEAR($X52),DATEDIF($X52,DATE(DL$3,12,31),"m")*$Y52,AND(DL$3&gt;YEAR($X52),DL$3-YEAR($X52)&lt;20),$Y52*12,DL$3-YEAR($X52)=20,DATEDIF(DATE(YEAR($X52),1,1),$X52,"m")*$Y52,DL$3-YEAR($X52)&gt;20,0)</f>
        <v>0</v>
      </c>
    </row>
    <row r="53" spans="1:116">
      <c r="A53" s="155" t="str" cm="1">
        <f t="array" ref="A53">INDEX('Monthly Report July 2025'!C:C,MATCH(E53,'Monthly Report July 2025'!E:E,0),0)</f>
        <v>SPQ0186</v>
      </c>
      <c r="B53" s="155" t="str" cm="1">
        <f t="array" ref="B53">_xlfn.IFS(LEFT(E53,3)="PGE","PGE",LEFT(E53,2)="PP","PAC",TRUE,"IP")</f>
        <v>PGE</v>
      </c>
      <c r="C53" s="155" t="str">
        <f>IF(ISNA(MATCH(E53,'Monthly Report July 2025'!E:E,0)),"Missing","Present")</f>
        <v>Present</v>
      </c>
      <c r="D53" s="155" t="str">
        <f>IF(ISNA(MATCH(E53,'Project Operational Timelines'!C:C,0))=TRUE,"Missing","Present")</f>
        <v>Present</v>
      </c>
      <c r="E53" s="155" t="s">
        <v>161</v>
      </c>
      <c r="F53" s="155" t="str" cm="1">
        <f t="array" ref="F53">INDEX('Monthly Report July 2025'!F:F,MATCH(E53,'Monthly Report July 2025'!E:E,),0)</f>
        <v>Belvedere Solar</v>
      </c>
      <c r="G53" s="155" t="str" cm="1">
        <f t="array" ref="G53">_xlfn.IFS(INDEX('Monthly Report July 2025'!O:O,MATCH(E53,'Monthly Report July 2025'!E:E,0),0)="Operational","Operational",INDEX('Monthly Report July 2025'!O:O,MATCH(E53,'Monthly Report July 2025'!E:E,0),0)="Certified","Certified",TRUE,"Pre-Certified")</f>
        <v>Operational</v>
      </c>
      <c r="H53" s="155" t="str" cm="1">
        <f t="array" ref="H53">INDEX('Monthly Report July 2025'!H:H,MATCH($E53,'Monthly Report July 2025'!$E:$E,0),0)</f>
        <v>SPI</v>
      </c>
      <c r="I53" s="155" t="str" cm="1">
        <f t="array" ref="I53">INDEX('Monthly Report July 2025'!I:I,MATCH($E53,'Monthly Report July 2025'!$E:$E,0),0)</f>
        <v>Luminace</v>
      </c>
      <c r="J53" s="174" cm="1">
        <f t="array" ref="J53">INDEX('Monthly Report July 2025'!J:J,MATCH($E53,'Monthly Report July 2025'!$E:$E,0),0)</f>
        <v>1</v>
      </c>
      <c r="K53" s="174" t="str" cm="1">
        <f t="array" ref="K53">INDEX('Monthly Report July 2025'!K:K,MATCH($E53,'Monthly Report July 2025'!$E:$E,0),0)</f>
        <v>No</v>
      </c>
      <c r="L53" s="174" t="b" cm="1">
        <f t="array" ref="L53">INDEX('Monthly Report July 2025'!L:L,MATCH(E53,'Monthly Report July 2025'!E:E,0),0)=M53</f>
        <v>1</v>
      </c>
      <c r="M53" s="273" cm="1">
        <f t="array" ref="M53">INDEX('Monthly Report July 2025'!L:L,MATCH($E53,'Monthly Report July 2025'!$E:$E,0),0)</f>
        <v>2970</v>
      </c>
      <c r="N53" s="175" cm="1">
        <f t="array" ref="N53">INDEX('Monthly Report July 2025'!M:M,MATCH($E53,'Monthly Report July 2025'!$E:$E,0),0)</f>
        <v>43948</v>
      </c>
      <c r="O53" s="175" t="str" cm="1">
        <f t="array" ref="O53">_xlfn.IFS(G53="Operational","Operational",G53="Certified","Certified",TRUE,INDEX('Monthly Report July 2025'!O:O,MATCH(E53,'Monthly Report July 2025'!E:E,0),0))</f>
        <v>Operational</v>
      </c>
      <c r="P53" s="175" t="b" cm="1">
        <f t="array" ref="P53">_xlfn.IFS(G53="Operational",O53="Operational",G53="Certified",O53="Certified",TRUE,G53="Pre-Certified")</f>
        <v>1</v>
      </c>
      <c r="Q53" s="175" cm="1">
        <f t="array" ref="Q53">IF(O53="Operational",INDEX('Monthly Report July 2025'!R:R,MATCH(E53,'Monthly Report July 2025'!E:E,0),0),"")</f>
        <v>45642</v>
      </c>
      <c r="R53" s="175" cm="1">
        <f t="array" ref="R53">INDEX('Monthly Report July 2025'!P:P,MATCH(E53,'Monthly Report July 2025'!E:E,0),0)</f>
        <v>45637</v>
      </c>
      <c r="S53" s="175" t="b">
        <f t="shared" si="28"/>
        <v>1</v>
      </c>
      <c r="T53" s="175" cm="1">
        <f t="array" ref="T53">INDEX('Monthly Report July 2025'!U:U,MATCH(E53,'Monthly Report July 2025'!E:E,0),0)</f>
        <v>45499</v>
      </c>
      <c r="U53" s="175" t="str">
        <f t="shared" si="6"/>
        <v>IGNORE</v>
      </c>
      <c r="V53" s="156">
        <f t="shared" si="29"/>
        <v>45637</v>
      </c>
      <c r="W53" s="156" cm="1">
        <f t="array" ref="W53">_xlfn.IFS(U53=TRUE,EDATE(O53,6),U53=FALSE,T53,O53="Operational",Q53,AND(O53="Certified",EDATE(R53,6)&gt;T53),EDATE(R53,6),TRUE,T53)</f>
        <v>45642</v>
      </c>
      <c r="X53" s="156">
        <f t="shared" si="30"/>
        <v>45704</v>
      </c>
      <c r="Y53" s="157">
        <f t="shared" si="31"/>
        <v>2145.8249999999998</v>
      </c>
      <c r="Z53" s="202" cm="1">
        <f t="array" ref="Z53">_xlfn.IFS(Z$3&lt;$B$2,SUMPRODUCT(('PA Fees Actual'!$B$5:$B$882=$E53)*('PA Fees Actual'!$A$5:$A$882&gt;=Z$3)*('PA Fees Actual'!$A$5:$A$882&lt;=EOMONTH(Z$3,0))*'PA Fees Actual'!$D$5:$D$882),Z$3&gt;=EOMONTH($X53,-1)+1,$Y53,TRUE,0)</f>
        <v>0</v>
      </c>
      <c r="AA53" s="202" cm="1">
        <f t="array" ref="AA53">_xlfn.IFS(AA$3&lt;$B$2,SUMPRODUCT(('PA Fees Actual'!$B$5:$B$882=$E53)*('PA Fees Actual'!$A$5:$A$882&gt;=AA$3)*('PA Fees Actual'!$A$5:$A$882&lt;=EOMONTH(AA$3,0))*'PA Fees Actual'!$D$5:$D$882),AA$3&gt;=EOMONTH($X53,-1)+1,$Y53,TRUE,0)</f>
        <v>0</v>
      </c>
      <c r="AB53" s="202" cm="1">
        <f t="array" ref="AB53">_xlfn.IFS(AB$3&lt;$B$2,SUMPRODUCT(('PA Fees Actual'!$B$5:$B$882=$E53)*('PA Fees Actual'!$A$5:$A$882&gt;=AB$3)*('PA Fees Actual'!$A$5:$A$882&lt;=EOMONTH(AB$3,0))*'PA Fees Actual'!$D$5:$D$882),AB$3&gt;=EOMONTH($X53,-1)+1,$Y53,TRUE,0)</f>
        <v>0</v>
      </c>
      <c r="AC53" s="202" cm="1">
        <f t="array" ref="AC53">_xlfn.IFS(AC$3&lt;$B$2,SUMPRODUCT(('PA Fees Actual'!$B$5:$B$882=$E53)*('PA Fees Actual'!$A$5:$A$882&gt;=AC$3)*('PA Fees Actual'!$A$5:$A$882&lt;=EOMONTH(AC$3,0))*'PA Fees Actual'!$D$5:$D$882),AC$3&gt;=EOMONTH($X53,-1)+1,$Y53,TRUE,0)</f>
        <v>0</v>
      </c>
      <c r="AD53" s="202" cm="1">
        <f t="array" ref="AD53">_xlfn.IFS(AD$3&lt;$B$2,SUMPRODUCT(('PA Fees Actual'!$B$5:$B$882=$E53)*('PA Fees Actual'!$A$5:$A$882&gt;=AD$3)*('PA Fees Actual'!$A$5:$A$882&lt;=EOMONTH(AD$3,0))*'PA Fees Actual'!$D$5:$D$882),AD$3&gt;=EOMONTH($X53,-1)+1,$Y53,TRUE,0)</f>
        <v>0</v>
      </c>
      <c r="AE53" s="202" cm="1">
        <f t="array" ref="AE53">_xlfn.IFS(AE$3&lt;$B$2,SUMPRODUCT(('PA Fees Actual'!$B$5:$B$882=$E53)*('PA Fees Actual'!$A$5:$A$882&gt;=AE$3)*('PA Fees Actual'!$A$5:$A$882&lt;=EOMONTH(AE$3,0))*'PA Fees Actual'!$D$5:$D$882),AE$3&gt;=EOMONTH($X53,-1)+1,$Y53,TRUE,0)</f>
        <v>0</v>
      </c>
      <c r="AF53" s="202" cm="1">
        <f t="array" ref="AF53">_xlfn.IFS(AF$3&lt;$B$2,SUMPRODUCT(('PA Fees Actual'!$B$5:$B$882=$E53)*('PA Fees Actual'!$A$5:$A$882&gt;=AF$3)*('PA Fees Actual'!$A$5:$A$882&lt;=EOMONTH(AF$3,0))*'PA Fees Actual'!$D$5:$D$882),AF$3&gt;=EOMONTH($X53,-1)+1,$Y53,TRUE,0)</f>
        <v>0</v>
      </c>
      <c r="AG53" s="202" cm="1">
        <f t="array" ref="AG53">_xlfn.IFS(AG$3&lt;$B$2,SUMPRODUCT(('PA Fees Actual'!$B$5:$B$882=$E53)*('PA Fees Actual'!$A$5:$A$882&gt;=AG$3)*('PA Fees Actual'!$A$5:$A$882&lt;=EOMONTH(AG$3,0))*'PA Fees Actual'!$D$5:$D$882),AG$3&gt;=EOMONTH($X53,-1)+1,$Y53,TRUE,0)</f>
        <v>0</v>
      </c>
      <c r="AH53" s="202" cm="1">
        <f t="array" ref="AH53">_xlfn.IFS(AH$3&lt;$B$2,SUMPRODUCT(('PA Fees Actual'!$B$5:$B$882=$E53)*('PA Fees Actual'!$A$5:$A$882&gt;=AH$3)*('PA Fees Actual'!$A$5:$A$882&lt;=EOMONTH(AH$3,0))*'PA Fees Actual'!$D$5:$D$882),AH$3&gt;=EOMONTH($X53,-1)+1,$Y53,TRUE,0)</f>
        <v>0</v>
      </c>
      <c r="AI53" s="202" cm="1">
        <f t="array" ref="AI53">_xlfn.IFS(AI$3&lt;$B$2,SUMPRODUCT(('PA Fees Actual'!$B$5:$B$882=$E53)*('PA Fees Actual'!$A$5:$A$882&gt;=AI$3)*('PA Fees Actual'!$A$5:$A$882&lt;=EOMONTH(AI$3,0))*'PA Fees Actual'!$D$5:$D$882),AI$3&gt;=EOMONTH($X53,-1)+1,$Y53,TRUE,0)</f>
        <v>0</v>
      </c>
      <c r="AJ53" s="202" cm="1">
        <f t="array" ref="AJ53">_xlfn.IFS(AJ$3&lt;$B$2,SUMPRODUCT(('PA Fees Actual'!$B$5:$B$882=$E53)*('PA Fees Actual'!$A$5:$A$882&gt;=AJ$3)*('PA Fees Actual'!$A$5:$A$882&lt;=EOMONTH(AJ$3,0))*'PA Fees Actual'!$D$5:$D$882),AJ$3&gt;=EOMONTH($X53,-1)+1,$Y53,TRUE,0)</f>
        <v>0</v>
      </c>
      <c r="AK53" s="202" cm="1">
        <f t="array" ref="AK53">_xlfn.IFS(AK$3&lt;$B$2,SUMPRODUCT(('PA Fees Actual'!$B$5:$B$882=$E53)*('PA Fees Actual'!$A$5:$A$882&gt;=AK$3)*('PA Fees Actual'!$A$5:$A$882&lt;=EOMONTH(AK$3,0))*'PA Fees Actual'!$D$5:$D$882),AK$3&gt;=EOMONTH($X53,-1)+1,$Y53,TRUE,0)</f>
        <v>0</v>
      </c>
      <c r="AL53" s="202" cm="1">
        <f t="array" ref="AL53">_xlfn.IFS(AL$3&lt;$B$2,SUMPRODUCT(('PA Fees Actual'!$B$5:$B$882=$E53)*('PA Fees Actual'!$A$5:$A$882&gt;=AL$3)*('PA Fees Actual'!$A$5:$A$882&lt;=EOMONTH(AL$3,0))*'PA Fees Actual'!$D$5:$D$882),AL$3&gt;=EOMONTH($X53,-1)+1,$Y53,TRUE,0)</f>
        <v>0</v>
      </c>
      <c r="AM53" s="202" cm="1">
        <f t="array" ref="AM53">_xlfn.IFS(AM$3&lt;$B$2,SUMPRODUCT(('PA Fees Actual'!$B$5:$B$882=$E53)*('PA Fees Actual'!$A$5:$A$882&gt;=AM$3)*('PA Fees Actual'!$A$5:$A$882&lt;=EOMONTH(AM$3,0))*'PA Fees Actual'!$D$5:$D$882),AM$3&gt;=EOMONTH($X53,-1)+1,$Y53,TRUE,0)</f>
        <v>0</v>
      </c>
      <c r="AN53" s="202" cm="1">
        <f t="array" ref="AN53">_xlfn.IFS(AN$3&lt;$B$2,SUMPRODUCT(('PA Fees Actual'!$B$5:$B$882=$E53)*('PA Fees Actual'!$A$5:$A$882&gt;=AN$3)*('PA Fees Actual'!$A$5:$A$882&lt;=EOMONTH(AN$3,0))*'PA Fees Actual'!$D$5:$D$882),AN$3&gt;=EOMONTH($X53,-1)+1,$Y53,TRUE,0)</f>
        <v>0</v>
      </c>
      <c r="AO53" s="202" cm="1">
        <f t="array" ref="AO53">_xlfn.IFS(AO$3&lt;$B$2,SUMPRODUCT(('PA Fees Actual'!$B$5:$B$882=$E53)*('PA Fees Actual'!$A$5:$A$882&gt;=AO$3)*('PA Fees Actual'!$A$5:$A$882&lt;=EOMONTH(AO$3,0))*'PA Fees Actual'!$D$5:$D$882),AO$3&gt;=EOMONTH($X53,-1)+1,$Y53,TRUE,0)</f>
        <v>0</v>
      </c>
      <c r="AP53" s="202" cm="1">
        <f t="array" ref="AP53">_xlfn.IFS(AP$3&lt;$B$2,SUMPRODUCT(('PA Fees Actual'!$B$5:$B$882=$E53)*('PA Fees Actual'!$A$5:$A$882&gt;=AP$3)*('PA Fees Actual'!$A$5:$A$882&lt;=EOMONTH(AP$3,0))*'PA Fees Actual'!$D$5:$D$882),AP$3&gt;=EOMONTH($X53,-1)+1,$Y53,TRUE,0)</f>
        <v>0</v>
      </c>
      <c r="AQ53" s="202" cm="1">
        <f t="array" ref="AQ53">_xlfn.IFS(AQ$3&lt;$B$2,SUMPRODUCT(('PA Fees Actual'!$B$5:$B$882=$E53)*('PA Fees Actual'!$A$5:$A$882&gt;=AQ$3)*('PA Fees Actual'!$A$5:$A$882&lt;=EOMONTH(AQ$3,0))*'PA Fees Actual'!$D$5:$D$882),AQ$3&gt;=EOMONTH($X53,-1)+1,$Y53,TRUE,0)</f>
        <v>0</v>
      </c>
      <c r="AR53" s="202" cm="1">
        <f t="array" ref="AR53">_xlfn.IFS(AR$3&lt;$B$2,SUMPRODUCT(('PA Fees Actual'!$B$5:$B$882=$E53)*('PA Fees Actual'!$A$5:$A$882&gt;=AR$3)*('PA Fees Actual'!$A$5:$A$882&lt;=EOMONTH(AR$3,0))*'PA Fees Actual'!$D$5:$D$882),AR$3&gt;=EOMONTH($X53,-1)+1,$Y53,TRUE,0)</f>
        <v>0</v>
      </c>
      <c r="AS53" s="202" cm="1">
        <f t="array" ref="AS53">_xlfn.IFS(AS$3&lt;$B$2,SUMPRODUCT(('PA Fees Actual'!$B$5:$B$882=$E53)*('PA Fees Actual'!$A$5:$A$882&gt;=AS$3)*('PA Fees Actual'!$A$5:$A$882&lt;=EOMONTH(AS$3,0))*'PA Fees Actual'!$D$5:$D$882),AS$3&gt;=EOMONTH($X53,-1)+1,$Y53,TRUE,0)</f>
        <v>0</v>
      </c>
      <c r="AT53" s="202" cm="1">
        <f t="array" ref="AT53">_xlfn.IFS(AT$3&lt;$B$2,SUMPRODUCT(('PA Fees Actual'!$B$5:$B$882=$E53)*('PA Fees Actual'!$A$5:$A$882&gt;=AT$3)*('PA Fees Actual'!$A$5:$A$882&lt;=EOMONTH(AT$3,0))*'PA Fees Actual'!$D$5:$D$882),AT$3&gt;=EOMONTH($X53,-1)+1,$Y53,TRUE,0)</f>
        <v>0</v>
      </c>
      <c r="AU53" s="202" cm="1">
        <f t="array" ref="AU53">_xlfn.IFS(AU$3&lt;$B$2,SUMPRODUCT(('PA Fees Actual'!$B$5:$B$882=$E53)*('PA Fees Actual'!$A$5:$A$882&gt;=AU$3)*('PA Fees Actual'!$A$5:$A$882&lt;=EOMONTH(AU$3,0))*'PA Fees Actual'!$D$5:$D$882),AU$3&gt;=EOMONTH($X53,-1)+1,$Y53,TRUE,0)</f>
        <v>0</v>
      </c>
      <c r="AV53" s="202" cm="1">
        <f t="array" ref="AV53">_xlfn.IFS(AV$3&lt;$B$2,SUMPRODUCT(('PA Fees Actual'!$B$5:$B$882=$E53)*('PA Fees Actual'!$A$5:$A$882&gt;=AV$3)*('PA Fees Actual'!$A$5:$A$882&lt;=EOMONTH(AV$3,0))*'PA Fees Actual'!$D$5:$D$882),AV$3&gt;=EOMONTH($X53,-1)+1,$Y53,TRUE,0)</f>
        <v>0</v>
      </c>
      <c r="AW53" s="202" cm="1">
        <f t="array" ref="AW53">_xlfn.IFS(AW$3&lt;$B$2,SUMPRODUCT(('PA Fees Actual'!$B$5:$B$882=$E53)*('PA Fees Actual'!$A$5:$A$882&gt;=AW$3)*('PA Fees Actual'!$A$5:$A$882&lt;=EOMONTH(AW$3,0))*'PA Fees Actual'!$D$5:$D$882),AW$3&gt;=EOMONTH($X53,-1)+1,$Y53,TRUE,0)</f>
        <v>0</v>
      </c>
      <c r="AX53" s="202" cm="1">
        <f t="array" ref="AX53">_xlfn.IFS(AX$3&lt;$B$2,SUMPRODUCT(('PA Fees Actual'!$B$5:$B$882=$E53)*('PA Fees Actual'!$A$5:$A$882&gt;=AX$3)*('PA Fees Actual'!$A$5:$A$882&lt;=EOMONTH(AX$3,0))*'PA Fees Actual'!$D$5:$D$882),AX$3&gt;=EOMONTH($X53,-1)+1,$Y53,TRUE,0)</f>
        <v>0</v>
      </c>
      <c r="AY53" s="202" cm="1">
        <f t="array" ref="AY53">_xlfn.IFS(AY$3&lt;$B$2,SUMPRODUCT(('PA Fees Actual'!$B$5:$B$882=$E53)*('PA Fees Actual'!$A$5:$A$882&gt;=AY$3)*('PA Fees Actual'!$A$5:$A$882&lt;=EOMONTH(AY$3,0))*'PA Fees Actual'!$D$5:$D$882),AY$3&gt;=EOMONTH($X53,-1)+1,$Y53,TRUE,0)</f>
        <v>0</v>
      </c>
      <c r="AZ53" s="202" cm="1">
        <f t="array" ref="AZ53">_xlfn.IFS(AZ$3&lt;$B$2,SUMPRODUCT(('PA Fees Actual'!$B$5:$B$882=$E53)*('PA Fees Actual'!$A$5:$A$882&gt;=AZ$3)*('PA Fees Actual'!$A$5:$A$882&lt;=EOMONTH(AZ$3,0))*'PA Fees Actual'!$D$5:$D$882),AZ$3&gt;=EOMONTH($X53,-1)+1,$Y53,TRUE,0)</f>
        <v>0</v>
      </c>
      <c r="BA53" s="202" cm="1">
        <f t="array" ref="BA53">_xlfn.IFS(BA$3&lt;$B$2,SUMPRODUCT(('PA Fees Actual'!$B$5:$B$882=$E53)*('PA Fees Actual'!$A$5:$A$882&gt;=BA$3)*('PA Fees Actual'!$A$5:$A$882&lt;=EOMONTH(BA$3,0))*'PA Fees Actual'!$D$5:$D$882),BA$3&gt;=EOMONTH($X53,-1)+1,$Y53,TRUE,0)</f>
        <v>0</v>
      </c>
      <c r="BB53" s="202" cm="1">
        <f t="array" ref="BB53">_xlfn.IFS(BB$3&lt;$B$2,SUMPRODUCT(('PA Fees Actual'!$B$5:$B$882=$E53)*('PA Fees Actual'!$A$5:$A$882&gt;=BB$3)*('PA Fees Actual'!$A$5:$A$882&lt;=EOMONTH(BB$3,0))*'PA Fees Actual'!$D$5:$D$882),BB$3&gt;=EOMONTH($X53,-1)+1,$Y53,TRUE,0)</f>
        <v>0</v>
      </c>
      <c r="BC53" s="202" cm="1">
        <f t="array" ref="BC53">_xlfn.IFS(BC$3&lt;$B$2,SUMPRODUCT(('PA Fees Actual'!$B$5:$B$882=$E53)*('PA Fees Actual'!$A$5:$A$882&gt;=BC$3)*('PA Fees Actual'!$A$5:$A$882&lt;=EOMONTH(BC$3,0))*'PA Fees Actual'!$D$5:$D$882),BC$3&gt;=EOMONTH($X53,-1)+1,$Y53,TRUE,0)</f>
        <v>0</v>
      </c>
      <c r="BD53" s="202" cm="1">
        <f t="array" ref="BD53">_xlfn.IFS(BD$3&lt;$B$2,SUMPRODUCT(('PA Fees Actual'!$B$5:$B$882=$E53)*('PA Fees Actual'!$A$5:$A$882&gt;=BD$3)*('PA Fees Actual'!$A$5:$A$882&lt;=EOMONTH(BD$3,0))*'PA Fees Actual'!$D$5:$D$882),BD$3&gt;=EOMONTH($X53,-1)+1,$Y53,TRUE,0)</f>
        <v>0</v>
      </c>
      <c r="BE53" s="202" cm="1">
        <f t="array" ref="BE53">_xlfn.IFS(BE$3&lt;$B$2,SUMPRODUCT(('PA Fees Actual'!$B$5:$B$882=$E53)*('PA Fees Actual'!$A$5:$A$882&gt;=BE$3)*('PA Fees Actual'!$A$5:$A$882&lt;=EOMONTH(BE$3,0))*'PA Fees Actual'!$D$5:$D$882),BE$3&gt;=EOMONTH($X53,-1)+1,$Y53,TRUE,0)</f>
        <v>0</v>
      </c>
      <c r="BF53" s="202" cm="1">
        <f t="array" ref="BF53">_xlfn.IFS(BF$3&lt;$B$2,SUMPRODUCT(('PA Fees Actual'!$B$5:$B$882=$E53)*('PA Fees Actual'!$A$5:$A$882&gt;=BF$3)*('PA Fees Actual'!$A$5:$A$882&lt;=EOMONTH(BF$3,0))*'PA Fees Actual'!$D$5:$D$882),BF$3&gt;=EOMONTH($X53,-1)+1,$Y53,TRUE,0)</f>
        <v>0</v>
      </c>
      <c r="BG53" s="202" cm="1">
        <f t="array" ref="BG53">_xlfn.IFS(BG$3&lt;$B$2,SUMPRODUCT(('PA Fees Actual'!$B$5:$B$882=$E53)*('PA Fees Actual'!$A$5:$A$882&gt;=BG$3)*('PA Fees Actual'!$A$5:$A$882&lt;=EOMONTH(BG$3,0))*'PA Fees Actual'!$D$5:$D$882),BG$3&gt;=EOMONTH($X53,-1)+1,$Y53,TRUE,0)</f>
        <v>0</v>
      </c>
      <c r="BH53" s="202" cm="1">
        <f t="array" ref="BH53">_xlfn.IFS(BH$3&lt;$B$2,SUMPRODUCT(('PA Fees Actual'!$B$5:$B$882=$E53)*('PA Fees Actual'!$A$5:$A$882&gt;=BH$3)*('PA Fees Actual'!$A$5:$A$882&lt;=EOMONTH(BH$3,0))*'PA Fees Actual'!$D$5:$D$882),BH$3&gt;=EOMONTH($X53,-1)+1,$Y53,TRUE,0)</f>
        <v>0</v>
      </c>
      <c r="BI53" s="202" cm="1">
        <f t="array" ref="BI53">_xlfn.IFS(BI$3&lt;$B$2,SUMPRODUCT(('PA Fees Actual'!$B$5:$B$882=$E53)*('PA Fees Actual'!$A$5:$A$882&gt;=BI$3)*('PA Fees Actual'!$A$5:$A$882&lt;=EOMONTH(BI$3,0))*'PA Fees Actual'!$D$5:$D$882),BI$3&gt;=EOMONTH($X53,-1)+1,$Y53,TRUE,0)</f>
        <v>0</v>
      </c>
      <c r="BJ53" s="202" cm="1">
        <f t="array" ref="BJ53">_xlfn.IFS(BJ$3&lt;$B$2,SUMPRODUCT(('PA Fees Actual'!$B$5:$B$882=$E53)*('PA Fees Actual'!$A$5:$A$882&gt;=BJ$3)*('PA Fees Actual'!$A$5:$A$882&lt;=EOMONTH(BJ$3,0))*'PA Fees Actual'!$D$5:$D$882),BJ$3&gt;=EOMONTH($X53,-1)+1,$Y53,TRUE,0)</f>
        <v>0</v>
      </c>
      <c r="BK53" s="202" cm="1">
        <f t="array" ref="BK53">_xlfn.IFS(BK$3&lt;$B$2,SUMPRODUCT(('PA Fees Actual'!$B$5:$B$882=$E53)*('PA Fees Actual'!$A$5:$A$882&gt;=BK$3)*('PA Fees Actual'!$A$5:$A$882&lt;=EOMONTH(BK$3,0))*'PA Fees Actual'!$D$5:$D$882),BK$3&gt;=EOMONTH($X53,-1)+1,$Y53,TRUE,0)</f>
        <v>0</v>
      </c>
      <c r="BL53" s="202" cm="1">
        <f t="array" ref="BL53">_xlfn.IFS(BL$3&lt;$B$2,SUMPRODUCT(('PA Fees Actual'!$B$5:$B$882=$E53)*('PA Fees Actual'!$A$5:$A$882&gt;=BL$3)*('PA Fees Actual'!$A$5:$A$882&lt;=EOMONTH(BL$3,0))*'PA Fees Actual'!$D$5:$D$882),BL$3&gt;=EOMONTH($X53,-1)+1,$Y53,TRUE,0)</f>
        <v>0</v>
      </c>
      <c r="BM53" s="202" cm="1">
        <f t="array" ref="BM53">_xlfn.IFS(BM$3&lt;$B$2,SUMPRODUCT(('PA Fees Actual'!$B$5:$B$882=$E53)*('PA Fees Actual'!$A$5:$A$882&gt;=BM$3)*('PA Fees Actual'!$A$5:$A$882&lt;=EOMONTH(BM$3,0))*'PA Fees Actual'!$D$5:$D$882),BM$3&gt;=EOMONTH($X53,-1)+1,$Y53,TRUE,0)</f>
        <v>0</v>
      </c>
      <c r="BN53" s="202" cm="1">
        <f t="array" ref="BN53">_xlfn.IFS(BN$3&lt;$B$2,SUMPRODUCT(('PA Fees Actual'!$B$5:$B$882=$E53)*('PA Fees Actual'!$A$5:$A$882&gt;=BN$3)*('PA Fees Actual'!$A$5:$A$882&lt;=EOMONTH(BN$3,0))*'PA Fees Actual'!$D$5:$D$882),BN$3&gt;=EOMONTH($X53,-1)+1,$Y53,TRUE,0)</f>
        <v>0</v>
      </c>
      <c r="BO53" s="202" cm="1">
        <f t="array" ref="BO53">_xlfn.IFS(BO$3&lt;$B$2,SUMPRODUCT(('PA Fees Actual'!$B$5:$B$882=$E53)*('PA Fees Actual'!$A$5:$A$882&gt;=BO$3)*('PA Fees Actual'!$A$5:$A$882&lt;=EOMONTH(BO$3,0))*'PA Fees Actual'!$D$5:$D$882),BO$3&gt;=EOMONTH($X53,-1)+1,$Y53,TRUE,0)</f>
        <v>0</v>
      </c>
      <c r="BP53" s="202" cm="1">
        <f t="array" ref="BP53">_xlfn.IFS(BP$3&lt;$B$2,SUMPRODUCT(('PA Fees Actual'!$B$5:$B$882=$E53)*('PA Fees Actual'!$A$5:$A$882&gt;=BP$3)*('PA Fees Actual'!$A$5:$A$882&lt;=EOMONTH(BP$3,0))*'PA Fees Actual'!$D$5:$D$882),BP$3&gt;=EOMONTH($X53,-1)+1,$Y53,TRUE,0)</f>
        <v>0</v>
      </c>
      <c r="BQ53" s="202" cm="1">
        <f t="array" ref="BQ53">_xlfn.IFS(BQ$3&lt;$B$2,SUMPRODUCT(('PA Fees Actual'!$B$5:$B$882=$E53)*('PA Fees Actual'!$A$5:$A$882&gt;=BQ$3)*('PA Fees Actual'!$A$5:$A$882&lt;=EOMONTH(BQ$3,0))*'PA Fees Actual'!$D$5:$D$882),BQ$3&gt;=EOMONTH($X53,-1)+1,$Y53,TRUE,0)</f>
        <v>0</v>
      </c>
      <c r="BR53" s="202" cm="1">
        <f t="array" ref="BR53">_xlfn.IFS(BR$3&lt;$B$2,SUMPRODUCT(('PA Fees Actual'!$B$5:$B$882=$E53)*('PA Fees Actual'!$A$5:$A$882&gt;=BR$3)*('PA Fees Actual'!$A$5:$A$882&lt;=EOMONTH(BR$3,0))*'PA Fees Actual'!$D$5:$D$882),BR$3&gt;=EOMONTH($X53,-1)+1,$Y53,TRUE,0)</f>
        <v>0</v>
      </c>
      <c r="BS53" s="202" cm="1">
        <f t="array" ref="BS53">_xlfn.IFS(BS$3&lt;$B$2,SUMPRODUCT(('PA Fees Actual'!$B$5:$B$882=$E53)*('PA Fees Actual'!$A$5:$A$882&gt;=BS$3)*('PA Fees Actual'!$A$5:$A$882&lt;=EOMONTH(BS$3,0))*'PA Fees Actual'!$D$5:$D$882),BS$3&gt;=EOMONTH($X53,-1)+1,$Y53,TRUE,0)</f>
        <v>0</v>
      </c>
      <c r="BT53" s="202" cm="1">
        <f t="array" ref="BT53">_xlfn.IFS(BT$3&lt;$B$2,SUMPRODUCT(('PA Fees Actual'!$B$5:$B$882=$E53)*('PA Fees Actual'!$A$5:$A$882&gt;=BT$3)*('PA Fees Actual'!$A$5:$A$882&lt;=EOMONTH(BT$3,0))*'PA Fees Actual'!$D$5:$D$882),BT$3&gt;=EOMONTH($X53,-1)+1,$Y53,TRUE,0)</f>
        <v>0</v>
      </c>
      <c r="BU53" s="202" cm="1">
        <f t="array" ref="BU53">_xlfn.IFS(BU$3&lt;$B$2,SUMPRODUCT(('PA Fees Actual'!$B$5:$B$882=$E53)*('PA Fees Actual'!$A$5:$A$882&gt;=BU$3)*('PA Fees Actual'!$A$5:$A$882&lt;=EOMONTH(BU$3,0))*'PA Fees Actual'!$D$5:$D$882),BU$3&gt;=EOMONTH($X53,-1)+1,$Y53,TRUE,0)</f>
        <v>0</v>
      </c>
      <c r="BV53" s="202" cm="1">
        <f t="array" ref="BV53">_xlfn.IFS(BV$3&lt;$B$2,SUMPRODUCT(('PA Fees Actual'!$B$5:$B$882=$E53)*('PA Fees Actual'!$A$5:$A$882&gt;=BV$3)*('PA Fees Actual'!$A$5:$A$882&lt;=EOMONTH(BV$3,0))*'PA Fees Actual'!$D$5:$D$882),BV$3&gt;=EOMONTH($X53,-1)+1,$Y53,TRUE,0)</f>
        <v>13.13</v>
      </c>
      <c r="BW53" s="202" cm="1">
        <f t="array" ref="BW53">_xlfn.IFS(BW$3&lt;$B$2,SUMPRODUCT(('PA Fees Actual'!$B$5:$B$882=$E53)*('PA Fees Actual'!$A$5:$A$882&gt;=BW$3)*('PA Fees Actual'!$A$5:$A$882&lt;=EOMONTH(BW$3,0))*'PA Fees Actual'!$D$5:$D$882),BW$3&gt;=EOMONTH($X53,-1)+1,$Y53,TRUE,0)</f>
        <v>49.89</v>
      </c>
      <c r="BX53" s="202" cm="1">
        <f t="array" ref="BX53">_xlfn.IFS(BX$3&lt;$B$2,SUMPRODUCT(('PA Fees Actual'!$B$5:$B$882=$E53)*('PA Fees Actual'!$A$5:$A$882&gt;=BX$3)*('PA Fees Actual'!$A$5:$A$882&lt;=EOMONTH(BX$3,0))*'PA Fees Actual'!$D$5:$D$882),BX$3&gt;=EOMONTH($X53,-1)+1,$Y53,TRUE,0)</f>
        <v>1925.56</v>
      </c>
      <c r="BY53" s="202" cm="1">
        <f t="array" ref="BY53">_xlfn.IFS(BY$3&lt;$B$2,SUMPRODUCT(('PA Fees Actual'!$B$5:$B$882=$E53)*('PA Fees Actual'!$A$5:$A$882&gt;=BY$3)*('PA Fees Actual'!$A$5:$A$882&lt;=EOMONTH(BY$3,0))*'PA Fees Actual'!$D$5:$D$882),BY$3&gt;=EOMONTH($X53,-1)+1,$Y53,TRUE,0)</f>
        <v>197.23</v>
      </c>
      <c r="BZ53" s="202" cm="1">
        <f t="array" ref="BZ53">_xlfn.IFS(BZ$3&lt;$B$2,SUMPRODUCT(('PA Fees Actual'!$B$5:$B$882=$E53)*('PA Fees Actual'!$A$5:$A$882&gt;=BZ$3)*('PA Fees Actual'!$A$5:$A$882&lt;=EOMONTH(BZ$3,0))*'PA Fees Actual'!$D$5:$D$882),BZ$3&gt;=EOMONTH($X53,-1)+1,$Y53,TRUE,0)</f>
        <v>6837.82</v>
      </c>
      <c r="CA53" s="202" cm="1">
        <f t="array" ref="CA53">_xlfn.IFS(CA$3&lt;$B$2,SUMPRODUCT(('PA Fees Actual'!$B$5:$B$882=$E53)*('PA Fees Actual'!$A$5:$A$882&gt;=CA$3)*('PA Fees Actual'!$A$5:$A$882&lt;=EOMONTH(CA$3,0))*'PA Fees Actual'!$D$5:$D$882),CA$3&gt;=EOMONTH($X53,-1)+1,$Y53,TRUE,0)</f>
        <v>2282.2800000000002</v>
      </c>
      <c r="CB53" s="202" cm="1">
        <f t="array" ref="CB53">_xlfn.IFS(CB$3&lt;$B$2,SUMPRODUCT(('PA Fees Actual'!$B$5:$B$882=$E53)*('PA Fees Actual'!$A$5:$A$882&gt;=CB$3)*('PA Fees Actual'!$A$5:$A$882&lt;=EOMONTH(CB$3,0))*'PA Fees Actual'!$D$5:$D$882),CB$3&gt;=EOMONTH($X53,-1)+1,$Y53,TRUE,0)</f>
        <v>2145.8249999999998</v>
      </c>
      <c r="CC53" s="202" cm="1">
        <f t="array" ref="CC53">_xlfn.IFS(CC$3&lt;$B$2,SUMPRODUCT(('PA Fees Actual'!$B$5:$B$882=$E53)*('PA Fees Actual'!$A$5:$A$882&gt;=CC$3)*('PA Fees Actual'!$A$5:$A$882&lt;=EOMONTH(CC$3,0))*'PA Fees Actual'!$D$5:$D$882),CC$3&gt;=EOMONTH($X53,-1)+1,$Y53,TRUE,0)</f>
        <v>2145.8249999999998</v>
      </c>
      <c r="CD53" s="202" cm="1">
        <f t="array" ref="CD53">_xlfn.IFS(CD$3&lt;$B$2,SUMPRODUCT(('PA Fees Actual'!$B$5:$B$882=$E53)*('PA Fees Actual'!$A$5:$A$882&gt;=CD$3)*('PA Fees Actual'!$A$5:$A$882&lt;=EOMONTH(CD$3,0))*'PA Fees Actual'!$D$5:$D$882),CD$3&gt;=EOMONTH($X53,-1)+1,$Y53,TRUE,0)</f>
        <v>2145.8249999999998</v>
      </c>
      <c r="CE53" s="202" cm="1">
        <f t="array" ref="CE53">_xlfn.IFS(CE$3&lt;$B$2,SUMPRODUCT(('PA Fees Actual'!$B$5:$B$882=$E53)*('PA Fees Actual'!$A$5:$A$882&gt;=CE$3)*('PA Fees Actual'!$A$5:$A$882&lt;=EOMONTH(CE$3,0))*'PA Fees Actual'!$D$5:$D$882),CE$3&gt;=EOMONTH($X53,-1)+1,$Y53,TRUE,0)</f>
        <v>2145.8249999999998</v>
      </c>
      <c r="CF53" s="202" cm="1">
        <f t="array" ref="CF53">_xlfn.IFS(CF$3&lt;$B$2,SUMPRODUCT(('PA Fees Actual'!$B$5:$B$882=$E53)*('PA Fees Actual'!$A$5:$A$882&gt;=CF$3)*('PA Fees Actual'!$A$5:$A$882&lt;=EOMONTH(CF$3,0))*'PA Fees Actual'!$D$5:$D$882),CF$3&gt;=EOMONTH($X53,-1)+1,$Y53,TRUE,0)</f>
        <v>2145.8249999999998</v>
      </c>
      <c r="CG53" s="202" cm="1">
        <f t="array" ref="CG53">_xlfn.IFS(CG$3&lt;$B$2,SUMPRODUCT(('PA Fees Actual'!$B$5:$B$882=$E53)*('PA Fees Actual'!$A$5:$A$882&gt;=CG$3)*('PA Fees Actual'!$A$5:$A$882&lt;=EOMONTH(CG$3,0))*'PA Fees Actual'!$D$5:$D$882),CG$3&gt;=EOMONTH($X53,-1)+1,$Y53,TRUE,0)</f>
        <v>2145.8249999999998</v>
      </c>
      <c r="CI53" s="202" cm="1">
        <f t="array" ref="CI53">_xlfn.IFS(CI$3&lt;=YEAR($B$2),SUMPRODUCT(($E$4:$E$79=$E53)*($Z$2:$CG$2=CI$3)*($Z$2:$CG$2&lt;CJ$3)*$Z$4:$CG$79),CI$3&lt;YEAR($X53),0,CI$3=YEAR($X53),DATEDIF($X53,DATE(CI$3,12,31),"m")*$Y53,AND(CI$3&gt;YEAR($X53),CI$3-YEAR($X53)&lt;20),$Y53*12,CI$3-YEAR($X53)=20,DATEDIF(DATE(YEAR($X53),1,1),$X53,"m")*$Y53,CI$3-YEAR($X53)&gt;20,0)</f>
        <v>0</v>
      </c>
      <c r="CJ53" s="202" cm="1">
        <f t="array" ref="CJ53">_xlfn.IFS(CJ$3&lt;=YEAR($B$2),SUMPRODUCT(($E$4:$E$79=$E53)*($Z$2:$CG$2=CJ$3)*($Z$2:$CG$2&lt;CK$3)*$Z$4:$CG$79),CJ$3&lt;YEAR($X53),0,CJ$3=YEAR($X53),DATEDIF($X53,DATE(CJ$3,12,31),"m")*$Y53,AND(CJ$3&gt;YEAR($X53),CJ$3-YEAR($X53)&lt;20),$Y53*12,CJ$3-YEAR($X53)=20,DATEDIF(DATE(YEAR($X53),1,1),$X53,"m")*$Y53,CJ$3-YEAR($X53)&gt;20,0)</f>
        <v>0</v>
      </c>
      <c r="CK53" s="202" cm="1">
        <f t="array" ref="CK53">_xlfn.IFS(CK$3&lt;=YEAR($B$2),SUMPRODUCT(($E$4:$E$79=$E53)*($Z$2:$CG$2=CK$3)*($Z$2:$CG$2&lt;CL$3)*$Z$4:$CG$79),CK$3&lt;YEAR($X53),0,CK$3=YEAR($X53),DATEDIF($X53,DATE(CK$3,12,31),"m")*$Y53,AND(CK$3&gt;YEAR($X53),CK$3-YEAR($X53)&lt;20),$Y53*12,CK$3-YEAR($X53)=20,DATEDIF(DATE(YEAR($X53),1,1),$X53,"m")*$Y53,CK$3-YEAR($X53)&gt;20,0)</f>
        <v>0</v>
      </c>
      <c r="CL53" s="202" cm="1">
        <f t="array" ref="CL53">_xlfn.IFS(CL$3&lt;=YEAR($B$2),SUMPRODUCT(($E$4:$E$79=$E53)*($Z$2:$CG$2=CL$3)*($Z$2:$CG$2&lt;CM$3)*$Z$4:$CG$79),CL$3&lt;YEAR($X53),0,CL$3=YEAR($X53),DATEDIF($X53,DATE(CL$3,12,31),"m")*$Y53,AND(CL$3&gt;YEAR($X53),CL$3-YEAR($X53)&lt;20),$Y53*12,CL$3-YEAR($X53)=20,DATEDIF(DATE(YEAR($X53),1,1),$X53,"m")*$Y53,CL$3-YEAR($X53)&gt;20,0)</f>
        <v>0</v>
      </c>
      <c r="CM53" s="202" cm="1">
        <f t="array" ref="CM53">_xlfn.IFS(CM$3&lt;=YEAR($B$2),SUMPRODUCT(($E$4:$E$79=$E53)*($Z$2:$CG$2=CM$3)*($Z$2:$CG$2&lt;CN$3)*$Z$4:$CG$79),CM$3&lt;YEAR($X53),0,CM$3=YEAR($X53),DATEDIF($X53,DATE(CM$3,12,31),"m")*$Y53,AND(CM$3&gt;YEAR($X53),CM$3-YEAR($X53)&lt;20),$Y53*12,CM$3-YEAR($X53)=20,DATEDIF(DATE(YEAR($X53),1,1),$X53,"m")*$Y53,CM$3-YEAR($X53)&gt;20,0)</f>
        <v>24180.860000000004</v>
      </c>
      <c r="CN53" s="202" cm="1">
        <f t="array" ref="CN53">_xlfn.IFS(CN$3&lt;=YEAR($B$2),SUMPRODUCT(($E$4:$E$79=$E53)*($Z$2:$CG$2=CN$3)*($Z$2:$CG$2&lt;CO$3)*$Z$4:$CG$79),CN$3&lt;YEAR($X53),0,CN$3=YEAR($X53),DATEDIF($X53,DATE(CN$3,12,31),"m")*$Y53,AND(CN$3&gt;YEAR($X53),CN$3-YEAR($X53)&lt;20),$Y53*12,CN$3-YEAR($X53)=20,DATEDIF(DATE(YEAR($X53),1,1),$X53,"m")*$Y53,CN$3-YEAR($X53)&gt;20,0)</f>
        <v>25749.899999999998</v>
      </c>
      <c r="CO53" s="202" cm="1">
        <f t="array" ref="CO53">_xlfn.IFS(CO$3&lt;=YEAR($B$2),SUMPRODUCT(($E$4:$E$79=$E53)*($Z$2:$CG$2=CO$3)*($Z$2:$CG$2&lt;CP$3)*$Z$4:$CG$79),CO$3&lt;YEAR($X53),0,CO$3=YEAR($X53),DATEDIF($X53,DATE(CO$3,12,31),"m")*$Y53,AND(CO$3&gt;YEAR($X53),CO$3-YEAR($X53)&lt;20),$Y53*12,CO$3-YEAR($X53)=20,DATEDIF(DATE(YEAR($X53),1,1),$X53,"m")*$Y53,CO$3-YEAR($X53)&gt;20,0)</f>
        <v>25749.899999999998</v>
      </c>
      <c r="CP53" s="202" cm="1">
        <f t="array" ref="CP53">_xlfn.IFS(CP$3&lt;=YEAR($B$2),SUMPRODUCT(($E$4:$E$79=$E53)*($Z$2:$CG$2=CP$3)*($Z$2:$CG$2&lt;CQ$3)*$Z$4:$CG$79),CP$3&lt;YEAR($X53),0,CP$3=YEAR($X53),DATEDIF($X53,DATE(CP$3,12,31),"m")*$Y53,AND(CP$3&gt;YEAR($X53),CP$3-YEAR($X53)&lt;20),$Y53*12,CP$3-YEAR($X53)=20,DATEDIF(DATE(YEAR($X53),1,1),$X53,"m")*$Y53,CP$3-YEAR($X53)&gt;20,0)</f>
        <v>25749.899999999998</v>
      </c>
      <c r="CQ53" s="202" cm="1">
        <f t="array" ref="CQ53">_xlfn.IFS(CQ$3&lt;=YEAR($B$2),SUMPRODUCT(($E$4:$E$79=$E53)*($Z$2:$CG$2=CQ$3)*($Z$2:$CG$2&lt;CR$3)*$Z$4:$CG$79),CQ$3&lt;YEAR($X53),0,CQ$3=YEAR($X53),DATEDIF($X53,DATE(CQ$3,12,31),"m")*$Y53,AND(CQ$3&gt;YEAR($X53),CQ$3-YEAR($X53)&lt;20),$Y53*12,CQ$3-YEAR($X53)=20,DATEDIF(DATE(YEAR($X53),1,1),$X53,"m")*$Y53,CQ$3-YEAR($X53)&gt;20,0)</f>
        <v>25749.899999999998</v>
      </c>
      <c r="CR53" s="202" cm="1">
        <f t="array" ref="CR53">_xlfn.IFS(CR$3&lt;=YEAR($B$2),SUMPRODUCT(($E$4:$E$79=$E53)*($Z$2:$CG$2=CR$3)*($Z$2:$CG$2&lt;CS$3)*$Z$4:$CG$79),CR$3&lt;YEAR($X53),0,CR$3=YEAR($X53),DATEDIF($X53,DATE(CR$3,12,31),"m")*$Y53,AND(CR$3&gt;YEAR($X53),CR$3-YEAR($X53)&lt;20),$Y53*12,CR$3-YEAR($X53)=20,DATEDIF(DATE(YEAR($X53),1,1),$X53,"m")*$Y53,CR$3-YEAR($X53)&gt;20,0)</f>
        <v>25749.899999999998</v>
      </c>
      <c r="CS53" s="202" cm="1">
        <f t="array" ref="CS53">_xlfn.IFS(CS$3&lt;=YEAR($B$2),SUMPRODUCT(($E$4:$E$79=$E53)*($Z$2:$CG$2=CS$3)*($Z$2:$CG$2&lt;CT$3)*$Z$4:$CG$79),CS$3&lt;YEAR($X53),0,CS$3=YEAR($X53),DATEDIF($X53,DATE(CS$3,12,31),"m")*$Y53,AND(CS$3&gt;YEAR($X53),CS$3-YEAR($X53)&lt;20),$Y53*12,CS$3-YEAR($X53)=20,DATEDIF(DATE(YEAR($X53),1,1),$X53,"m")*$Y53,CS$3-YEAR($X53)&gt;20,0)</f>
        <v>25749.899999999998</v>
      </c>
      <c r="CT53" s="202" cm="1">
        <f t="array" ref="CT53">_xlfn.IFS(CT$3&lt;=YEAR($B$2),SUMPRODUCT(($E$4:$E$79=$E53)*($Z$2:$CG$2=CT$3)*($Z$2:$CG$2&lt;CU$3)*$Z$4:$CG$79),CT$3&lt;YEAR($X53),0,CT$3=YEAR($X53),DATEDIF($X53,DATE(CT$3,12,31),"m")*$Y53,AND(CT$3&gt;YEAR($X53),CT$3-YEAR($X53)&lt;20),$Y53*12,CT$3-YEAR($X53)=20,DATEDIF(DATE(YEAR($X53),1,1),$X53,"m")*$Y53,CT$3-YEAR($X53)&gt;20,0)</f>
        <v>25749.899999999998</v>
      </c>
      <c r="CU53" s="202" cm="1">
        <f t="array" ref="CU53">_xlfn.IFS(CU$3&lt;=YEAR($B$2),SUMPRODUCT(($E$4:$E$79=$E53)*($Z$2:$CG$2=CU$3)*($Z$2:$CG$2&lt;CV$3)*$Z$4:$CG$79),CU$3&lt;YEAR($X53),0,CU$3=YEAR($X53),DATEDIF($X53,DATE(CU$3,12,31),"m")*$Y53,AND(CU$3&gt;YEAR($X53),CU$3-YEAR($X53)&lt;20),$Y53*12,CU$3-YEAR($X53)=20,DATEDIF(DATE(YEAR($X53),1,1),$X53,"m")*$Y53,CU$3-YEAR($X53)&gt;20,0)</f>
        <v>25749.899999999998</v>
      </c>
      <c r="CV53" s="202" cm="1">
        <f t="array" ref="CV53">_xlfn.IFS(CV$3&lt;=YEAR($B$2),SUMPRODUCT(($E$4:$E$79=$E53)*($Z$2:$CG$2=CV$3)*($Z$2:$CG$2&lt;CW$3)*$Z$4:$CG$79),CV$3&lt;YEAR($X53),0,CV$3=YEAR($X53),DATEDIF($X53,DATE(CV$3,12,31),"m")*$Y53,AND(CV$3&gt;YEAR($X53),CV$3-YEAR($X53)&lt;20),$Y53*12,CV$3-YEAR($X53)=20,DATEDIF(DATE(YEAR($X53),1,1),$X53,"m")*$Y53,CV$3-YEAR($X53)&gt;20,0)</f>
        <v>25749.899999999998</v>
      </c>
      <c r="CW53" s="202" cm="1">
        <f t="array" ref="CW53">_xlfn.IFS(CW$3&lt;=YEAR($B$2),SUMPRODUCT(($E$4:$E$79=$E53)*($Z$2:$CG$2=CW$3)*($Z$2:$CG$2&lt;CX$3)*$Z$4:$CG$79),CW$3&lt;YEAR($X53),0,CW$3=YEAR($X53),DATEDIF($X53,DATE(CW$3,12,31),"m")*$Y53,AND(CW$3&gt;YEAR($X53),CW$3-YEAR($X53)&lt;20),$Y53*12,CW$3-YEAR($X53)=20,DATEDIF(DATE(YEAR($X53),1,1),$X53,"m")*$Y53,CW$3-YEAR($X53)&gt;20,0)</f>
        <v>25749.899999999998</v>
      </c>
      <c r="CX53" s="202" cm="1">
        <f t="array" ref="CX53">_xlfn.IFS(CX$3&lt;=YEAR($B$2),SUMPRODUCT(($E$4:$E$79=$E53)*($Z$2:$CG$2=CX$3)*($Z$2:$CG$2&lt;CY$3)*$Z$4:$CG$79),CX$3&lt;YEAR($X53),0,CX$3=YEAR($X53),DATEDIF($X53,DATE(CX$3,12,31),"m")*$Y53,AND(CX$3&gt;YEAR($X53),CX$3-YEAR($X53)&lt;20),$Y53*12,CX$3-YEAR($X53)=20,DATEDIF(DATE(YEAR($X53),1,1),$X53,"m")*$Y53,CX$3-YEAR($X53)&gt;20,0)</f>
        <v>25749.899999999998</v>
      </c>
      <c r="CY53" s="202" cm="1">
        <f t="array" ref="CY53">_xlfn.IFS(CY$3&lt;=YEAR($B$2),SUMPRODUCT(($E$4:$E$79=$E53)*($Z$2:$CG$2=CY$3)*($Z$2:$CG$2&lt;CZ$3)*$Z$4:$CG$79),CY$3&lt;YEAR($X53),0,CY$3=YEAR($X53),DATEDIF($X53,DATE(CY$3,12,31),"m")*$Y53,AND(CY$3&gt;YEAR($X53),CY$3-YEAR($X53)&lt;20),$Y53*12,CY$3-YEAR($X53)=20,DATEDIF(DATE(YEAR($X53),1,1),$X53,"m")*$Y53,CY$3-YEAR($X53)&gt;20,0)</f>
        <v>25749.899999999998</v>
      </c>
      <c r="CZ53" s="202" cm="1">
        <f t="array" ref="CZ53">_xlfn.IFS(CZ$3&lt;=YEAR($B$2),SUMPRODUCT(($E$4:$E$79=$E53)*($Z$2:$CG$2=CZ$3)*($Z$2:$CG$2&lt;DA$3)*$Z$4:$CG$79),CZ$3&lt;YEAR($X53),0,CZ$3=YEAR($X53),DATEDIF($X53,DATE(CZ$3,12,31),"m")*$Y53,AND(CZ$3&gt;YEAR($X53),CZ$3-YEAR($X53)&lt;20),$Y53*12,CZ$3-YEAR($X53)=20,DATEDIF(DATE(YEAR($X53),1,1),$X53,"m")*$Y53,CZ$3-YEAR($X53)&gt;20,0)</f>
        <v>25749.899999999998</v>
      </c>
      <c r="DA53" s="202" cm="1">
        <f t="array" ref="DA53">_xlfn.IFS(DA$3&lt;=YEAR($B$2),SUMPRODUCT(($E$4:$E$79=$E53)*($Z$2:$CG$2=DA$3)*($Z$2:$CG$2&lt;DB$3)*$Z$4:$CG$79),DA$3&lt;YEAR($X53),0,DA$3=YEAR($X53),DATEDIF($X53,DATE(DA$3,12,31),"m")*$Y53,AND(DA$3&gt;YEAR($X53),DA$3-YEAR($X53)&lt;20),$Y53*12,DA$3-YEAR($X53)=20,DATEDIF(DATE(YEAR($X53),1,1),$X53,"m")*$Y53,DA$3-YEAR($X53)&gt;20,0)</f>
        <v>25749.899999999998</v>
      </c>
      <c r="DB53" s="202" cm="1">
        <f t="array" ref="DB53">_xlfn.IFS(DB$3&lt;=YEAR($B$2),SUMPRODUCT(($E$4:$E$79=$E53)*($Z$2:$CG$2=DB$3)*($Z$2:$CG$2&lt;DC$3)*$Z$4:$CG$79),DB$3&lt;YEAR($X53),0,DB$3=YEAR($X53),DATEDIF($X53,DATE(DB$3,12,31),"m")*$Y53,AND(DB$3&gt;YEAR($X53),DB$3-YEAR($X53)&lt;20),$Y53*12,DB$3-YEAR($X53)=20,DATEDIF(DATE(YEAR($X53),1,1),$X53,"m")*$Y53,DB$3-YEAR($X53)&gt;20,0)</f>
        <v>25749.899999999998</v>
      </c>
      <c r="DC53" s="202" cm="1">
        <f t="array" ref="DC53">_xlfn.IFS(DC$3&lt;=YEAR($B$2),SUMPRODUCT(($E$4:$E$79=$E53)*($Z$2:$CG$2=DC$3)*($Z$2:$CG$2&lt;DD$3)*$Z$4:$CG$79),DC$3&lt;YEAR($X53),0,DC$3=YEAR($X53),DATEDIF($X53,DATE(DC$3,12,31),"m")*$Y53,AND(DC$3&gt;YEAR($X53),DC$3-YEAR($X53)&lt;20),$Y53*12,DC$3-YEAR($X53)=20,DATEDIF(DATE(YEAR($X53),1,1),$X53,"m")*$Y53,DC$3-YEAR($X53)&gt;20,0)</f>
        <v>25749.899999999998</v>
      </c>
      <c r="DD53" s="202" cm="1">
        <f t="array" ref="DD53">_xlfn.IFS(DD$3&lt;=YEAR($B$2),SUMPRODUCT(($E$4:$E$79=$E53)*($Z$2:$CG$2=DD$3)*($Z$2:$CG$2&lt;DE$3)*$Z$4:$CG$79),DD$3&lt;YEAR($X53),0,DD$3=YEAR($X53),DATEDIF($X53,DATE(DD$3,12,31),"m")*$Y53,AND(DD$3&gt;YEAR($X53),DD$3-YEAR($X53)&lt;20),$Y53*12,DD$3-YEAR($X53)=20,DATEDIF(DATE(YEAR($X53),1,1),$X53,"m")*$Y53,DD$3-YEAR($X53)&gt;20,0)</f>
        <v>25749.899999999998</v>
      </c>
      <c r="DE53" s="202" cm="1">
        <f t="array" ref="DE53">_xlfn.IFS(DE$3&lt;=YEAR($B$2),SUMPRODUCT(($E$4:$E$79=$E53)*($Z$2:$CG$2=DE$3)*($Z$2:$CG$2&lt;DF$3)*$Z$4:$CG$79),DE$3&lt;YEAR($X53),0,DE$3=YEAR($X53),DATEDIF($X53,DATE(DE$3,12,31),"m")*$Y53,AND(DE$3&gt;YEAR($X53),DE$3-YEAR($X53)&lt;20),$Y53*12,DE$3-YEAR($X53)=20,DATEDIF(DATE(YEAR($X53),1,1),$X53,"m")*$Y53,DE$3-YEAR($X53)&gt;20,0)</f>
        <v>25749.899999999998</v>
      </c>
      <c r="DF53" s="202" cm="1">
        <f t="array" ref="DF53">_xlfn.IFS(DF$3&lt;=YEAR($B$2),SUMPRODUCT(($E$4:$E$79=$E53)*($Z$2:$CG$2=DF$3)*($Z$2:$CG$2&lt;DG$3)*$Z$4:$CG$79),DF$3&lt;YEAR($X53),0,DF$3=YEAR($X53),DATEDIF($X53,DATE(DF$3,12,31),"m")*$Y53,AND(DF$3&gt;YEAR($X53),DF$3-YEAR($X53)&lt;20),$Y53*12,DF$3-YEAR($X53)=20,DATEDIF(DATE(YEAR($X53),1,1),$X53,"m")*$Y53,DF$3-YEAR($X53)&gt;20,0)</f>
        <v>25749.899999999998</v>
      </c>
      <c r="DG53" s="202" cm="1">
        <f t="array" ref="DG53">_xlfn.IFS(DG$3&lt;=YEAR($B$2),SUMPRODUCT(($E$4:$E$79=$E53)*($Z$2:$CG$2=DG$3)*($Z$2:$CG$2&lt;DH$3)*$Z$4:$CG$79),DG$3&lt;YEAR($X53),0,DG$3=YEAR($X53),DATEDIF($X53,DATE(DG$3,12,31),"m")*$Y53,AND(DG$3&gt;YEAR($X53),DG$3-YEAR($X53)&lt;20),$Y53*12,DG$3-YEAR($X53)=20,DATEDIF(DATE(YEAR($X53),1,1),$X53,"m")*$Y53,DG$3-YEAR($X53)&gt;20,0)</f>
        <v>2145.8249999999998</v>
      </c>
      <c r="DH53" s="202" cm="1">
        <f t="array" ref="DH53">_xlfn.IFS(DH$3&lt;=YEAR($B$2),SUMPRODUCT(($E$4:$E$79=$E53)*($Z$2:$CG$2=DH$3)*($Z$2:$CG$2&lt;DI$3)*$Z$4:$CG$79),DH$3&lt;YEAR($X53),0,DH$3=YEAR($X53),DATEDIF($X53,DATE(DH$3,12,31),"m")*$Y53,AND(DH$3&gt;YEAR($X53),DH$3-YEAR($X53)&lt;20),$Y53*12,DH$3-YEAR($X53)=20,DATEDIF(DATE(YEAR($X53),1,1),$X53,"m")*$Y53,DH$3-YEAR($X53)&gt;20,0)</f>
        <v>0</v>
      </c>
      <c r="DI53" s="202" cm="1">
        <f t="array" ref="DI53">_xlfn.IFS(DI$3&lt;=YEAR($B$2),SUMPRODUCT(($E$4:$E$79=$E53)*($Z$2:$CG$2=DI$3)*($Z$2:$CG$2&lt;DJ$3)*$Z$4:$CG$79),DI$3&lt;YEAR($X53),0,DI$3=YEAR($X53),DATEDIF($X53,DATE(DI$3,12,31),"m")*$Y53,AND(DI$3&gt;YEAR($X53),DI$3-YEAR($X53)&lt;20),$Y53*12,DI$3-YEAR($X53)=20,DATEDIF(DATE(YEAR($X53),1,1),$X53,"m")*$Y53,DI$3-YEAR($X53)&gt;20,0)</f>
        <v>0</v>
      </c>
      <c r="DJ53" s="202" cm="1">
        <f t="array" ref="DJ53">_xlfn.IFS(DJ$3&lt;=YEAR($B$2),SUMPRODUCT(($E$4:$E$79=$E53)*($Z$2:$CG$2=DJ$3)*($Z$2:$CG$2&lt;DK$3)*$Z$4:$CG$79),DJ$3&lt;YEAR($X53),0,DJ$3=YEAR($X53),DATEDIF($X53,DATE(DJ$3,12,31),"m")*$Y53,AND(DJ$3&gt;YEAR($X53),DJ$3-YEAR($X53)&lt;20),$Y53*12,DJ$3-YEAR($X53)=20,DATEDIF(DATE(YEAR($X53),1,1),$X53,"m")*$Y53,DJ$3-YEAR($X53)&gt;20,0)</f>
        <v>0</v>
      </c>
      <c r="DK53" s="202" cm="1">
        <f t="array" ref="DK53">_xlfn.IFS(DK$3&lt;=YEAR($B$2),SUMPRODUCT(($E$4:$E$79=$E53)*($Z$2:$CG$2=DK$3)*($Z$2:$CG$2&lt;DL$3)*$Z$4:$CG$79),DK$3&lt;YEAR($X53),0,DK$3=YEAR($X53),DATEDIF($X53,DATE(DK$3,12,31),"m")*$Y53,AND(DK$3&gt;YEAR($X53),DK$3-YEAR($X53)&lt;20),$Y53*12,DK$3-YEAR($X53)=20,DATEDIF(DATE(YEAR($X53),1,1),$X53,"m")*$Y53,DK$3-YEAR($X53)&gt;20,0)</f>
        <v>0</v>
      </c>
      <c r="DL53" s="202" cm="1">
        <f t="array" ref="DL53">_xlfn.IFS(DL$3&lt;=YEAR($B$2),SUMPRODUCT(($E$4:$E$79=$E53)*($Z$2:$CG$2=DL$3)*($Z$2:$CG$2&lt;DM$3)*$Z$4:$CG$79),DL$3&lt;YEAR($X53),0,DL$3=YEAR($X53),DATEDIF($X53,DATE(DL$3,12,31),"m")*$Y53,AND(DL$3&gt;YEAR($X53),DL$3-YEAR($X53)&lt;20),$Y53*12,DL$3-YEAR($X53)=20,DATEDIF(DATE(YEAR($X53),1,1),$X53,"m")*$Y53,DL$3-YEAR($X53)&gt;20,0)</f>
        <v>0</v>
      </c>
    </row>
    <row r="54" spans="1:116">
      <c r="A54" s="155" t="str" cm="1">
        <f t="array" ref="A54">INDEX('Monthly Report July 2025'!C:C,MATCH(E54,'Monthly Report July 2025'!E:E,0),0)</f>
        <v>SPQ0250</v>
      </c>
      <c r="B54" s="155" t="str" cm="1">
        <f t="array" ref="B54">_xlfn.IFS(LEFT(E54,3)="PGE","PGE",LEFT(E54,2)="PP","PAC",TRUE,"IP")</f>
        <v>PGE</v>
      </c>
      <c r="C54" s="155" t="str">
        <f>IF(ISNA(MATCH(E54,'Monthly Report July 2025'!E:E,0)),"Missing","Present")</f>
        <v>Present</v>
      </c>
      <c r="D54" s="155" t="str">
        <f>IF(ISNA(MATCH(E54,'Project Operational Timelines'!C:C,0))=TRUE,"Missing","Present")</f>
        <v>Present</v>
      </c>
      <c r="E54" s="155" t="s">
        <v>162</v>
      </c>
      <c r="F54" s="155" t="str" cm="1">
        <f t="array" ref="F54">INDEX('Monthly Report July 2025'!F:F,MATCH(E54,'Monthly Report July 2025'!E:E,),0)</f>
        <v>Auburn Solar</v>
      </c>
      <c r="G54" s="155" t="str" cm="1">
        <f t="array" ref="G54">_xlfn.IFS(INDEX('Monthly Report July 2025'!O:O,MATCH(E54,'Monthly Report July 2025'!E:E,0),0)="Operational","Operational",INDEX('Monthly Report July 2025'!O:O,MATCH(E54,'Monthly Report July 2025'!E:E,0),0)="Certified","Certified",TRUE,"Pre-Certified")</f>
        <v>Operational</v>
      </c>
      <c r="H54" s="155" t="str" cm="1">
        <f t="array" ref="H54">INDEX('Monthly Report July 2025'!H:H,MATCH($E54,'Monthly Report July 2025'!$E:$E,0),0)</f>
        <v>Sulus</v>
      </c>
      <c r="I54" s="155" t="str" cm="1">
        <f t="array" ref="I54">INDEX('Monthly Report July 2025'!I:I,MATCH($E54,'Monthly Report July 2025'!$E:$E,0),0)</f>
        <v>SolRiver Capital</v>
      </c>
      <c r="J54" s="174" cm="1">
        <f t="array" ref="J54">INDEX('Monthly Report July 2025'!J:J,MATCH($E54,'Monthly Report July 2025'!$E:$E,0),0)</f>
        <v>2</v>
      </c>
      <c r="K54" s="174" t="str" cm="1">
        <f t="array" ref="K54">INDEX('Monthly Report July 2025'!K:K,MATCH($E54,'Monthly Report July 2025'!$E:$E,0),0)</f>
        <v>No</v>
      </c>
      <c r="L54" s="174" t="b" cm="1">
        <f t="array" ref="L54">INDEX('Monthly Report July 2025'!L:L,MATCH(E54,'Monthly Report July 2025'!E:E,0),0)=M54</f>
        <v>1</v>
      </c>
      <c r="M54" s="273" cm="1">
        <f t="array" ref="M54">INDEX('Monthly Report July 2025'!L:L,MATCH($E54,'Monthly Report July 2025'!$E:$E,0),0)</f>
        <v>2970</v>
      </c>
      <c r="N54" s="175" cm="1">
        <f t="array" ref="N54">INDEX('Monthly Report July 2025'!M:M,MATCH($E54,'Monthly Report July 2025'!$E:$E,0),0)</f>
        <v>44666</v>
      </c>
      <c r="O54" s="175" t="str" cm="1">
        <f t="array" ref="O54">_xlfn.IFS(G54="Operational","Operational",G54="Certified","Certified",TRUE,INDEX('Monthly Report July 2025'!O:O,MATCH(E54,'Monthly Report July 2025'!E:E,0),0))</f>
        <v>Operational</v>
      </c>
      <c r="P54" s="175" t="b" cm="1">
        <f t="array" ref="P54">_xlfn.IFS(G54="Operational",O54="Operational",G54="Certified",O54="Certified",TRUE,G54="Pre-Certified")</f>
        <v>1</v>
      </c>
      <c r="Q54" s="175" cm="1">
        <f t="array" ref="Q54">IF(O54="Operational",INDEX('Monthly Report July 2025'!R:R,MATCH(E54,'Monthly Report July 2025'!E:E,0),0),"")</f>
        <v>45474</v>
      </c>
      <c r="R54" s="175" cm="1">
        <f t="array" ref="R54">INDEX('Monthly Report July 2025'!P:P,MATCH(E54,'Monthly Report July 2025'!E:E,0),0)</f>
        <v>45468</v>
      </c>
      <c r="S54" s="175" t="b">
        <f t="shared" si="28"/>
        <v>1</v>
      </c>
      <c r="T54" s="175" cm="1">
        <f t="array" ref="T54">INDEX('Monthly Report July 2025'!U:U,MATCH(E54,'Monthly Report July 2025'!E:E,0),0)</f>
        <v>45275</v>
      </c>
      <c r="U54" s="175" t="str">
        <f t="shared" si="6"/>
        <v>IGNORE</v>
      </c>
      <c r="V54" s="156">
        <f t="shared" si="29"/>
        <v>45468</v>
      </c>
      <c r="W54" s="156" cm="1">
        <f t="array" ref="W54">_xlfn.IFS(U54=TRUE,EDATE(O54,6),U54=FALSE,T54,O54="Operational",Q54,AND(O54="Certified",EDATE(R54,6)&gt;T54),EDATE(R54,6),TRUE,T54)</f>
        <v>45474</v>
      </c>
      <c r="X54" s="156">
        <f t="shared" si="30"/>
        <v>45536</v>
      </c>
      <c r="Y54" s="157">
        <f t="shared" si="31"/>
        <v>2145.8249999999998</v>
      </c>
      <c r="Z54" s="202" cm="1">
        <f t="array" ref="Z54">_xlfn.IFS(Z$3&lt;$B$2,SUMPRODUCT(('PA Fees Actual'!$B$5:$B$882=$E54)*('PA Fees Actual'!$A$5:$A$882&gt;=Z$3)*('PA Fees Actual'!$A$5:$A$882&lt;=EOMONTH(Z$3,0))*'PA Fees Actual'!$D$5:$D$882),Z$3&gt;=EOMONTH($X54,-1)+1,$Y54,TRUE,0)</f>
        <v>0</v>
      </c>
      <c r="AA54" s="202" cm="1">
        <f t="array" ref="AA54">_xlfn.IFS(AA$3&lt;$B$2,SUMPRODUCT(('PA Fees Actual'!$B$5:$B$882=$E54)*('PA Fees Actual'!$A$5:$A$882&gt;=AA$3)*('PA Fees Actual'!$A$5:$A$882&lt;=EOMONTH(AA$3,0))*'PA Fees Actual'!$D$5:$D$882),AA$3&gt;=EOMONTH($X54,-1)+1,$Y54,TRUE,0)</f>
        <v>0</v>
      </c>
      <c r="AB54" s="202" cm="1">
        <f t="array" ref="AB54">_xlfn.IFS(AB$3&lt;$B$2,SUMPRODUCT(('PA Fees Actual'!$B$5:$B$882=$E54)*('PA Fees Actual'!$A$5:$A$882&gt;=AB$3)*('PA Fees Actual'!$A$5:$A$882&lt;=EOMONTH(AB$3,0))*'PA Fees Actual'!$D$5:$D$882),AB$3&gt;=EOMONTH($X54,-1)+1,$Y54,TRUE,0)</f>
        <v>0</v>
      </c>
      <c r="AC54" s="202" cm="1">
        <f t="array" ref="AC54">_xlfn.IFS(AC$3&lt;$B$2,SUMPRODUCT(('PA Fees Actual'!$B$5:$B$882=$E54)*('PA Fees Actual'!$A$5:$A$882&gt;=AC$3)*('PA Fees Actual'!$A$5:$A$882&lt;=EOMONTH(AC$3,0))*'PA Fees Actual'!$D$5:$D$882),AC$3&gt;=EOMONTH($X54,-1)+1,$Y54,TRUE,0)</f>
        <v>0</v>
      </c>
      <c r="AD54" s="202" cm="1">
        <f t="array" ref="AD54">_xlfn.IFS(AD$3&lt;$B$2,SUMPRODUCT(('PA Fees Actual'!$B$5:$B$882=$E54)*('PA Fees Actual'!$A$5:$A$882&gt;=AD$3)*('PA Fees Actual'!$A$5:$A$882&lt;=EOMONTH(AD$3,0))*'PA Fees Actual'!$D$5:$D$882),AD$3&gt;=EOMONTH($X54,-1)+1,$Y54,TRUE,0)</f>
        <v>0</v>
      </c>
      <c r="AE54" s="202" cm="1">
        <f t="array" ref="AE54">_xlfn.IFS(AE$3&lt;$B$2,SUMPRODUCT(('PA Fees Actual'!$B$5:$B$882=$E54)*('PA Fees Actual'!$A$5:$A$882&gt;=AE$3)*('PA Fees Actual'!$A$5:$A$882&lt;=EOMONTH(AE$3,0))*'PA Fees Actual'!$D$5:$D$882),AE$3&gt;=EOMONTH($X54,-1)+1,$Y54,TRUE,0)</f>
        <v>0</v>
      </c>
      <c r="AF54" s="202" cm="1">
        <f t="array" ref="AF54">_xlfn.IFS(AF$3&lt;$B$2,SUMPRODUCT(('PA Fees Actual'!$B$5:$B$882=$E54)*('PA Fees Actual'!$A$5:$A$882&gt;=AF$3)*('PA Fees Actual'!$A$5:$A$882&lt;=EOMONTH(AF$3,0))*'PA Fees Actual'!$D$5:$D$882),AF$3&gt;=EOMONTH($X54,-1)+1,$Y54,TRUE,0)</f>
        <v>0</v>
      </c>
      <c r="AG54" s="202" cm="1">
        <f t="array" ref="AG54">_xlfn.IFS(AG$3&lt;$B$2,SUMPRODUCT(('PA Fees Actual'!$B$5:$B$882=$E54)*('PA Fees Actual'!$A$5:$A$882&gt;=AG$3)*('PA Fees Actual'!$A$5:$A$882&lt;=EOMONTH(AG$3,0))*'PA Fees Actual'!$D$5:$D$882),AG$3&gt;=EOMONTH($X54,-1)+1,$Y54,TRUE,0)</f>
        <v>0</v>
      </c>
      <c r="AH54" s="202" cm="1">
        <f t="array" ref="AH54">_xlfn.IFS(AH$3&lt;$B$2,SUMPRODUCT(('PA Fees Actual'!$B$5:$B$882=$E54)*('PA Fees Actual'!$A$5:$A$882&gt;=AH$3)*('PA Fees Actual'!$A$5:$A$882&lt;=EOMONTH(AH$3,0))*'PA Fees Actual'!$D$5:$D$882),AH$3&gt;=EOMONTH($X54,-1)+1,$Y54,TRUE,0)</f>
        <v>0</v>
      </c>
      <c r="AI54" s="202" cm="1">
        <f t="array" ref="AI54">_xlfn.IFS(AI$3&lt;$B$2,SUMPRODUCT(('PA Fees Actual'!$B$5:$B$882=$E54)*('PA Fees Actual'!$A$5:$A$882&gt;=AI$3)*('PA Fees Actual'!$A$5:$A$882&lt;=EOMONTH(AI$3,0))*'PA Fees Actual'!$D$5:$D$882),AI$3&gt;=EOMONTH($X54,-1)+1,$Y54,TRUE,0)</f>
        <v>0</v>
      </c>
      <c r="AJ54" s="202" cm="1">
        <f t="array" ref="AJ54">_xlfn.IFS(AJ$3&lt;$B$2,SUMPRODUCT(('PA Fees Actual'!$B$5:$B$882=$E54)*('PA Fees Actual'!$A$5:$A$882&gt;=AJ$3)*('PA Fees Actual'!$A$5:$A$882&lt;=EOMONTH(AJ$3,0))*'PA Fees Actual'!$D$5:$D$882),AJ$3&gt;=EOMONTH($X54,-1)+1,$Y54,TRUE,0)</f>
        <v>0</v>
      </c>
      <c r="AK54" s="202" cm="1">
        <f t="array" ref="AK54">_xlfn.IFS(AK$3&lt;$B$2,SUMPRODUCT(('PA Fees Actual'!$B$5:$B$882=$E54)*('PA Fees Actual'!$A$5:$A$882&gt;=AK$3)*('PA Fees Actual'!$A$5:$A$882&lt;=EOMONTH(AK$3,0))*'PA Fees Actual'!$D$5:$D$882),AK$3&gt;=EOMONTH($X54,-1)+1,$Y54,TRUE,0)</f>
        <v>0</v>
      </c>
      <c r="AL54" s="202" cm="1">
        <f t="array" ref="AL54">_xlfn.IFS(AL$3&lt;$B$2,SUMPRODUCT(('PA Fees Actual'!$B$5:$B$882=$E54)*('PA Fees Actual'!$A$5:$A$882&gt;=AL$3)*('PA Fees Actual'!$A$5:$A$882&lt;=EOMONTH(AL$3,0))*'PA Fees Actual'!$D$5:$D$882),AL$3&gt;=EOMONTH($X54,-1)+1,$Y54,TRUE,0)</f>
        <v>0</v>
      </c>
      <c r="AM54" s="202" cm="1">
        <f t="array" ref="AM54">_xlfn.IFS(AM$3&lt;$B$2,SUMPRODUCT(('PA Fees Actual'!$B$5:$B$882=$E54)*('PA Fees Actual'!$A$5:$A$882&gt;=AM$3)*('PA Fees Actual'!$A$5:$A$882&lt;=EOMONTH(AM$3,0))*'PA Fees Actual'!$D$5:$D$882),AM$3&gt;=EOMONTH($X54,-1)+1,$Y54,TRUE,0)</f>
        <v>0</v>
      </c>
      <c r="AN54" s="202" cm="1">
        <f t="array" ref="AN54">_xlfn.IFS(AN$3&lt;$B$2,SUMPRODUCT(('PA Fees Actual'!$B$5:$B$882=$E54)*('PA Fees Actual'!$A$5:$A$882&gt;=AN$3)*('PA Fees Actual'!$A$5:$A$882&lt;=EOMONTH(AN$3,0))*'PA Fees Actual'!$D$5:$D$882),AN$3&gt;=EOMONTH($X54,-1)+1,$Y54,TRUE,0)</f>
        <v>0</v>
      </c>
      <c r="AO54" s="202" cm="1">
        <f t="array" ref="AO54">_xlfn.IFS(AO$3&lt;$B$2,SUMPRODUCT(('PA Fees Actual'!$B$5:$B$882=$E54)*('PA Fees Actual'!$A$5:$A$882&gt;=AO$3)*('PA Fees Actual'!$A$5:$A$882&lt;=EOMONTH(AO$3,0))*'PA Fees Actual'!$D$5:$D$882),AO$3&gt;=EOMONTH($X54,-1)+1,$Y54,TRUE,0)</f>
        <v>0</v>
      </c>
      <c r="AP54" s="202" cm="1">
        <f t="array" ref="AP54">_xlfn.IFS(AP$3&lt;$B$2,SUMPRODUCT(('PA Fees Actual'!$B$5:$B$882=$E54)*('PA Fees Actual'!$A$5:$A$882&gt;=AP$3)*('PA Fees Actual'!$A$5:$A$882&lt;=EOMONTH(AP$3,0))*'PA Fees Actual'!$D$5:$D$882),AP$3&gt;=EOMONTH($X54,-1)+1,$Y54,TRUE,0)</f>
        <v>0</v>
      </c>
      <c r="AQ54" s="202" cm="1">
        <f t="array" ref="AQ54">_xlfn.IFS(AQ$3&lt;$B$2,SUMPRODUCT(('PA Fees Actual'!$B$5:$B$882=$E54)*('PA Fees Actual'!$A$5:$A$882&gt;=AQ$3)*('PA Fees Actual'!$A$5:$A$882&lt;=EOMONTH(AQ$3,0))*'PA Fees Actual'!$D$5:$D$882),AQ$3&gt;=EOMONTH($X54,-1)+1,$Y54,TRUE,0)</f>
        <v>0</v>
      </c>
      <c r="AR54" s="202" cm="1">
        <f t="array" ref="AR54">_xlfn.IFS(AR$3&lt;$B$2,SUMPRODUCT(('PA Fees Actual'!$B$5:$B$882=$E54)*('PA Fees Actual'!$A$5:$A$882&gt;=AR$3)*('PA Fees Actual'!$A$5:$A$882&lt;=EOMONTH(AR$3,0))*'PA Fees Actual'!$D$5:$D$882),AR$3&gt;=EOMONTH($X54,-1)+1,$Y54,TRUE,0)</f>
        <v>0</v>
      </c>
      <c r="AS54" s="202" cm="1">
        <f t="array" ref="AS54">_xlfn.IFS(AS$3&lt;$B$2,SUMPRODUCT(('PA Fees Actual'!$B$5:$B$882=$E54)*('PA Fees Actual'!$A$5:$A$882&gt;=AS$3)*('PA Fees Actual'!$A$5:$A$882&lt;=EOMONTH(AS$3,0))*'PA Fees Actual'!$D$5:$D$882),AS$3&gt;=EOMONTH($X54,-1)+1,$Y54,TRUE,0)</f>
        <v>0</v>
      </c>
      <c r="AT54" s="202" cm="1">
        <f t="array" ref="AT54">_xlfn.IFS(AT$3&lt;$B$2,SUMPRODUCT(('PA Fees Actual'!$B$5:$B$882=$E54)*('PA Fees Actual'!$A$5:$A$882&gt;=AT$3)*('PA Fees Actual'!$A$5:$A$882&lt;=EOMONTH(AT$3,0))*'PA Fees Actual'!$D$5:$D$882),AT$3&gt;=EOMONTH($X54,-1)+1,$Y54,TRUE,0)</f>
        <v>0</v>
      </c>
      <c r="AU54" s="202" cm="1">
        <f t="array" ref="AU54">_xlfn.IFS(AU$3&lt;$B$2,SUMPRODUCT(('PA Fees Actual'!$B$5:$B$882=$E54)*('PA Fees Actual'!$A$5:$A$882&gt;=AU$3)*('PA Fees Actual'!$A$5:$A$882&lt;=EOMONTH(AU$3,0))*'PA Fees Actual'!$D$5:$D$882),AU$3&gt;=EOMONTH($X54,-1)+1,$Y54,TRUE,0)</f>
        <v>0</v>
      </c>
      <c r="AV54" s="202" cm="1">
        <f t="array" ref="AV54">_xlfn.IFS(AV$3&lt;$B$2,SUMPRODUCT(('PA Fees Actual'!$B$5:$B$882=$E54)*('PA Fees Actual'!$A$5:$A$882&gt;=AV$3)*('PA Fees Actual'!$A$5:$A$882&lt;=EOMONTH(AV$3,0))*'PA Fees Actual'!$D$5:$D$882),AV$3&gt;=EOMONTH($X54,-1)+1,$Y54,TRUE,0)</f>
        <v>0</v>
      </c>
      <c r="AW54" s="202" cm="1">
        <f t="array" ref="AW54">_xlfn.IFS(AW$3&lt;$B$2,SUMPRODUCT(('PA Fees Actual'!$B$5:$B$882=$E54)*('PA Fees Actual'!$A$5:$A$882&gt;=AW$3)*('PA Fees Actual'!$A$5:$A$882&lt;=EOMONTH(AW$3,0))*'PA Fees Actual'!$D$5:$D$882),AW$3&gt;=EOMONTH($X54,-1)+1,$Y54,TRUE,0)</f>
        <v>0</v>
      </c>
      <c r="AX54" s="202" cm="1">
        <f t="array" ref="AX54">_xlfn.IFS(AX$3&lt;$B$2,SUMPRODUCT(('PA Fees Actual'!$B$5:$B$882=$E54)*('PA Fees Actual'!$A$5:$A$882&gt;=AX$3)*('PA Fees Actual'!$A$5:$A$882&lt;=EOMONTH(AX$3,0))*'PA Fees Actual'!$D$5:$D$882),AX$3&gt;=EOMONTH($X54,-1)+1,$Y54,TRUE,0)</f>
        <v>0</v>
      </c>
      <c r="AY54" s="202" cm="1">
        <f t="array" ref="AY54">_xlfn.IFS(AY$3&lt;$B$2,SUMPRODUCT(('PA Fees Actual'!$B$5:$B$882=$E54)*('PA Fees Actual'!$A$5:$A$882&gt;=AY$3)*('PA Fees Actual'!$A$5:$A$882&lt;=EOMONTH(AY$3,0))*'PA Fees Actual'!$D$5:$D$882),AY$3&gt;=EOMONTH($X54,-1)+1,$Y54,TRUE,0)</f>
        <v>0</v>
      </c>
      <c r="AZ54" s="202" cm="1">
        <f t="array" ref="AZ54">_xlfn.IFS(AZ$3&lt;$B$2,SUMPRODUCT(('PA Fees Actual'!$B$5:$B$882=$E54)*('PA Fees Actual'!$A$5:$A$882&gt;=AZ$3)*('PA Fees Actual'!$A$5:$A$882&lt;=EOMONTH(AZ$3,0))*'PA Fees Actual'!$D$5:$D$882),AZ$3&gt;=EOMONTH($X54,-1)+1,$Y54,TRUE,0)</f>
        <v>0</v>
      </c>
      <c r="BA54" s="202" cm="1">
        <f t="array" ref="BA54">_xlfn.IFS(BA$3&lt;$B$2,SUMPRODUCT(('PA Fees Actual'!$B$5:$B$882=$E54)*('PA Fees Actual'!$A$5:$A$882&gt;=BA$3)*('PA Fees Actual'!$A$5:$A$882&lt;=EOMONTH(BA$3,0))*'PA Fees Actual'!$D$5:$D$882),BA$3&gt;=EOMONTH($X54,-1)+1,$Y54,TRUE,0)</f>
        <v>0</v>
      </c>
      <c r="BB54" s="202" cm="1">
        <f t="array" ref="BB54">_xlfn.IFS(BB$3&lt;$B$2,SUMPRODUCT(('PA Fees Actual'!$B$5:$B$882=$E54)*('PA Fees Actual'!$A$5:$A$882&gt;=BB$3)*('PA Fees Actual'!$A$5:$A$882&lt;=EOMONTH(BB$3,0))*'PA Fees Actual'!$D$5:$D$882),BB$3&gt;=EOMONTH($X54,-1)+1,$Y54,TRUE,0)</f>
        <v>0</v>
      </c>
      <c r="BC54" s="202" cm="1">
        <f t="array" ref="BC54">_xlfn.IFS(BC$3&lt;$B$2,SUMPRODUCT(('PA Fees Actual'!$B$5:$B$882=$E54)*('PA Fees Actual'!$A$5:$A$882&gt;=BC$3)*('PA Fees Actual'!$A$5:$A$882&lt;=EOMONTH(BC$3,0))*'PA Fees Actual'!$D$5:$D$882),BC$3&gt;=EOMONTH($X54,-1)+1,$Y54,TRUE,0)</f>
        <v>0</v>
      </c>
      <c r="BD54" s="202" cm="1">
        <f t="array" ref="BD54">_xlfn.IFS(BD$3&lt;$B$2,SUMPRODUCT(('PA Fees Actual'!$B$5:$B$882=$E54)*('PA Fees Actual'!$A$5:$A$882&gt;=BD$3)*('PA Fees Actual'!$A$5:$A$882&lt;=EOMONTH(BD$3,0))*'PA Fees Actual'!$D$5:$D$882),BD$3&gt;=EOMONTH($X54,-1)+1,$Y54,TRUE,0)</f>
        <v>0</v>
      </c>
      <c r="BE54" s="202" cm="1">
        <f t="array" ref="BE54">_xlfn.IFS(BE$3&lt;$B$2,SUMPRODUCT(('PA Fees Actual'!$B$5:$B$882=$E54)*('PA Fees Actual'!$A$5:$A$882&gt;=BE$3)*('PA Fees Actual'!$A$5:$A$882&lt;=EOMONTH(BE$3,0))*'PA Fees Actual'!$D$5:$D$882),BE$3&gt;=EOMONTH($X54,-1)+1,$Y54,TRUE,0)</f>
        <v>0</v>
      </c>
      <c r="BF54" s="202" cm="1">
        <f t="array" ref="BF54">_xlfn.IFS(BF$3&lt;$B$2,SUMPRODUCT(('PA Fees Actual'!$B$5:$B$882=$E54)*('PA Fees Actual'!$A$5:$A$882&gt;=BF$3)*('PA Fees Actual'!$A$5:$A$882&lt;=EOMONTH(BF$3,0))*'PA Fees Actual'!$D$5:$D$882),BF$3&gt;=EOMONTH($X54,-1)+1,$Y54,TRUE,0)</f>
        <v>0</v>
      </c>
      <c r="BG54" s="202" cm="1">
        <f t="array" ref="BG54">_xlfn.IFS(BG$3&lt;$B$2,SUMPRODUCT(('PA Fees Actual'!$B$5:$B$882=$E54)*('PA Fees Actual'!$A$5:$A$882&gt;=BG$3)*('PA Fees Actual'!$A$5:$A$882&lt;=EOMONTH(BG$3,0))*'PA Fees Actual'!$D$5:$D$882),BG$3&gt;=EOMONTH($X54,-1)+1,$Y54,TRUE,0)</f>
        <v>0</v>
      </c>
      <c r="BH54" s="202" cm="1">
        <f t="array" ref="BH54">_xlfn.IFS(BH$3&lt;$B$2,SUMPRODUCT(('PA Fees Actual'!$B$5:$B$882=$E54)*('PA Fees Actual'!$A$5:$A$882&gt;=BH$3)*('PA Fees Actual'!$A$5:$A$882&lt;=EOMONTH(BH$3,0))*'PA Fees Actual'!$D$5:$D$882),BH$3&gt;=EOMONTH($X54,-1)+1,$Y54,TRUE,0)</f>
        <v>0</v>
      </c>
      <c r="BI54" s="202" cm="1">
        <f t="array" ref="BI54">_xlfn.IFS(BI$3&lt;$B$2,SUMPRODUCT(('PA Fees Actual'!$B$5:$B$882=$E54)*('PA Fees Actual'!$A$5:$A$882&gt;=BI$3)*('PA Fees Actual'!$A$5:$A$882&lt;=EOMONTH(BI$3,0))*'PA Fees Actual'!$D$5:$D$882),BI$3&gt;=EOMONTH($X54,-1)+1,$Y54,TRUE,0)</f>
        <v>0</v>
      </c>
      <c r="BJ54" s="202" cm="1">
        <f t="array" ref="BJ54">_xlfn.IFS(BJ$3&lt;$B$2,SUMPRODUCT(('PA Fees Actual'!$B$5:$B$882=$E54)*('PA Fees Actual'!$A$5:$A$882&gt;=BJ$3)*('PA Fees Actual'!$A$5:$A$882&lt;=EOMONTH(BJ$3,0))*'PA Fees Actual'!$D$5:$D$882),BJ$3&gt;=EOMONTH($X54,-1)+1,$Y54,TRUE,0)</f>
        <v>0</v>
      </c>
      <c r="BK54" s="202" cm="1">
        <f t="array" ref="BK54">_xlfn.IFS(BK$3&lt;$B$2,SUMPRODUCT(('PA Fees Actual'!$B$5:$B$882=$E54)*('PA Fees Actual'!$A$5:$A$882&gt;=BK$3)*('PA Fees Actual'!$A$5:$A$882&lt;=EOMONTH(BK$3,0))*'PA Fees Actual'!$D$5:$D$882),BK$3&gt;=EOMONTH($X54,-1)+1,$Y54,TRUE,0)</f>
        <v>0</v>
      </c>
      <c r="BL54" s="202" cm="1">
        <f t="array" ref="BL54">_xlfn.IFS(BL$3&lt;$B$2,SUMPRODUCT(('PA Fees Actual'!$B$5:$B$882=$E54)*('PA Fees Actual'!$A$5:$A$882&gt;=BL$3)*('PA Fees Actual'!$A$5:$A$882&lt;=EOMONTH(BL$3,0))*'PA Fees Actual'!$D$5:$D$882),BL$3&gt;=EOMONTH($X54,-1)+1,$Y54,TRUE,0)</f>
        <v>0</v>
      </c>
      <c r="BM54" s="202" cm="1">
        <f t="array" ref="BM54">_xlfn.IFS(BM$3&lt;$B$2,SUMPRODUCT(('PA Fees Actual'!$B$5:$B$882=$E54)*('PA Fees Actual'!$A$5:$A$882&gt;=BM$3)*('PA Fees Actual'!$A$5:$A$882&lt;=EOMONTH(BM$3,0))*'PA Fees Actual'!$D$5:$D$882),BM$3&gt;=EOMONTH($X54,-1)+1,$Y54,TRUE,0)</f>
        <v>0</v>
      </c>
      <c r="BN54" s="202" cm="1">
        <f t="array" ref="BN54">_xlfn.IFS(BN$3&lt;$B$2,SUMPRODUCT(('PA Fees Actual'!$B$5:$B$882=$E54)*('PA Fees Actual'!$A$5:$A$882&gt;=BN$3)*('PA Fees Actual'!$A$5:$A$882&lt;=EOMONTH(BN$3,0))*'PA Fees Actual'!$D$5:$D$882),BN$3&gt;=EOMONTH($X54,-1)+1,$Y54,TRUE,0)</f>
        <v>0</v>
      </c>
      <c r="BO54" s="202" cm="1">
        <f t="array" ref="BO54">_xlfn.IFS(BO$3&lt;$B$2,SUMPRODUCT(('PA Fees Actual'!$B$5:$B$882=$E54)*('PA Fees Actual'!$A$5:$A$882&gt;=BO$3)*('PA Fees Actual'!$A$5:$A$882&lt;=EOMONTH(BO$3,0))*'PA Fees Actual'!$D$5:$D$882),BO$3&gt;=EOMONTH($X54,-1)+1,$Y54,TRUE,0)</f>
        <v>0</v>
      </c>
      <c r="BP54" s="202" cm="1">
        <f t="array" ref="BP54">_xlfn.IFS(BP$3&lt;$B$2,SUMPRODUCT(('PA Fees Actual'!$B$5:$B$882=$E54)*('PA Fees Actual'!$A$5:$A$882&gt;=BP$3)*('PA Fees Actual'!$A$5:$A$882&lt;=EOMONTH(BP$3,0))*'PA Fees Actual'!$D$5:$D$882),BP$3&gt;=EOMONTH($X54,-1)+1,$Y54,TRUE,0)</f>
        <v>0</v>
      </c>
      <c r="BQ54" s="202" cm="1">
        <f t="array" ref="BQ54">_xlfn.IFS(BQ$3&lt;$B$2,SUMPRODUCT(('PA Fees Actual'!$B$5:$B$882=$E54)*('PA Fees Actual'!$A$5:$A$882&gt;=BQ$3)*('PA Fees Actual'!$A$5:$A$882&lt;=EOMONTH(BQ$3,0))*'PA Fees Actual'!$D$5:$D$882),BQ$3&gt;=EOMONTH($X54,-1)+1,$Y54,TRUE,0)</f>
        <v>0</v>
      </c>
      <c r="BR54" s="202" cm="1">
        <f t="array" ref="BR54">_xlfn.IFS(BR$3&lt;$B$2,SUMPRODUCT(('PA Fees Actual'!$B$5:$B$882=$E54)*('PA Fees Actual'!$A$5:$A$882&gt;=BR$3)*('PA Fees Actual'!$A$5:$A$882&lt;=EOMONTH(BR$3,0))*'PA Fees Actual'!$D$5:$D$882),BR$3&gt;=EOMONTH($X54,-1)+1,$Y54,TRUE,0)</f>
        <v>0</v>
      </c>
      <c r="BS54" s="202" cm="1">
        <f t="array" ref="BS54">_xlfn.IFS(BS$3&lt;$B$2,SUMPRODUCT(('PA Fees Actual'!$B$5:$B$882=$E54)*('PA Fees Actual'!$A$5:$A$882&gt;=BS$3)*('PA Fees Actual'!$A$5:$A$882&lt;=EOMONTH(BS$3,0))*'PA Fees Actual'!$D$5:$D$882),BS$3&gt;=EOMONTH($X54,-1)+1,$Y54,TRUE,0)</f>
        <v>0</v>
      </c>
      <c r="BT54" s="202" cm="1">
        <f t="array" ref="BT54">_xlfn.IFS(BT$3&lt;$B$2,SUMPRODUCT(('PA Fees Actual'!$B$5:$B$882=$E54)*('PA Fees Actual'!$A$5:$A$882&gt;=BT$3)*('PA Fees Actual'!$A$5:$A$882&lt;=EOMONTH(BT$3,0))*'PA Fees Actual'!$D$5:$D$882),BT$3&gt;=EOMONTH($X54,-1)+1,$Y54,TRUE,0)</f>
        <v>6646.09</v>
      </c>
      <c r="BU54" s="202" cm="1">
        <f t="array" ref="BU54">_xlfn.IFS(BU$3&lt;$B$2,SUMPRODUCT(('PA Fees Actual'!$B$5:$B$882=$E54)*('PA Fees Actual'!$A$5:$A$882&gt;=BU$3)*('PA Fees Actual'!$A$5:$A$882&lt;=EOMONTH(BU$3,0))*'PA Fees Actual'!$D$5:$D$882),BU$3&gt;=EOMONTH($X54,-1)+1,$Y54,TRUE,0)</f>
        <v>2212.31</v>
      </c>
      <c r="BV54" s="202" cm="1">
        <f t="array" ref="BV54">_xlfn.IFS(BV$3&lt;$B$2,SUMPRODUCT(('PA Fees Actual'!$B$5:$B$882=$E54)*('PA Fees Actual'!$A$5:$A$882&gt;=BV$3)*('PA Fees Actual'!$A$5:$A$882&lt;=EOMONTH(BV$3,0))*'PA Fees Actual'!$D$5:$D$882),BV$3&gt;=EOMONTH($X54,-1)+1,$Y54,TRUE,0)</f>
        <v>1937.61</v>
      </c>
      <c r="BW54" s="202" cm="1">
        <f t="array" ref="BW54">_xlfn.IFS(BW$3&lt;$B$2,SUMPRODUCT(('PA Fees Actual'!$B$5:$B$882=$E54)*('PA Fees Actual'!$A$5:$A$882&gt;=BW$3)*('PA Fees Actual'!$A$5:$A$882&lt;=EOMONTH(BW$3,0))*'PA Fees Actual'!$D$5:$D$882),BW$3&gt;=EOMONTH($X54,-1)+1,$Y54,TRUE,0)</f>
        <v>0</v>
      </c>
      <c r="BX54" s="202" cm="1">
        <f t="array" ref="BX54">_xlfn.IFS(BX$3&lt;$B$2,SUMPRODUCT(('PA Fees Actual'!$B$5:$B$882=$E54)*('PA Fees Actual'!$A$5:$A$882&gt;=BX$3)*('PA Fees Actual'!$A$5:$A$882&lt;=EOMONTH(BX$3,0))*'PA Fees Actual'!$D$5:$D$882),BX$3&gt;=EOMONTH($X54,-1)+1,$Y54,TRUE,0)</f>
        <v>7.7200000000000006</v>
      </c>
      <c r="BY54" s="202" cm="1">
        <f t="array" ref="BY54">_xlfn.IFS(BY$3&lt;$B$2,SUMPRODUCT(('PA Fees Actual'!$B$5:$B$882=$E54)*('PA Fees Actual'!$A$5:$A$882&gt;=BY$3)*('PA Fees Actual'!$A$5:$A$882&lt;=EOMONTH(BY$3,0))*'PA Fees Actual'!$D$5:$D$882),BY$3&gt;=EOMONTH($X54,-1)+1,$Y54,TRUE,0)</f>
        <v>5867.74</v>
      </c>
      <c r="BZ54" s="202" cm="1">
        <f t="array" ref="BZ54">_xlfn.IFS(BZ$3&lt;$B$2,SUMPRODUCT(('PA Fees Actual'!$B$5:$B$882=$E54)*('PA Fees Actual'!$A$5:$A$882&gt;=BZ$3)*('PA Fees Actual'!$A$5:$A$882&lt;=EOMONTH(BZ$3,0))*'PA Fees Actual'!$D$5:$D$882),BZ$3&gt;=EOMONTH($X54,-1)+1,$Y54,TRUE,0)</f>
        <v>0</v>
      </c>
      <c r="CA54" s="202" cm="1">
        <f t="array" ref="CA54">_xlfn.IFS(CA$3&lt;$B$2,SUMPRODUCT(('PA Fees Actual'!$B$5:$B$882=$E54)*('PA Fees Actual'!$A$5:$A$882&gt;=CA$3)*('PA Fees Actual'!$A$5:$A$882&lt;=EOMONTH(CA$3,0))*'PA Fees Actual'!$D$5:$D$882),CA$3&gt;=EOMONTH($X54,-1)+1,$Y54,TRUE,0)</f>
        <v>3904.92</v>
      </c>
      <c r="CB54" s="202" cm="1">
        <f t="array" ref="CB54">_xlfn.IFS(CB$3&lt;$B$2,SUMPRODUCT(('PA Fees Actual'!$B$5:$B$882=$E54)*('PA Fees Actual'!$A$5:$A$882&gt;=CB$3)*('PA Fees Actual'!$A$5:$A$882&lt;=EOMONTH(CB$3,0))*'PA Fees Actual'!$D$5:$D$882),CB$3&gt;=EOMONTH($X54,-1)+1,$Y54,TRUE,0)</f>
        <v>2145.8249999999998</v>
      </c>
      <c r="CC54" s="202" cm="1">
        <f t="array" ref="CC54">_xlfn.IFS(CC$3&lt;$B$2,SUMPRODUCT(('PA Fees Actual'!$B$5:$B$882=$E54)*('PA Fees Actual'!$A$5:$A$882&gt;=CC$3)*('PA Fees Actual'!$A$5:$A$882&lt;=EOMONTH(CC$3,0))*'PA Fees Actual'!$D$5:$D$882),CC$3&gt;=EOMONTH($X54,-1)+1,$Y54,TRUE,0)</f>
        <v>2145.8249999999998</v>
      </c>
      <c r="CD54" s="202" cm="1">
        <f t="array" ref="CD54">_xlfn.IFS(CD$3&lt;$B$2,SUMPRODUCT(('PA Fees Actual'!$B$5:$B$882=$E54)*('PA Fees Actual'!$A$5:$A$882&gt;=CD$3)*('PA Fees Actual'!$A$5:$A$882&lt;=EOMONTH(CD$3,0))*'PA Fees Actual'!$D$5:$D$882),CD$3&gt;=EOMONTH($X54,-1)+1,$Y54,TRUE,0)</f>
        <v>2145.8249999999998</v>
      </c>
      <c r="CE54" s="202" cm="1">
        <f t="array" ref="CE54">_xlfn.IFS(CE$3&lt;$B$2,SUMPRODUCT(('PA Fees Actual'!$B$5:$B$882=$E54)*('PA Fees Actual'!$A$5:$A$882&gt;=CE$3)*('PA Fees Actual'!$A$5:$A$882&lt;=EOMONTH(CE$3,0))*'PA Fees Actual'!$D$5:$D$882),CE$3&gt;=EOMONTH($X54,-1)+1,$Y54,TRUE,0)</f>
        <v>2145.8249999999998</v>
      </c>
      <c r="CF54" s="202" cm="1">
        <f t="array" ref="CF54">_xlfn.IFS(CF$3&lt;$B$2,SUMPRODUCT(('PA Fees Actual'!$B$5:$B$882=$E54)*('PA Fees Actual'!$A$5:$A$882&gt;=CF$3)*('PA Fees Actual'!$A$5:$A$882&lt;=EOMONTH(CF$3,0))*'PA Fees Actual'!$D$5:$D$882),CF$3&gt;=EOMONTH($X54,-1)+1,$Y54,TRUE,0)</f>
        <v>2145.8249999999998</v>
      </c>
      <c r="CG54" s="202" cm="1">
        <f t="array" ref="CG54">_xlfn.IFS(CG$3&lt;$B$2,SUMPRODUCT(('PA Fees Actual'!$B$5:$B$882=$E54)*('PA Fees Actual'!$A$5:$A$882&gt;=CG$3)*('PA Fees Actual'!$A$5:$A$882&lt;=EOMONTH(CG$3,0))*'PA Fees Actual'!$D$5:$D$882),CG$3&gt;=EOMONTH($X54,-1)+1,$Y54,TRUE,0)</f>
        <v>2145.8249999999998</v>
      </c>
      <c r="CI54" s="202" cm="1">
        <f t="array" ref="CI54">_xlfn.IFS(CI$3&lt;=YEAR($B$2),SUMPRODUCT(($E$4:$E$79=$E54)*($Z$2:$CG$2=CI$3)*($Z$2:$CG$2&lt;CJ$3)*$Z$4:$CG$79),CI$3&lt;YEAR($X54),0,CI$3=YEAR($X54),DATEDIF($X54,DATE(CI$3,12,31),"m")*$Y54,AND(CI$3&gt;YEAR($X54),CI$3-YEAR($X54)&lt;20),$Y54*12,CI$3-YEAR($X54)=20,DATEDIF(DATE(YEAR($X54),1,1),$X54,"m")*$Y54,CI$3-YEAR($X54)&gt;20,0)</f>
        <v>0</v>
      </c>
      <c r="CJ54" s="202" cm="1">
        <f t="array" ref="CJ54">_xlfn.IFS(CJ$3&lt;=YEAR($B$2),SUMPRODUCT(($E$4:$E$79=$E54)*($Z$2:$CG$2=CJ$3)*($Z$2:$CG$2&lt;CK$3)*$Z$4:$CG$79),CJ$3&lt;YEAR($X54),0,CJ$3=YEAR($X54),DATEDIF($X54,DATE(CJ$3,12,31),"m")*$Y54,AND(CJ$3&gt;YEAR($X54),CJ$3-YEAR($X54)&lt;20),$Y54*12,CJ$3-YEAR($X54)=20,DATEDIF(DATE(YEAR($X54),1,1),$X54,"m")*$Y54,CJ$3-YEAR($X54)&gt;20,0)</f>
        <v>0</v>
      </c>
      <c r="CK54" s="202" cm="1">
        <f t="array" ref="CK54">_xlfn.IFS(CK$3&lt;=YEAR($B$2),SUMPRODUCT(($E$4:$E$79=$E54)*($Z$2:$CG$2=CK$3)*($Z$2:$CG$2&lt;CL$3)*$Z$4:$CG$79),CK$3&lt;YEAR($X54),0,CK$3=YEAR($X54),DATEDIF($X54,DATE(CK$3,12,31),"m")*$Y54,AND(CK$3&gt;YEAR($X54),CK$3-YEAR($X54)&lt;20),$Y54*12,CK$3-YEAR($X54)=20,DATEDIF(DATE(YEAR($X54),1,1),$X54,"m")*$Y54,CK$3-YEAR($X54)&gt;20,0)</f>
        <v>0</v>
      </c>
      <c r="CL54" s="202" cm="1">
        <f t="array" ref="CL54">_xlfn.IFS(CL$3&lt;=YEAR($B$2),SUMPRODUCT(($E$4:$E$79=$E54)*($Z$2:$CG$2=CL$3)*($Z$2:$CG$2&lt;CM$3)*$Z$4:$CG$79),CL$3&lt;YEAR($X54),0,CL$3=YEAR($X54),DATEDIF($X54,DATE(CL$3,12,31),"m")*$Y54,AND(CL$3&gt;YEAR($X54),CL$3-YEAR($X54)&lt;20),$Y54*12,CL$3-YEAR($X54)=20,DATEDIF(DATE(YEAR($X54),1,1),$X54,"m")*$Y54,CL$3-YEAR($X54)&gt;20,0)</f>
        <v>8858.4</v>
      </c>
      <c r="CM54" s="202" cm="1">
        <f t="array" ref="CM54">_xlfn.IFS(CM$3&lt;=YEAR($B$2),SUMPRODUCT(($E$4:$E$79=$E54)*($Z$2:$CG$2=CM$3)*($Z$2:$CG$2&lt;CN$3)*$Z$4:$CG$79),CM$3&lt;YEAR($X54),0,CM$3=YEAR($X54),DATEDIF($X54,DATE(CM$3,12,31),"m")*$Y54,AND(CM$3&gt;YEAR($X54),CM$3-YEAR($X54)&lt;20),$Y54*12,CM$3-YEAR($X54)=20,DATEDIF(DATE(YEAR($X54),1,1),$X54,"m")*$Y54,CM$3-YEAR($X54)&gt;20,0)</f>
        <v>24592.940000000002</v>
      </c>
      <c r="CN54" s="202" cm="1">
        <f t="array" ref="CN54">_xlfn.IFS(CN$3&lt;=YEAR($B$2),SUMPRODUCT(($E$4:$E$79=$E54)*($Z$2:$CG$2=CN$3)*($Z$2:$CG$2&lt;CO$3)*$Z$4:$CG$79),CN$3&lt;YEAR($X54),0,CN$3=YEAR($X54),DATEDIF($X54,DATE(CN$3,12,31),"m")*$Y54,AND(CN$3&gt;YEAR($X54),CN$3-YEAR($X54)&lt;20),$Y54*12,CN$3-YEAR($X54)=20,DATEDIF(DATE(YEAR($X54),1,1),$X54,"m")*$Y54,CN$3-YEAR($X54)&gt;20,0)</f>
        <v>25749.899999999998</v>
      </c>
      <c r="CO54" s="202" cm="1">
        <f t="array" ref="CO54">_xlfn.IFS(CO$3&lt;=YEAR($B$2),SUMPRODUCT(($E$4:$E$79=$E54)*($Z$2:$CG$2=CO$3)*($Z$2:$CG$2&lt;CP$3)*$Z$4:$CG$79),CO$3&lt;YEAR($X54),0,CO$3=YEAR($X54),DATEDIF($X54,DATE(CO$3,12,31),"m")*$Y54,AND(CO$3&gt;YEAR($X54),CO$3-YEAR($X54)&lt;20),$Y54*12,CO$3-YEAR($X54)=20,DATEDIF(DATE(YEAR($X54),1,1),$X54,"m")*$Y54,CO$3-YEAR($X54)&gt;20,0)</f>
        <v>25749.899999999998</v>
      </c>
      <c r="CP54" s="202" cm="1">
        <f t="array" ref="CP54">_xlfn.IFS(CP$3&lt;=YEAR($B$2),SUMPRODUCT(($E$4:$E$79=$E54)*($Z$2:$CG$2=CP$3)*($Z$2:$CG$2&lt;CQ$3)*$Z$4:$CG$79),CP$3&lt;YEAR($X54),0,CP$3=YEAR($X54),DATEDIF($X54,DATE(CP$3,12,31),"m")*$Y54,AND(CP$3&gt;YEAR($X54),CP$3-YEAR($X54)&lt;20),$Y54*12,CP$3-YEAR($X54)=20,DATEDIF(DATE(YEAR($X54),1,1),$X54,"m")*$Y54,CP$3-YEAR($X54)&gt;20,0)</f>
        <v>25749.899999999998</v>
      </c>
      <c r="CQ54" s="202" cm="1">
        <f t="array" ref="CQ54">_xlfn.IFS(CQ$3&lt;=YEAR($B$2),SUMPRODUCT(($E$4:$E$79=$E54)*($Z$2:$CG$2=CQ$3)*($Z$2:$CG$2&lt;CR$3)*$Z$4:$CG$79),CQ$3&lt;YEAR($X54),0,CQ$3=YEAR($X54),DATEDIF($X54,DATE(CQ$3,12,31),"m")*$Y54,AND(CQ$3&gt;YEAR($X54),CQ$3-YEAR($X54)&lt;20),$Y54*12,CQ$3-YEAR($X54)=20,DATEDIF(DATE(YEAR($X54),1,1),$X54,"m")*$Y54,CQ$3-YEAR($X54)&gt;20,0)</f>
        <v>25749.899999999998</v>
      </c>
      <c r="CR54" s="202" cm="1">
        <f t="array" ref="CR54">_xlfn.IFS(CR$3&lt;=YEAR($B$2),SUMPRODUCT(($E$4:$E$79=$E54)*($Z$2:$CG$2=CR$3)*($Z$2:$CG$2&lt;CS$3)*$Z$4:$CG$79),CR$3&lt;YEAR($X54),0,CR$3=YEAR($X54),DATEDIF($X54,DATE(CR$3,12,31),"m")*$Y54,AND(CR$3&gt;YEAR($X54),CR$3-YEAR($X54)&lt;20),$Y54*12,CR$3-YEAR($X54)=20,DATEDIF(DATE(YEAR($X54),1,1),$X54,"m")*$Y54,CR$3-YEAR($X54)&gt;20,0)</f>
        <v>25749.899999999998</v>
      </c>
      <c r="CS54" s="202" cm="1">
        <f t="array" ref="CS54">_xlfn.IFS(CS$3&lt;=YEAR($B$2),SUMPRODUCT(($E$4:$E$79=$E54)*($Z$2:$CG$2=CS$3)*($Z$2:$CG$2&lt;CT$3)*$Z$4:$CG$79),CS$3&lt;YEAR($X54),0,CS$3=YEAR($X54),DATEDIF($X54,DATE(CS$3,12,31),"m")*$Y54,AND(CS$3&gt;YEAR($X54),CS$3-YEAR($X54)&lt;20),$Y54*12,CS$3-YEAR($X54)=20,DATEDIF(DATE(YEAR($X54),1,1),$X54,"m")*$Y54,CS$3-YEAR($X54)&gt;20,0)</f>
        <v>25749.899999999998</v>
      </c>
      <c r="CT54" s="202" cm="1">
        <f t="array" ref="CT54">_xlfn.IFS(CT$3&lt;=YEAR($B$2),SUMPRODUCT(($E$4:$E$79=$E54)*($Z$2:$CG$2=CT$3)*($Z$2:$CG$2&lt;CU$3)*$Z$4:$CG$79),CT$3&lt;YEAR($X54),0,CT$3=YEAR($X54),DATEDIF($X54,DATE(CT$3,12,31),"m")*$Y54,AND(CT$3&gt;YEAR($X54),CT$3-YEAR($X54)&lt;20),$Y54*12,CT$3-YEAR($X54)=20,DATEDIF(DATE(YEAR($X54),1,1),$X54,"m")*$Y54,CT$3-YEAR($X54)&gt;20,0)</f>
        <v>25749.899999999998</v>
      </c>
      <c r="CU54" s="202" cm="1">
        <f t="array" ref="CU54">_xlfn.IFS(CU$3&lt;=YEAR($B$2),SUMPRODUCT(($E$4:$E$79=$E54)*($Z$2:$CG$2=CU$3)*($Z$2:$CG$2&lt;CV$3)*$Z$4:$CG$79),CU$3&lt;YEAR($X54),0,CU$3=YEAR($X54),DATEDIF($X54,DATE(CU$3,12,31),"m")*$Y54,AND(CU$3&gt;YEAR($X54),CU$3-YEAR($X54)&lt;20),$Y54*12,CU$3-YEAR($X54)=20,DATEDIF(DATE(YEAR($X54),1,1),$X54,"m")*$Y54,CU$3-YEAR($X54)&gt;20,0)</f>
        <v>25749.899999999998</v>
      </c>
      <c r="CV54" s="202" cm="1">
        <f t="array" ref="CV54">_xlfn.IFS(CV$3&lt;=YEAR($B$2),SUMPRODUCT(($E$4:$E$79=$E54)*($Z$2:$CG$2=CV$3)*($Z$2:$CG$2&lt;CW$3)*$Z$4:$CG$79),CV$3&lt;YEAR($X54),0,CV$3=YEAR($X54),DATEDIF($X54,DATE(CV$3,12,31),"m")*$Y54,AND(CV$3&gt;YEAR($X54),CV$3-YEAR($X54)&lt;20),$Y54*12,CV$3-YEAR($X54)=20,DATEDIF(DATE(YEAR($X54),1,1),$X54,"m")*$Y54,CV$3-YEAR($X54)&gt;20,0)</f>
        <v>25749.899999999998</v>
      </c>
      <c r="CW54" s="202" cm="1">
        <f t="array" ref="CW54">_xlfn.IFS(CW$3&lt;=YEAR($B$2),SUMPRODUCT(($E$4:$E$79=$E54)*($Z$2:$CG$2=CW$3)*($Z$2:$CG$2&lt;CX$3)*$Z$4:$CG$79),CW$3&lt;YEAR($X54),0,CW$3=YEAR($X54),DATEDIF($X54,DATE(CW$3,12,31),"m")*$Y54,AND(CW$3&gt;YEAR($X54),CW$3-YEAR($X54)&lt;20),$Y54*12,CW$3-YEAR($X54)=20,DATEDIF(DATE(YEAR($X54),1,1),$X54,"m")*$Y54,CW$3-YEAR($X54)&gt;20,0)</f>
        <v>25749.899999999998</v>
      </c>
      <c r="CX54" s="202" cm="1">
        <f t="array" ref="CX54">_xlfn.IFS(CX$3&lt;=YEAR($B$2),SUMPRODUCT(($E$4:$E$79=$E54)*($Z$2:$CG$2=CX$3)*($Z$2:$CG$2&lt;CY$3)*$Z$4:$CG$79),CX$3&lt;YEAR($X54),0,CX$3=YEAR($X54),DATEDIF($X54,DATE(CX$3,12,31),"m")*$Y54,AND(CX$3&gt;YEAR($X54),CX$3-YEAR($X54)&lt;20),$Y54*12,CX$3-YEAR($X54)=20,DATEDIF(DATE(YEAR($X54),1,1),$X54,"m")*$Y54,CX$3-YEAR($X54)&gt;20,0)</f>
        <v>25749.899999999998</v>
      </c>
      <c r="CY54" s="202" cm="1">
        <f t="array" ref="CY54">_xlfn.IFS(CY$3&lt;=YEAR($B$2),SUMPRODUCT(($E$4:$E$79=$E54)*($Z$2:$CG$2=CY$3)*($Z$2:$CG$2&lt;CZ$3)*$Z$4:$CG$79),CY$3&lt;YEAR($X54),0,CY$3=YEAR($X54),DATEDIF($X54,DATE(CY$3,12,31),"m")*$Y54,AND(CY$3&gt;YEAR($X54),CY$3-YEAR($X54)&lt;20),$Y54*12,CY$3-YEAR($X54)=20,DATEDIF(DATE(YEAR($X54),1,1),$X54,"m")*$Y54,CY$3-YEAR($X54)&gt;20,0)</f>
        <v>25749.899999999998</v>
      </c>
      <c r="CZ54" s="202" cm="1">
        <f t="array" ref="CZ54">_xlfn.IFS(CZ$3&lt;=YEAR($B$2),SUMPRODUCT(($E$4:$E$79=$E54)*($Z$2:$CG$2=CZ$3)*($Z$2:$CG$2&lt;DA$3)*$Z$4:$CG$79),CZ$3&lt;YEAR($X54),0,CZ$3=YEAR($X54),DATEDIF($X54,DATE(CZ$3,12,31),"m")*$Y54,AND(CZ$3&gt;YEAR($X54),CZ$3-YEAR($X54)&lt;20),$Y54*12,CZ$3-YEAR($X54)=20,DATEDIF(DATE(YEAR($X54),1,1),$X54,"m")*$Y54,CZ$3-YEAR($X54)&gt;20,0)</f>
        <v>25749.899999999998</v>
      </c>
      <c r="DA54" s="202" cm="1">
        <f t="array" ref="DA54">_xlfn.IFS(DA$3&lt;=YEAR($B$2),SUMPRODUCT(($E$4:$E$79=$E54)*($Z$2:$CG$2=DA$3)*($Z$2:$CG$2&lt;DB$3)*$Z$4:$CG$79),DA$3&lt;YEAR($X54),0,DA$3=YEAR($X54),DATEDIF($X54,DATE(DA$3,12,31),"m")*$Y54,AND(DA$3&gt;YEAR($X54),DA$3-YEAR($X54)&lt;20),$Y54*12,DA$3-YEAR($X54)=20,DATEDIF(DATE(YEAR($X54),1,1),$X54,"m")*$Y54,DA$3-YEAR($X54)&gt;20,0)</f>
        <v>25749.899999999998</v>
      </c>
      <c r="DB54" s="202" cm="1">
        <f t="array" ref="DB54">_xlfn.IFS(DB$3&lt;=YEAR($B$2),SUMPRODUCT(($E$4:$E$79=$E54)*($Z$2:$CG$2=DB$3)*($Z$2:$CG$2&lt;DC$3)*$Z$4:$CG$79),DB$3&lt;YEAR($X54),0,DB$3=YEAR($X54),DATEDIF($X54,DATE(DB$3,12,31),"m")*$Y54,AND(DB$3&gt;YEAR($X54),DB$3-YEAR($X54)&lt;20),$Y54*12,DB$3-YEAR($X54)=20,DATEDIF(DATE(YEAR($X54),1,1),$X54,"m")*$Y54,DB$3-YEAR($X54)&gt;20,0)</f>
        <v>25749.899999999998</v>
      </c>
      <c r="DC54" s="202" cm="1">
        <f t="array" ref="DC54">_xlfn.IFS(DC$3&lt;=YEAR($B$2),SUMPRODUCT(($E$4:$E$79=$E54)*($Z$2:$CG$2=DC$3)*($Z$2:$CG$2&lt;DD$3)*$Z$4:$CG$79),DC$3&lt;YEAR($X54),0,DC$3=YEAR($X54),DATEDIF($X54,DATE(DC$3,12,31),"m")*$Y54,AND(DC$3&gt;YEAR($X54),DC$3-YEAR($X54)&lt;20),$Y54*12,DC$3-YEAR($X54)=20,DATEDIF(DATE(YEAR($X54),1,1),$X54,"m")*$Y54,DC$3-YEAR($X54)&gt;20,0)</f>
        <v>25749.899999999998</v>
      </c>
      <c r="DD54" s="202" cm="1">
        <f t="array" ref="DD54">_xlfn.IFS(DD$3&lt;=YEAR($B$2),SUMPRODUCT(($E$4:$E$79=$E54)*($Z$2:$CG$2=DD$3)*($Z$2:$CG$2&lt;DE$3)*$Z$4:$CG$79),DD$3&lt;YEAR($X54),0,DD$3=YEAR($X54),DATEDIF($X54,DATE(DD$3,12,31),"m")*$Y54,AND(DD$3&gt;YEAR($X54),DD$3-YEAR($X54)&lt;20),$Y54*12,DD$3-YEAR($X54)=20,DATEDIF(DATE(YEAR($X54),1,1),$X54,"m")*$Y54,DD$3-YEAR($X54)&gt;20,0)</f>
        <v>25749.899999999998</v>
      </c>
      <c r="DE54" s="202" cm="1">
        <f t="array" ref="DE54">_xlfn.IFS(DE$3&lt;=YEAR($B$2),SUMPRODUCT(($E$4:$E$79=$E54)*($Z$2:$CG$2=DE$3)*($Z$2:$CG$2&lt;DF$3)*$Z$4:$CG$79),DE$3&lt;YEAR($X54),0,DE$3=YEAR($X54),DATEDIF($X54,DATE(DE$3,12,31),"m")*$Y54,AND(DE$3&gt;YEAR($X54),DE$3-YEAR($X54)&lt;20),$Y54*12,DE$3-YEAR($X54)=20,DATEDIF(DATE(YEAR($X54),1,1),$X54,"m")*$Y54,DE$3-YEAR($X54)&gt;20,0)</f>
        <v>25749.899999999998</v>
      </c>
      <c r="DF54" s="202" cm="1">
        <f t="array" ref="DF54">_xlfn.IFS(DF$3&lt;=YEAR($B$2),SUMPRODUCT(($E$4:$E$79=$E54)*($Z$2:$CG$2=DF$3)*($Z$2:$CG$2&lt;DG$3)*$Z$4:$CG$79),DF$3&lt;YEAR($X54),0,DF$3=YEAR($X54),DATEDIF($X54,DATE(DF$3,12,31),"m")*$Y54,AND(DF$3&gt;YEAR($X54),DF$3-YEAR($X54)&lt;20),$Y54*12,DF$3-YEAR($X54)=20,DATEDIF(DATE(YEAR($X54),1,1),$X54,"m")*$Y54,DF$3-YEAR($X54)&gt;20,0)</f>
        <v>17166.599999999999</v>
      </c>
      <c r="DG54" s="202" cm="1">
        <f t="array" ref="DG54">_xlfn.IFS(DG$3&lt;=YEAR($B$2),SUMPRODUCT(($E$4:$E$79=$E54)*($Z$2:$CG$2=DG$3)*($Z$2:$CG$2&lt;DH$3)*$Z$4:$CG$79),DG$3&lt;YEAR($X54),0,DG$3=YEAR($X54),DATEDIF($X54,DATE(DG$3,12,31),"m")*$Y54,AND(DG$3&gt;YEAR($X54),DG$3-YEAR($X54)&lt;20),$Y54*12,DG$3-YEAR($X54)=20,DATEDIF(DATE(YEAR($X54),1,1),$X54,"m")*$Y54,DG$3-YEAR($X54)&gt;20,0)</f>
        <v>0</v>
      </c>
      <c r="DH54" s="202" cm="1">
        <f t="array" ref="DH54">_xlfn.IFS(DH$3&lt;=YEAR($B$2),SUMPRODUCT(($E$4:$E$79=$E54)*($Z$2:$CG$2=DH$3)*($Z$2:$CG$2&lt;DI$3)*$Z$4:$CG$79),DH$3&lt;YEAR($X54),0,DH$3=YEAR($X54),DATEDIF($X54,DATE(DH$3,12,31),"m")*$Y54,AND(DH$3&gt;YEAR($X54),DH$3-YEAR($X54)&lt;20),$Y54*12,DH$3-YEAR($X54)=20,DATEDIF(DATE(YEAR($X54),1,1),$X54,"m")*$Y54,DH$3-YEAR($X54)&gt;20,0)</f>
        <v>0</v>
      </c>
      <c r="DI54" s="202" cm="1">
        <f t="array" ref="DI54">_xlfn.IFS(DI$3&lt;=YEAR($B$2),SUMPRODUCT(($E$4:$E$79=$E54)*($Z$2:$CG$2=DI$3)*($Z$2:$CG$2&lt;DJ$3)*$Z$4:$CG$79),DI$3&lt;YEAR($X54),0,DI$3=YEAR($X54),DATEDIF($X54,DATE(DI$3,12,31),"m")*$Y54,AND(DI$3&gt;YEAR($X54),DI$3-YEAR($X54)&lt;20),$Y54*12,DI$3-YEAR($X54)=20,DATEDIF(DATE(YEAR($X54),1,1),$X54,"m")*$Y54,DI$3-YEAR($X54)&gt;20,0)</f>
        <v>0</v>
      </c>
      <c r="DJ54" s="202" cm="1">
        <f t="array" ref="DJ54">_xlfn.IFS(DJ$3&lt;=YEAR($B$2),SUMPRODUCT(($E$4:$E$79=$E54)*($Z$2:$CG$2=DJ$3)*($Z$2:$CG$2&lt;DK$3)*$Z$4:$CG$79),DJ$3&lt;YEAR($X54),0,DJ$3=YEAR($X54),DATEDIF($X54,DATE(DJ$3,12,31),"m")*$Y54,AND(DJ$3&gt;YEAR($X54),DJ$3-YEAR($X54)&lt;20),$Y54*12,DJ$3-YEAR($X54)=20,DATEDIF(DATE(YEAR($X54),1,1),$X54,"m")*$Y54,DJ$3-YEAR($X54)&gt;20,0)</f>
        <v>0</v>
      </c>
      <c r="DK54" s="202" cm="1">
        <f t="array" ref="DK54">_xlfn.IFS(DK$3&lt;=YEAR($B$2),SUMPRODUCT(($E$4:$E$79=$E54)*($Z$2:$CG$2=DK$3)*($Z$2:$CG$2&lt;DL$3)*$Z$4:$CG$79),DK$3&lt;YEAR($X54),0,DK$3=YEAR($X54),DATEDIF($X54,DATE(DK$3,12,31),"m")*$Y54,AND(DK$3&gt;YEAR($X54),DK$3-YEAR($X54)&lt;20),$Y54*12,DK$3-YEAR($X54)=20,DATEDIF(DATE(YEAR($X54),1,1),$X54,"m")*$Y54,DK$3-YEAR($X54)&gt;20,0)</f>
        <v>0</v>
      </c>
      <c r="DL54" s="202" cm="1">
        <f t="array" ref="DL54">_xlfn.IFS(DL$3&lt;=YEAR($B$2),SUMPRODUCT(($E$4:$E$79=$E54)*($Z$2:$CG$2=DL$3)*($Z$2:$CG$2&lt;DM$3)*$Z$4:$CG$79),DL$3&lt;YEAR($X54),0,DL$3=YEAR($X54),DATEDIF($X54,DATE(DL$3,12,31),"m")*$Y54,AND(DL$3&gt;YEAR($X54),DL$3-YEAR($X54)&lt;20),$Y54*12,DL$3-YEAR($X54)=20,DATEDIF(DATE(YEAR($X54),1,1),$X54,"m")*$Y54,DL$3-YEAR($X54)&gt;20,0)</f>
        <v>0</v>
      </c>
    </row>
    <row r="55" spans="1:116">
      <c r="A55" s="155" t="str" cm="1">
        <f t="array" ref="A55">INDEX('Monthly Report July 2025'!C:C,MATCH(E55,'Monthly Report July 2025'!E:E,0),0)</f>
        <v>OCS057</v>
      </c>
      <c r="B55" s="155" t="str" cm="1">
        <f t="array" ref="B55">_xlfn.IFS(LEFT(E55,3)="PGE","PGE",LEFT(E55,2)="PP","PAC",TRUE,"IP")</f>
        <v>PAC</v>
      </c>
      <c r="C55" s="155" t="str">
        <f>IF(ISNA(MATCH(E55,'Monthly Report July 2025'!E:E,0)),"Missing","Present")</f>
        <v>Present</v>
      </c>
      <c r="D55" s="155" t="str">
        <f>IF(ISNA(MATCH(E55,'Project Operational Timelines'!C:C,0))=TRUE,"Missing","Present")</f>
        <v>Present</v>
      </c>
      <c r="E55" s="155" t="s">
        <v>163</v>
      </c>
      <c r="F55" s="155" t="str" cm="1">
        <f t="array" ref="F55">INDEX('Monthly Report July 2025'!F:F,MATCH(E55,'Monthly Report July 2025'!E:E,),0)</f>
        <v>Perrydale Solar</v>
      </c>
      <c r="G55" s="155" t="str" cm="1">
        <f t="array" ref="G55">_xlfn.IFS(INDEX('Monthly Report July 2025'!O:O,MATCH(E55,'Monthly Report July 2025'!E:E,0),0)="Operational","Operational",INDEX('Monthly Report July 2025'!O:O,MATCH(E55,'Monthly Report July 2025'!E:E,0),0)="Certified","Certified",TRUE,"Pre-Certified")</f>
        <v>Pre-Certified</v>
      </c>
      <c r="H55" s="155" t="str" cm="1">
        <f t="array" ref="H55">INDEX('Monthly Report July 2025'!H:H,MATCH($E55,'Monthly Report July 2025'!$E:$E,0),0)</f>
        <v>Sulus; SolRiver Capital</v>
      </c>
      <c r="I55" s="155" t="str" cm="1">
        <f t="array" ref="I55">INDEX('Monthly Report July 2025'!I:I,MATCH($E55,'Monthly Report July 2025'!$E:$E,0),0)</f>
        <v>Evergreen</v>
      </c>
      <c r="J55" s="174" cm="1">
        <f t="array" ref="J55">INDEX('Monthly Report July 2025'!J:J,MATCH($E55,'Monthly Report July 2025'!$E:$E,0),0)</f>
        <v>2</v>
      </c>
      <c r="K55" s="174" t="str" cm="1">
        <f t="array" ref="K55">INDEX('Monthly Report July 2025'!K:K,MATCH($E55,'Monthly Report July 2025'!$E:$E,0),0)</f>
        <v>No</v>
      </c>
      <c r="L55" s="174" t="b" cm="1">
        <f t="array" ref="L55">INDEX('Monthly Report July 2025'!L:L,MATCH(E55,'Monthly Report July 2025'!E:E,0),0)=M55</f>
        <v>1</v>
      </c>
      <c r="M55" s="273" cm="1">
        <f t="array" ref="M55">INDEX('Monthly Report July 2025'!L:L,MATCH($E55,'Monthly Report July 2025'!$E:$E,0),0)</f>
        <v>999.99</v>
      </c>
      <c r="N55" s="175" cm="1">
        <f t="array" ref="N55">INDEX('Monthly Report July 2025'!M:M,MATCH($E55,'Monthly Report July 2025'!$E:$E,0),0)</f>
        <v>44666</v>
      </c>
      <c r="O55" s="175" cm="1">
        <f t="array" ref="O55">_xlfn.IFS(G55="Operational","Operational",G55="Certified","Certified",TRUE,INDEX('Monthly Report July 2025'!O:O,MATCH(E55,'Monthly Report July 2025'!E:E,0),0))</f>
        <v>45827</v>
      </c>
      <c r="P55" s="175" t="b" cm="1">
        <f t="array" ref="P55">_xlfn.IFS(G55="Operational",O55="Operational",G55="Certified",O55="Certified",TRUE,G55="Pre-Certified")</f>
        <v>1</v>
      </c>
      <c r="Q55" s="175" t="str" cm="1">
        <f t="array" ref="Q55">IF(O55="Operational",INDEX('Monthly Report July 2025'!R:R,MATCH(E55,'Monthly Report July 2025'!E:E,0),0),"")</f>
        <v/>
      </c>
      <c r="R55" s="175" t="str" cm="1">
        <f t="array" ref="R55">INDEX('Monthly Report July 2025'!P:P,MATCH(E55,'Monthly Report July 2025'!E:E,0),0)</f>
        <v>Not Yet Certified</v>
      </c>
      <c r="S55" s="175" t="b">
        <f t="shared" si="28"/>
        <v>1</v>
      </c>
      <c r="T55" s="175" cm="1">
        <f t="array" ref="T55">INDEX('Monthly Report July 2025'!U:U,MATCH(E55,'Monthly Report July 2025'!E:E,0),0)</f>
        <v>45786</v>
      </c>
      <c r="U55" s="175" t="b">
        <f t="shared" si="6"/>
        <v>1</v>
      </c>
      <c r="V55" s="156">
        <f t="shared" si="29"/>
        <v>45827</v>
      </c>
      <c r="W55" s="156" cm="1">
        <f t="array" ref="W55">_xlfn.IFS(U55=TRUE,EDATE(O55,6),U55=FALSE,T55,O55="Operational",Q55,AND(O55="Certified",EDATE(R55,6)&gt;T55),EDATE(R55,6),TRUE,T55)</f>
        <v>46010</v>
      </c>
      <c r="X55" s="156">
        <f t="shared" si="30"/>
        <v>46072</v>
      </c>
      <c r="Y55" s="157">
        <f t="shared" si="31"/>
        <v>722.49277499999994</v>
      </c>
      <c r="Z55" s="202" cm="1">
        <f t="array" ref="Z55">_xlfn.IFS(Z$3&lt;$B$2,SUMPRODUCT(('PA Fees Actual'!$B$5:$B$882=$E55)*('PA Fees Actual'!$A$5:$A$882&gt;=Z$3)*('PA Fees Actual'!$A$5:$A$882&lt;=EOMONTH(Z$3,0))*'PA Fees Actual'!$D$5:$D$882),Z$3&gt;=EOMONTH($X55,-1)+1,$Y55,TRUE,0)</f>
        <v>0</v>
      </c>
      <c r="AA55" s="202" cm="1">
        <f t="array" ref="AA55">_xlfn.IFS(AA$3&lt;$B$2,SUMPRODUCT(('PA Fees Actual'!$B$5:$B$882=$E55)*('PA Fees Actual'!$A$5:$A$882&gt;=AA$3)*('PA Fees Actual'!$A$5:$A$882&lt;=EOMONTH(AA$3,0))*'PA Fees Actual'!$D$5:$D$882),AA$3&gt;=EOMONTH($X55,-1)+1,$Y55,TRUE,0)</f>
        <v>0</v>
      </c>
      <c r="AB55" s="202" cm="1">
        <f t="array" ref="AB55">_xlfn.IFS(AB$3&lt;$B$2,SUMPRODUCT(('PA Fees Actual'!$B$5:$B$882=$E55)*('PA Fees Actual'!$A$5:$A$882&gt;=AB$3)*('PA Fees Actual'!$A$5:$A$882&lt;=EOMONTH(AB$3,0))*'PA Fees Actual'!$D$5:$D$882),AB$3&gt;=EOMONTH($X55,-1)+1,$Y55,TRUE,0)</f>
        <v>0</v>
      </c>
      <c r="AC55" s="202" cm="1">
        <f t="array" ref="AC55">_xlfn.IFS(AC$3&lt;$B$2,SUMPRODUCT(('PA Fees Actual'!$B$5:$B$882=$E55)*('PA Fees Actual'!$A$5:$A$882&gt;=AC$3)*('PA Fees Actual'!$A$5:$A$882&lt;=EOMONTH(AC$3,0))*'PA Fees Actual'!$D$5:$D$882),AC$3&gt;=EOMONTH($X55,-1)+1,$Y55,TRUE,0)</f>
        <v>0</v>
      </c>
      <c r="AD55" s="202" cm="1">
        <f t="array" ref="AD55">_xlfn.IFS(AD$3&lt;$B$2,SUMPRODUCT(('PA Fees Actual'!$B$5:$B$882=$E55)*('PA Fees Actual'!$A$5:$A$882&gt;=AD$3)*('PA Fees Actual'!$A$5:$A$882&lt;=EOMONTH(AD$3,0))*'PA Fees Actual'!$D$5:$D$882),AD$3&gt;=EOMONTH($X55,-1)+1,$Y55,TRUE,0)</f>
        <v>0</v>
      </c>
      <c r="AE55" s="202" cm="1">
        <f t="array" ref="AE55">_xlfn.IFS(AE$3&lt;$B$2,SUMPRODUCT(('PA Fees Actual'!$B$5:$B$882=$E55)*('PA Fees Actual'!$A$5:$A$882&gt;=AE$3)*('PA Fees Actual'!$A$5:$A$882&lt;=EOMONTH(AE$3,0))*'PA Fees Actual'!$D$5:$D$882),AE$3&gt;=EOMONTH($X55,-1)+1,$Y55,TRUE,0)</f>
        <v>0</v>
      </c>
      <c r="AF55" s="202" cm="1">
        <f t="array" ref="AF55">_xlfn.IFS(AF$3&lt;$B$2,SUMPRODUCT(('PA Fees Actual'!$B$5:$B$882=$E55)*('PA Fees Actual'!$A$5:$A$882&gt;=AF$3)*('PA Fees Actual'!$A$5:$A$882&lt;=EOMONTH(AF$3,0))*'PA Fees Actual'!$D$5:$D$882),AF$3&gt;=EOMONTH($X55,-1)+1,$Y55,TRUE,0)</f>
        <v>0</v>
      </c>
      <c r="AG55" s="202" cm="1">
        <f t="array" ref="AG55">_xlfn.IFS(AG$3&lt;$B$2,SUMPRODUCT(('PA Fees Actual'!$B$5:$B$882=$E55)*('PA Fees Actual'!$A$5:$A$882&gt;=AG$3)*('PA Fees Actual'!$A$5:$A$882&lt;=EOMONTH(AG$3,0))*'PA Fees Actual'!$D$5:$D$882),AG$3&gt;=EOMONTH($X55,-1)+1,$Y55,TRUE,0)</f>
        <v>0</v>
      </c>
      <c r="AH55" s="202" cm="1">
        <f t="array" ref="AH55">_xlfn.IFS(AH$3&lt;$B$2,SUMPRODUCT(('PA Fees Actual'!$B$5:$B$882=$E55)*('PA Fees Actual'!$A$5:$A$882&gt;=AH$3)*('PA Fees Actual'!$A$5:$A$882&lt;=EOMONTH(AH$3,0))*'PA Fees Actual'!$D$5:$D$882),AH$3&gt;=EOMONTH($X55,-1)+1,$Y55,TRUE,0)</f>
        <v>0</v>
      </c>
      <c r="AI55" s="202" cm="1">
        <f t="array" ref="AI55">_xlfn.IFS(AI$3&lt;$B$2,SUMPRODUCT(('PA Fees Actual'!$B$5:$B$882=$E55)*('PA Fees Actual'!$A$5:$A$882&gt;=AI$3)*('PA Fees Actual'!$A$5:$A$882&lt;=EOMONTH(AI$3,0))*'PA Fees Actual'!$D$5:$D$882),AI$3&gt;=EOMONTH($X55,-1)+1,$Y55,TRUE,0)</f>
        <v>0</v>
      </c>
      <c r="AJ55" s="202" cm="1">
        <f t="array" ref="AJ55">_xlfn.IFS(AJ$3&lt;$B$2,SUMPRODUCT(('PA Fees Actual'!$B$5:$B$882=$E55)*('PA Fees Actual'!$A$5:$A$882&gt;=AJ$3)*('PA Fees Actual'!$A$5:$A$882&lt;=EOMONTH(AJ$3,0))*'PA Fees Actual'!$D$5:$D$882),AJ$3&gt;=EOMONTH($X55,-1)+1,$Y55,TRUE,0)</f>
        <v>0</v>
      </c>
      <c r="AK55" s="202" cm="1">
        <f t="array" ref="AK55">_xlfn.IFS(AK$3&lt;$B$2,SUMPRODUCT(('PA Fees Actual'!$B$5:$B$882=$E55)*('PA Fees Actual'!$A$5:$A$882&gt;=AK$3)*('PA Fees Actual'!$A$5:$A$882&lt;=EOMONTH(AK$3,0))*'PA Fees Actual'!$D$5:$D$882),AK$3&gt;=EOMONTH($X55,-1)+1,$Y55,TRUE,0)</f>
        <v>0</v>
      </c>
      <c r="AL55" s="202" cm="1">
        <f t="array" ref="AL55">_xlfn.IFS(AL$3&lt;$B$2,SUMPRODUCT(('PA Fees Actual'!$B$5:$B$882=$E55)*('PA Fees Actual'!$A$5:$A$882&gt;=AL$3)*('PA Fees Actual'!$A$5:$A$882&lt;=EOMONTH(AL$3,0))*'PA Fees Actual'!$D$5:$D$882),AL$3&gt;=EOMONTH($X55,-1)+1,$Y55,TRUE,0)</f>
        <v>0</v>
      </c>
      <c r="AM55" s="202" cm="1">
        <f t="array" ref="AM55">_xlfn.IFS(AM$3&lt;$B$2,SUMPRODUCT(('PA Fees Actual'!$B$5:$B$882=$E55)*('PA Fees Actual'!$A$5:$A$882&gt;=AM$3)*('PA Fees Actual'!$A$5:$A$882&lt;=EOMONTH(AM$3,0))*'PA Fees Actual'!$D$5:$D$882),AM$3&gt;=EOMONTH($X55,-1)+1,$Y55,TRUE,0)</f>
        <v>0</v>
      </c>
      <c r="AN55" s="202" cm="1">
        <f t="array" ref="AN55">_xlfn.IFS(AN$3&lt;$B$2,SUMPRODUCT(('PA Fees Actual'!$B$5:$B$882=$E55)*('PA Fees Actual'!$A$5:$A$882&gt;=AN$3)*('PA Fees Actual'!$A$5:$A$882&lt;=EOMONTH(AN$3,0))*'PA Fees Actual'!$D$5:$D$882),AN$3&gt;=EOMONTH($X55,-1)+1,$Y55,TRUE,0)</f>
        <v>0</v>
      </c>
      <c r="AO55" s="202" cm="1">
        <f t="array" ref="AO55">_xlfn.IFS(AO$3&lt;$B$2,SUMPRODUCT(('PA Fees Actual'!$B$5:$B$882=$E55)*('PA Fees Actual'!$A$5:$A$882&gt;=AO$3)*('PA Fees Actual'!$A$5:$A$882&lt;=EOMONTH(AO$3,0))*'PA Fees Actual'!$D$5:$D$882),AO$3&gt;=EOMONTH($X55,-1)+1,$Y55,TRUE,0)</f>
        <v>0</v>
      </c>
      <c r="AP55" s="202" cm="1">
        <f t="array" ref="AP55">_xlfn.IFS(AP$3&lt;$B$2,SUMPRODUCT(('PA Fees Actual'!$B$5:$B$882=$E55)*('PA Fees Actual'!$A$5:$A$882&gt;=AP$3)*('PA Fees Actual'!$A$5:$A$882&lt;=EOMONTH(AP$3,0))*'PA Fees Actual'!$D$5:$D$882),AP$3&gt;=EOMONTH($X55,-1)+1,$Y55,TRUE,0)</f>
        <v>0</v>
      </c>
      <c r="AQ55" s="202" cm="1">
        <f t="array" ref="AQ55">_xlfn.IFS(AQ$3&lt;$B$2,SUMPRODUCT(('PA Fees Actual'!$B$5:$B$882=$E55)*('PA Fees Actual'!$A$5:$A$882&gt;=AQ$3)*('PA Fees Actual'!$A$5:$A$882&lt;=EOMONTH(AQ$3,0))*'PA Fees Actual'!$D$5:$D$882),AQ$3&gt;=EOMONTH($X55,-1)+1,$Y55,TRUE,0)</f>
        <v>0</v>
      </c>
      <c r="AR55" s="202" cm="1">
        <f t="array" ref="AR55">_xlfn.IFS(AR$3&lt;$B$2,SUMPRODUCT(('PA Fees Actual'!$B$5:$B$882=$E55)*('PA Fees Actual'!$A$5:$A$882&gt;=AR$3)*('PA Fees Actual'!$A$5:$A$882&lt;=EOMONTH(AR$3,0))*'PA Fees Actual'!$D$5:$D$882),AR$3&gt;=EOMONTH($X55,-1)+1,$Y55,TRUE,0)</f>
        <v>0</v>
      </c>
      <c r="AS55" s="202" cm="1">
        <f t="array" ref="AS55">_xlfn.IFS(AS$3&lt;$B$2,SUMPRODUCT(('PA Fees Actual'!$B$5:$B$882=$E55)*('PA Fees Actual'!$A$5:$A$882&gt;=AS$3)*('PA Fees Actual'!$A$5:$A$882&lt;=EOMONTH(AS$3,0))*'PA Fees Actual'!$D$5:$D$882),AS$3&gt;=EOMONTH($X55,-1)+1,$Y55,TRUE,0)</f>
        <v>0</v>
      </c>
      <c r="AT55" s="202" cm="1">
        <f t="array" ref="AT55">_xlfn.IFS(AT$3&lt;$B$2,SUMPRODUCT(('PA Fees Actual'!$B$5:$B$882=$E55)*('PA Fees Actual'!$A$5:$A$882&gt;=AT$3)*('PA Fees Actual'!$A$5:$A$882&lt;=EOMONTH(AT$3,0))*'PA Fees Actual'!$D$5:$D$882),AT$3&gt;=EOMONTH($X55,-1)+1,$Y55,TRUE,0)</f>
        <v>0</v>
      </c>
      <c r="AU55" s="202" cm="1">
        <f t="array" ref="AU55">_xlfn.IFS(AU$3&lt;$B$2,SUMPRODUCT(('PA Fees Actual'!$B$5:$B$882=$E55)*('PA Fees Actual'!$A$5:$A$882&gt;=AU$3)*('PA Fees Actual'!$A$5:$A$882&lt;=EOMONTH(AU$3,0))*'PA Fees Actual'!$D$5:$D$882),AU$3&gt;=EOMONTH($X55,-1)+1,$Y55,TRUE,0)</f>
        <v>0</v>
      </c>
      <c r="AV55" s="202" cm="1">
        <f t="array" ref="AV55">_xlfn.IFS(AV$3&lt;$B$2,SUMPRODUCT(('PA Fees Actual'!$B$5:$B$882=$E55)*('PA Fees Actual'!$A$5:$A$882&gt;=AV$3)*('PA Fees Actual'!$A$5:$A$882&lt;=EOMONTH(AV$3,0))*'PA Fees Actual'!$D$5:$D$882),AV$3&gt;=EOMONTH($X55,-1)+1,$Y55,TRUE,0)</f>
        <v>0</v>
      </c>
      <c r="AW55" s="202" cm="1">
        <f t="array" ref="AW55">_xlfn.IFS(AW$3&lt;$B$2,SUMPRODUCT(('PA Fees Actual'!$B$5:$B$882=$E55)*('PA Fees Actual'!$A$5:$A$882&gt;=AW$3)*('PA Fees Actual'!$A$5:$A$882&lt;=EOMONTH(AW$3,0))*'PA Fees Actual'!$D$5:$D$882),AW$3&gt;=EOMONTH($X55,-1)+1,$Y55,TRUE,0)</f>
        <v>0</v>
      </c>
      <c r="AX55" s="202" cm="1">
        <f t="array" ref="AX55">_xlfn.IFS(AX$3&lt;$B$2,SUMPRODUCT(('PA Fees Actual'!$B$5:$B$882=$E55)*('PA Fees Actual'!$A$5:$A$882&gt;=AX$3)*('PA Fees Actual'!$A$5:$A$882&lt;=EOMONTH(AX$3,0))*'PA Fees Actual'!$D$5:$D$882),AX$3&gt;=EOMONTH($X55,-1)+1,$Y55,TRUE,0)</f>
        <v>0</v>
      </c>
      <c r="AY55" s="202" cm="1">
        <f t="array" ref="AY55">_xlfn.IFS(AY$3&lt;$B$2,SUMPRODUCT(('PA Fees Actual'!$B$5:$B$882=$E55)*('PA Fees Actual'!$A$5:$A$882&gt;=AY$3)*('PA Fees Actual'!$A$5:$A$882&lt;=EOMONTH(AY$3,0))*'PA Fees Actual'!$D$5:$D$882),AY$3&gt;=EOMONTH($X55,-1)+1,$Y55,TRUE,0)</f>
        <v>0</v>
      </c>
      <c r="AZ55" s="202" cm="1">
        <f t="array" ref="AZ55">_xlfn.IFS(AZ$3&lt;$B$2,SUMPRODUCT(('PA Fees Actual'!$B$5:$B$882=$E55)*('PA Fees Actual'!$A$5:$A$882&gt;=AZ$3)*('PA Fees Actual'!$A$5:$A$882&lt;=EOMONTH(AZ$3,0))*'PA Fees Actual'!$D$5:$D$882),AZ$3&gt;=EOMONTH($X55,-1)+1,$Y55,TRUE,0)</f>
        <v>0</v>
      </c>
      <c r="BA55" s="202" cm="1">
        <f t="array" ref="BA55">_xlfn.IFS(BA$3&lt;$B$2,SUMPRODUCT(('PA Fees Actual'!$B$5:$B$882=$E55)*('PA Fees Actual'!$A$5:$A$882&gt;=BA$3)*('PA Fees Actual'!$A$5:$A$882&lt;=EOMONTH(BA$3,0))*'PA Fees Actual'!$D$5:$D$882),BA$3&gt;=EOMONTH($X55,-1)+1,$Y55,TRUE,0)</f>
        <v>0</v>
      </c>
      <c r="BB55" s="202" cm="1">
        <f t="array" ref="BB55">_xlfn.IFS(BB$3&lt;$B$2,SUMPRODUCT(('PA Fees Actual'!$B$5:$B$882=$E55)*('PA Fees Actual'!$A$5:$A$882&gt;=BB$3)*('PA Fees Actual'!$A$5:$A$882&lt;=EOMONTH(BB$3,0))*'PA Fees Actual'!$D$5:$D$882),BB$3&gt;=EOMONTH($X55,-1)+1,$Y55,TRUE,0)</f>
        <v>0</v>
      </c>
      <c r="BC55" s="202" cm="1">
        <f t="array" ref="BC55">_xlfn.IFS(BC$3&lt;$B$2,SUMPRODUCT(('PA Fees Actual'!$B$5:$B$882=$E55)*('PA Fees Actual'!$A$5:$A$882&gt;=BC$3)*('PA Fees Actual'!$A$5:$A$882&lt;=EOMONTH(BC$3,0))*'PA Fees Actual'!$D$5:$D$882),BC$3&gt;=EOMONTH($X55,-1)+1,$Y55,TRUE,0)</f>
        <v>0</v>
      </c>
      <c r="BD55" s="202" cm="1">
        <f t="array" ref="BD55">_xlfn.IFS(BD$3&lt;$B$2,SUMPRODUCT(('PA Fees Actual'!$B$5:$B$882=$E55)*('PA Fees Actual'!$A$5:$A$882&gt;=BD$3)*('PA Fees Actual'!$A$5:$A$882&lt;=EOMONTH(BD$3,0))*'PA Fees Actual'!$D$5:$D$882),BD$3&gt;=EOMONTH($X55,-1)+1,$Y55,TRUE,0)</f>
        <v>0</v>
      </c>
      <c r="BE55" s="202" cm="1">
        <f t="array" ref="BE55">_xlfn.IFS(BE$3&lt;$B$2,SUMPRODUCT(('PA Fees Actual'!$B$5:$B$882=$E55)*('PA Fees Actual'!$A$5:$A$882&gt;=BE$3)*('PA Fees Actual'!$A$5:$A$882&lt;=EOMONTH(BE$3,0))*'PA Fees Actual'!$D$5:$D$882),BE$3&gt;=EOMONTH($X55,-1)+1,$Y55,TRUE,0)</f>
        <v>0</v>
      </c>
      <c r="BF55" s="202" cm="1">
        <f t="array" ref="BF55">_xlfn.IFS(BF$3&lt;$B$2,SUMPRODUCT(('PA Fees Actual'!$B$5:$B$882=$E55)*('PA Fees Actual'!$A$5:$A$882&gt;=BF$3)*('PA Fees Actual'!$A$5:$A$882&lt;=EOMONTH(BF$3,0))*'PA Fees Actual'!$D$5:$D$882),BF$3&gt;=EOMONTH($X55,-1)+1,$Y55,TRUE,0)</f>
        <v>0</v>
      </c>
      <c r="BG55" s="202" cm="1">
        <f t="array" ref="BG55">_xlfn.IFS(BG$3&lt;$B$2,SUMPRODUCT(('PA Fees Actual'!$B$5:$B$882=$E55)*('PA Fees Actual'!$A$5:$A$882&gt;=BG$3)*('PA Fees Actual'!$A$5:$A$882&lt;=EOMONTH(BG$3,0))*'PA Fees Actual'!$D$5:$D$882),BG$3&gt;=EOMONTH($X55,-1)+1,$Y55,TRUE,0)</f>
        <v>0</v>
      </c>
      <c r="BH55" s="202" cm="1">
        <f t="array" ref="BH55">_xlfn.IFS(BH$3&lt;$B$2,SUMPRODUCT(('PA Fees Actual'!$B$5:$B$882=$E55)*('PA Fees Actual'!$A$5:$A$882&gt;=BH$3)*('PA Fees Actual'!$A$5:$A$882&lt;=EOMONTH(BH$3,0))*'PA Fees Actual'!$D$5:$D$882),BH$3&gt;=EOMONTH($X55,-1)+1,$Y55,TRUE,0)</f>
        <v>0</v>
      </c>
      <c r="BI55" s="202" cm="1">
        <f t="array" ref="BI55">_xlfn.IFS(BI$3&lt;$B$2,SUMPRODUCT(('PA Fees Actual'!$B$5:$B$882=$E55)*('PA Fees Actual'!$A$5:$A$882&gt;=BI$3)*('PA Fees Actual'!$A$5:$A$882&lt;=EOMONTH(BI$3,0))*'PA Fees Actual'!$D$5:$D$882),BI$3&gt;=EOMONTH($X55,-1)+1,$Y55,TRUE,0)</f>
        <v>0</v>
      </c>
      <c r="BJ55" s="202" cm="1">
        <f t="array" ref="BJ55">_xlfn.IFS(BJ$3&lt;$B$2,SUMPRODUCT(('PA Fees Actual'!$B$5:$B$882=$E55)*('PA Fees Actual'!$A$5:$A$882&gt;=BJ$3)*('PA Fees Actual'!$A$5:$A$882&lt;=EOMONTH(BJ$3,0))*'PA Fees Actual'!$D$5:$D$882),BJ$3&gt;=EOMONTH($X55,-1)+1,$Y55,TRUE,0)</f>
        <v>0</v>
      </c>
      <c r="BK55" s="202" cm="1">
        <f t="array" ref="BK55">_xlfn.IFS(BK$3&lt;$B$2,SUMPRODUCT(('PA Fees Actual'!$B$5:$B$882=$E55)*('PA Fees Actual'!$A$5:$A$882&gt;=BK$3)*('PA Fees Actual'!$A$5:$A$882&lt;=EOMONTH(BK$3,0))*'PA Fees Actual'!$D$5:$D$882),BK$3&gt;=EOMONTH($X55,-1)+1,$Y55,TRUE,0)</f>
        <v>0</v>
      </c>
      <c r="BL55" s="202" cm="1">
        <f t="array" ref="BL55">_xlfn.IFS(BL$3&lt;$B$2,SUMPRODUCT(('PA Fees Actual'!$B$5:$B$882=$E55)*('PA Fees Actual'!$A$5:$A$882&gt;=BL$3)*('PA Fees Actual'!$A$5:$A$882&lt;=EOMONTH(BL$3,0))*'PA Fees Actual'!$D$5:$D$882),BL$3&gt;=EOMONTH($X55,-1)+1,$Y55,TRUE,0)</f>
        <v>0</v>
      </c>
      <c r="BM55" s="202" cm="1">
        <f t="array" ref="BM55">_xlfn.IFS(BM$3&lt;$B$2,SUMPRODUCT(('PA Fees Actual'!$B$5:$B$882=$E55)*('PA Fees Actual'!$A$5:$A$882&gt;=BM$3)*('PA Fees Actual'!$A$5:$A$882&lt;=EOMONTH(BM$3,0))*'PA Fees Actual'!$D$5:$D$882),BM$3&gt;=EOMONTH($X55,-1)+1,$Y55,TRUE,0)</f>
        <v>0</v>
      </c>
      <c r="BN55" s="202" cm="1">
        <f t="array" ref="BN55">_xlfn.IFS(BN$3&lt;$B$2,SUMPRODUCT(('PA Fees Actual'!$B$5:$B$882=$E55)*('PA Fees Actual'!$A$5:$A$882&gt;=BN$3)*('PA Fees Actual'!$A$5:$A$882&lt;=EOMONTH(BN$3,0))*'PA Fees Actual'!$D$5:$D$882),BN$3&gt;=EOMONTH($X55,-1)+1,$Y55,TRUE,0)</f>
        <v>0</v>
      </c>
      <c r="BO55" s="202" cm="1">
        <f t="array" ref="BO55">_xlfn.IFS(BO$3&lt;$B$2,SUMPRODUCT(('PA Fees Actual'!$B$5:$B$882=$E55)*('PA Fees Actual'!$A$5:$A$882&gt;=BO$3)*('PA Fees Actual'!$A$5:$A$882&lt;=EOMONTH(BO$3,0))*'PA Fees Actual'!$D$5:$D$882),BO$3&gt;=EOMONTH($X55,-1)+1,$Y55,TRUE,0)</f>
        <v>0</v>
      </c>
      <c r="BP55" s="202" cm="1">
        <f t="array" ref="BP55">_xlfn.IFS(BP$3&lt;$B$2,SUMPRODUCT(('PA Fees Actual'!$B$5:$B$882=$E55)*('PA Fees Actual'!$A$5:$A$882&gt;=BP$3)*('PA Fees Actual'!$A$5:$A$882&lt;=EOMONTH(BP$3,0))*'PA Fees Actual'!$D$5:$D$882),BP$3&gt;=EOMONTH($X55,-1)+1,$Y55,TRUE,0)</f>
        <v>0</v>
      </c>
      <c r="BQ55" s="202" cm="1">
        <f t="array" ref="BQ55">_xlfn.IFS(BQ$3&lt;$B$2,SUMPRODUCT(('PA Fees Actual'!$B$5:$B$882=$E55)*('PA Fees Actual'!$A$5:$A$882&gt;=BQ$3)*('PA Fees Actual'!$A$5:$A$882&lt;=EOMONTH(BQ$3,0))*'PA Fees Actual'!$D$5:$D$882),BQ$3&gt;=EOMONTH($X55,-1)+1,$Y55,TRUE,0)</f>
        <v>0</v>
      </c>
      <c r="BR55" s="202" cm="1">
        <f t="array" ref="BR55">_xlfn.IFS(BR$3&lt;$B$2,SUMPRODUCT(('PA Fees Actual'!$B$5:$B$882=$E55)*('PA Fees Actual'!$A$5:$A$882&gt;=BR$3)*('PA Fees Actual'!$A$5:$A$882&lt;=EOMONTH(BR$3,0))*'PA Fees Actual'!$D$5:$D$882),BR$3&gt;=EOMONTH($X55,-1)+1,$Y55,TRUE,0)</f>
        <v>0</v>
      </c>
      <c r="BS55" s="202" cm="1">
        <f t="array" ref="BS55">_xlfn.IFS(BS$3&lt;$B$2,SUMPRODUCT(('PA Fees Actual'!$B$5:$B$882=$E55)*('PA Fees Actual'!$A$5:$A$882&gt;=BS$3)*('PA Fees Actual'!$A$5:$A$882&lt;=EOMONTH(BS$3,0))*'PA Fees Actual'!$D$5:$D$882),BS$3&gt;=EOMONTH($X55,-1)+1,$Y55,TRUE,0)</f>
        <v>0</v>
      </c>
      <c r="BT55" s="202" cm="1">
        <f t="array" ref="BT55">_xlfn.IFS(BT$3&lt;$B$2,SUMPRODUCT(('PA Fees Actual'!$B$5:$B$882=$E55)*('PA Fees Actual'!$A$5:$A$882&gt;=BT$3)*('PA Fees Actual'!$A$5:$A$882&lt;=EOMONTH(BT$3,0))*'PA Fees Actual'!$D$5:$D$882),BT$3&gt;=EOMONTH($X55,-1)+1,$Y55,TRUE,0)</f>
        <v>0</v>
      </c>
      <c r="BU55" s="202" cm="1">
        <f t="array" ref="BU55">_xlfn.IFS(BU$3&lt;$B$2,SUMPRODUCT(('PA Fees Actual'!$B$5:$B$882=$E55)*('PA Fees Actual'!$A$5:$A$882&gt;=BU$3)*('PA Fees Actual'!$A$5:$A$882&lt;=EOMONTH(BU$3,0))*'PA Fees Actual'!$D$5:$D$882),BU$3&gt;=EOMONTH($X55,-1)+1,$Y55,TRUE,0)</f>
        <v>0</v>
      </c>
      <c r="BV55" s="202" cm="1">
        <f t="array" ref="BV55">_xlfn.IFS(BV$3&lt;$B$2,SUMPRODUCT(('PA Fees Actual'!$B$5:$B$882=$E55)*('PA Fees Actual'!$A$5:$A$882&gt;=BV$3)*('PA Fees Actual'!$A$5:$A$882&lt;=EOMONTH(BV$3,0))*'PA Fees Actual'!$D$5:$D$882),BV$3&gt;=EOMONTH($X55,-1)+1,$Y55,TRUE,0)</f>
        <v>0</v>
      </c>
      <c r="BW55" s="202" cm="1">
        <f t="array" ref="BW55">_xlfn.IFS(BW$3&lt;$B$2,SUMPRODUCT(('PA Fees Actual'!$B$5:$B$882=$E55)*('PA Fees Actual'!$A$5:$A$882&gt;=BW$3)*('PA Fees Actual'!$A$5:$A$882&lt;=EOMONTH(BW$3,0))*'PA Fees Actual'!$D$5:$D$882),BW$3&gt;=EOMONTH($X55,-1)+1,$Y55,TRUE,0)</f>
        <v>0</v>
      </c>
      <c r="BX55" s="202" cm="1">
        <f t="array" ref="BX55">_xlfn.IFS(BX$3&lt;$B$2,SUMPRODUCT(('PA Fees Actual'!$B$5:$B$882=$E55)*('PA Fees Actual'!$A$5:$A$882&gt;=BX$3)*('PA Fees Actual'!$A$5:$A$882&lt;=EOMONTH(BX$3,0))*'PA Fees Actual'!$D$5:$D$882),BX$3&gt;=EOMONTH($X55,-1)+1,$Y55,TRUE,0)</f>
        <v>0</v>
      </c>
      <c r="BY55" s="202" cm="1">
        <f t="array" ref="BY55">_xlfn.IFS(BY$3&lt;$B$2,SUMPRODUCT(('PA Fees Actual'!$B$5:$B$882=$E55)*('PA Fees Actual'!$A$5:$A$882&gt;=BY$3)*('PA Fees Actual'!$A$5:$A$882&lt;=EOMONTH(BY$3,0))*'PA Fees Actual'!$D$5:$D$882),BY$3&gt;=EOMONTH($X55,-1)+1,$Y55,TRUE,0)</f>
        <v>0</v>
      </c>
      <c r="BZ55" s="202" cm="1">
        <f t="array" ref="BZ55">_xlfn.IFS(BZ$3&lt;$B$2,SUMPRODUCT(('PA Fees Actual'!$B$5:$B$882=$E55)*('PA Fees Actual'!$A$5:$A$882&gt;=BZ$3)*('PA Fees Actual'!$A$5:$A$882&lt;=EOMONTH(BZ$3,0))*'PA Fees Actual'!$D$5:$D$882),BZ$3&gt;=EOMONTH($X55,-1)+1,$Y55,TRUE,0)</f>
        <v>0</v>
      </c>
      <c r="CA55" s="202" cm="1">
        <f t="array" ref="CA55">_xlfn.IFS(CA$3&lt;$B$2,SUMPRODUCT(('PA Fees Actual'!$B$5:$B$882=$E55)*('PA Fees Actual'!$A$5:$A$882&gt;=CA$3)*('PA Fees Actual'!$A$5:$A$882&lt;=EOMONTH(CA$3,0))*'PA Fees Actual'!$D$5:$D$882),CA$3&gt;=EOMONTH($X55,-1)+1,$Y55,TRUE,0)</f>
        <v>0</v>
      </c>
      <c r="CB55" s="202" cm="1">
        <f t="array" ref="CB55">_xlfn.IFS(CB$3&lt;$B$2,SUMPRODUCT(('PA Fees Actual'!$B$5:$B$749=$E55)*('PA Fees Actual'!$A$5:$A$749&gt;=CB$3)*('PA Fees Actual'!$A$5:$A$749&lt;=EOMONTH(CB$3,0))*'PA Fees Actual'!$D$5:$D$749),CB$3&gt;=EOMONTH($X55,-1)+1,$Y55,TRUE,0)</f>
        <v>0</v>
      </c>
      <c r="CC55" s="202" cm="1">
        <f t="array" ref="CC55">_xlfn.IFS(CC$3&lt;$B$2,SUMPRODUCT(('PA Fees Actual'!$B$5:$B$749=$E55)*('PA Fees Actual'!$A$5:$A$749&gt;=CC$3)*('PA Fees Actual'!$A$5:$A$749&lt;=EOMONTH(CC$3,0))*'PA Fees Actual'!$D$5:$D$749),CC$3&gt;=EOMONTH($X55,-1)+1,$Y55,TRUE,0)</f>
        <v>0</v>
      </c>
      <c r="CD55" s="202" cm="1">
        <f t="array" ref="CD55">_xlfn.IFS(CD$3&lt;$B$2,SUMPRODUCT(('PA Fees Actual'!$B$5:$B$749=$E55)*('PA Fees Actual'!$A$5:$A$749&gt;=CD$3)*('PA Fees Actual'!$A$5:$A$749&lt;=EOMONTH(CD$3,0))*'PA Fees Actual'!$D$5:$D$749),CD$3&gt;=EOMONTH($X55,-1)+1,$Y55,TRUE,0)</f>
        <v>0</v>
      </c>
      <c r="CE55" s="202" cm="1">
        <f t="array" ref="CE55">_xlfn.IFS(CE$3&lt;$B$2,SUMPRODUCT(('PA Fees Actual'!$B$5:$B$749=$E55)*('PA Fees Actual'!$A$5:$A$749&gt;=CE$3)*('PA Fees Actual'!$A$5:$A$749&lt;=EOMONTH(CE$3,0))*'PA Fees Actual'!$D$5:$D$749),CE$3&gt;=EOMONTH($X55,-1)+1,$Y55,TRUE,0)</f>
        <v>0</v>
      </c>
      <c r="CF55" s="202" cm="1">
        <f t="array" ref="CF55">_xlfn.IFS(CF$3&lt;$B$2,SUMPRODUCT(('PA Fees Actual'!$B$5:$B$749=$E55)*('PA Fees Actual'!$A$5:$A$749&gt;=CF$3)*('PA Fees Actual'!$A$5:$A$749&lt;=EOMONTH(CF$3,0))*'PA Fees Actual'!$D$5:$D$749),CF$3&gt;=EOMONTH($X55,-1)+1,$Y55,TRUE,0)</f>
        <v>0</v>
      </c>
      <c r="CG55" s="202" cm="1">
        <f t="array" ref="CG55">_xlfn.IFS(CG$3&lt;$B$2,SUMPRODUCT(('PA Fees Actual'!$B$5:$B$749=$E55)*('PA Fees Actual'!$A$5:$A$749&gt;=CG$3)*('PA Fees Actual'!$A$5:$A$749&lt;=EOMONTH(CG$3,0))*'PA Fees Actual'!$D$5:$D$749),CG$3&gt;=EOMONTH($X55,-1)+1,$Y55,TRUE,0)</f>
        <v>0</v>
      </c>
      <c r="CI55" s="202" cm="1">
        <f t="array" ref="CI55">_xlfn.IFS(CI$3&lt;=YEAR($B$2),SUMPRODUCT(($E$4:$E$79=$E55)*($Z$2:$CG$2=CI$3)*($Z$2:$CG$2&lt;CJ$3)*$Z$4:$CG$79),CI$3&lt;YEAR($X55),0,CI$3=YEAR($X55),DATEDIF($X55,DATE(CI$3,12,31),"m")*$Y55,AND(CI$3&gt;YEAR($X55),CI$3-YEAR($X55)&lt;20),$Y55*12,CI$3-YEAR($X55)=20,DATEDIF(DATE(YEAR($X55),1,1),$X55,"m")*$Y55,CI$3-YEAR($X55)&gt;20,0)</f>
        <v>0</v>
      </c>
      <c r="CJ55" s="202" cm="1">
        <f t="array" ref="CJ55">_xlfn.IFS(CJ$3&lt;=YEAR($B$2),SUMPRODUCT(($E$4:$E$79=$E55)*($Z$2:$CG$2=CJ$3)*($Z$2:$CG$2&lt;CK$3)*$Z$4:$CG$79),CJ$3&lt;YEAR($X55),0,CJ$3=YEAR($X55),DATEDIF($X55,DATE(CJ$3,12,31),"m")*$Y55,AND(CJ$3&gt;YEAR($X55),CJ$3-YEAR($X55)&lt;20),$Y55*12,CJ$3-YEAR($X55)=20,DATEDIF(DATE(YEAR($X55),1,1),$X55,"m")*$Y55,CJ$3-YEAR($X55)&gt;20,0)</f>
        <v>0</v>
      </c>
      <c r="CK55" s="202" cm="1">
        <f t="array" ref="CK55">_xlfn.IFS(CK$3&lt;=YEAR($B$2),SUMPRODUCT(($E$4:$E$79=$E55)*($Z$2:$CG$2=CK$3)*($Z$2:$CG$2&lt;CL$3)*$Z$4:$CG$79),CK$3&lt;YEAR($X55),0,CK$3=YEAR($X55),DATEDIF($X55,DATE(CK$3,12,31),"m")*$Y55,AND(CK$3&gt;YEAR($X55),CK$3-YEAR($X55)&lt;20),$Y55*12,CK$3-YEAR($X55)=20,DATEDIF(DATE(YEAR($X55),1,1),$X55,"m")*$Y55,CK$3-YEAR($X55)&gt;20,0)</f>
        <v>0</v>
      </c>
      <c r="CL55" s="202" cm="1">
        <f t="array" ref="CL55">_xlfn.IFS(CL$3&lt;=YEAR($B$2),SUMPRODUCT(($E$4:$E$79=$E55)*($Z$2:$CG$2=CL$3)*($Z$2:$CG$2&lt;CM$3)*$Z$4:$CG$79),CL$3&lt;YEAR($X55),0,CL$3=YEAR($X55),DATEDIF($X55,DATE(CL$3,12,31),"m")*$Y55,AND(CL$3&gt;YEAR($X55),CL$3-YEAR($X55)&lt;20),$Y55*12,CL$3-YEAR($X55)=20,DATEDIF(DATE(YEAR($X55),1,1),$X55,"m")*$Y55,CL$3-YEAR($X55)&gt;20,0)</f>
        <v>0</v>
      </c>
      <c r="CM55" s="202" cm="1">
        <f t="array" ref="CM55">_xlfn.IFS(CM$3&lt;=YEAR($B$2),SUMPRODUCT(($E$4:$E$79=$E55)*($Z$2:$CG$2=CM$3)*($Z$2:$CG$2&lt;CN$3)*$Z$4:$CG$79),CM$3&lt;YEAR($X55),0,CM$3=YEAR($X55),DATEDIF($X55,DATE(CM$3,12,31),"m")*$Y55,AND(CM$3&gt;YEAR($X55),CM$3-YEAR($X55)&lt;20),$Y55*12,CM$3-YEAR($X55)=20,DATEDIF(DATE(YEAR($X55),1,1),$X55,"m")*$Y55,CM$3-YEAR($X55)&gt;20,0)</f>
        <v>0</v>
      </c>
      <c r="CN55" s="202" cm="1">
        <f t="array" ref="CN55">_xlfn.IFS(CN$3&lt;=YEAR($B$2),SUMPRODUCT(($E$4:$E$79=$E55)*($Z$2:$CG$2=CN$3)*($Z$2:$CG$2&lt;CO$3)*$Z$4:$CG$79),CN$3&lt;YEAR($X55),0,CN$3=YEAR($X55),DATEDIF($X55,DATE(CN$3,12,31),"m")*$Y55,AND(CN$3&gt;YEAR($X55),CN$3-YEAR($X55)&lt;20),$Y55*12,CN$3-YEAR($X55)=20,DATEDIF(DATE(YEAR($X55),1,1),$X55,"m")*$Y55,CN$3-YEAR($X55)&gt;20,0)</f>
        <v>7224.9277499999989</v>
      </c>
      <c r="CO55" s="202" cm="1">
        <f t="array" ref="CO55">_xlfn.IFS(CO$3&lt;=YEAR($B$2),SUMPRODUCT(($E$4:$E$79=$E55)*($Z$2:$CG$2=CO$3)*($Z$2:$CG$2&lt;CP$3)*$Z$4:$CG$79),CO$3&lt;YEAR($X55),0,CO$3=YEAR($X55),DATEDIF($X55,DATE(CO$3,12,31),"m")*$Y55,AND(CO$3&gt;YEAR($X55),CO$3-YEAR($X55)&lt;20),$Y55*12,CO$3-YEAR($X55)=20,DATEDIF(DATE(YEAR($X55),1,1),$X55,"m")*$Y55,CO$3-YEAR($X55)&gt;20,0)</f>
        <v>8669.9133000000002</v>
      </c>
      <c r="CP55" s="202" cm="1">
        <f t="array" ref="CP55">_xlfn.IFS(CP$3&lt;=YEAR($B$2),SUMPRODUCT(($E$4:$E$79=$E55)*($Z$2:$CG$2=CP$3)*($Z$2:$CG$2&lt;CQ$3)*$Z$4:$CG$79),CP$3&lt;YEAR($X55),0,CP$3=YEAR($X55),DATEDIF($X55,DATE(CP$3,12,31),"m")*$Y55,AND(CP$3&gt;YEAR($X55),CP$3-YEAR($X55)&lt;20),$Y55*12,CP$3-YEAR($X55)=20,DATEDIF(DATE(YEAR($X55),1,1),$X55,"m")*$Y55,CP$3-YEAR($X55)&gt;20,0)</f>
        <v>8669.9133000000002</v>
      </c>
      <c r="CQ55" s="202" cm="1">
        <f t="array" ref="CQ55">_xlfn.IFS(CQ$3&lt;=YEAR($B$2),SUMPRODUCT(($E$4:$E$79=$E55)*($Z$2:$CG$2=CQ$3)*($Z$2:$CG$2&lt;CR$3)*$Z$4:$CG$79),CQ$3&lt;YEAR($X55),0,CQ$3=YEAR($X55),DATEDIF($X55,DATE(CQ$3,12,31),"m")*$Y55,AND(CQ$3&gt;YEAR($X55),CQ$3-YEAR($X55)&lt;20),$Y55*12,CQ$3-YEAR($X55)=20,DATEDIF(DATE(YEAR($X55),1,1),$X55,"m")*$Y55,CQ$3-YEAR($X55)&gt;20,0)</f>
        <v>8669.9133000000002</v>
      </c>
      <c r="CR55" s="202" cm="1">
        <f t="array" ref="CR55">_xlfn.IFS(CR$3&lt;=YEAR($B$2),SUMPRODUCT(($E$4:$E$79=$E55)*($Z$2:$CG$2=CR$3)*($Z$2:$CG$2&lt;CS$3)*$Z$4:$CG$79),CR$3&lt;YEAR($X55),0,CR$3=YEAR($X55),DATEDIF($X55,DATE(CR$3,12,31),"m")*$Y55,AND(CR$3&gt;YEAR($X55),CR$3-YEAR($X55)&lt;20),$Y55*12,CR$3-YEAR($X55)=20,DATEDIF(DATE(YEAR($X55),1,1),$X55,"m")*$Y55,CR$3-YEAR($X55)&gt;20,0)</f>
        <v>8669.9133000000002</v>
      </c>
      <c r="CS55" s="202" cm="1">
        <f t="array" ref="CS55">_xlfn.IFS(CS$3&lt;=YEAR($B$2),SUMPRODUCT(($E$4:$E$79=$E55)*($Z$2:$CG$2=CS$3)*($Z$2:$CG$2&lt;CT$3)*$Z$4:$CG$79),CS$3&lt;YEAR($X55),0,CS$3=YEAR($X55),DATEDIF($X55,DATE(CS$3,12,31),"m")*$Y55,AND(CS$3&gt;YEAR($X55),CS$3-YEAR($X55)&lt;20),$Y55*12,CS$3-YEAR($X55)=20,DATEDIF(DATE(YEAR($X55),1,1),$X55,"m")*$Y55,CS$3-YEAR($X55)&gt;20,0)</f>
        <v>8669.9133000000002</v>
      </c>
      <c r="CT55" s="202" cm="1">
        <f t="array" ref="CT55">_xlfn.IFS(CT$3&lt;=YEAR($B$2),SUMPRODUCT(($E$4:$E$79=$E55)*($Z$2:$CG$2=CT$3)*($Z$2:$CG$2&lt;CU$3)*$Z$4:$CG$79),CT$3&lt;YEAR($X55),0,CT$3=YEAR($X55),DATEDIF($X55,DATE(CT$3,12,31),"m")*$Y55,AND(CT$3&gt;YEAR($X55),CT$3-YEAR($X55)&lt;20),$Y55*12,CT$3-YEAR($X55)=20,DATEDIF(DATE(YEAR($X55),1,1),$X55,"m")*$Y55,CT$3-YEAR($X55)&gt;20,0)</f>
        <v>8669.9133000000002</v>
      </c>
      <c r="CU55" s="202" cm="1">
        <f t="array" ref="CU55">_xlfn.IFS(CU$3&lt;=YEAR($B$2),SUMPRODUCT(($E$4:$E$79=$E55)*($Z$2:$CG$2=CU$3)*($Z$2:$CG$2&lt;CV$3)*$Z$4:$CG$79),CU$3&lt;YEAR($X55),0,CU$3=YEAR($X55),DATEDIF($X55,DATE(CU$3,12,31),"m")*$Y55,AND(CU$3&gt;YEAR($X55),CU$3-YEAR($X55)&lt;20),$Y55*12,CU$3-YEAR($X55)=20,DATEDIF(DATE(YEAR($X55),1,1),$X55,"m")*$Y55,CU$3-YEAR($X55)&gt;20,0)</f>
        <v>8669.9133000000002</v>
      </c>
      <c r="CV55" s="202" cm="1">
        <f t="array" ref="CV55">_xlfn.IFS(CV$3&lt;=YEAR($B$2),SUMPRODUCT(($E$4:$E$79=$E55)*($Z$2:$CG$2=CV$3)*($Z$2:$CG$2&lt;CW$3)*$Z$4:$CG$79),CV$3&lt;YEAR($X55),0,CV$3=YEAR($X55),DATEDIF($X55,DATE(CV$3,12,31),"m")*$Y55,AND(CV$3&gt;YEAR($X55),CV$3-YEAR($X55)&lt;20),$Y55*12,CV$3-YEAR($X55)=20,DATEDIF(DATE(YEAR($X55),1,1),$X55,"m")*$Y55,CV$3-YEAR($X55)&gt;20,0)</f>
        <v>8669.9133000000002</v>
      </c>
      <c r="CW55" s="202" cm="1">
        <f t="array" ref="CW55">_xlfn.IFS(CW$3&lt;=YEAR($B$2),SUMPRODUCT(($E$4:$E$79=$E55)*($Z$2:$CG$2=CW$3)*($Z$2:$CG$2&lt;CX$3)*$Z$4:$CG$79),CW$3&lt;YEAR($X55),0,CW$3=YEAR($X55),DATEDIF($X55,DATE(CW$3,12,31),"m")*$Y55,AND(CW$3&gt;YEAR($X55),CW$3-YEAR($X55)&lt;20),$Y55*12,CW$3-YEAR($X55)=20,DATEDIF(DATE(YEAR($X55),1,1),$X55,"m")*$Y55,CW$3-YEAR($X55)&gt;20,0)</f>
        <v>8669.9133000000002</v>
      </c>
      <c r="CX55" s="202" cm="1">
        <f t="array" ref="CX55">_xlfn.IFS(CX$3&lt;=YEAR($B$2),SUMPRODUCT(($E$4:$E$79=$E55)*($Z$2:$CG$2=CX$3)*($Z$2:$CG$2&lt;CY$3)*$Z$4:$CG$79),CX$3&lt;YEAR($X55),0,CX$3=YEAR($X55),DATEDIF($X55,DATE(CX$3,12,31),"m")*$Y55,AND(CX$3&gt;YEAR($X55),CX$3-YEAR($X55)&lt;20),$Y55*12,CX$3-YEAR($X55)=20,DATEDIF(DATE(YEAR($X55),1,1),$X55,"m")*$Y55,CX$3-YEAR($X55)&gt;20,0)</f>
        <v>8669.9133000000002</v>
      </c>
      <c r="CY55" s="202" cm="1">
        <f t="array" ref="CY55">_xlfn.IFS(CY$3&lt;=YEAR($B$2),SUMPRODUCT(($E$4:$E$79=$E55)*($Z$2:$CG$2=CY$3)*($Z$2:$CG$2&lt;CZ$3)*$Z$4:$CG$79),CY$3&lt;YEAR($X55),0,CY$3=YEAR($X55),DATEDIF($X55,DATE(CY$3,12,31),"m")*$Y55,AND(CY$3&gt;YEAR($X55),CY$3-YEAR($X55)&lt;20),$Y55*12,CY$3-YEAR($X55)=20,DATEDIF(DATE(YEAR($X55),1,1),$X55,"m")*$Y55,CY$3-YEAR($X55)&gt;20,0)</f>
        <v>8669.9133000000002</v>
      </c>
      <c r="CZ55" s="202" cm="1">
        <f t="array" ref="CZ55">_xlfn.IFS(CZ$3&lt;=YEAR($B$2),SUMPRODUCT(($E$4:$E$79=$E55)*($Z$2:$CG$2=CZ$3)*($Z$2:$CG$2&lt;DA$3)*$Z$4:$CG$79),CZ$3&lt;YEAR($X55),0,CZ$3=YEAR($X55),DATEDIF($X55,DATE(CZ$3,12,31),"m")*$Y55,AND(CZ$3&gt;YEAR($X55),CZ$3-YEAR($X55)&lt;20),$Y55*12,CZ$3-YEAR($X55)=20,DATEDIF(DATE(YEAR($X55),1,1),$X55,"m")*$Y55,CZ$3-YEAR($X55)&gt;20,0)</f>
        <v>8669.9133000000002</v>
      </c>
      <c r="DA55" s="202" cm="1">
        <f t="array" ref="DA55">_xlfn.IFS(DA$3&lt;=YEAR($B$2),SUMPRODUCT(($E$4:$E$79=$E55)*($Z$2:$CG$2=DA$3)*($Z$2:$CG$2&lt;DB$3)*$Z$4:$CG$79),DA$3&lt;YEAR($X55),0,DA$3=YEAR($X55),DATEDIF($X55,DATE(DA$3,12,31),"m")*$Y55,AND(DA$3&gt;YEAR($X55),DA$3-YEAR($X55)&lt;20),$Y55*12,DA$3-YEAR($X55)=20,DATEDIF(DATE(YEAR($X55),1,1),$X55,"m")*$Y55,DA$3-YEAR($X55)&gt;20,0)</f>
        <v>8669.9133000000002</v>
      </c>
      <c r="DB55" s="202" cm="1">
        <f t="array" ref="DB55">_xlfn.IFS(DB$3&lt;=YEAR($B$2),SUMPRODUCT(($E$4:$E$79=$E55)*($Z$2:$CG$2=DB$3)*($Z$2:$CG$2&lt;DC$3)*$Z$4:$CG$79),DB$3&lt;YEAR($X55),0,DB$3=YEAR($X55),DATEDIF($X55,DATE(DB$3,12,31),"m")*$Y55,AND(DB$3&gt;YEAR($X55),DB$3-YEAR($X55)&lt;20),$Y55*12,DB$3-YEAR($X55)=20,DATEDIF(DATE(YEAR($X55),1,1),$X55,"m")*$Y55,DB$3-YEAR($X55)&gt;20,0)</f>
        <v>8669.9133000000002</v>
      </c>
      <c r="DC55" s="202" cm="1">
        <f t="array" ref="DC55">_xlfn.IFS(DC$3&lt;=YEAR($B$2),SUMPRODUCT(($E$4:$E$79=$E55)*($Z$2:$CG$2=DC$3)*($Z$2:$CG$2&lt;DD$3)*$Z$4:$CG$79),DC$3&lt;YEAR($X55),0,DC$3=YEAR($X55),DATEDIF($X55,DATE(DC$3,12,31),"m")*$Y55,AND(DC$3&gt;YEAR($X55),DC$3-YEAR($X55)&lt;20),$Y55*12,DC$3-YEAR($X55)=20,DATEDIF(DATE(YEAR($X55),1,1),$X55,"m")*$Y55,DC$3-YEAR($X55)&gt;20,0)</f>
        <v>8669.9133000000002</v>
      </c>
      <c r="DD55" s="202" cm="1">
        <f t="array" ref="DD55">_xlfn.IFS(DD$3&lt;=YEAR($B$2),SUMPRODUCT(($E$4:$E$79=$E55)*($Z$2:$CG$2=DD$3)*($Z$2:$CG$2&lt;DE$3)*$Z$4:$CG$79),DD$3&lt;YEAR($X55),0,DD$3=YEAR($X55),DATEDIF($X55,DATE(DD$3,12,31),"m")*$Y55,AND(DD$3&gt;YEAR($X55),DD$3-YEAR($X55)&lt;20),$Y55*12,DD$3-YEAR($X55)=20,DATEDIF(DATE(YEAR($X55),1,1),$X55,"m")*$Y55,DD$3-YEAR($X55)&gt;20,0)</f>
        <v>8669.9133000000002</v>
      </c>
      <c r="DE55" s="202" cm="1">
        <f t="array" ref="DE55">_xlfn.IFS(DE$3&lt;=YEAR($B$2),SUMPRODUCT(($E$4:$E$79=$E55)*($Z$2:$CG$2=DE$3)*($Z$2:$CG$2&lt;DF$3)*$Z$4:$CG$79),DE$3&lt;YEAR($X55),0,DE$3=YEAR($X55),DATEDIF($X55,DATE(DE$3,12,31),"m")*$Y55,AND(DE$3&gt;YEAR($X55),DE$3-YEAR($X55)&lt;20),$Y55*12,DE$3-YEAR($X55)=20,DATEDIF(DATE(YEAR($X55),1,1),$X55,"m")*$Y55,DE$3-YEAR($X55)&gt;20,0)</f>
        <v>8669.9133000000002</v>
      </c>
      <c r="DF55" s="202" cm="1">
        <f t="array" ref="DF55">_xlfn.IFS(DF$3&lt;=YEAR($B$2),SUMPRODUCT(($E$4:$E$79=$E55)*($Z$2:$CG$2=DF$3)*($Z$2:$CG$2&lt;DG$3)*$Z$4:$CG$79),DF$3&lt;YEAR($X55),0,DF$3=YEAR($X55),DATEDIF($X55,DATE(DF$3,12,31),"m")*$Y55,AND(DF$3&gt;YEAR($X55),DF$3-YEAR($X55)&lt;20),$Y55*12,DF$3-YEAR($X55)=20,DATEDIF(DATE(YEAR($X55),1,1),$X55,"m")*$Y55,DF$3-YEAR($X55)&gt;20,0)</f>
        <v>8669.9133000000002</v>
      </c>
      <c r="DG55" s="202" cm="1">
        <f t="array" ref="DG55">_xlfn.IFS(DG$3&lt;=YEAR($B$2),SUMPRODUCT(($E$4:$E$79=$E55)*($Z$2:$CG$2=DG$3)*($Z$2:$CG$2&lt;DH$3)*$Z$4:$CG$79),DG$3&lt;YEAR($X55),0,DG$3=YEAR($X55),DATEDIF($X55,DATE(DG$3,12,31),"m")*$Y55,AND(DG$3&gt;YEAR($X55),DG$3-YEAR($X55)&lt;20),$Y55*12,DG$3-YEAR($X55)=20,DATEDIF(DATE(YEAR($X55),1,1),$X55,"m")*$Y55,DG$3-YEAR($X55)&gt;20,0)</f>
        <v>8669.9133000000002</v>
      </c>
      <c r="DH55" s="202" cm="1">
        <f t="array" ref="DH55">_xlfn.IFS(DH$3&lt;=YEAR($B$2),SUMPRODUCT(($E$4:$E$79=$E55)*($Z$2:$CG$2=DH$3)*($Z$2:$CG$2&lt;DI$3)*$Z$4:$CG$79),DH$3&lt;YEAR($X55),0,DH$3=YEAR($X55),DATEDIF($X55,DATE(DH$3,12,31),"m")*$Y55,AND(DH$3&gt;YEAR($X55),DH$3-YEAR($X55)&lt;20),$Y55*12,DH$3-YEAR($X55)=20,DATEDIF(DATE(YEAR($X55),1,1),$X55,"m")*$Y55,DH$3-YEAR($X55)&gt;20,0)</f>
        <v>722.49277499999994</v>
      </c>
      <c r="DI55" s="202" cm="1">
        <f t="array" ref="DI55">_xlfn.IFS(DI$3&lt;=YEAR($B$2),SUMPRODUCT(($E$4:$E$79=$E55)*($Z$2:$CG$2=DI$3)*($Z$2:$CG$2&lt;DJ$3)*$Z$4:$CG$79),DI$3&lt;YEAR($X55),0,DI$3=YEAR($X55),DATEDIF($X55,DATE(DI$3,12,31),"m")*$Y55,AND(DI$3&gt;YEAR($X55),DI$3-YEAR($X55)&lt;20),$Y55*12,DI$3-YEAR($X55)=20,DATEDIF(DATE(YEAR($X55),1,1),$X55,"m")*$Y55,DI$3-YEAR($X55)&gt;20,0)</f>
        <v>0</v>
      </c>
      <c r="DJ55" s="202" cm="1">
        <f t="array" ref="DJ55">_xlfn.IFS(DJ$3&lt;=YEAR($B$2),SUMPRODUCT(($E$4:$E$79=$E55)*($Z$2:$CG$2=DJ$3)*($Z$2:$CG$2&lt;DK$3)*$Z$4:$CG$79),DJ$3&lt;YEAR($X55),0,DJ$3=YEAR($X55),DATEDIF($X55,DATE(DJ$3,12,31),"m")*$Y55,AND(DJ$3&gt;YEAR($X55),DJ$3-YEAR($X55)&lt;20),$Y55*12,DJ$3-YEAR($X55)=20,DATEDIF(DATE(YEAR($X55),1,1),$X55,"m")*$Y55,DJ$3-YEAR($X55)&gt;20,0)</f>
        <v>0</v>
      </c>
      <c r="DK55" s="202" cm="1">
        <f t="array" ref="DK55">_xlfn.IFS(DK$3&lt;=YEAR($B$2),SUMPRODUCT(($E$4:$E$79=$E55)*($Z$2:$CG$2=DK$3)*($Z$2:$CG$2&lt;DL$3)*$Z$4:$CG$79),DK$3&lt;YEAR($X55),0,DK$3=YEAR($X55),DATEDIF($X55,DATE(DK$3,12,31),"m")*$Y55,AND(DK$3&gt;YEAR($X55),DK$3-YEAR($X55)&lt;20),$Y55*12,DK$3-YEAR($X55)=20,DATEDIF(DATE(YEAR($X55),1,1),$X55,"m")*$Y55,DK$3-YEAR($X55)&gt;20,0)</f>
        <v>0</v>
      </c>
      <c r="DL55" s="202" cm="1">
        <f t="array" ref="DL55">_xlfn.IFS(DL$3&lt;=YEAR($B$2),SUMPRODUCT(($E$4:$E$79=$E55)*($Z$2:$CG$2=DL$3)*($Z$2:$CG$2&lt;DM$3)*$Z$4:$CG$79),DL$3&lt;YEAR($X55),0,DL$3=YEAR($X55),DATEDIF($X55,DATE(DL$3,12,31),"m")*$Y55,AND(DL$3&gt;YEAR($X55),DL$3-YEAR($X55)&lt;20),$Y55*12,DL$3-YEAR($X55)=20,DATEDIF(DATE(YEAR($X55),1,1),$X55,"m")*$Y55,DL$3-YEAR($X55)&gt;20,0)</f>
        <v>0</v>
      </c>
    </row>
    <row r="56" spans="1:116">
      <c r="A56" s="155" t="str" cm="1">
        <f t="array" ref="A56">INDEX('Monthly Report July 2025'!C:C,MATCH(E56,'Monthly Report July 2025'!E:E,0),0)</f>
        <v>OCS027</v>
      </c>
      <c r="B56" s="155" t="str" cm="1">
        <f t="array" ref="B56">_xlfn.IFS(LEFT(E56,3)="PGE","PGE",LEFT(E56,2)="PP","PAC",TRUE,"IP")</f>
        <v>PAC</v>
      </c>
      <c r="C56" s="155" t="str">
        <f>IF(ISNA(MATCH(E56,'Monthly Report July 2025'!E:E,0)),"Missing","Present")</f>
        <v>Present</v>
      </c>
      <c r="D56" s="155" t="str">
        <f>IF(ISNA(MATCH(E56,'Project Operational Timelines'!C:C,0))=TRUE,"Missing","Present")</f>
        <v>Present</v>
      </c>
      <c r="E56" s="155" t="s">
        <v>164</v>
      </c>
      <c r="F56" s="155" t="str" cm="1">
        <f t="array" ref="F56">INDEX('Monthly Report July 2025'!F:F,MATCH(E56,'Monthly Report July 2025'!E:E,),0)</f>
        <v>Marble Solar</v>
      </c>
      <c r="G56" s="155" t="str" cm="1">
        <f t="array" ref="G56">_xlfn.IFS(INDEX('Monthly Report July 2025'!O:O,MATCH(E56,'Monthly Report July 2025'!E:E,0),0)="Operational","Operational",INDEX('Monthly Report July 2025'!O:O,MATCH(E56,'Monthly Report July 2025'!E:E,0),0)="Certified","Certified",TRUE,"Pre-Certified")</f>
        <v>Operational</v>
      </c>
      <c r="H56" s="155" t="str" cm="1">
        <f t="array" ref="H56">INDEX('Monthly Report July 2025'!H:H,MATCH($E56,'Monthly Report July 2025'!$E:$E,0),0)</f>
        <v>Sulus</v>
      </c>
      <c r="I56" s="155" t="str" cm="1">
        <f t="array" ref="I56">INDEX('Monthly Report July 2025'!I:I,MATCH($E56,'Monthly Report July 2025'!$E:$E,0),0)</f>
        <v>SolRiver Capital</v>
      </c>
      <c r="J56" s="174" cm="1">
        <f t="array" ref="J56">INDEX('Monthly Report July 2025'!J:J,MATCH($E56,'Monthly Report July 2025'!$E:$E,0),0)</f>
        <v>1</v>
      </c>
      <c r="K56" s="174" t="str" cm="1">
        <f t="array" ref="K56">INDEX('Monthly Report July 2025'!K:K,MATCH($E56,'Monthly Report July 2025'!$E:$E,0),0)</f>
        <v>No</v>
      </c>
      <c r="L56" s="174" t="b" cm="1">
        <f t="array" ref="L56">INDEX('Monthly Report July 2025'!L:L,MATCH(E56,'Monthly Report July 2025'!E:E,0),0)=M56</f>
        <v>1</v>
      </c>
      <c r="M56" s="273" cm="1">
        <f t="array" ref="M56">INDEX('Monthly Report July 2025'!L:L,MATCH($E56,'Monthly Report July 2025'!$E:$E,0),0)</f>
        <v>2875</v>
      </c>
      <c r="N56" s="175" cm="1">
        <f t="array" ref="N56">INDEX('Monthly Report July 2025'!M:M,MATCH($E56,'Monthly Report July 2025'!$E:$E,0),0)</f>
        <v>44194</v>
      </c>
      <c r="O56" s="175" t="str" cm="1">
        <f t="array" ref="O56">_xlfn.IFS(G56="Operational","Operational",G56="Certified","Certified",TRUE,INDEX('Monthly Report July 2025'!O:O,MATCH(E56,'Monthly Report July 2025'!E:E,0),0))</f>
        <v>Operational</v>
      </c>
      <c r="P56" s="175" t="b" cm="1">
        <f t="array" ref="P56">_xlfn.IFS(G56="Operational",O56="Operational",G56="Certified",O56="Certified",TRUE,G56="Pre-Certified")</f>
        <v>1</v>
      </c>
      <c r="Q56" s="175" cm="1">
        <f t="array" ref="Q56">IF(O56="Operational",INDEX('Monthly Report July 2025'!R:R,MATCH(E56,'Monthly Report July 2025'!E:E,0),0),"")</f>
        <v>45748</v>
      </c>
      <c r="R56" s="175" cm="1">
        <f t="array" ref="R56">INDEX('Monthly Report July 2025'!P:P,MATCH(E56,'Monthly Report July 2025'!E:E,0),0)</f>
        <v>45679</v>
      </c>
      <c r="S56" s="175" t="b">
        <f t="shared" si="28"/>
        <v>1</v>
      </c>
      <c r="T56" s="175" cm="1">
        <f t="array" ref="T56">INDEX('Monthly Report July 2025'!U:U,MATCH(E56,'Monthly Report July 2025'!E:E,0),0)</f>
        <v>45583</v>
      </c>
      <c r="U56" s="175" t="str">
        <f t="shared" si="6"/>
        <v>IGNORE</v>
      </c>
      <c r="V56" s="156">
        <f t="shared" si="29"/>
        <v>45679</v>
      </c>
      <c r="W56" s="156" cm="1">
        <f t="array" ref="W56">_xlfn.IFS(U56=TRUE,EDATE(O56,6),U56=FALSE,T56,O56="Operational",Q56,AND(O56="Certified",EDATE(R56,6)&gt;T56),EDATE(R56,6),TRUE,T56)</f>
        <v>45748</v>
      </c>
      <c r="X56" s="156">
        <f t="shared" si="30"/>
        <v>45809</v>
      </c>
      <c r="Y56" s="157">
        <f t="shared" si="31"/>
        <v>2077.1875</v>
      </c>
      <c r="Z56" s="202" cm="1">
        <f t="array" ref="Z56">_xlfn.IFS(Z$3&lt;$B$2,SUMPRODUCT(('PA Fees Actual'!$B$5:$B$882=$E56)*('PA Fees Actual'!$A$5:$A$882&gt;=Z$3)*('PA Fees Actual'!$A$5:$A$882&lt;=EOMONTH(Z$3,0))*'PA Fees Actual'!$D$5:$D$882),Z$3&gt;=EOMONTH($X56,-1)+1,$Y56,TRUE,0)</f>
        <v>0</v>
      </c>
      <c r="AA56" s="202" cm="1">
        <f t="array" ref="AA56">_xlfn.IFS(AA$3&lt;$B$2,SUMPRODUCT(('PA Fees Actual'!$B$5:$B$882=$E56)*('PA Fees Actual'!$A$5:$A$882&gt;=AA$3)*('PA Fees Actual'!$A$5:$A$882&lt;=EOMONTH(AA$3,0))*'PA Fees Actual'!$D$5:$D$882),AA$3&gt;=EOMONTH($X56,-1)+1,$Y56,TRUE,0)</f>
        <v>0</v>
      </c>
      <c r="AB56" s="202" cm="1">
        <f t="array" ref="AB56">_xlfn.IFS(AB$3&lt;$B$2,SUMPRODUCT(('PA Fees Actual'!$B$5:$B$882=$E56)*('PA Fees Actual'!$A$5:$A$882&gt;=AB$3)*('PA Fees Actual'!$A$5:$A$882&lt;=EOMONTH(AB$3,0))*'PA Fees Actual'!$D$5:$D$882),AB$3&gt;=EOMONTH($X56,-1)+1,$Y56,TRUE,0)</f>
        <v>0</v>
      </c>
      <c r="AC56" s="202" cm="1">
        <f t="array" ref="AC56">_xlfn.IFS(AC$3&lt;$B$2,SUMPRODUCT(('PA Fees Actual'!$B$5:$B$882=$E56)*('PA Fees Actual'!$A$5:$A$882&gt;=AC$3)*('PA Fees Actual'!$A$5:$A$882&lt;=EOMONTH(AC$3,0))*'PA Fees Actual'!$D$5:$D$882),AC$3&gt;=EOMONTH($X56,-1)+1,$Y56,TRUE,0)</f>
        <v>0</v>
      </c>
      <c r="AD56" s="202" cm="1">
        <f t="array" ref="AD56">_xlfn.IFS(AD$3&lt;$B$2,SUMPRODUCT(('PA Fees Actual'!$B$5:$B$882=$E56)*('PA Fees Actual'!$A$5:$A$882&gt;=AD$3)*('PA Fees Actual'!$A$5:$A$882&lt;=EOMONTH(AD$3,0))*'PA Fees Actual'!$D$5:$D$882),AD$3&gt;=EOMONTH($X56,-1)+1,$Y56,TRUE,0)</f>
        <v>0</v>
      </c>
      <c r="AE56" s="202" cm="1">
        <f t="array" ref="AE56">_xlfn.IFS(AE$3&lt;$B$2,SUMPRODUCT(('PA Fees Actual'!$B$5:$B$882=$E56)*('PA Fees Actual'!$A$5:$A$882&gt;=AE$3)*('PA Fees Actual'!$A$5:$A$882&lt;=EOMONTH(AE$3,0))*'PA Fees Actual'!$D$5:$D$882),AE$3&gt;=EOMONTH($X56,-1)+1,$Y56,TRUE,0)</f>
        <v>0</v>
      </c>
      <c r="AF56" s="202" cm="1">
        <f t="array" ref="AF56">_xlfn.IFS(AF$3&lt;$B$2,SUMPRODUCT(('PA Fees Actual'!$B$5:$B$882=$E56)*('PA Fees Actual'!$A$5:$A$882&gt;=AF$3)*('PA Fees Actual'!$A$5:$A$882&lt;=EOMONTH(AF$3,0))*'PA Fees Actual'!$D$5:$D$882),AF$3&gt;=EOMONTH($X56,-1)+1,$Y56,TRUE,0)</f>
        <v>0</v>
      </c>
      <c r="AG56" s="202" cm="1">
        <f t="array" ref="AG56">_xlfn.IFS(AG$3&lt;$B$2,SUMPRODUCT(('PA Fees Actual'!$B$5:$B$882=$E56)*('PA Fees Actual'!$A$5:$A$882&gt;=AG$3)*('PA Fees Actual'!$A$5:$A$882&lt;=EOMONTH(AG$3,0))*'PA Fees Actual'!$D$5:$D$882),AG$3&gt;=EOMONTH($X56,-1)+1,$Y56,TRUE,0)</f>
        <v>0</v>
      </c>
      <c r="AH56" s="202" cm="1">
        <f t="array" ref="AH56">_xlfn.IFS(AH$3&lt;$B$2,SUMPRODUCT(('PA Fees Actual'!$B$5:$B$882=$E56)*('PA Fees Actual'!$A$5:$A$882&gt;=AH$3)*('PA Fees Actual'!$A$5:$A$882&lt;=EOMONTH(AH$3,0))*'PA Fees Actual'!$D$5:$D$882),AH$3&gt;=EOMONTH($X56,-1)+1,$Y56,TRUE,0)</f>
        <v>0</v>
      </c>
      <c r="AI56" s="202" cm="1">
        <f t="array" ref="AI56">_xlfn.IFS(AI$3&lt;$B$2,SUMPRODUCT(('PA Fees Actual'!$B$5:$B$882=$E56)*('PA Fees Actual'!$A$5:$A$882&gt;=AI$3)*('PA Fees Actual'!$A$5:$A$882&lt;=EOMONTH(AI$3,0))*'PA Fees Actual'!$D$5:$D$882),AI$3&gt;=EOMONTH($X56,-1)+1,$Y56,TRUE,0)</f>
        <v>0</v>
      </c>
      <c r="AJ56" s="202" cm="1">
        <f t="array" ref="AJ56">_xlfn.IFS(AJ$3&lt;$B$2,SUMPRODUCT(('PA Fees Actual'!$B$5:$B$882=$E56)*('PA Fees Actual'!$A$5:$A$882&gt;=AJ$3)*('PA Fees Actual'!$A$5:$A$882&lt;=EOMONTH(AJ$3,0))*'PA Fees Actual'!$D$5:$D$882),AJ$3&gt;=EOMONTH($X56,-1)+1,$Y56,TRUE,0)</f>
        <v>0</v>
      </c>
      <c r="AK56" s="202" cm="1">
        <f t="array" ref="AK56">_xlfn.IFS(AK$3&lt;$B$2,SUMPRODUCT(('PA Fees Actual'!$B$5:$B$882=$E56)*('PA Fees Actual'!$A$5:$A$882&gt;=AK$3)*('PA Fees Actual'!$A$5:$A$882&lt;=EOMONTH(AK$3,0))*'PA Fees Actual'!$D$5:$D$882),AK$3&gt;=EOMONTH($X56,-1)+1,$Y56,TRUE,0)</f>
        <v>0</v>
      </c>
      <c r="AL56" s="202" cm="1">
        <f t="array" ref="AL56">_xlfn.IFS(AL$3&lt;$B$2,SUMPRODUCT(('PA Fees Actual'!$B$5:$B$882=$E56)*('PA Fees Actual'!$A$5:$A$882&gt;=AL$3)*('PA Fees Actual'!$A$5:$A$882&lt;=EOMONTH(AL$3,0))*'PA Fees Actual'!$D$5:$D$882),AL$3&gt;=EOMONTH($X56,-1)+1,$Y56,TRUE,0)</f>
        <v>0</v>
      </c>
      <c r="AM56" s="202" cm="1">
        <f t="array" ref="AM56">_xlfn.IFS(AM$3&lt;$B$2,SUMPRODUCT(('PA Fees Actual'!$B$5:$B$882=$E56)*('PA Fees Actual'!$A$5:$A$882&gt;=AM$3)*('PA Fees Actual'!$A$5:$A$882&lt;=EOMONTH(AM$3,0))*'PA Fees Actual'!$D$5:$D$882),AM$3&gt;=EOMONTH($X56,-1)+1,$Y56,TRUE,0)</f>
        <v>0</v>
      </c>
      <c r="AN56" s="202" cm="1">
        <f t="array" ref="AN56">_xlfn.IFS(AN$3&lt;$B$2,SUMPRODUCT(('PA Fees Actual'!$B$5:$B$882=$E56)*('PA Fees Actual'!$A$5:$A$882&gt;=AN$3)*('PA Fees Actual'!$A$5:$A$882&lt;=EOMONTH(AN$3,0))*'PA Fees Actual'!$D$5:$D$882),AN$3&gt;=EOMONTH($X56,-1)+1,$Y56,TRUE,0)</f>
        <v>0</v>
      </c>
      <c r="AO56" s="202" cm="1">
        <f t="array" ref="AO56">_xlfn.IFS(AO$3&lt;$B$2,SUMPRODUCT(('PA Fees Actual'!$B$5:$B$882=$E56)*('PA Fees Actual'!$A$5:$A$882&gt;=AO$3)*('PA Fees Actual'!$A$5:$A$882&lt;=EOMONTH(AO$3,0))*'PA Fees Actual'!$D$5:$D$882),AO$3&gt;=EOMONTH($X56,-1)+1,$Y56,TRUE,0)</f>
        <v>0</v>
      </c>
      <c r="AP56" s="202" cm="1">
        <f t="array" ref="AP56">_xlfn.IFS(AP$3&lt;$B$2,SUMPRODUCT(('PA Fees Actual'!$B$5:$B$882=$E56)*('PA Fees Actual'!$A$5:$A$882&gt;=AP$3)*('PA Fees Actual'!$A$5:$A$882&lt;=EOMONTH(AP$3,0))*'PA Fees Actual'!$D$5:$D$882),AP$3&gt;=EOMONTH($X56,-1)+1,$Y56,TRUE,0)</f>
        <v>0</v>
      </c>
      <c r="AQ56" s="202" cm="1">
        <f t="array" ref="AQ56">_xlfn.IFS(AQ$3&lt;$B$2,SUMPRODUCT(('PA Fees Actual'!$B$5:$B$882=$E56)*('PA Fees Actual'!$A$5:$A$882&gt;=AQ$3)*('PA Fees Actual'!$A$5:$A$882&lt;=EOMONTH(AQ$3,0))*'PA Fees Actual'!$D$5:$D$882),AQ$3&gt;=EOMONTH($X56,-1)+1,$Y56,TRUE,0)</f>
        <v>0</v>
      </c>
      <c r="AR56" s="202" cm="1">
        <f t="array" ref="AR56">_xlfn.IFS(AR$3&lt;$B$2,SUMPRODUCT(('PA Fees Actual'!$B$5:$B$882=$E56)*('PA Fees Actual'!$A$5:$A$882&gt;=AR$3)*('PA Fees Actual'!$A$5:$A$882&lt;=EOMONTH(AR$3,0))*'PA Fees Actual'!$D$5:$D$882),AR$3&gt;=EOMONTH($X56,-1)+1,$Y56,TRUE,0)</f>
        <v>0</v>
      </c>
      <c r="AS56" s="202" cm="1">
        <f t="array" ref="AS56">_xlfn.IFS(AS$3&lt;$B$2,SUMPRODUCT(('PA Fees Actual'!$B$5:$B$882=$E56)*('PA Fees Actual'!$A$5:$A$882&gt;=AS$3)*('PA Fees Actual'!$A$5:$A$882&lt;=EOMONTH(AS$3,0))*'PA Fees Actual'!$D$5:$D$882),AS$3&gt;=EOMONTH($X56,-1)+1,$Y56,TRUE,0)</f>
        <v>0</v>
      </c>
      <c r="AT56" s="202" cm="1">
        <f t="array" ref="AT56">_xlfn.IFS(AT$3&lt;$B$2,SUMPRODUCT(('PA Fees Actual'!$B$5:$B$882=$E56)*('PA Fees Actual'!$A$5:$A$882&gt;=AT$3)*('PA Fees Actual'!$A$5:$A$882&lt;=EOMONTH(AT$3,0))*'PA Fees Actual'!$D$5:$D$882),AT$3&gt;=EOMONTH($X56,-1)+1,$Y56,TRUE,0)</f>
        <v>0</v>
      </c>
      <c r="AU56" s="202" cm="1">
        <f t="array" ref="AU56">_xlfn.IFS(AU$3&lt;$B$2,SUMPRODUCT(('PA Fees Actual'!$B$5:$B$882=$E56)*('PA Fees Actual'!$A$5:$A$882&gt;=AU$3)*('PA Fees Actual'!$A$5:$A$882&lt;=EOMONTH(AU$3,0))*'PA Fees Actual'!$D$5:$D$882),AU$3&gt;=EOMONTH($X56,-1)+1,$Y56,TRUE,0)</f>
        <v>0</v>
      </c>
      <c r="AV56" s="202" cm="1">
        <f t="array" ref="AV56">_xlfn.IFS(AV$3&lt;$B$2,SUMPRODUCT(('PA Fees Actual'!$B$5:$B$882=$E56)*('PA Fees Actual'!$A$5:$A$882&gt;=AV$3)*('PA Fees Actual'!$A$5:$A$882&lt;=EOMONTH(AV$3,0))*'PA Fees Actual'!$D$5:$D$882),AV$3&gt;=EOMONTH($X56,-1)+1,$Y56,TRUE,0)</f>
        <v>0</v>
      </c>
      <c r="AW56" s="202" cm="1">
        <f t="array" ref="AW56">_xlfn.IFS(AW$3&lt;$B$2,SUMPRODUCT(('PA Fees Actual'!$B$5:$B$882=$E56)*('PA Fees Actual'!$A$5:$A$882&gt;=AW$3)*('PA Fees Actual'!$A$5:$A$882&lt;=EOMONTH(AW$3,0))*'PA Fees Actual'!$D$5:$D$882),AW$3&gt;=EOMONTH($X56,-1)+1,$Y56,TRUE,0)</f>
        <v>0</v>
      </c>
      <c r="AX56" s="202" cm="1">
        <f t="array" ref="AX56">_xlfn.IFS(AX$3&lt;$B$2,SUMPRODUCT(('PA Fees Actual'!$B$5:$B$882=$E56)*('PA Fees Actual'!$A$5:$A$882&gt;=AX$3)*('PA Fees Actual'!$A$5:$A$882&lt;=EOMONTH(AX$3,0))*'PA Fees Actual'!$D$5:$D$882),AX$3&gt;=EOMONTH($X56,-1)+1,$Y56,TRUE,0)</f>
        <v>0</v>
      </c>
      <c r="AY56" s="202" cm="1">
        <f t="array" ref="AY56">_xlfn.IFS(AY$3&lt;$B$2,SUMPRODUCT(('PA Fees Actual'!$B$5:$B$882=$E56)*('PA Fees Actual'!$A$5:$A$882&gt;=AY$3)*('PA Fees Actual'!$A$5:$A$882&lt;=EOMONTH(AY$3,0))*'PA Fees Actual'!$D$5:$D$882),AY$3&gt;=EOMONTH($X56,-1)+1,$Y56,TRUE,0)</f>
        <v>0</v>
      </c>
      <c r="AZ56" s="202" cm="1">
        <f t="array" ref="AZ56">_xlfn.IFS(AZ$3&lt;$B$2,SUMPRODUCT(('PA Fees Actual'!$B$5:$B$882=$E56)*('PA Fees Actual'!$A$5:$A$882&gt;=AZ$3)*('PA Fees Actual'!$A$5:$A$882&lt;=EOMONTH(AZ$3,0))*'PA Fees Actual'!$D$5:$D$882),AZ$3&gt;=EOMONTH($X56,-1)+1,$Y56,TRUE,0)</f>
        <v>0</v>
      </c>
      <c r="BA56" s="202" cm="1">
        <f t="array" ref="BA56">_xlfn.IFS(BA$3&lt;$B$2,SUMPRODUCT(('PA Fees Actual'!$B$5:$B$882=$E56)*('PA Fees Actual'!$A$5:$A$882&gt;=BA$3)*('PA Fees Actual'!$A$5:$A$882&lt;=EOMONTH(BA$3,0))*'PA Fees Actual'!$D$5:$D$882),BA$3&gt;=EOMONTH($X56,-1)+1,$Y56,TRUE,0)</f>
        <v>0</v>
      </c>
      <c r="BB56" s="202" cm="1">
        <f t="array" ref="BB56">_xlfn.IFS(BB$3&lt;$B$2,SUMPRODUCT(('PA Fees Actual'!$B$5:$B$882=$E56)*('PA Fees Actual'!$A$5:$A$882&gt;=BB$3)*('PA Fees Actual'!$A$5:$A$882&lt;=EOMONTH(BB$3,0))*'PA Fees Actual'!$D$5:$D$882),BB$3&gt;=EOMONTH($X56,-1)+1,$Y56,TRUE,0)</f>
        <v>0</v>
      </c>
      <c r="BC56" s="202" cm="1">
        <f t="array" ref="BC56">_xlfn.IFS(BC$3&lt;$B$2,SUMPRODUCT(('PA Fees Actual'!$B$5:$B$882=$E56)*('PA Fees Actual'!$A$5:$A$882&gt;=BC$3)*('PA Fees Actual'!$A$5:$A$882&lt;=EOMONTH(BC$3,0))*'PA Fees Actual'!$D$5:$D$882),BC$3&gt;=EOMONTH($X56,-1)+1,$Y56,TRUE,0)</f>
        <v>0</v>
      </c>
      <c r="BD56" s="202" cm="1">
        <f t="array" ref="BD56">_xlfn.IFS(BD$3&lt;$B$2,SUMPRODUCT(('PA Fees Actual'!$B$5:$B$882=$E56)*('PA Fees Actual'!$A$5:$A$882&gt;=BD$3)*('PA Fees Actual'!$A$5:$A$882&lt;=EOMONTH(BD$3,0))*'PA Fees Actual'!$D$5:$D$882),BD$3&gt;=EOMONTH($X56,-1)+1,$Y56,TRUE,0)</f>
        <v>0</v>
      </c>
      <c r="BE56" s="202" cm="1">
        <f t="array" ref="BE56">_xlfn.IFS(BE$3&lt;$B$2,SUMPRODUCT(('PA Fees Actual'!$B$5:$B$882=$E56)*('PA Fees Actual'!$A$5:$A$882&gt;=BE$3)*('PA Fees Actual'!$A$5:$A$882&lt;=EOMONTH(BE$3,0))*'PA Fees Actual'!$D$5:$D$882),BE$3&gt;=EOMONTH($X56,-1)+1,$Y56,TRUE,0)</f>
        <v>0</v>
      </c>
      <c r="BF56" s="202" cm="1">
        <f t="array" ref="BF56">_xlfn.IFS(BF$3&lt;$B$2,SUMPRODUCT(('PA Fees Actual'!$B$5:$B$882=$E56)*('PA Fees Actual'!$A$5:$A$882&gt;=BF$3)*('PA Fees Actual'!$A$5:$A$882&lt;=EOMONTH(BF$3,0))*'PA Fees Actual'!$D$5:$D$882),BF$3&gt;=EOMONTH($X56,-1)+1,$Y56,TRUE,0)</f>
        <v>0</v>
      </c>
      <c r="BG56" s="202" cm="1">
        <f t="array" ref="BG56">_xlfn.IFS(BG$3&lt;$B$2,SUMPRODUCT(('PA Fees Actual'!$B$5:$B$882=$E56)*('PA Fees Actual'!$A$5:$A$882&gt;=BG$3)*('PA Fees Actual'!$A$5:$A$882&lt;=EOMONTH(BG$3,0))*'PA Fees Actual'!$D$5:$D$882),BG$3&gt;=EOMONTH($X56,-1)+1,$Y56,TRUE,0)</f>
        <v>0</v>
      </c>
      <c r="BH56" s="202" cm="1">
        <f t="array" ref="BH56">_xlfn.IFS(BH$3&lt;$B$2,SUMPRODUCT(('PA Fees Actual'!$B$5:$B$882=$E56)*('PA Fees Actual'!$A$5:$A$882&gt;=BH$3)*('PA Fees Actual'!$A$5:$A$882&lt;=EOMONTH(BH$3,0))*'PA Fees Actual'!$D$5:$D$882),BH$3&gt;=EOMONTH($X56,-1)+1,$Y56,TRUE,0)</f>
        <v>0</v>
      </c>
      <c r="BI56" s="202" cm="1">
        <f t="array" ref="BI56">_xlfn.IFS(BI$3&lt;$B$2,SUMPRODUCT(('PA Fees Actual'!$B$5:$B$882=$E56)*('PA Fees Actual'!$A$5:$A$882&gt;=BI$3)*('PA Fees Actual'!$A$5:$A$882&lt;=EOMONTH(BI$3,0))*'PA Fees Actual'!$D$5:$D$882),BI$3&gt;=EOMONTH($X56,-1)+1,$Y56,TRUE,0)</f>
        <v>0</v>
      </c>
      <c r="BJ56" s="202" cm="1">
        <f t="array" ref="BJ56">_xlfn.IFS(BJ$3&lt;$B$2,SUMPRODUCT(('PA Fees Actual'!$B$5:$B$882=$E56)*('PA Fees Actual'!$A$5:$A$882&gt;=BJ$3)*('PA Fees Actual'!$A$5:$A$882&lt;=EOMONTH(BJ$3,0))*'PA Fees Actual'!$D$5:$D$882),BJ$3&gt;=EOMONTH($X56,-1)+1,$Y56,TRUE,0)</f>
        <v>0</v>
      </c>
      <c r="BK56" s="202" cm="1">
        <f t="array" ref="BK56">_xlfn.IFS(BK$3&lt;$B$2,SUMPRODUCT(('PA Fees Actual'!$B$5:$B$882=$E56)*('PA Fees Actual'!$A$5:$A$882&gt;=BK$3)*('PA Fees Actual'!$A$5:$A$882&lt;=EOMONTH(BK$3,0))*'PA Fees Actual'!$D$5:$D$882),BK$3&gt;=EOMONTH($X56,-1)+1,$Y56,TRUE,0)</f>
        <v>0</v>
      </c>
      <c r="BL56" s="202" cm="1">
        <f t="array" ref="BL56">_xlfn.IFS(BL$3&lt;$B$2,SUMPRODUCT(('PA Fees Actual'!$B$5:$B$882=$E56)*('PA Fees Actual'!$A$5:$A$882&gt;=BL$3)*('PA Fees Actual'!$A$5:$A$882&lt;=EOMONTH(BL$3,0))*'PA Fees Actual'!$D$5:$D$882),BL$3&gt;=EOMONTH($X56,-1)+1,$Y56,TRUE,0)</f>
        <v>0</v>
      </c>
      <c r="BM56" s="202" cm="1">
        <f t="array" ref="BM56">_xlfn.IFS(BM$3&lt;$B$2,SUMPRODUCT(('PA Fees Actual'!$B$5:$B$882=$E56)*('PA Fees Actual'!$A$5:$A$882&gt;=BM$3)*('PA Fees Actual'!$A$5:$A$882&lt;=EOMONTH(BM$3,0))*'PA Fees Actual'!$D$5:$D$882),BM$3&gt;=EOMONTH($X56,-1)+1,$Y56,TRUE,0)</f>
        <v>0</v>
      </c>
      <c r="BN56" s="202" cm="1">
        <f t="array" ref="BN56">_xlfn.IFS(BN$3&lt;$B$2,SUMPRODUCT(('PA Fees Actual'!$B$5:$B$882=$E56)*('PA Fees Actual'!$A$5:$A$882&gt;=BN$3)*('PA Fees Actual'!$A$5:$A$882&lt;=EOMONTH(BN$3,0))*'PA Fees Actual'!$D$5:$D$882),BN$3&gt;=EOMONTH($X56,-1)+1,$Y56,TRUE,0)</f>
        <v>0</v>
      </c>
      <c r="BO56" s="202" cm="1">
        <f t="array" ref="BO56">_xlfn.IFS(BO$3&lt;$B$2,SUMPRODUCT(('PA Fees Actual'!$B$5:$B$882=$E56)*('PA Fees Actual'!$A$5:$A$882&gt;=BO$3)*('PA Fees Actual'!$A$5:$A$882&lt;=EOMONTH(BO$3,0))*'PA Fees Actual'!$D$5:$D$882),BO$3&gt;=EOMONTH($X56,-1)+1,$Y56,TRUE,0)</f>
        <v>0</v>
      </c>
      <c r="BP56" s="202" cm="1">
        <f t="array" ref="BP56">_xlfn.IFS(BP$3&lt;$B$2,SUMPRODUCT(('PA Fees Actual'!$B$5:$B$882=$E56)*('PA Fees Actual'!$A$5:$A$882&gt;=BP$3)*('PA Fees Actual'!$A$5:$A$882&lt;=EOMONTH(BP$3,0))*'PA Fees Actual'!$D$5:$D$882),BP$3&gt;=EOMONTH($X56,-1)+1,$Y56,TRUE,0)</f>
        <v>0</v>
      </c>
      <c r="BQ56" s="202" cm="1">
        <f t="array" ref="BQ56">_xlfn.IFS(BQ$3&lt;$B$2,SUMPRODUCT(('PA Fees Actual'!$B$5:$B$882=$E56)*('PA Fees Actual'!$A$5:$A$882&gt;=BQ$3)*('PA Fees Actual'!$A$5:$A$882&lt;=EOMONTH(BQ$3,0))*'PA Fees Actual'!$D$5:$D$882),BQ$3&gt;=EOMONTH($X56,-1)+1,$Y56,TRUE,0)</f>
        <v>0</v>
      </c>
      <c r="BR56" s="202" cm="1">
        <f t="array" ref="BR56">_xlfn.IFS(BR$3&lt;$B$2,SUMPRODUCT(('PA Fees Actual'!$B$5:$B$882=$E56)*('PA Fees Actual'!$A$5:$A$882&gt;=BR$3)*('PA Fees Actual'!$A$5:$A$882&lt;=EOMONTH(BR$3,0))*'PA Fees Actual'!$D$5:$D$882),BR$3&gt;=EOMONTH($X56,-1)+1,$Y56,TRUE,0)</f>
        <v>0</v>
      </c>
      <c r="BS56" s="202" cm="1">
        <f t="array" ref="BS56">_xlfn.IFS(BS$3&lt;$B$2,SUMPRODUCT(('PA Fees Actual'!$B$5:$B$882=$E56)*('PA Fees Actual'!$A$5:$A$882&gt;=BS$3)*('PA Fees Actual'!$A$5:$A$882&lt;=EOMONTH(BS$3,0))*'PA Fees Actual'!$D$5:$D$882),BS$3&gt;=EOMONTH($X56,-1)+1,$Y56,TRUE,0)</f>
        <v>0</v>
      </c>
      <c r="BT56" s="202" cm="1">
        <f t="array" ref="BT56">_xlfn.IFS(BT$3&lt;$B$2,SUMPRODUCT(('PA Fees Actual'!$B$5:$B$882=$E56)*('PA Fees Actual'!$A$5:$A$882&gt;=BT$3)*('PA Fees Actual'!$A$5:$A$882&lt;=EOMONTH(BT$3,0))*'PA Fees Actual'!$D$5:$D$882),BT$3&gt;=EOMONTH($X56,-1)+1,$Y56,TRUE,0)</f>
        <v>0</v>
      </c>
      <c r="BU56" s="202" cm="1">
        <f t="array" ref="BU56">_xlfn.IFS(BU$3&lt;$B$2,SUMPRODUCT(('PA Fees Actual'!$B$5:$B$882=$E56)*('PA Fees Actual'!$A$5:$A$882&gt;=BU$3)*('PA Fees Actual'!$A$5:$A$882&lt;=EOMONTH(BU$3,0))*'PA Fees Actual'!$D$5:$D$882),BU$3&gt;=EOMONTH($X56,-1)+1,$Y56,TRUE,0)</f>
        <v>0</v>
      </c>
      <c r="BV56" s="202" cm="1">
        <f t="array" ref="BV56">_xlfn.IFS(BV$3&lt;$B$2,SUMPRODUCT(('PA Fees Actual'!$B$5:$B$882=$E56)*('PA Fees Actual'!$A$5:$A$882&gt;=BV$3)*('PA Fees Actual'!$A$5:$A$882&lt;=EOMONTH(BV$3,0))*'PA Fees Actual'!$D$5:$D$882),BV$3&gt;=EOMONTH($X56,-1)+1,$Y56,TRUE,0)</f>
        <v>0</v>
      </c>
      <c r="BW56" s="202" cm="1">
        <f t="array" ref="BW56">_xlfn.IFS(BW$3&lt;$B$2,SUMPRODUCT(('PA Fees Actual'!$B$5:$B$882=$E56)*('PA Fees Actual'!$A$5:$A$882&gt;=BW$3)*('PA Fees Actual'!$A$5:$A$882&lt;=EOMONTH(BW$3,0))*'PA Fees Actual'!$D$5:$D$882),BW$3&gt;=EOMONTH($X56,-1)+1,$Y56,TRUE,0)</f>
        <v>0</v>
      </c>
      <c r="BX56" s="202" cm="1">
        <f t="array" ref="BX56">_xlfn.IFS(BX$3&lt;$B$2,SUMPRODUCT(('PA Fees Actual'!$B$5:$B$882=$E56)*('PA Fees Actual'!$A$5:$A$882&gt;=BX$3)*('PA Fees Actual'!$A$5:$A$882&lt;=EOMONTH(BX$3,0))*'PA Fees Actual'!$D$5:$D$882),BX$3&gt;=EOMONTH($X56,-1)+1,$Y56,TRUE,0)</f>
        <v>0</v>
      </c>
      <c r="BY56" s="202" cm="1">
        <f t="array" ref="BY56">_xlfn.IFS(BY$3&lt;$B$2,SUMPRODUCT(('PA Fees Actual'!$B$5:$B$882=$E56)*('PA Fees Actual'!$A$5:$A$882&gt;=BY$3)*('PA Fees Actual'!$A$5:$A$882&lt;=EOMONTH(BY$3,0))*'PA Fees Actual'!$D$5:$D$882),BY$3&gt;=EOMONTH($X56,-1)+1,$Y56,TRUE,0)</f>
        <v>0</v>
      </c>
      <c r="BZ56" s="202" cm="1">
        <f t="array" ref="BZ56">_xlfn.IFS(BZ$3&lt;$B$2,SUMPRODUCT(('PA Fees Actual'!$B$5:$B$882=$E56)*('PA Fees Actual'!$A$5:$A$882&gt;=BZ$3)*('PA Fees Actual'!$A$5:$A$882&lt;=EOMONTH(BZ$3,0))*'PA Fees Actual'!$D$5:$D$882),BZ$3&gt;=EOMONTH($X56,-1)+1,$Y56,TRUE,0)</f>
        <v>0</v>
      </c>
      <c r="CA56" s="202" cm="1">
        <f t="array" ref="CA56">_xlfn.IFS(CA$3&lt;$B$2,SUMPRODUCT(('PA Fees Actual'!$B$5:$B$882=$E56)*('PA Fees Actual'!$A$5:$A$882&gt;=CA$3)*('PA Fees Actual'!$A$5:$A$882&lt;=EOMONTH(CA$3,0))*'PA Fees Actual'!$D$5:$D$882),CA$3&gt;=EOMONTH($X56,-1)+1,$Y56,TRUE,0)</f>
        <v>0</v>
      </c>
      <c r="CB56" s="202" cm="1">
        <f t="array" ref="CB56">_xlfn.IFS(CB$3&lt;$B$2,SUMPRODUCT(('PA Fees Actual'!$B$5:$B$882=$E56)*('PA Fees Actual'!$A$5:$A$882&gt;=CB$3)*('PA Fees Actual'!$A$5:$A$882&lt;=EOMONTH(CB$3,0))*'PA Fees Actual'!$D$5:$D$882),CB$3&gt;=EOMONTH($X56,-1)+1,$Y56,TRUE,0)</f>
        <v>2077.1875</v>
      </c>
      <c r="CC56" s="202" cm="1">
        <f t="array" ref="CC56">_xlfn.IFS(CC$3&lt;$B$2,SUMPRODUCT(('PA Fees Actual'!$B$5:$B$882=$E56)*('PA Fees Actual'!$A$5:$A$882&gt;=CC$3)*('PA Fees Actual'!$A$5:$A$882&lt;=EOMONTH(CC$3,0))*'PA Fees Actual'!$D$5:$D$882),CC$3&gt;=EOMONTH($X56,-1)+1,$Y56,TRUE,0)</f>
        <v>2077.1875</v>
      </c>
      <c r="CD56" s="202" cm="1">
        <f t="array" ref="CD56">_xlfn.IFS(CD$3&lt;$B$2,SUMPRODUCT(('PA Fees Actual'!$B$5:$B$882=$E56)*('PA Fees Actual'!$A$5:$A$882&gt;=CD$3)*('PA Fees Actual'!$A$5:$A$882&lt;=EOMONTH(CD$3,0))*'PA Fees Actual'!$D$5:$D$882),CD$3&gt;=EOMONTH($X56,-1)+1,$Y56,TRUE,0)</f>
        <v>2077.1875</v>
      </c>
      <c r="CE56" s="202" cm="1">
        <f t="array" ref="CE56">_xlfn.IFS(CE$3&lt;$B$2,SUMPRODUCT(('PA Fees Actual'!$B$5:$B$882=$E56)*('PA Fees Actual'!$A$5:$A$882&gt;=CE$3)*('PA Fees Actual'!$A$5:$A$882&lt;=EOMONTH(CE$3,0))*'PA Fees Actual'!$D$5:$D$882),CE$3&gt;=EOMONTH($X56,-1)+1,$Y56,TRUE,0)</f>
        <v>2077.1875</v>
      </c>
      <c r="CF56" s="202" cm="1">
        <f t="array" ref="CF56">_xlfn.IFS(CF$3&lt;$B$2,SUMPRODUCT(('PA Fees Actual'!$B$5:$B$882=$E56)*('PA Fees Actual'!$A$5:$A$882&gt;=CF$3)*('PA Fees Actual'!$A$5:$A$882&lt;=EOMONTH(CF$3,0))*'PA Fees Actual'!$D$5:$D$882),CF$3&gt;=EOMONTH($X56,-1)+1,$Y56,TRUE,0)</f>
        <v>2077.1875</v>
      </c>
      <c r="CG56" s="202" cm="1">
        <f t="array" ref="CG56">_xlfn.IFS(CG$3&lt;$B$2,SUMPRODUCT(('PA Fees Actual'!$B$5:$B$882=$E56)*('PA Fees Actual'!$A$5:$A$882&gt;=CG$3)*('PA Fees Actual'!$A$5:$A$882&lt;=EOMONTH(CG$3,0))*'PA Fees Actual'!$D$5:$D$882),CG$3&gt;=EOMONTH($X56,-1)+1,$Y56,TRUE,0)</f>
        <v>2077.1875</v>
      </c>
      <c r="CI56" s="202" cm="1">
        <f t="array" ref="CI56">_xlfn.IFS(CI$3&lt;=YEAR($B$2),SUMPRODUCT(($E$4:$E$79=$E56)*($Z$2:$CG$2=CI$3)*($Z$2:$CG$2&lt;CJ$3)*$Z$4:$CG$79),CI$3&lt;YEAR($X56),0,CI$3=YEAR($X56),DATEDIF($X56,DATE(CI$3,12,31),"m")*$Y56,AND(CI$3&gt;YEAR($X56),CI$3-YEAR($X56)&lt;20),$Y56*12,CI$3-YEAR($X56)=20,DATEDIF(DATE(YEAR($X56),1,1),$X56,"m")*$Y56,CI$3-YEAR($X56)&gt;20,0)</f>
        <v>0</v>
      </c>
      <c r="CJ56" s="202" cm="1">
        <f t="array" ref="CJ56">_xlfn.IFS(CJ$3&lt;=YEAR($B$2),SUMPRODUCT(($E$4:$E$79=$E56)*($Z$2:$CG$2=CJ$3)*($Z$2:$CG$2&lt;CK$3)*$Z$4:$CG$79),CJ$3&lt;YEAR($X56),0,CJ$3=YEAR($X56),DATEDIF($X56,DATE(CJ$3,12,31),"m")*$Y56,AND(CJ$3&gt;YEAR($X56),CJ$3-YEAR($X56)&lt;20),$Y56*12,CJ$3-YEAR($X56)=20,DATEDIF(DATE(YEAR($X56),1,1),$X56,"m")*$Y56,CJ$3-YEAR($X56)&gt;20,0)</f>
        <v>0</v>
      </c>
      <c r="CK56" s="202" cm="1">
        <f t="array" ref="CK56">_xlfn.IFS(CK$3&lt;=YEAR($B$2),SUMPRODUCT(($E$4:$E$79=$E56)*($Z$2:$CG$2=CK$3)*($Z$2:$CG$2&lt;CL$3)*$Z$4:$CG$79),CK$3&lt;YEAR($X56),0,CK$3=YEAR($X56),DATEDIF($X56,DATE(CK$3,12,31),"m")*$Y56,AND(CK$3&gt;YEAR($X56),CK$3-YEAR($X56)&lt;20),$Y56*12,CK$3-YEAR($X56)=20,DATEDIF(DATE(YEAR($X56),1,1),$X56,"m")*$Y56,CK$3-YEAR($X56)&gt;20,0)</f>
        <v>0</v>
      </c>
      <c r="CL56" s="202" cm="1">
        <f t="array" ref="CL56">_xlfn.IFS(CL$3&lt;=YEAR($B$2),SUMPRODUCT(($E$4:$E$79=$E56)*($Z$2:$CG$2=CL$3)*($Z$2:$CG$2&lt;CM$3)*$Z$4:$CG$79),CL$3&lt;YEAR($X56),0,CL$3=YEAR($X56),DATEDIF($X56,DATE(CL$3,12,31),"m")*$Y56,AND(CL$3&gt;YEAR($X56),CL$3-YEAR($X56)&lt;20),$Y56*12,CL$3-YEAR($X56)=20,DATEDIF(DATE(YEAR($X56),1,1),$X56,"m")*$Y56,CL$3-YEAR($X56)&gt;20,0)</f>
        <v>0</v>
      </c>
      <c r="CM56" s="202" cm="1">
        <f t="array" ref="CM56">_xlfn.IFS(CM$3&lt;=YEAR($B$2),SUMPRODUCT(($E$4:$E$79=$E56)*($Z$2:$CG$2=CM$3)*($Z$2:$CG$2&lt;CN$3)*$Z$4:$CG$79),CM$3&lt;YEAR($X56),0,CM$3=YEAR($X56),DATEDIF($X56,DATE(CM$3,12,31),"m")*$Y56,AND(CM$3&gt;YEAR($X56),CM$3-YEAR($X56)&lt;20),$Y56*12,CM$3-YEAR($X56)=20,DATEDIF(DATE(YEAR($X56),1,1),$X56,"m")*$Y56,CM$3-YEAR($X56)&gt;20,0)</f>
        <v>12463.125</v>
      </c>
      <c r="CN56" s="202" cm="1">
        <f t="array" ref="CN56">_xlfn.IFS(CN$3&lt;=YEAR($B$2),SUMPRODUCT(($E$4:$E$79=$E56)*($Z$2:$CG$2=CN$3)*($Z$2:$CG$2&lt;CO$3)*$Z$4:$CG$79),CN$3&lt;YEAR($X56),0,CN$3=YEAR($X56),DATEDIF($X56,DATE(CN$3,12,31),"m")*$Y56,AND(CN$3&gt;YEAR($X56),CN$3-YEAR($X56)&lt;20),$Y56*12,CN$3-YEAR($X56)=20,DATEDIF(DATE(YEAR($X56),1,1),$X56,"m")*$Y56,CN$3-YEAR($X56)&gt;20,0)</f>
        <v>24926.25</v>
      </c>
      <c r="CO56" s="202" cm="1">
        <f t="array" ref="CO56">_xlfn.IFS(CO$3&lt;=YEAR($B$2),SUMPRODUCT(($E$4:$E$79=$E56)*($Z$2:$CG$2=CO$3)*($Z$2:$CG$2&lt;CP$3)*$Z$4:$CG$79),CO$3&lt;YEAR($X56),0,CO$3=YEAR($X56),DATEDIF($X56,DATE(CO$3,12,31),"m")*$Y56,AND(CO$3&gt;YEAR($X56),CO$3-YEAR($X56)&lt;20),$Y56*12,CO$3-YEAR($X56)=20,DATEDIF(DATE(YEAR($X56),1,1),$X56,"m")*$Y56,CO$3-YEAR($X56)&gt;20,0)</f>
        <v>24926.25</v>
      </c>
      <c r="CP56" s="202" cm="1">
        <f t="array" ref="CP56">_xlfn.IFS(CP$3&lt;=YEAR($B$2),SUMPRODUCT(($E$4:$E$79=$E56)*($Z$2:$CG$2=CP$3)*($Z$2:$CG$2&lt;CQ$3)*$Z$4:$CG$79),CP$3&lt;YEAR($X56),0,CP$3=YEAR($X56),DATEDIF($X56,DATE(CP$3,12,31),"m")*$Y56,AND(CP$3&gt;YEAR($X56),CP$3-YEAR($X56)&lt;20),$Y56*12,CP$3-YEAR($X56)=20,DATEDIF(DATE(YEAR($X56),1,1),$X56,"m")*$Y56,CP$3-YEAR($X56)&gt;20,0)</f>
        <v>24926.25</v>
      </c>
      <c r="CQ56" s="202" cm="1">
        <f t="array" ref="CQ56">_xlfn.IFS(CQ$3&lt;=YEAR($B$2),SUMPRODUCT(($E$4:$E$79=$E56)*($Z$2:$CG$2=CQ$3)*($Z$2:$CG$2&lt;CR$3)*$Z$4:$CG$79),CQ$3&lt;YEAR($X56),0,CQ$3=YEAR($X56),DATEDIF($X56,DATE(CQ$3,12,31),"m")*$Y56,AND(CQ$3&gt;YEAR($X56),CQ$3-YEAR($X56)&lt;20),$Y56*12,CQ$3-YEAR($X56)=20,DATEDIF(DATE(YEAR($X56),1,1),$X56,"m")*$Y56,CQ$3-YEAR($X56)&gt;20,0)</f>
        <v>24926.25</v>
      </c>
      <c r="CR56" s="202" cm="1">
        <f t="array" ref="CR56">_xlfn.IFS(CR$3&lt;=YEAR($B$2),SUMPRODUCT(($E$4:$E$79=$E56)*($Z$2:$CG$2=CR$3)*($Z$2:$CG$2&lt;CS$3)*$Z$4:$CG$79),CR$3&lt;YEAR($X56),0,CR$3=YEAR($X56),DATEDIF($X56,DATE(CR$3,12,31),"m")*$Y56,AND(CR$3&gt;YEAR($X56),CR$3-YEAR($X56)&lt;20),$Y56*12,CR$3-YEAR($X56)=20,DATEDIF(DATE(YEAR($X56),1,1),$X56,"m")*$Y56,CR$3-YEAR($X56)&gt;20,0)</f>
        <v>24926.25</v>
      </c>
      <c r="CS56" s="202" cm="1">
        <f t="array" ref="CS56">_xlfn.IFS(CS$3&lt;=YEAR($B$2),SUMPRODUCT(($E$4:$E$79=$E56)*($Z$2:$CG$2=CS$3)*($Z$2:$CG$2&lt;CT$3)*$Z$4:$CG$79),CS$3&lt;YEAR($X56),0,CS$3=YEAR($X56),DATEDIF($X56,DATE(CS$3,12,31),"m")*$Y56,AND(CS$3&gt;YEAR($X56),CS$3-YEAR($X56)&lt;20),$Y56*12,CS$3-YEAR($X56)=20,DATEDIF(DATE(YEAR($X56),1,1),$X56,"m")*$Y56,CS$3-YEAR($X56)&gt;20,0)</f>
        <v>24926.25</v>
      </c>
      <c r="CT56" s="202" cm="1">
        <f t="array" ref="CT56">_xlfn.IFS(CT$3&lt;=YEAR($B$2),SUMPRODUCT(($E$4:$E$79=$E56)*($Z$2:$CG$2=CT$3)*($Z$2:$CG$2&lt;CU$3)*$Z$4:$CG$79),CT$3&lt;YEAR($X56),0,CT$3=YEAR($X56),DATEDIF($X56,DATE(CT$3,12,31),"m")*$Y56,AND(CT$3&gt;YEAR($X56),CT$3-YEAR($X56)&lt;20),$Y56*12,CT$3-YEAR($X56)=20,DATEDIF(DATE(YEAR($X56),1,1),$X56,"m")*$Y56,CT$3-YEAR($X56)&gt;20,0)</f>
        <v>24926.25</v>
      </c>
      <c r="CU56" s="202" cm="1">
        <f t="array" ref="CU56">_xlfn.IFS(CU$3&lt;=YEAR($B$2),SUMPRODUCT(($E$4:$E$79=$E56)*($Z$2:$CG$2=CU$3)*($Z$2:$CG$2&lt;CV$3)*$Z$4:$CG$79),CU$3&lt;YEAR($X56),0,CU$3=YEAR($X56),DATEDIF($X56,DATE(CU$3,12,31),"m")*$Y56,AND(CU$3&gt;YEAR($X56),CU$3-YEAR($X56)&lt;20),$Y56*12,CU$3-YEAR($X56)=20,DATEDIF(DATE(YEAR($X56),1,1),$X56,"m")*$Y56,CU$3-YEAR($X56)&gt;20,0)</f>
        <v>24926.25</v>
      </c>
      <c r="CV56" s="202" cm="1">
        <f t="array" ref="CV56">_xlfn.IFS(CV$3&lt;=YEAR($B$2),SUMPRODUCT(($E$4:$E$79=$E56)*($Z$2:$CG$2=CV$3)*($Z$2:$CG$2&lt;CW$3)*$Z$4:$CG$79),CV$3&lt;YEAR($X56),0,CV$3=YEAR($X56),DATEDIF($X56,DATE(CV$3,12,31),"m")*$Y56,AND(CV$3&gt;YEAR($X56),CV$3-YEAR($X56)&lt;20),$Y56*12,CV$3-YEAR($X56)=20,DATEDIF(DATE(YEAR($X56),1,1),$X56,"m")*$Y56,CV$3-YEAR($X56)&gt;20,0)</f>
        <v>24926.25</v>
      </c>
      <c r="CW56" s="202" cm="1">
        <f t="array" ref="CW56">_xlfn.IFS(CW$3&lt;=YEAR($B$2),SUMPRODUCT(($E$4:$E$79=$E56)*($Z$2:$CG$2=CW$3)*($Z$2:$CG$2&lt;CX$3)*$Z$4:$CG$79),CW$3&lt;YEAR($X56),0,CW$3=YEAR($X56),DATEDIF($X56,DATE(CW$3,12,31),"m")*$Y56,AND(CW$3&gt;YEAR($X56),CW$3-YEAR($X56)&lt;20),$Y56*12,CW$3-YEAR($X56)=20,DATEDIF(DATE(YEAR($X56),1,1),$X56,"m")*$Y56,CW$3-YEAR($X56)&gt;20,0)</f>
        <v>24926.25</v>
      </c>
      <c r="CX56" s="202" cm="1">
        <f t="array" ref="CX56">_xlfn.IFS(CX$3&lt;=YEAR($B$2),SUMPRODUCT(($E$4:$E$79=$E56)*($Z$2:$CG$2=CX$3)*($Z$2:$CG$2&lt;CY$3)*$Z$4:$CG$79),CX$3&lt;YEAR($X56),0,CX$3=YEAR($X56),DATEDIF($X56,DATE(CX$3,12,31),"m")*$Y56,AND(CX$3&gt;YEAR($X56),CX$3-YEAR($X56)&lt;20),$Y56*12,CX$3-YEAR($X56)=20,DATEDIF(DATE(YEAR($X56),1,1),$X56,"m")*$Y56,CX$3-YEAR($X56)&gt;20,0)</f>
        <v>24926.25</v>
      </c>
      <c r="CY56" s="202" cm="1">
        <f t="array" ref="CY56">_xlfn.IFS(CY$3&lt;=YEAR($B$2),SUMPRODUCT(($E$4:$E$79=$E56)*($Z$2:$CG$2=CY$3)*($Z$2:$CG$2&lt;CZ$3)*$Z$4:$CG$79),CY$3&lt;YEAR($X56),0,CY$3=YEAR($X56),DATEDIF($X56,DATE(CY$3,12,31),"m")*$Y56,AND(CY$3&gt;YEAR($X56),CY$3-YEAR($X56)&lt;20),$Y56*12,CY$3-YEAR($X56)=20,DATEDIF(DATE(YEAR($X56),1,1),$X56,"m")*$Y56,CY$3-YEAR($X56)&gt;20,0)</f>
        <v>24926.25</v>
      </c>
      <c r="CZ56" s="202" cm="1">
        <f t="array" ref="CZ56">_xlfn.IFS(CZ$3&lt;=YEAR($B$2),SUMPRODUCT(($E$4:$E$79=$E56)*($Z$2:$CG$2=CZ$3)*($Z$2:$CG$2&lt;DA$3)*$Z$4:$CG$79),CZ$3&lt;YEAR($X56),0,CZ$3=YEAR($X56),DATEDIF($X56,DATE(CZ$3,12,31),"m")*$Y56,AND(CZ$3&gt;YEAR($X56),CZ$3-YEAR($X56)&lt;20),$Y56*12,CZ$3-YEAR($X56)=20,DATEDIF(DATE(YEAR($X56),1,1),$X56,"m")*$Y56,CZ$3-YEAR($X56)&gt;20,0)</f>
        <v>24926.25</v>
      </c>
      <c r="DA56" s="202" cm="1">
        <f t="array" ref="DA56">_xlfn.IFS(DA$3&lt;=YEAR($B$2),SUMPRODUCT(($E$4:$E$79=$E56)*($Z$2:$CG$2=DA$3)*($Z$2:$CG$2&lt;DB$3)*$Z$4:$CG$79),DA$3&lt;YEAR($X56),0,DA$3=YEAR($X56),DATEDIF($X56,DATE(DA$3,12,31),"m")*$Y56,AND(DA$3&gt;YEAR($X56),DA$3-YEAR($X56)&lt;20),$Y56*12,DA$3-YEAR($X56)=20,DATEDIF(DATE(YEAR($X56),1,1),$X56,"m")*$Y56,DA$3-YEAR($X56)&gt;20,0)</f>
        <v>24926.25</v>
      </c>
      <c r="DB56" s="202" cm="1">
        <f t="array" ref="DB56">_xlfn.IFS(DB$3&lt;=YEAR($B$2),SUMPRODUCT(($E$4:$E$79=$E56)*($Z$2:$CG$2=DB$3)*($Z$2:$CG$2&lt;DC$3)*$Z$4:$CG$79),DB$3&lt;YEAR($X56),0,DB$3=YEAR($X56),DATEDIF($X56,DATE(DB$3,12,31),"m")*$Y56,AND(DB$3&gt;YEAR($X56),DB$3-YEAR($X56)&lt;20),$Y56*12,DB$3-YEAR($X56)=20,DATEDIF(DATE(YEAR($X56),1,1),$X56,"m")*$Y56,DB$3-YEAR($X56)&gt;20,0)</f>
        <v>24926.25</v>
      </c>
      <c r="DC56" s="202" cm="1">
        <f t="array" ref="DC56">_xlfn.IFS(DC$3&lt;=YEAR($B$2),SUMPRODUCT(($E$4:$E$79=$E56)*($Z$2:$CG$2=DC$3)*($Z$2:$CG$2&lt;DD$3)*$Z$4:$CG$79),DC$3&lt;YEAR($X56),0,DC$3=YEAR($X56),DATEDIF($X56,DATE(DC$3,12,31),"m")*$Y56,AND(DC$3&gt;YEAR($X56),DC$3-YEAR($X56)&lt;20),$Y56*12,DC$3-YEAR($X56)=20,DATEDIF(DATE(YEAR($X56),1,1),$X56,"m")*$Y56,DC$3-YEAR($X56)&gt;20,0)</f>
        <v>24926.25</v>
      </c>
      <c r="DD56" s="202" cm="1">
        <f t="array" ref="DD56">_xlfn.IFS(DD$3&lt;=YEAR($B$2),SUMPRODUCT(($E$4:$E$79=$E56)*($Z$2:$CG$2=DD$3)*($Z$2:$CG$2&lt;DE$3)*$Z$4:$CG$79),DD$3&lt;YEAR($X56),0,DD$3=YEAR($X56),DATEDIF($X56,DATE(DD$3,12,31),"m")*$Y56,AND(DD$3&gt;YEAR($X56),DD$3-YEAR($X56)&lt;20),$Y56*12,DD$3-YEAR($X56)=20,DATEDIF(DATE(YEAR($X56),1,1),$X56,"m")*$Y56,DD$3-YEAR($X56)&gt;20,0)</f>
        <v>24926.25</v>
      </c>
      <c r="DE56" s="202" cm="1">
        <f t="array" ref="DE56">_xlfn.IFS(DE$3&lt;=YEAR($B$2),SUMPRODUCT(($E$4:$E$79=$E56)*($Z$2:$CG$2=DE$3)*($Z$2:$CG$2&lt;DF$3)*$Z$4:$CG$79),DE$3&lt;YEAR($X56),0,DE$3=YEAR($X56),DATEDIF($X56,DATE(DE$3,12,31),"m")*$Y56,AND(DE$3&gt;YEAR($X56),DE$3-YEAR($X56)&lt;20),$Y56*12,DE$3-YEAR($X56)=20,DATEDIF(DATE(YEAR($X56),1,1),$X56,"m")*$Y56,DE$3-YEAR($X56)&gt;20,0)</f>
        <v>24926.25</v>
      </c>
      <c r="DF56" s="202" cm="1">
        <f t="array" ref="DF56">_xlfn.IFS(DF$3&lt;=YEAR($B$2),SUMPRODUCT(($E$4:$E$79=$E56)*($Z$2:$CG$2=DF$3)*($Z$2:$CG$2&lt;DG$3)*$Z$4:$CG$79),DF$3&lt;YEAR($X56),0,DF$3=YEAR($X56),DATEDIF($X56,DATE(DF$3,12,31),"m")*$Y56,AND(DF$3&gt;YEAR($X56),DF$3-YEAR($X56)&lt;20),$Y56*12,DF$3-YEAR($X56)=20,DATEDIF(DATE(YEAR($X56),1,1),$X56,"m")*$Y56,DF$3-YEAR($X56)&gt;20,0)</f>
        <v>24926.25</v>
      </c>
      <c r="DG56" s="202" cm="1">
        <f t="array" ref="DG56">_xlfn.IFS(DG$3&lt;=YEAR($B$2),SUMPRODUCT(($E$4:$E$79=$E56)*($Z$2:$CG$2=DG$3)*($Z$2:$CG$2&lt;DH$3)*$Z$4:$CG$79),DG$3&lt;YEAR($X56),0,DG$3=YEAR($X56),DATEDIF($X56,DATE(DG$3,12,31),"m")*$Y56,AND(DG$3&gt;YEAR($X56),DG$3-YEAR($X56)&lt;20),$Y56*12,DG$3-YEAR($X56)=20,DATEDIF(DATE(YEAR($X56),1,1),$X56,"m")*$Y56,DG$3-YEAR($X56)&gt;20,0)</f>
        <v>10385.9375</v>
      </c>
      <c r="DH56" s="202" cm="1">
        <f t="array" ref="DH56">_xlfn.IFS(DH$3&lt;=YEAR($B$2),SUMPRODUCT(($E$4:$E$79=$E56)*($Z$2:$CG$2=DH$3)*($Z$2:$CG$2&lt;DI$3)*$Z$4:$CG$79),DH$3&lt;YEAR($X56),0,DH$3=YEAR($X56),DATEDIF($X56,DATE(DH$3,12,31),"m")*$Y56,AND(DH$3&gt;YEAR($X56),DH$3-YEAR($X56)&lt;20),$Y56*12,DH$3-YEAR($X56)=20,DATEDIF(DATE(YEAR($X56),1,1),$X56,"m")*$Y56,DH$3-YEAR($X56)&gt;20,0)</f>
        <v>0</v>
      </c>
      <c r="DI56" s="202" cm="1">
        <f t="array" ref="DI56">_xlfn.IFS(DI$3&lt;=YEAR($B$2),SUMPRODUCT(($E$4:$E$79=$E56)*($Z$2:$CG$2=DI$3)*($Z$2:$CG$2&lt;DJ$3)*$Z$4:$CG$79),DI$3&lt;YEAR($X56),0,DI$3=YEAR($X56),DATEDIF($X56,DATE(DI$3,12,31),"m")*$Y56,AND(DI$3&gt;YEAR($X56),DI$3-YEAR($X56)&lt;20),$Y56*12,DI$3-YEAR($X56)=20,DATEDIF(DATE(YEAR($X56),1,1),$X56,"m")*$Y56,DI$3-YEAR($X56)&gt;20,0)</f>
        <v>0</v>
      </c>
      <c r="DJ56" s="202" cm="1">
        <f t="array" ref="DJ56">_xlfn.IFS(DJ$3&lt;=YEAR($B$2),SUMPRODUCT(($E$4:$E$79=$E56)*($Z$2:$CG$2=DJ$3)*($Z$2:$CG$2&lt;DK$3)*$Z$4:$CG$79),DJ$3&lt;YEAR($X56),0,DJ$3=YEAR($X56),DATEDIF($X56,DATE(DJ$3,12,31),"m")*$Y56,AND(DJ$3&gt;YEAR($X56),DJ$3-YEAR($X56)&lt;20),$Y56*12,DJ$3-YEAR($X56)=20,DATEDIF(DATE(YEAR($X56),1,1),$X56,"m")*$Y56,DJ$3-YEAR($X56)&gt;20,0)</f>
        <v>0</v>
      </c>
      <c r="DK56" s="202" cm="1">
        <f t="array" ref="DK56">_xlfn.IFS(DK$3&lt;=YEAR($B$2),SUMPRODUCT(($E$4:$E$79=$E56)*($Z$2:$CG$2=DK$3)*($Z$2:$CG$2&lt;DL$3)*$Z$4:$CG$79),DK$3&lt;YEAR($X56),0,DK$3=YEAR($X56),DATEDIF($X56,DATE(DK$3,12,31),"m")*$Y56,AND(DK$3&gt;YEAR($X56),DK$3-YEAR($X56)&lt;20),$Y56*12,DK$3-YEAR($X56)=20,DATEDIF(DATE(YEAR($X56),1,1),$X56,"m")*$Y56,DK$3-YEAR($X56)&gt;20,0)</f>
        <v>0</v>
      </c>
      <c r="DL56" s="202" cm="1">
        <f t="array" ref="DL56">_xlfn.IFS(DL$3&lt;=YEAR($B$2),SUMPRODUCT(($E$4:$E$79=$E56)*($Z$2:$CG$2=DL$3)*($Z$2:$CG$2&lt;DM$3)*$Z$4:$CG$79),DL$3&lt;YEAR($X56),0,DL$3=YEAR($X56),DATEDIF($X56,DATE(DL$3,12,31),"m")*$Y56,AND(DL$3&gt;YEAR($X56),DL$3-YEAR($X56)&lt;20),$Y56*12,DL$3-YEAR($X56)=20,DATEDIF(DATE(YEAR($X56),1,1),$X56,"m")*$Y56,DL$3-YEAR($X56)&gt;20,0)</f>
        <v>0</v>
      </c>
    </row>
    <row r="57" spans="1:116">
      <c r="A57" s="155" t="str" cm="1">
        <f t="array" ref="A57">INDEX('Monthly Report July 2025'!C:C,MATCH(E57,'Monthly Report July 2025'!E:E,0),0)</f>
        <v>SPQ0240</v>
      </c>
      <c r="B57" s="155" t="str" cm="1">
        <f t="array" ref="B57">_xlfn.IFS(LEFT(E57,3)="PGE","PGE",LEFT(E57,2)="PP","PAC",TRUE,"IP")</f>
        <v>PGE</v>
      </c>
      <c r="C57" s="155" t="str">
        <f>IF(ISNA(MATCH(E57,'Monthly Report July 2025'!E:E,0)),"Missing","Present")</f>
        <v>Present</v>
      </c>
      <c r="D57" s="155" t="str">
        <f>IF(ISNA(MATCH(E57,'Project Operational Timelines'!C:C,0))=TRUE,"Missing","Present")</f>
        <v>Present</v>
      </c>
      <c r="E57" s="155" t="s">
        <v>165</v>
      </c>
      <c r="F57" s="155" t="str" cm="1">
        <f t="array" ref="F57">INDEX('Monthly Report July 2025'!F:F,MATCH(E57,'Monthly Report July 2025'!E:E,),0)</f>
        <v>Wallace Solar LLC</v>
      </c>
      <c r="G57" s="155" t="str" cm="1">
        <f t="array" ref="G57">_xlfn.IFS(INDEX('Monthly Report July 2025'!O:O,MATCH(E57,'Monthly Report July 2025'!E:E,0),0)="Operational","Operational",INDEX('Monthly Report July 2025'!O:O,MATCH(E57,'Monthly Report July 2025'!E:E,0),0)="Certified","Certified",TRUE,"Pre-Certified")</f>
        <v>Operational</v>
      </c>
      <c r="H57" s="155" t="str" cm="1">
        <f t="array" ref="H57">INDEX('Monthly Report July 2025'!H:H,MATCH($E57,'Monthly Report July 2025'!$E:$E,0),0)</f>
        <v>Sulus</v>
      </c>
      <c r="I57" s="155" t="str" cm="1">
        <f t="array" ref="I57">INDEX('Monthly Report July 2025'!I:I,MATCH($E57,'Monthly Report July 2025'!$E:$E,0),0)</f>
        <v>SolRiver Capital</v>
      </c>
      <c r="J57" s="174" cm="1">
        <f t="array" ref="J57">INDEX('Monthly Report July 2025'!J:J,MATCH($E57,'Monthly Report July 2025'!$E:$E,0),0)</f>
        <v>2</v>
      </c>
      <c r="K57" s="174" t="str" cm="1">
        <f t="array" ref="K57">INDEX('Monthly Report July 2025'!K:K,MATCH($E57,'Monthly Report July 2025'!$E:$E,0),0)</f>
        <v>No</v>
      </c>
      <c r="L57" s="174" t="b" cm="1">
        <f t="array" ref="L57">INDEX('Monthly Report July 2025'!L:L,MATCH(E57,'Monthly Report July 2025'!E:E,0),0)=M57</f>
        <v>1</v>
      </c>
      <c r="M57" s="273" cm="1">
        <f t="array" ref="M57">INDEX('Monthly Report July 2025'!L:L,MATCH($E57,'Monthly Report July 2025'!$E:$E,0),0)</f>
        <v>2970</v>
      </c>
      <c r="N57" s="175" cm="1">
        <f t="array" ref="N57">INDEX('Monthly Report July 2025'!M:M,MATCH($E57,'Monthly Report July 2025'!$E:$E,0),0)</f>
        <v>44666</v>
      </c>
      <c r="O57" s="175" t="str" cm="1">
        <f t="array" ref="O57">_xlfn.IFS(G57="Operational","Operational",G57="Certified","Certified",TRUE,INDEX('Monthly Report July 2025'!O:O,MATCH(E57,'Monthly Report July 2025'!E:E,0),0))</f>
        <v>Operational</v>
      </c>
      <c r="P57" s="175" t="b" cm="1">
        <f t="array" ref="P57">_xlfn.IFS(G57="Operational",O57="Operational",G57="Certified",O57="Certified",TRUE,G57="Pre-Certified")</f>
        <v>1</v>
      </c>
      <c r="Q57" s="175" cm="1">
        <f t="array" ref="Q57">IF(O57="Operational",INDEX('Monthly Report July 2025'!R:R,MATCH(E57,'Monthly Report July 2025'!E:E,0),0),"")</f>
        <v>45748</v>
      </c>
      <c r="R57" s="175" cm="1">
        <f t="array" ref="R57">INDEX('Monthly Report July 2025'!P:P,MATCH(E57,'Monthly Report July 2025'!E:E,0),0)</f>
        <v>45679</v>
      </c>
      <c r="S57" s="175" t="b">
        <f t="shared" si="28"/>
        <v>1</v>
      </c>
      <c r="T57" s="175" cm="1">
        <f t="array" ref="T57">INDEX('Monthly Report July 2025'!U:U,MATCH(E57,'Monthly Report July 2025'!E:E,0),0)</f>
        <v>45646</v>
      </c>
      <c r="U57" s="175" t="str">
        <f t="shared" si="6"/>
        <v>IGNORE</v>
      </c>
      <c r="V57" s="156">
        <f t="shared" si="29"/>
        <v>45679</v>
      </c>
      <c r="W57" s="156" cm="1">
        <f t="array" ref="W57">_xlfn.IFS(U57=TRUE,EDATE(O57,6),U57=FALSE,T57,O57="Operational",Q57,AND(O57="Certified",EDATE(R57,6)&gt;T57),EDATE(R57,6),TRUE,T57)</f>
        <v>45748</v>
      </c>
      <c r="X57" s="156">
        <f t="shared" si="30"/>
        <v>45809</v>
      </c>
      <c r="Y57" s="157">
        <f t="shared" si="31"/>
        <v>2145.8249999999998</v>
      </c>
      <c r="Z57" s="202" cm="1">
        <f t="array" ref="Z57">_xlfn.IFS(Z$3&lt;$B$2,SUMPRODUCT(('PA Fees Actual'!$B$5:$B$882=$E57)*('PA Fees Actual'!$A$5:$A$882&gt;=Z$3)*('PA Fees Actual'!$A$5:$A$882&lt;=EOMONTH(Z$3,0))*'PA Fees Actual'!$D$5:$D$882),Z$3&gt;=EOMONTH($X57,-1)+1,$Y57,TRUE,0)</f>
        <v>0</v>
      </c>
      <c r="AA57" s="202" cm="1">
        <f t="array" ref="AA57">_xlfn.IFS(AA$3&lt;$B$2,SUMPRODUCT(('PA Fees Actual'!$B$5:$B$882=$E57)*('PA Fees Actual'!$A$5:$A$882&gt;=AA$3)*('PA Fees Actual'!$A$5:$A$882&lt;=EOMONTH(AA$3,0))*'PA Fees Actual'!$D$5:$D$882),AA$3&gt;=EOMONTH($X57,-1)+1,$Y57,TRUE,0)</f>
        <v>0</v>
      </c>
      <c r="AB57" s="202" cm="1">
        <f t="array" ref="AB57">_xlfn.IFS(AB$3&lt;$B$2,SUMPRODUCT(('PA Fees Actual'!$B$5:$B$882=$E57)*('PA Fees Actual'!$A$5:$A$882&gt;=AB$3)*('PA Fees Actual'!$A$5:$A$882&lt;=EOMONTH(AB$3,0))*'PA Fees Actual'!$D$5:$D$882),AB$3&gt;=EOMONTH($X57,-1)+1,$Y57,TRUE,0)</f>
        <v>0</v>
      </c>
      <c r="AC57" s="202" cm="1">
        <f t="array" ref="AC57">_xlfn.IFS(AC$3&lt;$B$2,SUMPRODUCT(('PA Fees Actual'!$B$5:$B$882=$E57)*('PA Fees Actual'!$A$5:$A$882&gt;=AC$3)*('PA Fees Actual'!$A$5:$A$882&lt;=EOMONTH(AC$3,0))*'PA Fees Actual'!$D$5:$D$882),AC$3&gt;=EOMONTH($X57,-1)+1,$Y57,TRUE,0)</f>
        <v>0</v>
      </c>
      <c r="AD57" s="202" cm="1">
        <f t="array" ref="AD57">_xlfn.IFS(AD$3&lt;$B$2,SUMPRODUCT(('PA Fees Actual'!$B$5:$B$882=$E57)*('PA Fees Actual'!$A$5:$A$882&gt;=AD$3)*('PA Fees Actual'!$A$5:$A$882&lt;=EOMONTH(AD$3,0))*'PA Fees Actual'!$D$5:$D$882),AD$3&gt;=EOMONTH($X57,-1)+1,$Y57,TRUE,0)</f>
        <v>0</v>
      </c>
      <c r="AE57" s="202" cm="1">
        <f t="array" ref="AE57">_xlfn.IFS(AE$3&lt;$B$2,SUMPRODUCT(('PA Fees Actual'!$B$5:$B$882=$E57)*('PA Fees Actual'!$A$5:$A$882&gt;=AE$3)*('PA Fees Actual'!$A$5:$A$882&lt;=EOMONTH(AE$3,0))*'PA Fees Actual'!$D$5:$D$882),AE$3&gt;=EOMONTH($X57,-1)+1,$Y57,TRUE,0)</f>
        <v>0</v>
      </c>
      <c r="AF57" s="202" cm="1">
        <f t="array" ref="AF57">_xlfn.IFS(AF$3&lt;$B$2,SUMPRODUCT(('PA Fees Actual'!$B$5:$B$882=$E57)*('PA Fees Actual'!$A$5:$A$882&gt;=AF$3)*('PA Fees Actual'!$A$5:$A$882&lt;=EOMONTH(AF$3,0))*'PA Fees Actual'!$D$5:$D$882),AF$3&gt;=EOMONTH($X57,-1)+1,$Y57,TRUE,0)</f>
        <v>0</v>
      </c>
      <c r="AG57" s="202" cm="1">
        <f t="array" ref="AG57">_xlfn.IFS(AG$3&lt;$B$2,SUMPRODUCT(('PA Fees Actual'!$B$5:$B$882=$E57)*('PA Fees Actual'!$A$5:$A$882&gt;=AG$3)*('PA Fees Actual'!$A$5:$A$882&lt;=EOMONTH(AG$3,0))*'PA Fees Actual'!$D$5:$D$882),AG$3&gt;=EOMONTH($X57,-1)+1,$Y57,TRUE,0)</f>
        <v>0</v>
      </c>
      <c r="AH57" s="202" cm="1">
        <f t="array" ref="AH57">_xlfn.IFS(AH$3&lt;$B$2,SUMPRODUCT(('PA Fees Actual'!$B$5:$B$882=$E57)*('PA Fees Actual'!$A$5:$A$882&gt;=AH$3)*('PA Fees Actual'!$A$5:$A$882&lt;=EOMONTH(AH$3,0))*'PA Fees Actual'!$D$5:$D$882),AH$3&gt;=EOMONTH($X57,-1)+1,$Y57,TRUE,0)</f>
        <v>0</v>
      </c>
      <c r="AI57" s="202" cm="1">
        <f t="array" ref="AI57">_xlfn.IFS(AI$3&lt;$B$2,SUMPRODUCT(('PA Fees Actual'!$B$5:$B$882=$E57)*('PA Fees Actual'!$A$5:$A$882&gt;=AI$3)*('PA Fees Actual'!$A$5:$A$882&lt;=EOMONTH(AI$3,0))*'PA Fees Actual'!$D$5:$D$882),AI$3&gt;=EOMONTH($X57,-1)+1,$Y57,TRUE,0)</f>
        <v>0</v>
      </c>
      <c r="AJ57" s="202" cm="1">
        <f t="array" ref="AJ57">_xlfn.IFS(AJ$3&lt;$B$2,SUMPRODUCT(('PA Fees Actual'!$B$5:$B$882=$E57)*('PA Fees Actual'!$A$5:$A$882&gt;=AJ$3)*('PA Fees Actual'!$A$5:$A$882&lt;=EOMONTH(AJ$3,0))*'PA Fees Actual'!$D$5:$D$882),AJ$3&gt;=EOMONTH($X57,-1)+1,$Y57,TRUE,0)</f>
        <v>0</v>
      </c>
      <c r="AK57" s="202" cm="1">
        <f t="array" ref="AK57">_xlfn.IFS(AK$3&lt;$B$2,SUMPRODUCT(('PA Fees Actual'!$B$5:$B$882=$E57)*('PA Fees Actual'!$A$5:$A$882&gt;=AK$3)*('PA Fees Actual'!$A$5:$A$882&lt;=EOMONTH(AK$3,0))*'PA Fees Actual'!$D$5:$D$882),AK$3&gt;=EOMONTH($X57,-1)+1,$Y57,TRUE,0)</f>
        <v>0</v>
      </c>
      <c r="AL57" s="202" cm="1">
        <f t="array" ref="AL57">_xlfn.IFS(AL$3&lt;$B$2,SUMPRODUCT(('PA Fees Actual'!$B$5:$B$882=$E57)*('PA Fees Actual'!$A$5:$A$882&gt;=AL$3)*('PA Fees Actual'!$A$5:$A$882&lt;=EOMONTH(AL$3,0))*'PA Fees Actual'!$D$5:$D$882),AL$3&gt;=EOMONTH($X57,-1)+1,$Y57,TRUE,0)</f>
        <v>0</v>
      </c>
      <c r="AM57" s="202" cm="1">
        <f t="array" ref="AM57">_xlfn.IFS(AM$3&lt;$B$2,SUMPRODUCT(('PA Fees Actual'!$B$5:$B$882=$E57)*('PA Fees Actual'!$A$5:$A$882&gt;=AM$3)*('PA Fees Actual'!$A$5:$A$882&lt;=EOMONTH(AM$3,0))*'PA Fees Actual'!$D$5:$D$882),AM$3&gt;=EOMONTH($X57,-1)+1,$Y57,TRUE,0)</f>
        <v>0</v>
      </c>
      <c r="AN57" s="202" cm="1">
        <f t="array" ref="AN57">_xlfn.IFS(AN$3&lt;$B$2,SUMPRODUCT(('PA Fees Actual'!$B$5:$B$882=$E57)*('PA Fees Actual'!$A$5:$A$882&gt;=AN$3)*('PA Fees Actual'!$A$5:$A$882&lt;=EOMONTH(AN$3,0))*'PA Fees Actual'!$D$5:$D$882),AN$3&gt;=EOMONTH($X57,-1)+1,$Y57,TRUE,0)</f>
        <v>0</v>
      </c>
      <c r="AO57" s="202" cm="1">
        <f t="array" ref="AO57">_xlfn.IFS(AO$3&lt;$B$2,SUMPRODUCT(('PA Fees Actual'!$B$5:$B$882=$E57)*('PA Fees Actual'!$A$5:$A$882&gt;=AO$3)*('PA Fees Actual'!$A$5:$A$882&lt;=EOMONTH(AO$3,0))*'PA Fees Actual'!$D$5:$D$882),AO$3&gt;=EOMONTH($X57,-1)+1,$Y57,TRUE,0)</f>
        <v>0</v>
      </c>
      <c r="AP57" s="202" cm="1">
        <f t="array" ref="AP57">_xlfn.IFS(AP$3&lt;$B$2,SUMPRODUCT(('PA Fees Actual'!$B$5:$B$882=$E57)*('PA Fees Actual'!$A$5:$A$882&gt;=AP$3)*('PA Fees Actual'!$A$5:$A$882&lt;=EOMONTH(AP$3,0))*'PA Fees Actual'!$D$5:$D$882),AP$3&gt;=EOMONTH($X57,-1)+1,$Y57,TRUE,0)</f>
        <v>0</v>
      </c>
      <c r="AQ57" s="202" cm="1">
        <f t="array" ref="AQ57">_xlfn.IFS(AQ$3&lt;$B$2,SUMPRODUCT(('PA Fees Actual'!$B$5:$B$882=$E57)*('PA Fees Actual'!$A$5:$A$882&gt;=AQ$3)*('PA Fees Actual'!$A$5:$A$882&lt;=EOMONTH(AQ$3,0))*'PA Fees Actual'!$D$5:$D$882),AQ$3&gt;=EOMONTH($X57,-1)+1,$Y57,TRUE,0)</f>
        <v>0</v>
      </c>
      <c r="AR57" s="202" cm="1">
        <f t="array" ref="AR57">_xlfn.IFS(AR$3&lt;$B$2,SUMPRODUCT(('PA Fees Actual'!$B$5:$B$882=$E57)*('PA Fees Actual'!$A$5:$A$882&gt;=AR$3)*('PA Fees Actual'!$A$5:$A$882&lt;=EOMONTH(AR$3,0))*'PA Fees Actual'!$D$5:$D$882),AR$3&gt;=EOMONTH($X57,-1)+1,$Y57,TRUE,0)</f>
        <v>0</v>
      </c>
      <c r="AS57" s="202" cm="1">
        <f t="array" ref="AS57">_xlfn.IFS(AS$3&lt;$B$2,SUMPRODUCT(('PA Fees Actual'!$B$5:$B$882=$E57)*('PA Fees Actual'!$A$5:$A$882&gt;=AS$3)*('PA Fees Actual'!$A$5:$A$882&lt;=EOMONTH(AS$3,0))*'PA Fees Actual'!$D$5:$D$882),AS$3&gt;=EOMONTH($X57,-1)+1,$Y57,TRUE,0)</f>
        <v>0</v>
      </c>
      <c r="AT57" s="202" cm="1">
        <f t="array" ref="AT57">_xlfn.IFS(AT$3&lt;$B$2,SUMPRODUCT(('PA Fees Actual'!$B$5:$B$882=$E57)*('PA Fees Actual'!$A$5:$A$882&gt;=AT$3)*('PA Fees Actual'!$A$5:$A$882&lt;=EOMONTH(AT$3,0))*'PA Fees Actual'!$D$5:$D$882),AT$3&gt;=EOMONTH($X57,-1)+1,$Y57,TRUE,0)</f>
        <v>0</v>
      </c>
      <c r="AU57" s="202" cm="1">
        <f t="array" ref="AU57">_xlfn.IFS(AU$3&lt;$B$2,SUMPRODUCT(('PA Fees Actual'!$B$5:$B$882=$E57)*('PA Fees Actual'!$A$5:$A$882&gt;=AU$3)*('PA Fees Actual'!$A$5:$A$882&lt;=EOMONTH(AU$3,0))*'PA Fees Actual'!$D$5:$D$882),AU$3&gt;=EOMONTH($X57,-1)+1,$Y57,TRUE,0)</f>
        <v>0</v>
      </c>
      <c r="AV57" s="202" cm="1">
        <f t="array" ref="AV57">_xlfn.IFS(AV$3&lt;$B$2,SUMPRODUCT(('PA Fees Actual'!$B$5:$B$882=$E57)*('PA Fees Actual'!$A$5:$A$882&gt;=AV$3)*('PA Fees Actual'!$A$5:$A$882&lt;=EOMONTH(AV$3,0))*'PA Fees Actual'!$D$5:$D$882),AV$3&gt;=EOMONTH($X57,-1)+1,$Y57,TRUE,0)</f>
        <v>0</v>
      </c>
      <c r="AW57" s="202" cm="1">
        <f t="array" ref="AW57">_xlfn.IFS(AW$3&lt;$B$2,SUMPRODUCT(('PA Fees Actual'!$B$5:$B$882=$E57)*('PA Fees Actual'!$A$5:$A$882&gt;=AW$3)*('PA Fees Actual'!$A$5:$A$882&lt;=EOMONTH(AW$3,0))*'PA Fees Actual'!$D$5:$D$882),AW$3&gt;=EOMONTH($X57,-1)+1,$Y57,TRUE,0)</f>
        <v>0</v>
      </c>
      <c r="AX57" s="202" cm="1">
        <f t="array" ref="AX57">_xlfn.IFS(AX$3&lt;$B$2,SUMPRODUCT(('PA Fees Actual'!$B$5:$B$882=$E57)*('PA Fees Actual'!$A$5:$A$882&gt;=AX$3)*('PA Fees Actual'!$A$5:$A$882&lt;=EOMONTH(AX$3,0))*'PA Fees Actual'!$D$5:$D$882),AX$3&gt;=EOMONTH($X57,-1)+1,$Y57,TRUE,0)</f>
        <v>0</v>
      </c>
      <c r="AY57" s="202" cm="1">
        <f t="array" ref="AY57">_xlfn.IFS(AY$3&lt;$B$2,SUMPRODUCT(('PA Fees Actual'!$B$5:$B$882=$E57)*('PA Fees Actual'!$A$5:$A$882&gt;=AY$3)*('PA Fees Actual'!$A$5:$A$882&lt;=EOMONTH(AY$3,0))*'PA Fees Actual'!$D$5:$D$882),AY$3&gt;=EOMONTH($X57,-1)+1,$Y57,TRUE,0)</f>
        <v>0</v>
      </c>
      <c r="AZ57" s="202" cm="1">
        <f t="array" ref="AZ57">_xlfn.IFS(AZ$3&lt;$B$2,SUMPRODUCT(('PA Fees Actual'!$B$5:$B$882=$E57)*('PA Fees Actual'!$A$5:$A$882&gt;=AZ$3)*('PA Fees Actual'!$A$5:$A$882&lt;=EOMONTH(AZ$3,0))*'PA Fees Actual'!$D$5:$D$882),AZ$3&gt;=EOMONTH($X57,-1)+1,$Y57,TRUE,0)</f>
        <v>0</v>
      </c>
      <c r="BA57" s="202" cm="1">
        <f t="array" ref="BA57">_xlfn.IFS(BA$3&lt;$B$2,SUMPRODUCT(('PA Fees Actual'!$B$5:$B$882=$E57)*('PA Fees Actual'!$A$5:$A$882&gt;=BA$3)*('PA Fees Actual'!$A$5:$A$882&lt;=EOMONTH(BA$3,0))*'PA Fees Actual'!$D$5:$D$882),BA$3&gt;=EOMONTH($X57,-1)+1,$Y57,TRUE,0)</f>
        <v>0</v>
      </c>
      <c r="BB57" s="202" cm="1">
        <f t="array" ref="BB57">_xlfn.IFS(BB$3&lt;$B$2,SUMPRODUCT(('PA Fees Actual'!$B$5:$B$882=$E57)*('PA Fees Actual'!$A$5:$A$882&gt;=BB$3)*('PA Fees Actual'!$A$5:$A$882&lt;=EOMONTH(BB$3,0))*'PA Fees Actual'!$D$5:$D$882),BB$3&gt;=EOMONTH($X57,-1)+1,$Y57,TRUE,0)</f>
        <v>0</v>
      </c>
      <c r="BC57" s="202" cm="1">
        <f t="array" ref="BC57">_xlfn.IFS(BC$3&lt;$B$2,SUMPRODUCT(('PA Fees Actual'!$B$5:$B$882=$E57)*('PA Fees Actual'!$A$5:$A$882&gt;=BC$3)*('PA Fees Actual'!$A$5:$A$882&lt;=EOMONTH(BC$3,0))*'PA Fees Actual'!$D$5:$D$882),BC$3&gt;=EOMONTH($X57,-1)+1,$Y57,TRUE,0)</f>
        <v>0</v>
      </c>
      <c r="BD57" s="202" cm="1">
        <f t="array" ref="BD57">_xlfn.IFS(BD$3&lt;$B$2,SUMPRODUCT(('PA Fees Actual'!$B$5:$B$882=$E57)*('PA Fees Actual'!$A$5:$A$882&gt;=BD$3)*('PA Fees Actual'!$A$5:$A$882&lt;=EOMONTH(BD$3,0))*'PA Fees Actual'!$D$5:$D$882),BD$3&gt;=EOMONTH($X57,-1)+1,$Y57,TRUE,0)</f>
        <v>0</v>
      </c>
      <c r="BE57" s="202" cm="1">
        <f t="array" ref="BE57">_xlfn.IFS(BE$3&lt;$B$2,SUMPRODUCT(('PA Fees Actual'!$B$5:$B$882=$E57)*('PA Fees Actual'!$A$5:$A$882&gt;=BE$3)*('PA Fees Actual'!$A$5:$A$882&lt;=EOMONTH(BE$3,0))*'PA Fees Actual'!$D$5:$D$882),BE$3&gt;=EOMONTH($X57,-1)+1,$Y57,TRUE,0)</f>
        <v>0</v>
      </c>
      <c r="BF57" s="202" cm="1">
        <f t="array" ref="BF57">_xlfn.IFS(BF$3&lt;$B$2,SUMPRODUCT(('PA Fees Actual'!$B$5:$B$882=$E57)*('PA Fees Actual'!$A$5:$A$882&gt;=BF$3)*('PA Fees Actual'!$A$5:$A$882&lt;=EOMONTH(BF$3,0))*'PA Fees Actual'!$D$5:$D$882),BF$3&gt;=EOMONTH($X57,-1)+1,$Y57,TRUE,0)</f>
        <v>0</v>
      </c>
      <c r="BG57" s="202" cm="1">
        <f t="array" ref="BG57">_xlfn.IFS(BG$3&lt;$B$2,SUMPRODUCT(('PA Fees Actual'!$B$5:$B$882=$E57)*('PA Fees Actual'!$A$5:$A$882&gt;=BG$3)*('PA Fees Actual'!$A$5:$A$882&lt;=EOMONTH(BG$3,0))*'PA Fees Actual'!$D$5:$D$882),BG$3&gt;=EOMONTH($X57,-1)+1,$Y57,TRUE,0)</f>
        <v>0</v>
      </c>
      <c r="BH57" s="202" cm="1">
        <f t="array" ref="BH57">_xlfn.IFS(BH$3&lt;$B$2,SUMPRODUCT(('PA Fees Actual'!$B$5:$B$882=$E57)*('PA Fees Actual'!$A$5:$A$882&gt;=BH$3)*('PA Fees Actual'!$A$5:$A$882&lt;=EOMONTH(BH$3,0))*'PA Fees Actual'!$D$5:$D$882),BH$3&gt;=EOMONTH($X57,-1)+1,$Y57,TRUE,0)</f>
        <v>0</v>
      </c>
      <c r="BI57" s="202" cm="1">
        <f t="array" ref="BI57">_xlfn.IFS(BI$3&lt;$B$2,SUMPRODUCT(('PA Fees Actual'!$B$5:$B$882=$E57)*('PA Fees Actual'!$A$5:$A$882&gt;=BI$3)*('PA Fees Actual'!$A$5:$A$882&lt;=EOMONTH(BI$3,0))*'PA Fees Actual'!$D$5:$D$882),BI$3&gt;=EOMONTH($X57,-1)+1,$Y57,TRUE,0)</f>
        <v>0</v>
      </c>
      <c r="BJ57" s="202" cm="1">
        <f t="array" ref="BJ57">_xlfn.IFS(BJ$3&lt;$B$2,SUMPRODUCT(('PA Fees Actual'!$B$5:$B$882=$E57)*('PA Fees Actual'!$A$5:$A$882&gt;=BJ$3)*('PA Fees Actual'!$A$5:$A$882&lt;=EOMONTH(BJ$3,0))*'PA Fees Actual'!$D$5:$D$882),BJ$3&gt;=EOMONTH($X57,-1)+1,$Y57,TRUE,0)</f>
        <v>0</v>
      </c>
      <c r="BK57" s="202" cm="1">
        <f t="array" ref="BK57">_xlfn.IFS(BK$3&lt;$B$2,SUMPRODUCT(('PA Fees Actual'!$B$5:$B$882=$E57)*('PA Fees Actual'!$A$5:$A$882&gt;=BK$3)*('PA Fees Actual'!$A$5:$A$882&lt;=EOMONTH(BK$3,0))*'PA Fees Actual'!$D$5:$D$882),BK$3&gt;=EOMONTH($X57,-1)+1,$Y57,TRUE,0)</f>
        <v>0</v>
      </c>
      <c r="BL57" s="202" cm="1">
        <f t="array" ref="BL57">_xlfn.IFS(BL$3&lt;$B$2,SUMPRODUCT(('PA Fees Actual'!$B$5:$B$882=$E57)*('PA Fees Actual'!$A$5:$A$882&gt;=BL$3)*('PA Fees Actual'!$A$5:$A$882&lt;=EOMONTH(BL$3,0))*'PA Fees Actual'!$D$5:$D$882),BL$3&gt;=EOMONTH($X57,-1)+1,$Y57,TRUE,0)</f>
        <v>0</v>
      </c>
      <c r="BM57" s="202" cm="1">
        <f t="array" ref="BM57">_xlfn.IFS(BM$3&lt;$B$2,SUMPRODUCT(('PA Fees Actual'!$B$5:$B$882=$E57)*('PA Fees Actual'!$A$5:$A$882&gt;=BM$3)*('PA Fees Actual'!$A$5:$A$882&lt;=EOMONTH(BM$3,0))*'PA Fees Actual'!$D$5:$D$882),BM$3&gt;=EOMONTH($X57,-1)+1,$Y57,TRUE,0)</f>
        <v>0</v>
      </c>
      <c r="BN57" s="202" cm="1">
        <f t="array" ref="BN57">_xlfn.IFS(BN$3&lt;$B$2,SUMPRODUCT(('PA Fees Actual'!$B$5:$B$882=$E57)*('PA Fees Actual'!$A$5:$A$882&gt;=BN$3)*('PA Fees Actual'!$A$5:$A$882&lt;=EOMONTH(BN$3,0))*'PA Fees Actual'!$D$5:$D$882),BN$3&gt;=EOMONTH($X57,-1)+1,$Y57,TRUE,0)</f>
        <v>0</v>
      </c>
      <c r="BO57" s="202" cm="1">
        <f t="array" ref="BO57">_xlfn.IFS(BO$3&lt;$B$2,SUMPRODUCT(('PA Fees Actual'!$B$5:$B$882=$E57)*('PA Fees Actual'!$A$5:$A$882&gt;=BO$3)*('PA Fees Actual'!$A$5:$A$882&lt;=EOMONTH(BO$3,0))*'PA Fees Actual'!$D$5:$D$882),BO$3&gt;=EOMONTH($X57,-1)+1,$Y57,TRUE,0)</f>
        <v>0</v>
      </c>
      <c r="BP57" s="202" cm="1">
        <f t="array" ref="BP57">_xlfn.IFS(BP$3&lt;$B$2,SUMPRODUCT(('PA Fees Actual'!$B$5:$B$882=$E57)*('PA Fees Actual'!$A$5:$A$882&gt;=BP$3)*('PA Fees Actual'!$A$5:$A$882&lt;=EOMONTH(BP$3,0))*'PA Fees Actual'!$D$5:$D$882),BP$3&gt;=EOMONTH($X57,-1)+1,$Y57,TRUE,0)</f>
        <v>0</v>
      </c>
      <c r="BQ57" s="202" cm="1">
        <f t="array" ref="BQ57">_xlfn.IFS(BQ$3&lt;$B$2,SUMPRODUCT(('PA Fees Actual'!$B$5:$B$882=$E57)*('PA Fees Actual'!$A$5:$A$882&gt;=BQ$3)*('PA Fees Actual'!$A$5:$A$882&lt;=EOMONTH(BQ$3,0))*'PA Fees Actual'!$D$5:$D$882),BQ$3&gt;=EOMONTH($X57,-1)+1,$Y57,TRUE,0)</f>
        <v>0</v>
      </c>
      <c r="BR57" s="202" cm="1">
        <f t="array" ref="BR57">_xlfn.IFS(BR$3&lt;$B$2,SUMPRODUCT(('PA Fees Actual'!$B$5:$B$882=$E57)*('PA Fees Actual'!$A$5:$A$882&gt;=BR$3)*('PA Fees Actual'!$A$5:$A$882&lt;=EOMONTH(BR$3,0))*'PA Fees Actual'!$D$5:$D$882),BR$3&gt;=EOMONTH($X57,-1)+1,$Y57,TRUE,0)</f>
        <v>0</v>
      </c>
      <c r="BS57" s="202" cm="1">
        <f t="array" ref="BS57">_xlfn.IFS(BS$3&lt;$B$2,SUMPRODUCT(('PA Fees Actual'!$B$5:$B$882=$E57)*('PA Fees Actual'!$A$5:$A$882&gt;=BS$3)*('PA Fees Actual'!$A$5:$A$882&lt;=EOMONTH(BS$3,0))*'PA Fees Actual'!$D$5:$D$882),BS$3&gt;=EOMONTH($X57,-1)+1,$Y57,TRUE,0)</f>
        <v>0</v>
      </c>
      <c r="BT57" s="202" cm="1">
        <f t="array" ref="BT57">_xlfn.IFS(BT$3&lt;$B$2,SUMPRODUCT(('PA Fees Actual'!$B$5:$B$882=$E57)*('PA Fees Actual'!$A$5:$A$882&gt;=BT$3)*('PA Fees Actual'!$A$5:$A$882&lt;=EOMONTH(BT$3,0))*'PA Fees Actual'!$D$5:$D$882),BT$3&gt;=EOMONTH($X57,-1)+1,$Y57,TRUE,0)</f>
        <v>0</v>
      </c>
      <c r="BU57" s="202" cm="1">
        <f t="array" ref="BU57">_xlfn.IFS(BU$3&lt;$B$2,SUMPRODUCT(('PA Fees Actual'!$B$5:$B$882=$E57)*('PA Fees Actual'!$A$5:$A$882&gt;=BU$3)*('PA Fees Actual'!$A$5:$A$882&lt;=EOMONTH(BU$3,0))*'PA Fees Actual'!$D$5:$D$882),BU$3&gt;=EOMONTH($X57,-1)+1,$Y57,TRUE,0)</f>
        <v>0</v>
      </c>
      <c r="BV57" s="202" cm="1">
        <f t="array" ref="BV57">_xlfn.IFS(BV$3&lt;$B$2,SUMPRODUCT(('PA Fees Actual'!$B$5:$B$882=$E57)*('PA Fees Actual'!$A$5:$A$882&gt;=BV$3)*('PA Fees Actual'!$A$5:$A$882&lt;=EOMONTH(BV$3,0))*'PA Fees Actual'!$D$5:$D$882),BV$3&gt;=EOMONTH($X57,-1)+1,$Y57,TRUE,0)</f>
        <v>0</v>
      </c>
      <c r="BW57" s="202" cm="1">
        <f t="array" ref="BW57">_xlfn.IFS(BW$3&lt;$B$2,SUMPRODUCT(('PA Fees Actual'!$B$5:$B$882=$E57)*('PA Fees Actual'!$A$5:$A$882&gt;=BW$3)*('PA Fees Actual'!$A$5:$A$882&lt;=EOMONTH(BW$3,0))*'PA Fees Actual'!$D$5:$D$882),BW$3&gt;=EOMONTH($X57,-1)+1,$Y57,TRUE,0)</f>
        <v>0</v>
      </c>
      <c r="BX57" s="202" cm="1">
        <f t="array" ref="BX57">_xlfn.IFS(BX$3&lt;$B$2,SUMPRODUCT(('PA Fees Actual'!$B$5:$B$882=$E57)*('PA Fees Actual'!$A$5:$A$882&gt;=BX$3)*('PA Fees Actual'!$A$5:$A$882&lt;=EOMONTH(BX$3,0))*'PA Fees Actual'!$D$5:$D$882),BX$3&gt;=EOMONTH($X57,-1)+1,$Y57,TRUE,0)</f>
        <v>0</v>
      </c>
      <c r="BY57" s="202" cm="1">
        <f t="array" ref="BY57">_xlfn.IFS(BY$3&lt;$B$2,SUMPRODUCT(('PA Fees Actual'!$B$5:$B$882=$E57)*('PA Fees Actual'!$A$5:$A$882&gt;=BY$3)*('PA Fees Actual'!$A$5:$A$882&lt;=EOMONTH(BY$3,0))*'PA Fees Actual'!$D$5:$D$882),BY$3&gt;=EOMONTH($X57,-1)+1,$Y57,TRUE,0)</f>
        <v>0</v>
      </c>
      <c r="BZ57" s="202" cm="1">
        <f t="array" ref="BZ57">_xlfn.IFS(BZ$3&lt;$B$2,SUMPRODUCT(('PA Fees Actual'!$B$5:$B$882=$E57)*('PA Fees Actual'!$A$5:$A$882&gt;=BZ$3)*('PA Fees Actual'!$A$5:$A$882&lt;=EOMONTH(BZ$3,0))*'PA Fees Actual'!$D$5:$D$882),BZ$3&gt;=EOMONTH($X57,-1)+1,$Y57,TRUE,0)</f>
        <v>0</v>
      </c>
      <c r="CA57" s="202" cm="1">
        <f t="array" ref="CA57">_xlfn.IFS(CA$3&lt;$B$2,SUMPRODUCT(('PA Fees Actual'!$B$5:$B$882=$E57)*('PA Fees Actual'!$A$5:$A$882&gt;=CA$3)*('PA Fees Actual'!$A$5:$A$882&lt;=EOMONTH(CA$3,0))*'PA Fees Actual'!$D$5:$D$882),CA$3&gt;=EOMONTH($X57,-1)+1,$Y57,TRUE,0)</f>
        <v>2234.15</v>
      </c>
      <c r="CB57" s="202" cm="1">
        <f t="array" ref="CB57">_xlfn.IFS(CB$3&lt;$B$2,SUMPRODUCT(('PA Fees Actual'!$B$5:$B$882=$E57)*('PA Fees Actual'!$A$5:$A$882&gt;=CB$3)*('PA Fees Actual'!$A$5:$A$882&lt;=EOMONTH(CB$3,0))*'PA Fees Actual'!$D$5:$D$882),CB$3&gt;=EOMONTH($X57,-1)+1,$Y57,TRUE,0)</f>
        <v>2145.8249999999998</v>
      </c>
      <c r="CC57" s="202" cm="1">
        <f t="array" ref="CC57">_xlfn.IFS(CC$3&lt;$B$2,SUMPRODUCT(('PA Fees Actual'!$B$5:$B$882=$E57)*('PA Fees Actual'!$A$5:$A$882&gt;=CC$3)*('PA Fees Actual'!$A$5:$A$882&lt;=EOMONTH(CC$3,0))*'PA Fees Actual'!$D$5:$D$882),CC$3&gt;=EOMONTH($X57,-1)+1,$Y57,TRUE,0)</f>
        <v>2145.8249999999998</v>
      </c>
      <c r="CD57" s="202" cm="1">
        <f t="array" ref="CD57">_xlfn.IFS(CD$3&lt;$B$2,SUMPRODUCT(('PA Fees Actual'!$B$5:$B$882=$E57)*('PA Fees Actual'!$A$5:$A$882&gt;=CD$3)*('PA Fees Actual'!$A$5:$A$882&lt;=EOMONTH(CD$3,0))*'PA Fees Actual'!$D$5:$D$882),CD$3&gt;=EOMONTH($X57,-1)+1,$Y57,TRUE,0)</f>
        <v>2145.8249999999998</v>
      </c>
      <c r="CE57" s="202" cm="1">
        <f t="array" ref="CE57">_xlfn.IFS(CE$3&lt;$B$2,SUMPRODUCT(('PA Fees Actual'!$B$5:$B$882=$E57)*('PA Fees Actual'!$A$5:$A$882&gt;=CE$3)*('PA Fees Actual'!$A$5:$A$882&lt;=EOMONTH(CE$3,0))*'PA Fees Actual'!$D$5:$D$882),CE$3&gt;=EOMONTH($X57,-1)+1,$Y57,TRUE,0)</f>
        <v>2145.8249999999998</v>
      </c>
      <c r="CF57" s="202" cm="1">
        <f t="array" ref="CF57">_xlfn.IFS(CF$3&lt;$B$2,SUMPRODUCT(('PA Fees Actual'!$B$5:$B$882=$E57)*('PA Fees Actual'!$A$5:$A$882&gt;=CF$3)*('PA Fees Actual'!$A$5:$A$882&lt;=EOMONTH(CF$3,0))*'PA Fees Actual'!$D$5:$D$882),CF$3&gt;=EOMONTH($X57,-1)+1,$Y57,TRUE,0)</f>
        <v>2145.8249999999998</v>
      </c>
      <c r="CG57" s="202" cm="1">
        <f t="array" ref="CG57">_xlfn.IFS(CG$3&lt;$B$2,SUMPRODUCT(('PA Fees Actual'!$B$5:$B$882=$E57)*('PA Fees Actual'!$A$5:$A$882&gt;=CG$3)*('PA Fees Actual'!$A$5:$A$882&lt;=EOMONTH(CG$3,0))*'PA Fees Actual'!$D$5:$D$882),CG$3&gt;=EOMONTH($X57,-1)+1,$Y57,TRUE,0)</f>
        <v>2145.8249999999998</v>
      </c>
      <c r="CI57" s="202" cm="1">
        <f t="array" ref="CI57">_xlfn.IFS(CI$3&lt;=YEAR($B$2),SUMPRODUCT(($E$4:$E$79=$E57)*($Z$2:$CG$2=CI$3)*($Z$2:$CG$2&lt;CJ$3)*$Z$4:$CG$79),CI$3&lt;YEAR($X57),0,CI$3=YEAR($X57),DATEDIF($X57,DATE(CI$3,12,31),"m")*$Y57,AND(CI$3&gt;YEAR($X57),CI$3-YEAR($X57)&lt;20),$Y57*12,CI$3-YEAR($X57)=20,DATEDIF(DATE(YEAR($X57),1,1),$X57,"m")*$Y57,CI$3-YEAR($X57)&gt;20,0)</f>
        <v>0</v>
      </c>
      <c r="CJ57" s="202" cm="1">
        <f t="array" ref="CJ57">_xlfn.IFS(CJ$3&lt;=YEAR($B$2),SUMPRODUCT(($E$4:$E$79=$E57)*($Z$2:$CG$2=CJ$3)*($Z$2:$CG$2&lt;CK$3)*$Z$4:$CG$79),CJ$3&lt;YEAR($X57),0,CJ$3=YEAR($X57),DATEDIF($X57,DATE(CJ$3,12,31),"m")*$Y57,AND(CJ$3&gt;YEAR($X57),CJ$3-YEAR($X57)&lt;20),$Y57*12,CJ$3-YEAR($X57)=20,DATEDIF(DATE(YEAR($X57),1,1),$X57,"m")*$Y57,CJ$3-YEAR($X57)&gt;20,0)</f>
        <v>0</v>
      </c>
      <c r="CK57" s="202" cm="1">
        <f t="array" ref="CK57">_xlfn.IFS(CK$3&lt;=YEAR($B$2),SUMPRODUCT(($E$4:$E$79=$E57)*($Z$2:$CG$2=CK$3)*($Z$2:$CG$2&lt;CL$3)*$Z$4:$CG$79),CK$3&lt;YEAR($X57),0,CK$3=YEAR($X57),DATEDIF($X57,DATE(CK$3,12,31),"m")*$Y57,AND(CK$3&gt;YEAR($X57),CK$3-YEAR($X57)&lt;20),$Y57*12,CK$3-YEAR($X57)=20,DATEDIF(DATE(YEAR($X57),1,1),$X57,"m")*$Y57,CK$3-YEAR($X57)&gt;20,0)</f>
        <v>0</v>
      </c>
      <c r="CL57" s="202" cm="1">
        <f t="array" ref="CL57">_xlfn.IFS(CL$3&lt;=YEAR($B$2),SUMPRODUCT(($E$4:$E$79=$E57)*($Z$2:$CG$2=CL$3)*($Z$2:$CG$2&lt;CM$3)*$Z$4:$CG$79),CL$3&lt;YEAR($X57),0,CL$3=YEAR($X57),DATEDIF($X57,DATE(CL$3,12,31),"m")*$Y57,AND(CL$3&gt;YEAR($X57),CL$3-YEAR($X57)&lt;20),$Y57*12,CL$3-YEAR($X57)=20,DATEDIF(DATE(YEAR($X57),1,1),$X57,"m")*$Y57,CL$3-YEAR($X57)&gt;20,0)</f>
        <v>0</v>
      </c>
      <c r="CM57" s="202" cm="1">
        <f t="array" ref="CM57">_xlfn.IFS(CM$3&lt;=YEAR($B$2),SUMPRODUCT(($E$4:$E$79=$E57)*($Z$2:$CG$2=CM$3)*($Z$2:$CG$2&lt;CN$3)*$Z$4:$CG$79),CM$3&lt;YEAR($X57),0,CM$3=YEAR($X57),DATEDIF($X57,DATE(CM$3,12,31),"m")*$Y57,AND(CM$3&gt;YEAR($X57),CM$3-YEAR($X57)&lt;20),$Y57*12,CM$3-YEAR($X57)=20,DATEDIF(DATE(YEAR($X57),1,1),$X57,"m")*$Y57,CM$3-YEAR($X57)&gt;20,0)</f>
        <v>15109.100000000002</v>
      </c>
      <c r="CN57" s="202" cm="1">
        <f t="array" ref="CN57">_xlfn.IFS(CN$3&lt;=YEAR($B$2),SUMPRODUCT(($E$4:$E$79=$E57)*($Z$2:$CG$2=CN$3)*($Z$2:$CG$2&lt;CO$3)*$Z$4:$CG$79),CN$3&lt;YEAR($X57),0,CN$3=YEAR($X57),DATEDIF($X57,DATE(CN$3,12,31),"m")*$Y57,AND(CN$3&gt;YEAR($X57),CN$3-YEAR($X57)&lt;20),$Y57*12,CN$3-YEAR($X57)=20,DATEDIF(DATE(YEAR($X57),1,1),$X57,"m")*$Y57,CN$3-YEAR($X57)&gt;20,0)</f>
        <v>25749.899999999998</v>
      </c>
      <c r="CO57" s="202" cm="1">
        <f t="array" ref="CO57">_xlfn.IFS(CO$3&lt;=YEAR($B$2),SUMPRODUCT(($E$4:$E$79=$E57)*($Z$2:$CG$2=CO$3)*($Z$2:$CG$2&lt;CP$3)*$Z$4:$CG$79),CO$3&lt;YEAR($X57),0,CO$3=YEAR($X57),DATEDIF($X57,DATE(CO$3,12,31),"m")*$Y57,AND(CO$3&gt;YEAR($X57),CO$3-YEAR($X57)&lt;20),$Y57*12,CO$3-YEAR($X57)=20,DATEDIF(DATE(YEAR($X57),1,1),$X57,"m")*$Y57,CO$3-YEAR($X57)&gt;20,0)</f>
        <v>25749.899999999998</v>
      </c>
      <c r="CP57" s="202" cm="1">
        <f t="array" ref="CP57">_xlfn.IFS(CP$3&lt;=YEAR($B$2),SUMPRODUCT(($E$4:$E$79=$E57)*($Z$2:$CG$2=CP$3)*($Z$2:$CG$2&lt;CQ$3)*$Z$4:$CG$79),CP$3&lt;YEAR($X57),0,CP$3=YEAR($X57),DATEDIF($X57,DATE(CP$3,12,31),"m")*$Y57,AND(CP$3&gt;YEAR($X57),CP$3-YEAR($X57)&lt;20),$Y57*12,CP$3-YEAR($X57)=20,DATEDIF(DATE(YEAR($X57),1,1),$X57,"m")*$Y57,CP$3-YEAR($X57)&gt;20,0)</f>
        <v>25749.899999999998</v>
      </c>
      <c r="CQ57" s="202" cm="1">
        <f t="array" ref="CQ57">_xlfn.IFS(CQ$3&lt;=YEAR($B$2),SUMPRODUCT(($E$4:$E$79=$E57)*($Z$2:$CG$2=CQ$3)*($Z$2:$CG$2&lt;CR$3)*$Z$4:$CG$79),CQ$3&lt;YEAR($X57),0,CQ$3=YEAR($X57),DATEDIF($X57,DATE(CQ$3,12,31),"m")*$Y57,AND(CQ$3&gt;YEAR($X57),CQ$3-YEAR($X57)&lt;20),$Y57*12,CQ$3-YEAR($X57)=20,DATEDIF(DATE(YEAR($X57),1,1),$X57,"m")*$Y57,CQ$3-YEAR($X57)&gt;20,0)</f>
        <v>25749.899999999998</v>
      </c>
      <c r="CR57" s="202" cm="1">
        <f t="array" ref="CR57">_xlfn.IFS(CR$3&lt;=YEAR($B$2),SUMPRODUCT(($E$4:$E$79=$E57)*($Z$2:$CG$2=CR$3)*($Z$2:$CG$2&lt;CS$3)*$Z$4:$CG$79),CR$3&lt;YEAR($X57),0,CR$3=YEAR($X57),DATEDIF($X57,DATE(CR$3,12,31),"m")*$Y57,AND(CR$3&gt;YEAR($X57),CR$3-YEAR($X57)&lt;20),$Y57*12,CR$3-YEAR($X57)=20,DATEDIF(DATE(YEAR($X57),1,1),$X57,"m")*$Y57,CR$3-YEAR($X57)&gt;20,0)</f>
        <v>25749.899999999998</v>
      </c>
      <c r="CS57" s="202" cm="1">
        <f t="array" ref="CS57">_xlfn.IFS(CS$3&lt;=YEAR($B$2),SUMPRODUCT(($E$4:$E$79=$E57)*($Z$2:$CG$2=CS$3)*($Z$2:$CG$2&lt;CT$3)*$Z$4:$CG$79),CS$3&lt;YEAR($X57),0,CS$3=YEAR($X57),DATEDIF($X57,DATE(CS$3,12,31),"m")*$Y57,AND(CS$3&gt;YEAR($X57),CS$3-YEAR($X57)&lt;20),$Y57*12,CS$3-YEAR($X57)=20,DATEDIF(DATE(YEAR($X57),1,1),$X57,"m")*$Y57,CS$3-YEAR($X57)&gt;20,0)</f>
        <v>25749.899999999998</v>
      </c>
      <c r="CT57" s="202" cm="1">
        <f t="array" ref="CT57">_xlfn.IFS(CT$3&lt;=YEAR($B$2),SUMPRODUCT(($E$4:$E$79=$E57)*($Z$2:$CG$2=CT$3)*($Z$2:$CG$2&lt;CU$3)*$Z$4:$CG$79),CT$3&lt;YEAR($X57),0,CT$3=YEAR($X57),DATEDIF($X57,DATE(CT$3,12,31),"m")*$Y57,AND(CT$3&gt;YEAR($X57),CT$3-YEAR($X57)&lt;20),$Y57*12,CT$3-YEAR($X57)=20,DATEDIF(DATE(YEAR($X57),1,1),$X57,"m")*$Y57,CT$3-YEAR($X57)&gt;20,0)</f>
        <v>25749.899999999998</v>
      </c>
      <c r="CU57" s="202" cm="1">
        <f t="array" ref="CU57">_xlfn.IFS(CU$3&lt;=YEAR($B$2),SUMPRODUCT(($E$4:$E$79=$E57)*($Z$2:$CG$2=CU$3)*($Z$2:$CG$2&lt;CV$3)*$Z$4:$CG$79),CU$3&lt;YEAR($X57),0,CU$3=YEAR($X57),DATEDIF($X57,DATE(CU$3,12,31),"m")*$Y57,AND(CU$3&gt;YEAR($X57),CU$3-YEAR($X57)&lt;20),$Y57*12,CU$3-YEAR($X57)=20,DATEDIF(DATE(YEAR($X57),1,1),$X57,"m")*$Y57,CU$3-YEAR($X57)&gt;20,0)</f>
        <v>25749.899999999998</v>
      </c>
      <c r="CV57" s="202" cm="1">
        <f t="array" ref="CV57">_xlfn.IFS(CV$3&lt;=YEAR($B$2),SUMPRODUCT(($E$4:$E$79=$E57)*($Z$2:$CG$2=CV$3)*($Z$2:$CG$2&lt;CW$3)*$Z$4:$CG$79),CV$3&lt;YEAR($X57),0,CV$3=YEAR($X57),DATEDIF($X57,DATE(CV$3,12,31),"m")*$Y57,AND(CV$3&gt;YEAR($X57),CV$3-YEAR($X57)&lt;20),$Y57*12,CV$3-YEAR($X57)=20,DATEDIF(DATE(YEAR($X57),1,1),$X57,"m")*$Y57,CV$3-YEAR($X57)&gt;20,0)</f>
        <v>25749.899999999998</v>
      </c>
      <c r="CW57" s="202" cm="1">
        <f t="array" ref="CW57">_xlfn.IFS(CW$3&lt;=YEAR($B$2),SUMPRODUCT(($E$4:$E$79=$E57)*($Z$2:$CG$2=CW$3)*($Z$2:$CG$2&lt;CX$3)*$Z$4:$CG$79),CW$3&lt;YEAR($X57),0,CW$3=YEAR($X57),DATEDIF($X57,DATE(CW$3,12,31),"m")*$Y57,AND(CW$3&gt;YEAR($X57),CW$3-YEAR($X57)&lt;20),$Y57*12,CW$3-YEAR($X57)=20,DATEDIF(DATE(YEAR($X57),1,1),$X57,"m")*$Y57,CW$3-YEAR($X57)&gt;20,0)</f>
        <v>25749.899999999998</v>
      </c>
      <c r="CX57" s="202" cm="1">
        <f t="array" ref="CX57">_xlfn.IFS(CX$3&lt;=YEAR($B$2),SUMPRODUCT(($E$4:$E$79=$E57)*($Z$2:$CG$2=CX$3)*($Z$2:$CG$2&lt;CY$3)*$Z$4:$CG$79),CX$3&lt;YEAR($X57),0,CX$3=YEAR($X57),DATEDIF($X57,DATE(CX$3,12,31),"m")*$Y57,AND(CX$3&gt;YEAR($X57),CX$3-YEAR($X57)&lt;20),$Y57*12,CX$3-YEAR($X57)=20,DATEDIF(DATE(YEAR($X57),1,1),$X57,"m")*$Y57,CX$3-YEAR($X57)&gt;20,0)</f>
        <v>25749.899999999998</v>
      </c>
      <c r="CY57" s="202" cm="1">
        <f t="array" ref="CY57">_xlfn.IFS(CY$3&lt;=YEAR($B$2),SUMPRODUCT(($E$4:$E$79=$E57)*($Z$2:$CG$2=CY$3)*($Z$2:$CG$2&lt;CZ$3)*$Z$4:$CG$79),CY$3&lt;YEAR($X57),0,CY$3=YEAR($X57),DATEDIF($X57,DATE(CY$3,12,31),"m")*$Y57,AND(CY$3&gt;YEAR($X57),CY$3-YEAR($X57)&lt;20),$Y57*12,CY$3-YEAR($X57)=20,DATEDIF(DATE(YEAR($X57),1,1),$X57,"m")*$Y57,CY$3-YEAR($X57)&gt;20,0)</f>
        <v>25749.899999999998</v>
      </c>
      <c r="CZ57" s="202" cm="1">
        <f t="array" ref="CZ57">_xlfn.IFS(CZ$3&lt;=YEAR($B$2),SUMPRODUCT(($E$4:$E$79=$E57)*($Z$2:$CG$2=CZ$3)*($Z$2:$CG$2&lt;DA$3)*$Z$4:$CG$79),CZ$3&lt;YEAR($X57),0,CZ$3=YEAR($X57),DATEDIF($X57,DATE(CZ$3,12,31),"m")*$Y57,AND(CZ$3&gt;YEAR($X57),CZ$3-YEAR($X57)&lt;20),$Y57*12,CZ$3-YEAR($X57)=20,DATEDIF(DATE(YEAR($X57),1,1),$X57,"m")*$Y57,CZ$3-YEAR($X57)&gt;20,0)</f>
        <v>25749.899999999998</v>
      </c>
      <c r="DA57" s="202" cm="1">
        <f t="array" ref="DA57">_xlfn.IFS(DA$3&lt;=YEAR($B$2),SUMPRODUCT(($E$4:$E$79=$E57)*($Z$2:$CG$2=DA$3)*($Z$2:$CG$2&lt;DB$3)*$Z$4:$CG$79),DA$3&lt;YEAR($X57),0,DA$3=YEAR($X57),DATEDIF($X57,DATE(DA$3,12,31),"m")*$Y57,AND(DA$3&gt;YEAR($X57),DA$3-YEAR($X57)&lt;20),$Y57*12,DA$3-YEAR($X57)=20,DATEDIF(DATE(YEAR($X57),1,1),$X57,"m")*$Y57,DA$3-YEAR($X57)&gt;20,0)</f>
        <v>25749.899999999998</v>
      </c>
      <c r="DB57" s="202" cm="1">
        <f t="array" ref="DB57">_xlfn.IFS(DB$3&lt;=YEAR($B$2),SUMPRODUCT(($E$4:$E$79=$E57)*($Z$2:$CG$2=DB$3)*($Z$2:$CG$2&lt;DC$3)*$Z$4:$CG$79),DB$3&lt;YEAR($X57),0,DB$3=YEAR($X57),DATEDIF($X57,DATE(DB$3,12,31),"m")*$Y57,AND(DB$3&gt;YEAR($X57),DB$3-YEAR($X57)&lt;20),$Y57*12,DB$3-YEAR($X57)=20,DATEDIF(DATE(YEAR($X57),1,1),$X57,"m")*$Y57,DB$3-YEAR($X57)&gt;20,0)</f>
        <v>25749.899999999998</v>
      </c>
      <c r="DC57" s="202" cm="1">
        <f t="array" ref="DC57">_xlfn.IFS(DC$3&lt;=YEAR($B$2),SUMPRODUCT(($E$4:$E$79=$E57)*($Z$2:$CG$2=DC$3)*($Z$2:$CG$2&lt;DD$3)*$Z$4:$CG$79),DC$3&lt;YEAR($X57),0,DC$3=YEAR($X57),DATEDIF($X57,DATE(DC$3,12,31),"m")*$Y57,AND(DC$3&gt;YEAR($X57),DC$3-YEAR($X57)&lt;20),$Y57*12,DC$3-YEAR($X57)=20,DATEDIF(DATE(YEAR($X57),1,1),$X57,"m")*$Y57,DC$3-YEAR($X57)&gt;20,0)</f>
        <v>25749.899999999998</v>
      </c>
      <c r="DD57" s="202" cm="1">
        <f t="array" ref="DD57">_xlfn.IFS(DD$3&lt;=YEAR($B$2),SUMPRODUCT(($E$4:$E$79=$E57)*($Z$2:$CG$2=DD$3)*($Z$2:$CG$2&lt;DE$3)*$Z$4:$CG$79),DD$3&lt;YEAR($X57),0,DD$3=YEAR($X57),DATEDIF($X57,DATE(DD$3,12,31),"m")*$Y57,AND(DD$3&gt;YEAR($X57),DD$3-YEAR($X57)&lt;20),$Y57*12,DD$3-YEAR($X57)=20,DATEDIF(DATE(YEAR($X57),1,1),$X57,"m")*$Y57,DD$3-YEAR($X57)&gt;20,0)</f>
        <v>25749.899999999998</v>
      </c>
      <c r="DE57" s="202" cm="1">
        <f t="array" ref="DE57">_xlfn.IFS(DE$3&lt;=YEAR($B$2),SUMPRODUCT(($E$4:$E$79=$E57)*($Z$2:$CG$2=DE$3)*($Z$2:$CG$2&lt;DF$3)*$Z$4:$CG$79),DE$3&lt;YEAR($X57),0,DE$3=YEAR($X57),DATEDIF($X57,DATE(DE$3,12,31),"m")*$Y57,AND(DE$3&gt;YEAR($X57),DE$3-YEAR($X57)&lt;20),$Y57*12,DE$3-YEAR($X57)=20,DATEDIF(DATE(YEAR($X57),1,1),$X57,"m")*$Y57,DE$3-YEAR($X57)&gt;20,0)</f>
        <v>25749.899999999998</v>
      </c>
      <c r="DF57" s="202" cm="1">
        <f t="array" ref="DF57">_xlfn.IFS(DF$3&lt;=YEAR($B$2),SUMPRODUCT(($E$4:$E$79=$E57)*($Z$2:$CG$2=DF$3)*($Z$2:$CG$2&lt;DG$3)*$Z$4:$CG$79),DF$3&lt;YEAR($X57),0,DF$3=YEAR($X57),DATEDIF($X57,DATE(DF$3,12,31),"m")*$Y57,AND(DF$3&gt;YEAR($X57),DF$3-YEAR($X57)&lt;20),$Y57*12,DF$3-YEAR($X57)=20,DATEDIF(DATE(YEAR($X57),1,1),$X57,"m")*$Y57,DF$3-YEAR($X57)&gt;20,0)</f>
        <v>25749.899999999998</v>
      </c>
      <c r="DG57" s="202" cm="1">
        <f t="array" ref="DG57">_xlfn.IFS(DG$3&lt;=YEAR($B$2),SUMPRODUCT(($E$4:$E$79=$E57)*($Z$2:$CG$2=DG$3)*($Z$2:$CG$2&lt;DH$3)*$Z$4:$CG$79),DG$3&lt;YEAR($X57),0,DG$3=YEAR($X57),DATEDIF($X57,DATE(DG$3,12,31),"m")*$Y57,AND(DG$3&gt;YEAR($X57),DG$3-YEAR($X57)&lt;20),$Y57*12,DG$3-YEAR($X57)=20,DATEDIF(DATE(YEAR($X57),1,1),$X57,"m")*$Y57,DG$3-YEAR($X57)&gt;20,0)</f>
        <v>10729.125</v>
      </c>
      <c r="DH57" s="202" cm="1">
        <f t="array" ref="DH57">_xlfn.IFS(DH$3&lt;=YEAR($B$2),SUMPRODUCT(($E$4:$E$79=$E57)*($Z$2:$CG$2=DH$3)*($Z$2:$CG$2&lt;DI$3)*$Z$4:$CG$79),DH$3&lt;YEAR($X57),0,DH$3=YEAR($X57),DATEDIF($X57,DATE(DH$3,12,31),"m")*$Y57,AND(DH$3&gt;YEAR($X57),DH$3-YEAR($X57)&lt;20),$Y57*12,DH$3-YEAR($X57)=20,DATEDIF(DATE(YEAR($X57),1,1),$X57,"m")*$Y57,DH$3-YEAR($X57)&gt;20,0)</f>
        <v>0</v>
      </c>
      <c r="DI57" s="202" cm="1">
        <f t="array" ref="DI57">_xlfn.IFS(DI$3&lt;=YEAR($B$2),SUMPRODUCT(($E$4:$E$79=$E57)*($Z$2:$CG$2=DI$3)*($Z$2:$CG$2&lt;DJ$3)*$Z$4:$CG$79),DI$3&lt;YEAR($X57),0,DI$3=YEAR($X57),DATEDIF($X57,DATE(DI$3,12,31),"m")*$Y57,AND(DI$3&gt;YEAR($X57),DI$3-YEAR($X57)&lt;20),$Y57*12,DI$3-YEAR($X57)=20,DATEDIF(DATE(YEAR($X57),1,1),$X57,"m")*$Y57,DI$3-YEAR($X57)&gt;20,0)</f>
        <v>0</v>
      </c>
      <c r="DJ57" s="202" cm="1">
        <f t="array" ref="DJ57">_xlfn.IFS(DJ$3&lt;=YEAR($B$2),SUMPRODUCT(($E$4:$E$79=$E57)*($Z$2:$CG$2=DJ$3)*($Z$2:$CG$2&lt;DK$3)*$Z$4:$CG$79),DJ$3&lt;YEAR($X57),0,DJ$3=YEAR($X57),DATEDIF($X57,DATE(DJ$3,12,31),"m")*$Y57,AND(DJ$3&gt;YEAR($X57),DJ$3-YEAR($X57)&lt;20),$Y57*12,DJ$3-YEAR($X57)=20,DATEDIF(DATE(YEAR($X57),1,1),$X57,"m")*$Y57,DJ$3-YEAR($X57)&gt;20,0)</f>
        <v>0</v>
      </c>
      <c r="DK57" s="202" cm="1">
        <f t="array" ref="DK57">_xlfn.IFS(DK$3&lt;=YEAR($B$2),SUMPRODUCT(($E$4:$E$79=$E57)*($Z$2:$CG$2=DK$3)*($Z$2:$CG$2&lt;DL$3)*$Z$4:$CG$79),DK$3&lt;YEAR($X57),0,DK$3=YEAR($X57),DATEDIF($X57,DATE(DK$3,12,31),"m")*$Y57,AND(DK$3&gt;YEAR($X57),DK$3-YEAR($X57)&lt;20),$Y57*12,DK$3-YEAR($X57)=20,DATEDIF(DATE(YEAR($X57),1,1),$X57,"m")*$Y57,DK$3-YEAR($X57)&gt;20,0)</f>
        <v>0</v>
      </c>
      <c r="DL57" s="202" cm="1">
        <f t="array" ref="DL57">_xlfn.IFS(DL$3&lt;=YEAR($B$2),SUMPRODUCT(($E$4:$E$79=$E57)*($Z$2:$CG$2=DL$3)*($Z$2:$CG$2&lt;DM$3)*$Z$4:$CG$79),DL$3&lt;YEAR($X57),0,DL$3=YEAR($X57),DATEDIF($X57,DATE(DL$3,12,31),"m")*$Y57,AND(DL$3&gt;YEAR($X57),DL$3-YEAR($X57)&lt;20),$Y57*12,DL$3-YEAR($X57)=20,DATEDIF(DATE(YEAR($X57),1,1),$X57,"m")*$Y57,DL$3-YEAR($X57)&gt;20,0)</f>
        <v>0</v>
      </c>
    </row>
    <row r="58" spans="1:116">
      <c r="A58" s="155" t="str" cm="1">
        <f t="array" ref="A58">INDEX('Monthly Report July 2025'!C:C,MATCH(E58,'Monthly Report July 2025'!E:E,0),0)</f>
        <v>SPQ0163</v>
      </c>
      <c r="B58" s="155" t="str" cm="1">
        <f t="array" ref="B58">_xlfn.IFS(LEFT(E58,3)="PGE","PGE",LEFT(E58,2)="PP","PAC",TRUE,"IP")</f>
        <v>PGE</v>
      </c>
      <c r="C58" s="155" t="str">
        <f>IF(ISNA(MATCH(E58,'Monthly Report July 2025'!E:E,0)),"Missing","Present")</f>
        <v>Present</v>
      </c>
      <c r="D58" s="155" t="str">
        <f>IF(ISNA(MATCH(E58,'Project Operational Timelines'!C:C,0))=TRUE,"Missing","Present")</f>
        <v>Present</v>
      </c>
      <c r="E58" s="155" t="s">
        <v>166</v>
      </c>
      <c r="F58" s="155" t="str" cm="1">
        <f t="array" ref="F58">INDEX('Monthly Report July 2025'!F:F,MATCH(E58,'Monthly Report July 2025'!E:E,),0)</f>
        <v>Zena Solar LLC</v>
      </c>
      <c r="G58" s="155" t="str" cm="1">
        <f t="array" ref="G58">_xlfn.IFS(INDEX('Monthly Report July 2025'!O:O,MATCH(E58,'Monthly Report July 2025'!E:E,0),0)="Operational","Operational",INDEX('Monthly Report July 2025'!O:O,MATCH(E58,'Monthly Report July 2025'!E:E,0),0)="Certified","Certified",TRUE,"Pre-Certified")</f>
        <v>Operational</v>
      </c>
      <c r="H58" s="155" t="str" cm="1">
        <f t="array" ref="H58">INDEX('Monthly Report July 2025'!H:H,MATCH($E58,'Monthly Report July 2025'!$E:$E,0),0)</f>
        <v>Conifer Energy Partners</v>
      </c>
      <c r="I58" s="155" t="str" cm="1">
        <f t="array" ref="I58">INDEX('Monthly Report July 2025'!I:I,MATCH($E58,'Monthly Report July 2025'!$E:$E,0),0)</f>
        <v>UGEI</v>
      </c>
      <c r="J58" s="174" cm="1">
        <f t="array" ref="J58">INDEX('Monthly Report July 2025'!J:J,MATCH($E58,'Monthly Report July 2025'!$E:$E,0),0)</f>
        <v>2</v>
      </c>
      <c r="K58" s="174" t="str" cm="1">
        <f t="array" ref="K58">INDEX('Monthly Report July 2025'!K:K,MATCH($E58,'Monthly Report July 2025'!$E:$E,0),0)</f>
        <v>No</v>
      </c>
      <c r="L58" s="174" t="b" cm="1">
        <f t="array" ref="L58">INDEX('Monthly Report July 2025'!L:L,MATCH(E58,'Monthly Report July 2025'!E:E,0),0)=M58</f>
        <v>1</v>
      </c>
      <c r="M58" s="273" cm="1">
        <f t="array" ref="M58">INDEX('Monthly Report July 2025'!L:L,MATCH($E58,'Monthly Report July 2025'!$E:$E,0),0)</f>
        <v>2500</v>
      </c>
      <c r="N58" s="175" cm="1">
        <f t="array" ref="N58">INDEX('Monthly Report July 2025'!M:M,MATCH($E58,'Monthly Report July 2025'!$E:$E,0),0)</f>
        <v>44666</v>
      </c>
      <c r="O58" s="175" t="str" cm="1">
        <f t="array" ref="O58">_xlfn.IFS(G58="Operational","Operational",G58="Certified","Certified",TRUE,INDEX('Monthly Report July 2025'!O:O,MATCH(E58,'Monthly Report July 2025'!E:E,0),0))</f>
        <v>Operational</v>
      </c>
      <c r="P58" s="175" t="b" cm="1">
        <f t="array" ref="P58">_xlfn.IFS(G58="Operational",O58="Operational",G58="Certified",O58="Certified",TRUE,G58="Pre-Certified")</f>
        <v>1</v>
      </c>
      <c r="Q58" s="175" cm="1">
        <f t="array" ref="Q58">IF(O58="Operational",INDEX('Monthly Report July 2025'!R:R,MATCH(E58,'Monthly Report July 2025'!E:E,0),0),"")</f>
        <v>45646</v>
      </c>
      <c r="R58" s="175" cm="1">
        <f t="array" ref="R58">INDEX('Monthly Report July 2025'!P:P,MATCH(E58,'Monthly Report July 2025'!E:E,0),0)</f>
        <v>45637</v>
      </c>
      <c r="S58" s="175" t="b">
        <f t="shared" si="28"/>
        <v>1</v>
      </c>
      <c r="T58" s="175" cm="1">
        <f t="array" ref="T58">INDEX('Monthly Report July 2025'!U:U,MATCH(E58,'Monthly Report July 2025'!E:E,0),0)</f>
        <v>45657</v>
      </c>
      <c r="U58" s="175" t="str">
        <f t="shared" si="6"/>
        <v>IGNORE</v>
      </c>
      <c r="V58" s="156">
        <f t="shared" si="29"/>
        <v>45637</v>
      </c>
      <c r="W58" s="156" cm="1">
        <f t="array" ref="W58">_xlfn.IFS(U58=TRUE,EDATE(O58,6),U58=FALSE,T58,O58="Operational",Q58,AND(O58="Certified",EDATE(R58,6)&gt;T58),EDATE(R58,6),TRUE,T58)</f>
        <v>45646</v>
      </c>
      <c r="X58" s="156">
        <f t="shared" si="30"/>
        <v>45708</v>
      </c>
      <c r="Y58" s="157">
        <f t="shared" si="31"/>
        <v>1806.25</v>
      </c>
      <c r="Z58" s="202" cm="1">
        <f t="array" ref="Z58">_xlfn.IFS(Z$3&lt;$B$2,SUMPRODUCT(('PA Fees Actual'!$B$5:$B$882=$E58)*('PA Fees Actual'!$A$5:$A$882&gt;=Z$3)*('PA Fees Actual'!$A$5:$A$882&lt;=EOMONTH(Z$3,0))*'PA Fees Actual'!$D$5:$D$882),Z$3&gt;=EOMONTH($X58,-1)+1,$Y58,TRUE,0)</f>
        <v>0</v>
      </c>
      <c r="AA58" s="202" cm="1">
        <f t="array" ref="AA58">_xlfn.IFS(AA$3&lt;$B$2,SUMPRODUCT(('PA Fees Actual'!$B$5:$B$882=$E58)*('PA Fees Actual'!$A$5:$A$882&gt;=AA$3)*('PA Fees Actual'!$A$5:$A$882&lt;=EOMONTH(AA$3,0))*'PA Fees Actual'!$D$5:$D$882),AA$3&gt;=EOMONTH($X58,-1)+1,$Y58,TRUE,0)</f>
        <v>0</v>
      </c>
      <c r="AB58" s="202" cm="1">
        <f t="array" ref="AB58">_xlfn.IFS(AB$3&lt;$B$2,SUMPRODUCT(('PA Fees Actual'!$B$5:$B$882=$E58)*('PA Fees Actual'!$A$5:$A$882&gt;=AB$3)*('PA Fees Actual'!$A$5:$A$882&lt;=EOMONTH(AB$3,0))*'PA Fees Actual'!$D$5:$D$882),AB$3&gt;=EOMONTH($X58,-1)+1,$Y58,TRUE,0)</f>
        <v>0</v>
      </c>
      <c r="AC58" s="202" cm="1">
        <f t="array" ref="AC58">_xlfn.IFS(AC$3&lt;$B$2,SUMPRODUCT(('PA Fees Actual'!$B$5:$B$882=$E58)*('PA Fees Actual'!$A$5:$A$882&gt;=AC$3)*('PA Fees Actual'!$A$5:$A$882&lt;=EOMONTH(AC$3,0))*'PA Fees Actual'!$D$5:$D$882),AC$3&gt;=EOMONTH($X58,-1)+1,$Y58,TRUE,0)</f>
        <v>0</v>
      </c>
      <c r="AD58" s="202" cm="1">
        <f t="array" ref="AD58">_xlfn.IFS(AD$3&lt;$B$2,SUMPRODUCT(('PA Fees Actual'!$B$5:$B$882=$E58)*('PA Fees Actual'!$A$5:$A$882&gt;=AD$3)*('PA Fees Actual'!$A$5:$A$882&lt;=EOMONTH(AD$3,0))*'PA Fees Actual'!$D$5:$D$882),AD$3&gt;=EOMONTH($X58,-1)+1,$Y58,TRUE,0)</f>
        <v>0</v>
      </c>
      <c r="AE58" s="202" cm="1">
        <f t="array" ref="AE58">_xlfn.IFS(AE$3&lt;$B$2,SUMPRODUCT(('PA Fees Actual'!$B$5:$B$882=$E58)*('PA Fees Actual'!$A$5:$A$882&gt;=AE$3)*('PA Fees Actual'!$A$5:$A$882&lt;=EOMONTH(AE$3,0))*'PA Fees Actual'!$D$5:$D$882),AE$3&gt;=EOMONTH($X58,-1)+1,$Y58,TRUE,0)</f>
        <v>0</v>
      </c>
      <c r="AF58" s="202" cm="1">
        <f t="array" ref="AF58">_xlfn.IFS(AF$3&lt;$B$2,SUMPRODUCT(('PA Fees Actual'!$B$5:$B$882=$E58)*('PA Fees Actual'!$A$5:$A$882&gt;=AF$3)*('PA Fees Actual'!$A$5:$A$882&lt;=EOMONTH(AF$3,0))*'PA Fees Actual'!$D$5:$D$882),AF$3&gt;=EOMONTH($X58,-1)+1,$Y58,TRUE,0)</f>
        <v>0</v>
      </c>
      <c r="AG58" s="202" cm="1">
        <f t="array" ref="AG58">_xlfn.IFS(AG$3&lt;$B$2,SUMPRODUCT(('PA Fees Actual'!$B$5:$B$882=$E58)*('PA Fees Actual'!$A$5:$A$882&gt;=AG$3)*('PA Fees Actual'!$A$5:$A$882&lt;=EOMONTH(AG$3,0))*'PA Fees Actual'!$D$5:$D$882),AG$3&gt;=EOMONTH($X58,-1)+1,$Y58,TRUE,0)</f>
        <v>0</v>
      </c>
      <c r="AH58" s="202" cm="1">
        <f t="array" ref="AH58">_xlfn.IFS(AH$3&lt;$B$2,SUMPRODUCT(('PA Fees Actual'!$B$5:$B$882=$E58)*('PA Fees Actual'!$A$5:$A$882&gt;=AH$3)*('PA Fees Actual'!$A$5:$A$882&lt;=EOMONTH(AH$3,0))*'PA Fees Actual'!$D$5:$D$882),AH$3&gt;=EOMONTH($X58,-1)+1,$Y58,TRUE,0)</f>
        <v>0</v>
      </c>
      <c r="AI58" s="202" cm="1">
        <f t="array" ref="AI58">_xlfn.IFS(AI$3&lt;$B$2,SUMPRODUCT(('PA Fees Actual'!$B$5:$B$882=$E58)*('PA Fees Actual'!$A$5:$A$882&gt;=AI$3)*('PA Fees Actual'!$A$5:$A$882&lt;=EOMONTH(AI$3,0))*'PA Fees Actual'!$D$5:$D$882),AI$3&gt;=EOMONTH($X58,-1)+1,$Y58,TRUE,0)</f>
        <v>0</v>
      </c>
      <c r="AJ58" s="202" cm="1">
        <f t="array" ref="AJ58">_xlfn.IFS(AJ$3&lt;$B$2,SUMPRODUCT(('PA Fees Actual'!$B$5:$B$882=$E58)*('PA Fees Actual'!$A$5:$A$882&gt;=AJ$3)*('PA Fees Actual'!$A$5:$A$882&lt;=EOMONTH(AJ$3,0))*'PA Fees Actual'!$D$5:$D$882),AJ$3&gt;=EOMONTH($X58,-1)+1,$Y58,TRUE,0)</f>
        <v>0</v>
      </c>
      <c r="AK58" s="202" cm="1">
        <f t="array" ref="AK58">_xlfn.IFS(AK$3&lt;$B$2,SUMPRODUCT(('PA Fees Actual'!$B$5:$B$882=$E58)*('PA Fees Actual'!$A$5:$A$882&gt;=AK$3)*('PA Fees Actual'!$A$5:$A$882&lt;=EOMONTH(AK$3,0))*'PA Fees Actual'!$D$5:$D$882),AK$3&gt;=EOMONTH($X58,-1)+1,$Y58,TRUE,0)</f>
        <v>0</v>
      </c>
      <c r="AL58" s="202" cm="1">
        <f t="array" ref="AL58">_xlfn.IFS(AL$3&lt;$B$2,SUMPRODUCT(('PA Fees Actual'!$B$5:$B$882=$E58)*('PA Fees Actual'!$A$5:$A$882&gt;=AL$3)*('PA Fees Actual'!$A$5:$A$882&lt;=EOMONTH(AL$3,0))*'PA Fees Actual'!$D$5:$D$882),AL$3&gt;=EOMONTH($X58,-1)+1,$Y58,TRUE,0)</f>
        <v>0</v>
      </c>
      <c r="AM58" s="202" cm="1">
        <f t="array" ref="AM58">_xlfn.IFS(AM$3&lt;$B$2,SUMPRODUCT(('PA Fees Actual'!$B$5:$B$882=$E58)*('PA Fees Actual'!$A$5:$A$882&gt;=AM$3)*('PA Fees Actual'!$A$5:$A$882&lt;=EOMONTH(AM$3,0))*'PA Fees Actual'!$D$5:$D$882),AM$3&gt;=EOMONTH($X58,-1)+1,$Y58,TRUE,0)</f>
        <v>0</v>
      </c>
      <c r="AN58" s="202" cm="1">
        <f t="array" ref="AN58">_xlfn.IFS(AN$3&lt;$B$2,SUMPRODUCT(('PA Fees Actual'!$B$5:$B$882=$E58)*('PA Fees Actual'!$A$5:$A$882&gt;=AN$3)*('PA Fees Actual'!$A$5:$A$882&lt;=EOMONTH(AN$3,0))*'PA Fees Actual'!$D$5:$D$882),AN$3&gt;=EOMONTH($X58,-1)+1,$Y58,TRUE,0)</f>
        <v>0</v>
      </c>
      <c r="AO58" s="202" cm="1">
        <f t="array" ref="AO58">_xlfn.IFS(AO$3&lt;$B$2,SUMPRODUCT(('PA Fees Actual'!$B$5:$B$882=$E58)*('PA Fees Actual'!$A$5:$A$882&gt;=AO$3)*('PA Fees Actual'!$A$5:$A$882&lt;=EOMONTH(AO$3,0))*'PA Fees Actual'!$D$5:$D$882),AO$3&gt;=EOMONTH($X58,-1)+1,$Y58,TRUE,0)</f>
        <v>0</v>
      </c>
      <c r="AP58" s="202" cm="1">
        <f t="array" ref="AP58">_xlfn.IFS(AP$3&lt;$B$2,SUMPRODUCT(('PA Fees Actual'!$B$5:$B$882=$E58)*('PA Fees Actual'!$A$5:$A$882&gt;=AP$3)*('PA Fees Actual'!$A$5:$A$882&lt;=EOMONTH(AP$3,0))*'PA Fees Actual'!$D$5:$D$882),AP$3&gt;=EOMONTH($X58,-1)+1,$Y58,TRUE,0)</f>
        <v>0</v>
      </c>
      <c r="AQ58" s="202" cm="1">
        <f t="array" ref="AQ58">_xlfn.IFS(AQ$3&lt;$B$2,SUMPRODUCT(('PA Fees Actual'!$B$5:$B$882=$E58)*('PA Fees Actual'!$A$5:$A$882&gt;=AQ$3)*('PA Fees Actual'!$A$5:$A$882&lt;=EOMONTH(AQ$3,0))*'PA Fees Actual'!$D$5:$D$882),AQ$3&gt;=EOMONTH($X58,-1)+1,$Y58,TRUE,0)</f>
        <v>0</v>
      </c>
      <c r="AR58" s="202" cm="1">
        <f t="array" ref="AR58">_xlfn.IFS(AR$3&lt;$B$2,SUMPRODUCT(('PA Fees Actual'!$B$5:$B$882=$E58)*('PA Fees Actual'!$A$5:$A$882&gt;=AR$3)*('PA Fees Actual'!$A$5:$A$882&lt;=EOMONTH(AR$3,0))*'PA Fees Actual'!$D$5:$D$882),AR$3&gt;=EOMONTH($X58,-1)+1,$Y58,TRUE,0)</f>
        <v>0</v>
      </c>
      <c r="AS58" s="202" cm="1">
        <f t="array" ref="AS58">_xlfn.IFS(AS$3&lt;$B$2,SUMPRODUCT(('PA Fees Actual'!$B$5:$B$882=$E58)*('PA Fees Actual'!$A$5:$A$882&gt;=AS$3)*('PA Fees Actual'!$A$5:$A$882&lt;=EOMONTH(AS$3,0))*'PA Fees Actual'!$D$5:$D$882),AS$3&gt;=EOMONTH($X58,-1)+1,$Y58,TRUE,0)</f>
        <v>0</v>
      </c>
      <c r="AT58" s="202" cm="1">
        <f t="array" ref="AT58">_xlfn.IFS(AT$3&lt;$B$2,SUMPRODUCT(('PA Fees Actual'!$B$5:$B$882=$E58)*('PA Fees Actual'!$A$5:$A$882&gt;=AT$3)*('PA Fees Actual'!$A$5:$A$882&lt;=EOMONTH(AT$3,0))*'PA Fees Actual'!$D$5:$D$882),AT$3&gt;=EOMONTH($X58,-1)+1,$Y58,TRUE,0)</f>
        <v>0</v>
      </c>
      <c r="AU58" s="202" cm="1">
        <f t="array" ref="AU58">_xlfn.IFS(AU$3&lt;$B$2,SUMPRODUCT(('PA Fees Actual'!$B$5:$B$882=$E58)*('PA Fees Actual'!$A$5:$A$882&gt;=AU$3)*('PA Fees Actual'!$A$5:$A$882&lt;=EOMONTH(AU$3,0))*'PA Fees Actual'!$D$5:$D$882),AU$3&gt;=EOMONTH($X58,-1)+1,$Y58,TRUE,0)</f>
        <v>0</v>
      </c>
      <c r="AV58" s="202" cm="1">
        <f t="array" ref="AV58">_xlfn.IFS(AV$3&lt;$B$2,SUMPRODUCT(('PA Fees Actual'!$B$5:$B$882=$E58)*('PA Fees Actual'!$A$5:$A$882&gt;=AV$3)*('PA Fees Actual'!$A$5:$A$882&lt;=EOMONTH(AV$3,0))*'PA Fees Actual'!$D$5:$D$882),AV$3&gt;=EOMONTH($X58,-1)+1,$Y58,TRUE,0)</f>
        <v>0</v>
      </c>
      <c r="AW58" s="202" cm="1">
        <f t="array" ref="AW58">_xlfn.IFS(AW$3&lt;$B$2,SUMPRODUCT(('PA Fees Actual'!$B$5:$B$882=$E58)*('PA Fees Actual'!$A$5:$A$882&gt;=AW$3)*('PA Fees Actual'!$A$5:$A$882&lt;=EOMONTH(AW$3,0))*'PA Fees Actual'!$D$5:$D$882),AW$3&gt;=EOMONTH($X58,-1)+1,$Y58,TRUE,0)</f>
        <v>0</v>
      </c>
      <c r="AX58" s="202" cm="1">
        <f t="array" ref="AX58">_xlfn.IFS(AX$3&lt;$B$2,SUMPRODUCT(('PA Fees Actual'!$B$5:$B$882=$E58)*('PA Fees Actual'!$A$5:$A$882&gt;=AX$3)*('PA Fees Actual'!$A$5:$A$882&lt;=EOMONTH(AX$3,0))*'PA Fees Actual'!$D$5:$D$882),AX$3&gt;=EOMONTH($X58,-1)+1,$Y58,TRUE,0)</f>
        <v>0</v>
      </c>
      <c r="AY58" s="202" cm="1">
        <f t="array" ref="AY58">_xlfn.IFS(AY$3&lt;$B$2,SUMPRODUCT(('PA Fees Actual'!$B$5:$B$882=$E58)*('PA Fees Actual'!$A$5:$A$882&gt;=AY$3)*('PA Fees Actual'!$A$5:$A$882&lt;=EOMONTH(AY$3,0))*'PA Fees Actual'!$D$5:$D$882),AY$3&gt;=EOMONTH($X58,-1)+1,$Y58,TRUE,0)</f>
        <v>0</v>
      </c>
      <c r="AZ58" s="202" cm="1">
        <f t="array" ref="AZ58">_xlfn.IFS(AZ$3&lt;$B$2,SUMPRODUCT(('PA Fees Actual'!$B$5:$B$882=$E58)*('PA Fees Actual'!$A$5:$A$882&gt;=AZ$3)*('PA Fees Actual'!$A$5:$A$882&lt;=EOMONTH(AZ$3,0))*'PA Fees Actual'!$D$5:$D$882),AZ$3&gt;=EOMONTH($X58,-1)+1,$Y58,TRUE,0)</f>
        <v>0</v>
      </c>
      <c r="BA58" s="202" cm="1">
        <f t="array" ref="BA58">_xlfn.IFS(BA$3&lt;$B$2,SUMPRODUCT(('PA Fees Actual'!$B$5:$B$882=$E58)*('PA Fees Actual'!$A$5:$A$882&gt;=BA$3)*('PA Fees Actual'!$A$5:$A$882&lt;=EOMONTH(BA$3,0))*'PA Fees Actual'!$D$5:$D$882),BA$3&gt;=EOMONTH($X58,-1)+1,$Y58,TRUE,0)</f>
        <v>0</v>
      </c>
      <c r="BB58" s="202" cm="1">
        <f t="array" ref="BB58">_xlfn.IFS(BB$3&lt;$B$2,SUMPRODUCT(('PA Fees Actual'!$B$5:$B$882=$E58)*('PA Fees Actual'!$A$5:$A$882&gt;=BB$3)*('PA Fees Actual'!$A$5:$A$882&lt;=EOMONTH(BB$3,0))*'PA Fees Actual'!$D$5:$D$882),BB$3&gt;=EOMONTH($X58,-1)+1,$Y58,TRUE,0)</f>
        <v>0</v>
      </c>
      <c r="BC58" s="202" cm="1">
        <f t="array" ref="BC58">_xlfn.IFS(BC$3&lt;$B$2,SUMPRODUCT(('PA Fees Actual'!$B$5:$B$882=$E58)*('PA Fees Actual'!$A$5:$A$882&gt;=BC$3)*('PA Fees Actual'!$A$5:$A$882&lt;=EOMONTH(BC$3,0))*'PA Fees Actual'!$D$5:$D$882),BC$3&gt;=EOMONTH($X58,-1)+1,$Y58,TRUE,0)</f>
        <v>0</v>
      </c>
      <c r="BD58" s="202" cm="1">
        <f t="array" ref="BD58">_xlfn.IFS(BD$3&lt;$B$2,SUMPRODUCT(('PA Fees Actual'!$B$5:$B$882=$E58)*('PA Fees Actual'!$A$5:$A$882&gt;=BD$3)*('PA Fees Actual'!$A$5:$A$882&lt;=EOMONTH(BD$3,0))*'PA Fees Actual'!$D$5:$D$882),BD$3&gt;=EOMONTH($X58,-1)+1,$Y58,TRUE,0)</f>
        <v>0</v>
      </c>
      <c r="BE58" s="202" cm="1">
        <f t="array" ref="BE58">_xlfn.IFS(BE$3&lt;$B$2,SUMPRODUCT(('PA Fees Actual'!$B$5:$B$882=$E58)*('PA Fees Actual'!$A$5:$A$882&gt;=BE$3)*('PA Fees Actual'!$A$5:$A$882&lt;=EOMONTH(BE$3,0))*'PA Fees Actual'!$D$5:$D$882),BE$3&gt;=EOMONTH($X58,-1)+1,$Y58,TRUE,0)</f>
        <v>0</v>
      </c>
      <c r="BF58" s="202" cm="1">
        <f t="array" ref="BF58">_xlfn.IFS(BF$3&lt;$B$2,SUMPRODUCT(('PA Fees Actual'!$B$5:$B$882=$E58)*('PA Fees Actual'!$A$5:$A$882&gt;=BF$3)*('PA Fees Actual'!$A$5:$A$882&lt;=EOMONTH(BF$3,0))*'PA Fees Actual'!$D$5:$D$882),BF$3&gt;=EOMONTH($X58,-1)+1,$Y58,TRUE,0)</f>
        <v>0</v>
      </c>
      <c r="BG58" s="202" cm="1">
        <f t="array" ref="BG58">_xlfn.IFS(BG$3&lt;$B$2,SUMPRODUCT(('PA Fees Actual'!$B$5:$B$882=$E58)*('PA Fees Actual'!$A$5:$A$882&gt;=BG$3)*('PA Fees Actual'!$A$5:$A$882&lt;=EOMONTH(BG$3,0))*'PA Fees Actual'!$D$5:$D$882),BG$3&gt;=EOMONTH($X58,-1)+1,$Y58,TRUE,0)</f>
        <v>0</v>
      </c>
      <c r="BH58" s="202" cm="1">
        <f t="array" ref="BH58">_xlfn.IFS(BH$3&lt;$B$2,SUMPRODUCT(('PA Fees Actual'!$B$5:$B$882=$E58)*('PA Fees Actual'!$A$5:$A$882&gt;=BH$3)*('PA Fees Actual'!$A$5:$A$882&lt;=EOMONTH(BH$3,0))*'PA Fees Actual'!$D$5:$D$882),BH$3&gt;=EOMONTH($X58,-1)+1,$Y58,TRUE,0)</f>
        <v>0</v>
      </c>
      <c r="BI58" s="202" cm="1">
        <f t="array" ref="BI58">_xlfn.IFS(BI$3&lt;$B$2,SUMPRODUCT(('PA Fees Actual'!$B$5:$B$882=$E58)*('PA Fees Actual'!$A$5:$A$882&gt;=BI$3)*('PA Fees Actual'!$A$5:$A$882&lt;=EOMONTH(BI$3,0))*'PA Fees Actual'!$D$5:$D$882),BI$3&gt;=EOMONTH($X58,-1)+1,$Y58,TRUE,0)</f>
        <v>0</v>
      </c>
      <c r="BJ58" s="202" cm="1">
        <f t="array" ref="BJ58">_xlfn.IFS(BJ$3&lt;$B$2,SUMPRODUCT(('PA Fees Actual'!$B$5:$B$882=$E58)*('PA Fees Actual'!$A$5:$A$882&gt;=BJ$3)*('PA Fees Actual'!$A$5:$A$882&lt;=EOMONTH(BJ$3,0))*'PA Fees Actual'!$D$5:$D$882),BJ$3&gt;=EOMONTH($X58,-1)+1,$Y58,TRUE,0)</f>
        <v>0</v>
      </c>
      <c r="BK58" s="202" cm="1">
        <f t="array" ref="BK58">_xlfn.IFS(BK$3&lt;$B$2,SUMPRODUCT(('PA Fees Actual'!$B$5:$B$882=$E58)*('PA Fees Actual'!$A$5:$A$882&gt;=BK$3)*('PA Fees Actual'!$A$5:$A$882&lt;=EOMONTH(BK$3,0))*'PA Fees Actual'!$D$5:$D$882),BK$3&gt;=EOMONTH($X58,-1)+1,$Y58,TRUE,0)</f>
        <v>0</v>
      </c>
      <c r="BL58" s="202" cm="1">
        <f t="array" ref="BL58">_xlfn.IFS(BL$3&lt;$B$2,SUMPRODUCT(('PA Fees Actual'!$B$5:$B$882=$E58)*('PA Fees Actual'!$A$5:$A$882&gt;=BL$3)*('PA Fees Actual'!$A$5:$A$882&lt;=EOMONTH(BL$3,0))*'PA Fees Actual'!$D$5:$D$882),BL$3&gt;=EOMONTH($X58,-1)+1,$Y58,TRUE,0)</f>
        <v>0</v>
      </c>
      <c r="BM58" s="202" cm="1">
        <f t="array" ref="BM58">_xlfn.IFS(BM$3&lt;$B$2,SUMPRODUCT(('PA Fees Actual'!$B$5:$B$882=$E58)*('PA Fees Actual'!$A$5:$A$882&gt;=BM$3)*('PA Fees Actual'!$A$5:$A$882&lt;=EOMONTH(BM$3,0))*'PA Fees Actual'!$D$5:$D$882),BM$3&gt;=EOMONTH($X58,-1)+1,$Y58,TRUE,0)</f>
        <v>0</v>
      </c>
      <c r="BN58" s="202" cm="1">
        <f t="array" ref="BN58">_xlfn.IFS(BN$3&lt;$B$2,SUMPRODUCT(('PA Fees Actual'!$B$5:$B$882=$E58)*('PA Fees Actual'!$A$5:$A$882&gt;=BN$3)*('PA Fees Actual'!$A$5:$A$882&lt;=EOMONTH(BN$3,0))*'PA Fees Actual'!$D$5:$D$882),BN$3&gt;=EOMONTH($X58,-1)+1,$Y58,TRUE,0)</f>
        <v>0</v>
      </c>
      <c r="BO58" s="202" cm="1">
        <f t="array" ref="BO58">_xlfn.IFS(BO$3&lt;$B$2,SUMPRODUCT(('PA Fees Actual'!$B$5:$B$882=$E58)*('PA Fees Actual'!$A$5:$A$882&gt;=BO$3)*('PA Fees Actual'!$A$5:$A$882&lt;=EOMONTH(BO$3,0))*'PA Fees Actual'!$D$5:$D$882),BO$3&gt;=EOMONTH($X58,-1)+1,$Y58,TRUE,0)</f>
        <v>0</v>
      </c>
      <c r="BP58" s="202" cm="1">
        <f t="array" ref="BP58">_xlfn.IFS(BP$3&lt;$B$2,SUMPRODUCT(('PA Fees Actual'!$B$5:$B$882=$E58)*('PA Fees Actual'!$A$5:$A$882&gt;=BP$3)*('PA Fees Actual'!$A$5:$A$882&lt;=EOMONTH(BP$3,0))*'PA Fees Actual'!$D$5:$D$882),BP$3&gt;=EOMONTH($X58,-1)+1,$Y58,TRUE,0)</f>
        <v>0</v>
      </c>
      <c r="BQ58" s="202" cm="1">
        <f t="array" ref="BQ58">_xlfn.IFS(BQ$3&lt;$B$2,SUMPRODUCT(('PA Fees Actual'!$B$5:$B$882=$E58)*('PA Fees Actual'!$A$5:$A$882&gt;=BQ$3)*('PA Fees Actual'!$A$5:$A$882&lt;=EOMONTH(BQ$3,0))*'PA Fees Actual'!$D$5:$D$882),BQ$3&gt;=EOMONTH($X58,-1)+1,$Y58,TRUE,0)</f>
        <v>0</v>
      </c>
      <c r="BR58" s="202" cm="1">
        <f t="array" ref="BR58">_xlfn.IFS(BR$3&lt;$B$2,SUMPRODUCT(('PA Fees Actual'!$B$5:$B$882=$E58)*('PA Fees Actual'!$A$5:$A$882&gt;=BR$3)*('PA Fees Actual'!$A$5:$A$882&lt;=EOMONTH(BR$3,0))*'PA Fees Actual'!$D$5:$D$882),BR$3&gt;=EOMONTH($X58,-1)+1,$Y58,TRUE,0)</f>
        <v>0</v>
      </c>
      <c r="BS58" s="202" cm="1">
        <f t="array" ref="BS58">_xlfn.IFS(BS$3&lt;$B$2,SUMPRODUCT(('PA Fees Actual'!$B$5:$B$882=$E58)*('PA Fees Actual'!$A$5:$A$882&gt;=BS$3)*('PA Fees Actual'!$A$5:$A$882&lt;=EOMONTH(BS$3,0))*'PA Fees Actual'!$D$5:$D$882),BS$3&gt;=EOMONTH($X58,-1)+1,$Y58,TRUE,0)</f>
        <v>0</v>
      </c>
      <c r="BT58" s="202" cm="1">
        <f t="array" ref="BT58">_xlfn.IFS(BT$3&lt;$B$2,SUMPRODUCT(('PA Fees Actual'!$B$5:$B$882=$E58)*('PA Fees Actual'!$A$5:$A$882&gt;=BT$3)*('PA Fees Actual'!$A$5:$A$882&lt;=EOMONTH(BT$3,0))*'PA Fees Actual'!$D$5:$D$882),BT$3&gt;=EOMONTH($X58,-1)+1,$Y58,TRUE,0)</f>
        <v>0</v>
      </c>
      <c r="BU58" s="202" cm="1">
        <f t="array" ref="BU58">_xlfn.IFS(BU$3&lt;$B$2,SUMPRODUCT(('PA Fees Actual'!$B$5:$B$882=$E58)*('PA Fees Actual'!$A$5:$A$882&gt;=BU$3)*('PA Fees Actual'!$A$5:$A$882&lt;=EOMONTH(BU$3,0))*'PA Fees Actual'!$D$5:$D$882),BU$3&gt;=EOMONTH($X58,-1)+1,$Y58,TRUE,0)</f>
        <v>0</v>
      </c>
      <c r="BV58" s="202" cm="1">
        <f t="array" ref="BV58">_xlfn.IFS(BV$3&lt;$B$2,SUMPRODUCT(('PA Fees Actual'!$B$5:$B$882=$E58)*('PA Fees Actual'!$A$5:$A$882&gt;=BV$3)*('PA Fees Actual'!$A$5:$A$882&lt;=EOMONTH(BV$3,0))*'PA Fees Actual'!$D$5:$D$882),BV$3&gt;=EOMONTH($X58,-1)+1,$Y58,TRUE,0)</f>
        <v>0</v>
      </c>
      <c r="BW58" s="202" cm="1">
        <f t="array" ref="BW58">_xlfn.IFS(BW$3&lt;$B$2,SUMPRODUCT(('PA Fees Actual'!$B$5:$B$882=$E58)*('PA Fees Actual'!$A$5:$A$882&gt;=BW$3)*('PA Fees Actual'!$A$5:$A$882&lt;=EOMONTH(BW$3,0))*'PA Fees Actual'!$D$5:$D$882),BW$3&gt;=EOMONTH($X58,-1)+1,$Y58,TRUE,0)</f>
        <v>0</v>
      </c>
      <c r="BX58" s="202" cm="1">
        <f t="array" ref="BX58">_xlfn.IFS(BX$3&lt;$B$2,SUMPRODUCT(('PA Fees Actual'!$B$5:$B$882=$E58)*('PA Fees Actual'!$A$5:$A$882&gt;=BX$3)*('PA Fees Actual'!$A$5:$A$882&lt;=EOMONTH(BX$3,0))*'PA Fees Actual'!$D$5:$D$882),BX$3&gt;=EOMONTH($X58,-1)+1,$Y58,TRUE,0)</f>
        <v>0</v>
      </c>
      <c r="BY58" s="202" cm="1">
        <f t="array" ref="BY58">_xlfn.IFS(BY$3&lt;$B$2,SUMPRODUCT(('PA Fees Actual'!$B$5:$B$882=$E58)*('PA Fees Actual'!$A$5:$A$882&gt;=BY$3)*('PA Fees Actual'!$A$5:$A$882&lt;=EOMONTH(BY$3,0))*'PA Fees Actual'!$D$5:$D$882),BY$3&gt;=EOMONTH($X58,-1)+1,$Y58,TRUE,0)</f>
        <v>0</v>
      </c>
      <c r="BZ58" s="202" cm="1">
        <f t="array" ref="BZ58">_xlfn.IFS(BZ$3&lt;$B$2,SUMPRODUCT(('PA Fees Actual'!$B$5:$B$882=$E58)*('PA Fees Actual'!$A$5:$A$882&gt;=BZ$3)*('PA Fees Actual'!$A$5:$A$882&lt;=EOMONTH(BZ$3,0))*'PA Fees Actual'!$D$5:$D$882),BZ$3&gt;=EOMONTH($X58,-1)+1,$Y58,TRUE,0)</f>
        <v>0</v>
      </c>
      <c r="CA58" s="202" cm="1">
        <f t="array" ref="CA58">_xlfn.IFS(CA$3&lt;$B$2,SUMPRODUCT(('PA Fees Actual'!$B$5:$B$882=$E58)*('PA Fees Actual'!$A$5:$A$882&gt;=CA$3)*('PA Fees Actual'!$A$5:$A$882&lt;=EOMONTH(CA$3,0))*'PA Fees Actual'!$D$5:$D$882),CA$3&gt;=EOMONTH($X58,-1)+1,$Y58,TRUE,0)</f>
        <v>0</v>
      </c>
      <c r="CB58" s="202" cm="1">
        <f t="array" ref="CB58">_xlfn.IFS(CB$3&lt;$B$2,SUMPRODUCT(('PA Fees Actual'!$B$5:$B$882=$E58)*('PA Fees Actual'!$A$5:$A$882&gt;=CB$3)*('PA Fees Actual'!$A$5:$A$882&lt;=EOMONTH(CB$3,0))*'PA Fees Actual'!$D$5:$D$882),CB$3&gt;=EOMONTH($X58,-1)+1,$Y58,TRUE,0)</f>
        <v>1806.25</v>
      </c>
      <c r="CC58" s="202" cm="1">
        <f t="array" ref="CC58">_xlfn.IFS(CC$3&lt;$B$2,SUMPRODUCT(('PA Fees Actual'!$B$5:$B$882=$E58)*('PA Fees Actual'!$A$5:$A$882&gt;=CC$3)*('PA Fees Actual'!$A$5:$A$882&lt;=EOMONTH(CC$3,0))*'PA Fees Actual'!$D$5:$D$882),CC$3&gt;=EOMONTH($X58,-1)+1,$Y58,TRUE,0)</f>
        <v>1806.25</v>
      </c>
      <c r="CD58" s="202" cm="1">
        <f t="array" ref="CD58">_xlfn.IFS(CD$3&lt;$B$2,SUMPRODUCT(('PA Fees Actual'!$B$5:$B$882=$E58)*('PA Fees Actual'!$A$5:$A$882&gt;=CD$3)*('PA Fees Actual'!$A$5:$A$882&lt;=EOMONTH(CD$3,0))*'PA Fees Actual'!$D$5:$D$882),CD$3&gt;=EOMONTH($X58,-1)+1,$Y58,TRUE,0)</f>
        <v>1806.25</v>
      </c>
      <c r="CE58" s="202" cm="1">
        <f t="array" ref="CE58">_xlfn.IFS(CE$3&lt;$B$2,SUMPRODUCT(('PA Fees Actual'!$B$5:$B$882=$E58)*('PA Fees Actual'!$A$5:$A$882&gt;=CE$3)*('PA Fees Actual'!$A$5:$A$882&lt;=EOMONTH(CE$3,0))*'PA Fees Actual'!$D$5:$D$882),CE$3&gt;=EOMONTH($X58,-1)+1,$Y58,TRUE,0)</f>
        <v>1806.25</v>
      </c>
      <c r="CF58" s="202" cm="1">
        <f t="array" ref="CF58">_xlfn.IFS(CF$3&lt;$B$2,SUMPRODUCT(('PA Fees Actual'!$B$5:$B$882=$E58)*('PA Fees Actual'!$A$5:$A$882&gt;=CF$3)*('PA Fees Actual'!$A$5:$A$882&lt;=EOMONTH(CF$3,0))*'PA Fees Actual'!$D$5:$D$882),CF$3&gt;=EOMONTH($X58,-1)+1,$Y58,TRUE,0)</f>
        <v>1806.25</v>
      </c>
      <c r="CG58" s="202" cm="1">
        <f t="array" ref="CG58">_xlfn.IFS(CG$3&lt;$B$2,SUMPRODUCT(('PA Fees Actual'!$B$5:$B$882=$E58)*('PA Fees Actual'!$A$5:$A$882&gt;=CG$3)*('PA Fees Actual'!$A$5:$A$882&lt;=EOMONTH(CG$3,0))*'PA Fees Actual'!$D$5:$D$882),CG$3&gt;=EOMONTH($X58,-1)+1,$Y58,TRUE,0)</f>
        <v>1806.25</v>
      </c>
      <c r="CI58" s="202" cm="1">
        <f t="array" ref="CI58">_xlfn.IFS(CI$3&lt;=YEAR($B$2),SUMPRODUCT(($E$4:$E$79=$E58)*($Z$2:$CG$2=CI$3)*($Z$2:$CG$2&lt;CJ$3)*$Z$4:$CG$79),CI$3&lt;YEAR($X58),0,CI$3=YEAR($X58),DATEDIF($X58,DATE(CI$3,12,31),"m")*$Y58,AND(CI$3&gt;YEAR($X58),CI$3-YEAR($X58)&lt;20),$Y58*12,CI$3-YEAR($X58)=20,DATEDIF(DATE(YEAR($X58),1,1),$X58,"m")*$Y58,CI$3-YEAR($X58)&gt;20,0)</f>
        <v>0</v>
      </c>
      <c r="CJ58" s="202" cm="1">
        <f t="array" ref="CJ58">_xlfn.IFS(CJ$3&lt;=YEAR($B$2),SUMPRODUCT(($E$4:$E$79=$E58)*($Z$2:$CG$2=CJ$3)*($Z$2:$CG$2&lt;CK$3)*$Z$4:$CG$79),CJ$3&lt;YEAR($X58),0,CJ$3=YEAR($X58),DATEDIF($X58,DATE(CJ$3,12,31),"m")*$Y58,AND(CJ$3&gt;YEAR($X58),CJ$3-YEAR($X58)&lt;20),$Y58*12,CJ$3-YEAR($X58)=20,DATEDIF(DATE(YEAR($X58),1,1),$X58,"m")*$Y58,CJ$3-YEAR($X58)&gt;20,0)</f>
        <v>0</v>
      </c>
      <c r="CK58" s="202" cm="1">
        <f t="array" ref="CK58">_xlfn.IFS(CK$3&lt;=YEAR($B$2),SUMPRODUCT(($E$4:$E$79=$E58)*($Z$2:$CG$2=CK$3)*($Z$2:$CG$2&lt;CL$3)*$Z$4:$CG$79),CK$3&lt;YEAR($X58),0,CK$3=YEAR($X58),DATEDIF($X58,DATE(CK$3,12,31),"m")*$Y58,AND(CK$3&gt;YEAR($X58),CK$3-YEAR($X58)&lt;20),$Y58*12,CK$3-YEAR($X58)=20,DATEDIF(DATE(YEAR($X58),1,1),$X58,"m")*$Y58,CK$3-YEAR($X58)&gt;20,0)</f>
        <v>0</v>
      </c>
      <c r="CL58" s="202" cm="1">
        <f t="array" ref="CL58">_xlfn.IFS(CL$3&lt;=YEAR($B$2),SUMPRODUCT(($E$4:$E$79=$E58)*($Z$2:$CG$2=CL$3)*($Z$2:$CG$2&lt;CM$3)*$Z$4:$CG$79),CL$3&lt;YEAR($X58),0,CL$3=YEAR($X58),DATEDIF($X58,DATE(CL$3,12,31),"m")*$Y58,AND(CL$3&gt;YEAR($X58),CL$3-YEAR($X58)&lt;20),$Y58*12,CL$3-YEAR($X58)=20,DATEDIF(DATE(YEAR($X58),1,1),$X58,"m")*$Y58,CL$3-YEAR($X58)&gt;20,0)</f>
        <v>0</v>
      </c>
      <c r="CM58" s="202" cm="1">
        <f t="array" ref="CM58">_xlfn.IFS(CM$3&lt;=YEAR($B$2),SUMPRODUCT(($E$4:$E$79=$E58)*($Z$2:$CG$2=CM$3)*($Z$2:$CG$2&lt;CN$3)*$Z$4:$CG$79),CM$3&lt;YEAR($X58),0,CM$3=YEAR($X58),DATEDIF($X58,DATE(CM$3,12,31),"m")*$Y58,AND(CM$3&gt;YEAR($X58),CM$3-YEAR($X58)&lt;20),$Y58*12,CM$3-YEAR($X58)=20,DATEDIF(DATE(YEAR($X58),1,1),$X58,"m")*$Y58,CM$3-YEAR($X58)&gt;20,0)</f>
        <v>10837.5</v>
      </c>
      <c r="CN58" s="202" cm="1">
        <f t="array" ref="CN58">_xlfn.IFS(CN$3&lt;=YEAR($B$2),SUMPRODUCT(($E$4:$E$79=$E58)*($Z$2:$CG$2=CN$3)*($Z$2:$CG$2&lt;CO$3)*$Z$4:$CG$79),CN$3&lt;YEAR($X58),0,CN$3=YEAR($X58),DATEDIF($X58,DATE(CN$3,12,31),"m")*$Y58,AND(CN$3&gt;YEAR($X58),CN$3-YEAR($X58)&lt;20),$Y58*12,CN$3-YEAR($X58)=20,DATEDIF(DATE(YEAR($X58),1,1),$X58,"m")*$Y58,CN$3-YEAR($X58)&gt;20,0)</f>
        <v>21675</v>
      </c>
      <c r="CO58" s="202" cm="1">
        <f t="array" ref="CO58">_xlfn.IFS(CO$3&lt;=YEAR($B$2),SUMPRODUCT(($E$4:$E$79=$E58)*($Z$2:$CG$2=CO$3)*($Z$2:$CG$2&lt;CP$3)*$Z$4:$CG$79),CO$3&lt;YEAR($X58),0,CO$3=YEAR($X58),DATEDIF($X58,DATE(CO$3,12,31),"m")*$Y58,AND(CO$3&gt;YEAR($X58),CO$3-YEAR($X58)&lt;20),$Y58*12,CO$3-YEAR($X58)=20,DATEDIF(DATE(YEAR($X58),1,1),$X58,"m")*$Y58,CO$3-YEAR($X58)&gt;20,0)</f>
        <v>21675</v>
      </c>
      <c r="CP58" s="202" cm="1">
        <f t="array" ref="CP58">_xlfn.IFS(CP$3&lt;=YEAR($B$2),SUMPRODUCT(($E$4:$E$79=$E58)*($Z$2:$CG$2=CP$3)*($Z$2:$CG$2&lt;CQ$3)*$Z$4:$CG$79),CP$3&lt;YEAR($X58),0,CP$3=YEAR($X58),DATEDIF($X58,DATE(CP$3,12,31),"m")*$Y58,AND(CP$3&gt;YEAR($X58),CP$3-YEAR($X58)&lt;20),$Y58*12,CP$3-YEAR($X58)=20,DATEDIF(DATE(YEAR($X58),1,1),$X58,"m")*$Y58,CP$3-YEAR($X58)&gt;20,0)</f>
        <v>21675</v>
      </c>
      <c r="CQ58" s="202" cm="1">
        <f t="array" ref="CQ58">_xlfn.IFS(CQ$3&lt;=YEAR($B$2),SUMPRODUCT(($E$4:$E$79=$E58)*($Z$2:$CG$2=CQ$3)*($Z$2:$CG$2&lt;CR$3)*$Z$4:$CG$79),CQ$3&lt;YEAR($X58),0,CQ$3=YEAR($X58),DATEDIF($X58,DATE(CQ$3,12,31),"m")*$Y58,AND(CQ$3&gt;YEAR($X58),CQ$3-YEAR($X58)&lt;20),$Y58*12,CQ$3-YEAR($X58)=20,DATEDIF(DATE(YEAR($X58),1,1),$X58,"m")*$Y58,CQ$3-YEAR($X58)&gt;20,0)</f>
        <v>21675</v>
      </c>
      <c r="CR58" s="202" cm="1">
        <f t="array" ref="CR58">_xlfn.IFS(CR$3&lt;=YEAR($B$2),SUMPRODUCT(($E$4:$E$79=$E58)*($Z$2:$CG$2=CR$3)*($Z$2:$CG$2&lt;CS$3)*$Z$4:$CG$79),CR$3&lt;YEAR($X58),0,CR$3=YEAR($X58),DATEDIF($X58,DATE(CR$3,12,31),"m")*$Y58,AND(CR$3&gt;YEAR($X58),CR$3-YEAR($X58)&lt;20),$Y58*12,CR$3-YEAR($X58)=20,DATEDIF(DATE(YEAR($X58),1,1),$X58,"m")*$Y58,CR$3-YEAR($X58)&gt;20,0)</f>
        <v>21675</v>
      </c>
      <c r="CS58" s="202" cm="1">
        <f t="array" ref="CS58">_xlfn.IFS(CS$3&lt;=YEAR($B$2),SUMPRODUCT(($E$4:$E$79=$E58)*($Z$2:$CG$2=CS$3)*($Z$2:$CG$2&lt;CT$3)*$Z$4:$CG$79),CS$3&lt;YEAR($X58),0,CS$3=YEAR($X58),DATEDIF($X58,DATE(CS$3,12,31),"m")*$Y58,AND(CS$3&gt;YEAR($X58),CS$3-YEAR($X58)&lt;20),$Y58*12,CS$3-YEAR($X58)=20,DATEDIF(DATE(YEAR($X58),1,1),$X58,"m")*$Y58,CS$3-YEAR($X58)&gt;20,0)</f>
        <v>21675</v>
      </c>
      <c r="CT58" s="202" cm="1">
        <f t="array" ref="CT58">_xlfn.IFS(CT$3&lt;=YEAR($B$2),SUMPRODUCT(($E$4:$E$79=$E58)*($Z$2:$CG$2=CT$3)*($Z$2:$CG$2&lt;CU$3)*$Z$4:$CG$79),CT$3&lt;YEAR($X58),0,CT$3=YEAR($X58),DATEDIF($X58,DATE(CT$3,12,31),"m")*$Y58,AND(CT$3&gt;YEAR($X58),CT$3-YEAR($X58)&lt;20),$Y58*12,CT$3-YEAR($X58)=20,DATEDIF(DATE(YEAR($X58),1,1),$X58,"m")*$Y58,CT$3-YEAR($X58)&gt;20,0)</f>
        <v>21675</v>
      </c>
      <c r="CU58" s="202" cm="1">
        <f t="array" ref="CU58">_xlfn.IFS(CU$3&lt;=YEAR($B$2),SUMPRODUCT(($E$4:$E$79=$E58)*($Z$2:$CG$2=CU$3)*($Z$2:$CG$2&lt;CV$3)*$Z$4:$CG$79),CU$3&lt;YEAR($X58),0,CU$3=YEAR($X58),DATEDIF($X58,DATE(CU$3,12,31),"m")*$Y58,AND(CU$3&gt;YEAR($X58),CU$3-YEAR($X58)&lt;20),$Y58*12,CU$3-YEAR($X58)=20,DATEDIF(DATE(YEAR($X58),1,1),$X58,"m")*$Y58,CU$3-YEAR($X58)&gt;20,0)</f>
        <v>21675</v>
      </c>
      <c r="CV58" s="202" cm="1">
        <f t="array" ref="CV58">_xlfn.IFS(CV$3&lt;=YEAR($B$2),SUMPRODUCT(($E$4:$E$79=$E58)*($Z$2:$CG$2=CV$3)*($Z$2:$CG$2&lt;CW$3)*$Z$4:$CG$79),CV$3&lt;YEAR($X58),0,CV$3=YEAR($X58),DATEDIF($X58,DATE(CV$3,12,31),"m")*$Y58,AND(CV$3&gt;YEAR($X58),CV$3-YEAR($X58)&lt;20),$Y58*12,CV$3-YEAR($X58)=20,DATEDIF(DATE(YEAR($X58),1,1),$X58,"m")*$Y58,CV$3-YEAR($X58)&gt;20,0)</f>
        <v>21675</v>
      </c>
      <c r="CW58" s="202" cm="1">
        <f t="array" ref="CW58">_xlfn.IFS(CW$3&lt;=YEAR($B$2),SUMPRODUCT(($E$4:$E$79=$E58)*($Z$2:$CG$2=CW$3)*($Z$2:$CG$2&lt;CX$3)*$Z$4:$CG$79),CW$3&lt;YEAR($X58),0,CW$3=YEAR($X58),DATEDIF($X58,DATE(CW$3,12,31),"m")*$Y58,AND(CW$3&gt;YEAR($X58),CW$3-YEAR($X58)&lt;20),$Y58*12,CW$3-YEAR($X58)=20,DATEDIF(DATE(YEAR($X58),1,1),$X58,"m")*$Y58,CW$3-YEAR($X58)&gt;20,0)</f>
        <v>21675</v>
      </c>
      <c r="CX58" s="202" cm="1">
        <f t="array" ref="CX58">_xlfn.IFS(CX$3&lt;=YEAR($B$2),SUMPRODUCT(($E$4:$E$79=$E58)*($Z$2:$CG$2=CX$3)*($Z$2:$CG$2&lt;CY$3)*$Z$4:$CG$79),CX$3&lt;YEAR($X58),0,CX$3=YEAR($X58),DATEDIF($X58,DATE(CX$3,12,31),"m")*$Y58,AND(CX$3&gt;YEAR($X58),CX$3-YEAR($X58)&lt;20),$Y58*12,CX$3-YEAR($X58)=20,DATEDIF(DATE(YEAR($X58),1,1),$X58,"m")*$Y58,CX$3-YEAR($X58)&gt;20,0)</f>
        <v>21675</v>
      </c>
      <c r="CY58" s="202" cm="1">
        <f t="array" ref="CY58">_xlfn.IFS(CY$3&lt;=YEAR($B$2),SUMPRODUCT(($E$4:$E$79=$E58)*($Z$2:$CG$2=CY$3)*($Z$2:$CG$2&lt;CZ$3)*$Z$4:$CG$79),CY$3&lt;YEAR($X58),0,CY$3=YEAR($X58),DATEDIF($X58,DATE(CY$3,12,31),"m")*$Y58,AND(CY$3&gt;YEAR($X58),CY$3-YEAR($X58)&lt;20),$Y58*12,CY$3-YEAR($X58)=20,DATEDIF(DATE(YEAR($X58),1,1),$X58,"m")*$Y58,CY$3-YEAR($X58)&gt;20,0)</f>
        <v>21675</v>
      </c>
      <c r="CZ58" s="202" cm="1">
        <f t="array" ref="CZ58">_xlfn.IFS(CZ$3&lt;=YEAR($B$2),SUMPRODUCT(($E$4:$E$79=$E58)*($Z$2:$CG$2=CZ$3)*($Z$2:$CG$2&lt;DA$3)*$Z$4:$CG$79),CZ$3&lt;YEAR($X58),0,CZ$3=YEAR($X58),DATEDIF($X58,DATE(CZ$3,12,31),"m")*$Y58,AND(CZ$3&gt;YEAR($X58),CZ$3-YEAR($X58)&lt;20),$Y58*12,CZ$3-YEAR($X58)=20,DATEDIF(DATE(YEAR($X58),1,1),$X58,"m")*$Y58,CZ$3-YEAR($X58)&gt;20,0)</f>
        <v>21675</v>
      </c>
      <c r="DA58" s="202" cm="1">
        <f t="array" ref="DA58">_xlfn.IFS(DA$3&lt;=YEAR($B$2),SUMPRODUCT(($E$4:$E$79=$E58)*($Z$2:$CG$2=DA$3)*($Z$2:$CG$2&lt;DB$3)*$Z$4:$CG$79),DA$3&lt;YEAR($X58),0,DA$3=YEAR($X58),DATEDIF($X58,DATE(DA$3,12,31),"m")*$Y58,AND(DA$3&gt;YEAR($X58),DA$3-YEAR($X58)&lt;20),$Y58*12,DA$3-YEAR($X58)=20,DATEDIF(DATE(YEAR($X58),1,1),$X58,"m")*$Y58,DA$3-YEAR($X58)&gt;20,0)</f>
        <v>21675</v>
      </c>
      <c r="DB58" s="202" cm="1">
        <f t="array" ref="DB58">_xlfn.IFS(DB$3&lt;=YEAR($B$2),SUMPRODUCT(($E$4:$E$79=$E58)*($Z$2:$CG$2=DB$3)*($Z$2:$CG$2&lt;DC$3)*$Z$4:$CG$79),DB$3&lt;YEAR($X58),0,DB$3=YEAR($X58),DATEDIF($X58,DATE(DB$3,12,31),"m")*$Y58,AND(DB$3&gt;YEAR($X58),DB$3-YEAR($X58)&lt;20),$Y58*12,DB$3-YEAR($X58)=20,DATEDIF(DATE(YEAR($X58),1,1),$X58,"m")*$Y58,DB$3-YEAR($X58)&gt;20,0)</f>
        <v>21675</v>
      </c>
      <c r="DC58" s="202" cm="1">
        <f t="array" ref="DC58">_xlfn.IFS(DC$3&lt;=YEAR($B$2),SUMPRODUCT(($E$4:$E$79=$E58)*($Z$2:$CG$2=DC$3)*($Z$2:$CG$2&lt;DD$3)*$Z$4:$CG$79),DC$3&lt;YEAR($X58),0,DC$3=YEAR($X58),DATEDIF($X58,DATE(DC$3,12,31),"m")*$Y58,AND(DC$3&gt;YEAR($X58),DC$3-YEAR($X58)&lt;20),$Y58*12,DC$3-YEAR($X58)=20,DATEDIF(DATE(YEAR($X58),1,1),$X58,"m")*$Y58,DC$3-YEAR($X58)&gt;20,0)</f>
        <v>21675</v>
      </c>
      <c r="DD58" s="202" cm="1">
        <f t="array" ref="DD58">_xlfn.IFS(DD$3&lt;=YEAR($B$2),SUMPRODUCT(($E$4:$E$79=$E58)*($Z$2:$CG$2=DD$3)*($Z$2:$CG$2&lt;DE$3)*$Z$4:$CG$79),DD$3&lt;YEAR($X58),0,DD$3=YEAR($X58),DATEDIF($X58,DATE(DD$3,12,31),"m")*$Y58,AND(DD$3&gt;YEAR($X58),DD$3-YEAR($X58)&lt;20),$Y58*12,DD$3-YEAR($X58)=20,DATEDIF(DATE(YEAR($X58),1,1),$X58,"m")*$Y58,DD$3-YEAR($X58)&gt;20,0)</f>
        <v>21675</v>
      </c>
      <c r="DE58" s="202" cm="1">
        <f t="array" ref="DE58">_xlfn.IFS(DE$3&lt;=YEAR($B$2),SUMPRODUCT(($E$4:$E$79=$E58)*($Z$2:$CG$2=DE$3)*($Z$2:$CG$2&lt;DF$3)*$Z$4:$CG$79),DE$3&lt;YEAR($X58),0,DE$3=YEAR($X58),DATEDIF($X58,DATE(DE$3,12,31),"m")*$Y58,AND(DE$3&gt;YEAR($X58),DE$3-YEAR($X58)&lt;20),$Y58*12,DE$3-YEAR($X58)=20,DATEDIF(DATE(YEAR($X58),1,1),$X58,"m")*$Y58,DE$3-YEAR($X58)&gt;20,0)</f>
        <v>21675</v>
      </c>
      <c r="DF58" s="202" cm="1">
        <f t="array" ref="DF58">_xlfn.IFS(DF$3&lt;=YEAR($B$2),SUMPRODUCT(($E$4:$E$79=$E58)*($Z$2:$CG$2=DF$3)*($Z$2:$CG$2&lt;DG$3)*$Z$4:$CG$79),DF$3&lt;YEAR($X58),0,DF$3=YEAR($X58),DATEDIF($X58,DATE(DF$3,12,31),"m")*$Y58,AND(DF$3&gt;YEAR($X58),DF$3-YEAR($X58)&lt;20),$Y58*12,DF$3-YEAR($X58)=20,DATEDIF(DATE(YEAR($X58),1,1),$X58,"m")*$Y58,DF$3-YEAR($X58)&gt;20,0)</f>
        <v>21675</v>
      </c>
      <c r="DG58" s="202" cm="1">
        <f t="array" ref="DG58">_xlfn.IFS(DG$3&lt;=YEAR($B$2),SUMPRODUCT(($E$4:$E$79=$E58)*($Z$2:$CG$2=DG$3)*($Z$2:$CG$2&lt;DH$3)*$Z$4:$CG$79),DG$3&lt;YEAR($X58),0,DG$3=YEAR($X58),DATEDIF($X58,DATE(DG$3,12,31),"m")*$Y58,AND(DG$3&gt;YEAR($X58),DG$3-YEAR($X58)&lt;20),$Y58*12,DG$3-YEAR($X58)=20,DATEDIF(DATE(YEAR($X58),1,1),$X58,"m")*$Y58,DG$3-YEAR($X58)&gt;20,0)</f>
        <v>1806.25</v>
      </c>
      <c r="DH58" s="202" cm="1">
        <f t="array" ref="DH58">_xlfn.IFS(DH$3&lt;=YEAR($B$2),SUMPRODUCT(($E$4:$E$79=$E58)*($Z$2:$CG$2=DH$3)*($Z$2:$CG$2&lt;DI$3)*$Z$4:$CG$79),DH$3&lt;YEAR($X58),0,DH$3=YEAR($X58),DATEDIF($X58,DATE(DH$3,12,31),"m")*$Y58,AND(DH$3&gt;YEAR($X58),DH$3-YEAR($X58)&lt;20),$Y58*12,DH$3-YEAR($X58)=20,DATEDIF(DATE(YEAR($X58),1,1),$X58,"m")*$Y58,DH$3-YEAR($X58)&gt;20,0)</f>
        <v>0</v>
      </c>
      <c r="DI58" s="202" cm="1">
        <f t="array" ref="DI58">_xlfn.IFS(DI$3&lt;=YEAR($B$2),SUMPRODUCT(($E$4:$E$79=$E58)*($Z$2:$CG$2=DI$3)*($Z$2:$CG$2&lt;DJ$3)*$Z$4:$CG$79),DI$3&lt;YEAR($X58),0,DI$3=YEAR($X58),DATEDIF($X58,DATE(DI$3,12,31),"m")*$Y58,AND(DI$3&gt;YEAR($X58),DI$3-YEAR($X58)&lt;20),$Y58*12,DI$3-YEAR($X58)=20,DATEDIF(DATE(YEAR($X58),1,1),$X58,"m")*$Y58,DI$3-YEAR($X58)&gt;20,0)</f>
        <v>0</v>
      </c>
      <c r="DJ58" s="202" cm="1">
        <f t="array" ref="DJ58">_xlfn.IFS(DJ$3&lt;=YEAR($B$2),SUMPRODUCT(($E$4:$E$79=$E58)*($Z$2:$CG$2=DJ$3)*($Z$2:$CG$2&lt;DK$3)*$Z$4:$CG$79),DJ$3&lt;YEAR($X58),0,DJ$3=YEAR($X58),DATEDIF($X58,DATE(DJ$3,12,31),"m")*$Y58,AND(DJ$3&gt;YEAR($X58),DJ$3-YEAR($X58)&lt;20),$Y58*12,DJ$3-YEAR($X58)=20,DATEDIF(DATE(YEAR($X58),1,1),$X58,"m")*$Y58,DJ$3-YEAR($X58)&gt;20,0)</f>
        <v>0</v>
      </c>
      <c r="DK58" s="202" cm="1">
        <f t="array" ref="DK58">_xlfn.IFS(DK$3&lt;=YEAR($B$2),SUMPRODUCT(($E$4:$E$79=$E58)*($Z$2:$CG$2=DK$3)*($Z$2:$CG$2&lt;DL$3)*$Z$4:$CG$79),DK$3&lt;YEAR($X58),0,DK$3=YEAR($X58),DATEDIF($X58,DATE(DK$3,12,31),"m")*$Y58,AND(DK$3&gt;YEAR($X58),DK$3-YEAR($X58)&lt;20),$Y58*12,DK$3-YEAR($X58)=20,DATEDIF(DATE(YEAR($X58),1,1),$X58,"m")*$Y58,DK$3-YEAR($X58)&gt;20,0)</f>
        <v>0</v>
      </c>
      <c r="DL58" s="202" cm="1">
        <f t="array" ref="DL58">_xlfn.IFS(DL$3&lt;=YEAR($B$2),SUMPRODUCT(($E$4:$E$79=$E58)*($Z$2:$CG$2=DL$3)*($Z$2:$CG$2&lt;DM$3)*$Z$4:$CG$79),DL$3&lt;YEAR($X58),0,DL$3=YEAR($X58),DATEDIF($X58,DATE(DL$3,12,31),"m")*$Y58,AND(DL$3&gt;YEAR($X58),DL$3-YEAR($X58)&lt;20),$Y58*12,DL$3-YEAR($X58)=20,DATEDIF(DATE(YEAR($X58),1,1),$X58,"m")*$Y58,DL$3-YEAR($X58)&gt;20,0)</f>
        <v>0</v>
      </c>
    </row>
    <row r="59" spans="1:116">
      <c r="A59" s="155" t="str" cm="1">
        <f t="array" ref="A59">INDEX('Monthly Report July 2025'!C:C,MATCH(E59,'Monthly Report July 2025'!E:E,0),0)</f>
        <v>SPQ0180</v>
      </c>
      <c r="B59" s="155" t="str" cm="1">
        <f t="array" ref="B59">_xlfn.IFS(LEFT(E59,3)="PGE","PGE",LEFT(E59,2)="PP","PAC",TRUE,"IP")</f>
        <v>PGE</v>
      </c>
      <c r="C59" s="155" t="str">
        <f>IF(ISNA(MATCH(E59,'Monthly Report July 2025'!E:E,0)),"Missing","Present")</f>
        <v>Present</v>
      </c>
      <c r="D59" s="155" t="str">
        <f>IF(ISNA(MATCH(E59,'Project Operational Timelines'!C:C,0))=TRUE,"Missing","Present")</f>
        <v>Present</v>
      </c>
      <c r="E59" s="155" t="s">
        <v>167</v>
      </c>
      <c r="F59" s="155" t="str" cm="1">
        <f t="array" ref="F59">INDEX('Monthly Report July 2025'!F:F,MATCH(E59,'Monthly Report July 2025'!E:E,),0)</f>
        <v>Clayfield Solar LLC</v>
      </c>
      <c r="G59" s="155" t="str" cm="1">
        <f t="array" ref="G59">_xlfn.IFS(INDEX('Monthly Report July 2025'!O:O,MATCH(E59,'Monthly Report July 2025'!E:E,0),0)="Operational","Operational",INDEX('Monthly Report July 2025'!O:O,MATCH(E59,'Monthly Report July 2025'!E:E,0),0)="Certified","Certified",TRUE,"Pre-Certified")</f>
        <v>Operational</v>
      </c>
      <c r="H59" s="155" t="str" cm="1">
        <f t="array" ref="H59">INDEX('Monthly Report July 2025'!H:H,MATCH($E59,'Monthly Report July 2025'!$E:$E,0),0)</f>
        <v>Solar Town</v>
      </c>
      <c r="I59" s="155" t="str" cm="1">
        <f t="array" ref="I59">INDEX('Monthly Report July 2025'!I:I,MATCH($E59,'Monthly Report July 2025'!$E:$E,0),0)</f>
        <v>Luminace</v>
      </c>
      <c r="J59" s="174" cm="1">
        <f t="array" ref="J59">INDEX('Monthly Report July 2025'!J:J,MATCH($E59,'Monthly Report July 2025'!$E:$E,0),0)</f>
        <v>1</v>
      </c>
      <c r="K59" s="174" t="str" cm="1">
        <f t="array" ref="K59">INDEX('Monthly Report July 2025'!K:K,MATCH($E59,'Monthly Report July 2025'!$E:$E,0),0)</f>
        <v>No</v>
      </c>
      <c r="L59" s="174" t="b" cm="1">
        <f t="array" ref="L59">INDEX('Monthly Report July 2025'!L:L,MATCH(E59,'Monthly Report July 2025'!E:E,0),0)=M59</f>
        <v>1</v>
      </c>
      <c r="M59" s="273" cm="1">
        <f t="array" ref="M59">INDEX('Monthly Report July 2025'!L:L,MATCH($E59,'Monthly Report July 2025'!$E:$E,0),0)</f>
        <v>2565</v>
      </c>
      <c r="N59" s="175" cm="1">
        <f t="array" ref="N59">INDEX('Monthly Report July 2025'!M:M,MATCH($E59,'Monthly Report July 2025'!$E:$E,0),0)</f>
        <v>43948</v>
      </c>
      <c r="O59" s="175" t="str" cm="1">
        <f t="array" ref="O59">_xlfn.IFS(G59="Operational","Operational",G59="Certified","Certified",TRUE,INDEX('Monthly Report July 2025'!O:O,MATCH(E59,'Monthly Report July 2025'!E:E,0),0))</f>
        <v>Operational</v>
      </c>
      <c r="P59" s="175" t="b" cm="1">
        <f t="array" ref="P59">_xlfn.IFS(G59="Operational",O59="Operational",G59="Certified",O59="Certified",TRUE,G59="Pre-Certified")</f>
        <v>1</v>
      </c>
      <c r="Q59" s="175" cm="1">
        <f t="array" ref="Q59">IF(O59="Operational",INDEX('Monthly Report July 2025'!R:R,MATCH(E59,'Monthly Report July 2025'!E:E,0),0),"")</f>
        <v>45597</v>
      </c>
      <c r="R59" s="175" cm="1">
        <f t="array" ref="R59">INDEX('Monthly Report July 2025'!P:P,MATCH(E59,'Monthly Report July 2025'!E:E,0),0)</f>
        <v>45595</v>
      </c>
      <c r="S59" s="175" t="b">
        <f t="shared" si="28"/>
        <v>1</v>
      </c>
      <c r="T59" s="175" cm="1">
        <f t="array" ref="T59">INDEX('Monthly Report July 2025'!U:U,MATCH(E59,'Monthly Report July 2025'!E:E,0),0)</f>
        <v>45497</v>
      </c>
      <c r="U59" s="175" t="str">
        <f t="shared" si="6"/>
        <v>IGNORE</v>
      </c>
      <c r="V59" s="156">
        <f t="shared" si="29"/>
        <v>45595</v>
      </c>
      <c r="W59" s="156" cm="1">
        <f t="array" ref="W59">_xlfn.IFS(U59=TRUE,EDATE(O59,6),U59=FALSE,T59,O59="Operational",Q59,AND(O59="Certified",EDATE(R59,6)&gt;T59),EDATE(R59,6),TRUE,T59)</f>
        <v>45597</v>
      </c>
      <c r="X59" s="156">
        <f t="shared" si="30"/>
        <v>45658</v>
      </c>
      <c r="Y59" s="157">
        <f t="shared" si="31"/>
        <v>1853.2124999999999</v>
      </c>
      <c r="Z59" s="202" cm="1">
        <f t="array" ref="Z59">_xlfn.IFS(Z$3&lt;$B$2,SUMPRODUCT(('PA Fees Actual'!$B$5:$B$882=$E59)*('PA Fees Actual'!$A$5:$A$882&gt;=Z$3)*('PA Fees Actual'!$A$5:$A$882&lt;=EOMONTH(Z$3,0))*'PA Fees Actual'!$D$5:$D$882),Z$3&gt;=EOMONTH($X59,-1)+1,$Y59,TRUE,0)</f>
        <v>0</v>
      </c>
      <c r="AA59" s="202" cm="1">
        <f t="array" ref="AA59">_xlfn.IFS(AA$3&lt;$B$2,SUMPRODUCT(('PA Fees Actual'!$B$5:$B$882=$E59)*('PA Fees Actual'!$A$5:$A$882&gt;=AA$3)*('PA Fees Actual'!$A$5:$A$882&lt;=EOMONTH(AA$3,0))*'PA Fees Actual'!$D$5:$D$882),AA$3&gt;=EOMONTH($X59,-1)+1,$Y59,TRUE,0)</f>
        <v>0</v>
      </c>
      <c r="AB59" s="202" cm="1">
        <f t="array" ref="AB59">_xlfn.IFS(AB$3&lt;$B$2,SUMPRODUCT(('PA Fees Actual'!$B$5:$B$882=$E59)*('PA Fees Actual'!$A$5:$A$882&gt;=AB$3)*('PA Fees Actual'!$A$5:$A$882&lt;=EOMONTH(AB$3,0))*'PA Fees Actual'!$D$5:$D$882),AB$3&gt;=EOMONTH($X59,-1)+1,$Y59,TRUE,0)</f>
        <v>0</v>
      </c>
      <c r="AC59" s="202" cm="1">
        <f t="array" ref="AC59">_xlfn.IFS(AC$3&lt;$B$2,SUMPRODUCT(('PA Fees Actual'!$B$5:$B$882=$E59)*('PA Fees Actual'!$A$5:$A$882&gt;=AC$3)*('PA Fees Actual'!$A$5:$A$882&lt;=EOMONTH(AC$3,0))*'PA Fees Actual'!$D$5:$D$882),AC$3&gt;=EOMONTH($X59,-1)+1,$Y59,TRUE,0)</f>
        <v>0</v>
      </c>
      <c r="AD59" s="202" cm="1">
        <f t="array" ref="AD59">_xlfn.IFS(AD$3&lt;$B$2,SUMPRODUCT(('PA Fees Actual'!$B$5:$B$882=$E59)*('PA Fees Actual'!$A$5:$A$882&gt;=AD$3)*('PA Fees Actual'!$A$5:$A$882&lt;=EOMONTH(AD$3,0))*'PA Fees Actual'!$D$5:$D$882),AD$3&gt;=EOMONTH($X59,-1)+1,$Y59,TRUE,0)</f>
        <v>0</v>
      </c>
      <c r="AE59" s="202" cm="1">
        <f t="array" ref="AE59">_xlfn.IFS(AE$3&lt;$B$2,SUMPRODUCT(('PA Fees Actual'!$B$5:$B$882=$E59)*('PA Fees Actual'!$A$5:$A$882&gt;=AE$3)*('PA Fees Actual'!$A$5:$A$882&lt;=EOMONTH(AE$3,0))*'PA Fees Actual'!$D$5:$D$882),AE$3&gt;=EOMONTH($X59,-1)+1,$Y59,TRUE,0)</f>
        <v>0</v>
      </c>
      <c r="AF59" s="202" cm="1">
        <f t="array" ref="AF59">_xlfn.IFS(AF$3&lt;$B$2,SUMPRODUCT(('PA Fees Actual'!$B$5:$B$882=$E59)*('PA Fees Actual'!$A$5:$A$882&gt;=AF$3)*('PA Fees Actual'!$A$5:$A$882&lt;=EOMONTH(AF$3,0))*'PA Fees Actual'!$D$5:$D$882),AF$3&gt;=EOMONTH($X59,-1)+1,$Y59,TRUE,0)</f>
        <v>0</v>
      </c>
      <c r="AG59" s="202" cm="1">
        <f t="array" ref="AG59">_xlfn.IFS(AG$3&lt;$B$2,SUMPRODUCT(('PA Fees Actual'!$B$5:$B$882=$E59)*('PA Fees Actual'!$A$5:$A$882&gt;=AG$3)*('PA Fees Actual'!$A$5:$A$882&lt;=EOMONTH(AG$3,0))*'PA Fees Actual'!$D$5:$D$882),AG$3&gt;=EOMONTH($X59,-1)+1,$Y59,TRUE,0)</f>
        <v>0</v>
      </c>
      <c r="AH59" s="202" cm="1">
        <f t="array" ref="AH59">_xlfn.IFS(AH$3&lt;$B$2,SUMPRODUCT(('PA Fees Actual'!$B$5:$B$882=$E59)*('PA Fees Actual'!$A$5:$A$882&gt;=AH$3)*('PA Fees Actual'!$A$5:$A$882&lt;=EOMONTH(AH$3,0))*'PA Fees Actual'!$D$5:$D$882),AH$3&gt;=EOMONTH($X59,-1)+1,$Y59,TRUE,0)</f>
        <v>0</v>
      </c>
      <c r="AI59" s="202" cm="1">
        <f t="array" ref="AI59">_xlfn.IFS(AI$3&lt;$B$2,SUMPRODUCT(('PA Fees Actual'!$B$5:$B$882=$E59)*('PA Fees Actual'!$A$5:$A$882&gt;=AI$3)*('PA Fees Actual'!$A$5:$A$882&lt;=EOMONTH(AI$3,0))*'PA Fees Actual'!$D$5:$D$882),AI$3&gt;=EOMONTH($X59,-1)+1,$Y59,TRUE,0)</f>
        <v>0</v>
      </c>
      <c r="AJ59" s="202" cm="1">
        <f t="array" ref="AJ59">_xlfn.IFS(AJ$3&lt;$B$2,SUMPRODUCT(('PA Fees Actual'!$B$5:$B$882=$E59)*('PA Fees Actual'!$A$5:$A$882&gt;=AJ$3)*('PA Fees Actual'!$A$5:$A$882&lt;=EOMONTH(AJ$3,0))*'PA Fees Actual'!$D$5:$D$882),AJ$3&gt;=EOMONTH($X59,-1)+1,$Y59,TRUE,0)</f>
        <v>0</v>
      </c>
      <c r="AK59" s="202" cm="1">
        <f t="array" ref="AK59">_xlfn.IFS(AK$3&lt;$B$2,SUMPRODUCT(('PA Fees Actual'!$B$5:$B$882=$E59)*('PA Fees Actual'!$A$5:$A$882&gt;=AK$3)*('PA Fees Actual'!$A$5:$A$882&lt;=EOMONTH(AK$3,0))*'PA Fees Actual'!$D$5:$D$882),AK$3&gt;=EOMONTH($X59,-1)+1,$Y59,TRUE,0)</f>
        <v>0</v>
      </c>
      <c r="AL59" s="202" cm="1">
        <f t="array" ref="AL59">_xlfn.IFS(AL$3&lt;$B$2,SUMPRODUCT(('PA Fees Actual'!$B$5:$B$882=$E59)*('PA Fees Actual'!$A$5:$A$882&gt;=AL$3)*('PA Fees Actual'!$A$5:$A$882&lt;=EOMONTH(AL$3,0))*'PA Fees Actual'!$D$5:$D$882),AL$3&gt;=EOMONTH($X59,-1)+1,$Y59,TRUE,0)</f>
        <v>0</v>
      </c>
      <c r="AM59" s="202" cm="1">
        <f t="array" ref="AM59">_xlfn.IFS(AM$3&lt;$B$2,SUMPRODUCT(('PA Fees Actual'!$B$5:$B$882=$E59)*('PA Fees Actual'!$A$5:$A$882&gt;=AM$3)*('PA Fees Actual'!$A$5:$A$882&lt;=EOMONTH(AM$3,0))*'PA Fees Actual'!$D$5:$D$882),AM$3&gt;=EOMONTH($X59,-1)+1,$Y59,TRUE,0)</f>
        <v>0</v>
      </c>
      <c r="AN59" s="202" cm="1">
        <f t="array" ref="AN59">_xlfn.IFS(AN$3&lt;$B$2,SUMPRODUCT(('PA Fees Actual'!$B$5:$B$882=$E59)*('PA Fees Actual'!$A$5:$A$882&gt;=AN$3)*('PA Fees Actual'!$A$5:$A$882&lt;=EOMONTH(AN$3,0))*'PA Fees Actual'!$D$5:$D$882),AN$3&gt;=EOMONTH($X59,-1)+1,$Y59,TRUE,0)</f>
        <v>0</v>
      </c>
      <c r="AO59" s="202" cm="1">
        <f t="array" ref="AO59">_xlfn.IFS(AO$3&lt;$B$2,SUMPRODUCT(('PA Fees Actual'!$B$5:$B$882=$E59)*('PA Fees Actual'!$A$5:$A$882&gt;=AO$3)*('PA Fees Actual'!$A$5:$A$882&lt;=EOMONTH(AO$3,0))*'PA Fees Actual'!$D$5:$D$882),AO$3&gt;=EOMONTH($X59,-1)+1,$Y59,TRUE,0)</f>
        <v>0</v>
      </c>
      <c r="AP59" s="202" cm="1">
        <f t="array" ref="AP59">_xlfn.IFS(AP$3&lt;$B$2,SUMPRODUCT(('PA Fees Actual'!$B$5:$B$882=$E59)*('PA Fees Actual'!$A$5:$A$882&gt;=AP$3)*('PA Fees Actual'!$A$5:$A$882&lt;=EOMONTH(AP$3,0))*'PA Fees Actual'!$D$5:$D$882),AP$3&gt;=EOMONTH($X59,-1)+1,$Y59,TRUE,0)</f>
        <v>0</v>
      </c>
      <c r="AQ59" s="202" cm="1">
        <f t="array" ref="AQ59">_xlfn.IFS(AQ$3&lt;$B$2,SUMPRODUCT(('PA Fees Actual'!$B$5:$B$882=$E59)*('PA Fees Actual'!$A$5:$A$882&gt;=AQ$3)*('PA Fees Actual'!$A$5:$A$882&lt;=EOMONTH(AQ$3,0))*'PA Fees Actual'!$D$5:$D$882),AQ$3&gt;=EOMONTH($X59,-1)+1,$Y59,TRUE,0)</f>
        <v>0</v>
      </c>
      <c r="AR59" s="202" cm="1">
        <f t="array" ref="AR59">_xlfn.IFS(AR$3&lt;$B$2,SUMPRODUCT(('PA Fees Actual'!$B$5:$B$882=$E59)*('PA Fees Actual'!$A$5:$A$882&gt;=AR$3)*('PA Fees Actual'!$A$5:$A$882&lt;=EOMONTH(AR$3,0))*'PA Fees Actual'!$D$5:$D$882),AR$3&gt;=EOMONTH($X59,-1)+1,$Y59,TRUE,0)</f>
        <v>0</v>
      </c>
      <c r="AS59" s="202" cm="1">
        <f t="array" ref="AS59">_xlfn.IFS(AS$3&lt;$B$2,SUMPRODUCT(('PA Fees Actual'!$B$5:$B$882=$E59)*('PA Fees Actual'!$A$5:$A$882&gt;=AS$3)*('PA Fees Actual'!$A$5:$A$882&lt;=EOMONTH(AS$3,0))*'PA Fees Actual'!$D$5:$D$882),AS$3&gt;=EOMONTH($X59,-1)+1,$Y59,TRUE,0)</f>
        <v>0</v>
      </c>
      <c r="AT59" s="202" cm="1">
        <f t="array" ref="AT59">_xlfn.IFS(AT$3&lt;$B$2,SUMPRODUCT(('PA Fees Actual'!$B$5:$B$882=$E59)*('PA Fees Actual'!$A$5:$A$882&gt;=AT$3)*('PA Fees Actual'!$A$5:$A$882&lt;=EOMONTH(AT$3,0))*'PA Fees Actual'!$D$5:$D$882),AT$3&gt;=EOMONTH($X59,-1)+1,$Y59,TRUE,0)</f>
        <v>0</v>
      </c>
      <c r="AU59" s="202" cm="1">
        <f t="array" ref="AU59">_xlfn.IFS(AU$3&lt;$B$2,SUMPRODUCT(('PA Fees Actual'!$B$5:$B$882=$E59)*('PA Fees Actual'!$A$5:$A$882&gt;=AU$3)*('PA Fees Actual'!$A$5:$A$882&lt;=EOMONTH(AU$3,0))*'PA Fees Actual'!$D$5:$D$882),AU$3&gt;=EOMONTH($X59,-1)+1,$Y59,TRUE,0)</f>
        <v>0</v>
      </c>
      <c r="AV59" s="202" cm="1">
        <f t="array" ref="AV59">_xlfn.IFS(AV$3&lt;$B$2,SUMPRODUCT(('PA Fees Actual'!$B$5:$B$882=$E59)*('PA Fees Actual'!$A$5:$A$882&gt;=AV$3)*('PA Fees Actual'!$A$5:$A$882&lt;=EOMONTH(AV$3,0))*'PA Fees Actual'!$D$5:$D$882),AV$3&gt;=EOMONTH($X59,-1)+1,$Y59,TRUE,0)</f>
        <v>0</v>
      </c>
      <c r="AW59" s="202" cm="1">
        <f t="array" ref="AW59">_xlfn.IFS(AW$3&lt;$B$2,SUMPRODUCT(('PA Fees Actual'!$B$5:$B$882=$E59)*('PA Fees Actual'!$A$5:$A$882&gt;=AW$3)*('PA Fees Actual'!$A$5:$A$882&lt;=EOMONTH(AW$3,0))*'PA Fees Actual'!$D$5:$D$882),AW$3&gt;=EOMONTH($X59,-1)+1,$Y59,TRUE,0)</f>
        <v>0</v>
      </c>
      <c r="AX59" s="202" cm="1">
        <f t="array" ref="AX59">_xlfn.IFS(AX$3&lt;$B$2,SUMPRODUCT(('PA Fees Actual'!$B$5:$B$882=$E59)*('PA Fees Actual'!$A$5:$A$882&gt;=AX$3)*('PA Fees Actual'!$A$5:$A$882&lt;=EOMONTH(AX$3,0))*'PA Fees Actual'!$D$5:$D$882),AX$3&gt;=EOMONTH($X59,-1)+1,$Y59,TRUE,0)</f>
        <v>0</v>
      </c>
      <c r="AY59" s="202" cm="1">
        <f t="array" ref="AY59">_xlfn.IFS(AY$3&lt;$B$2,SUMPRODUCT(('PA Fees Actual'!$B$5:$B$882=$E59)*('PA Fees Actual'!$A$5:$A$882&gt;=AY$3)*('PA Fees Actual'!$A$5:$A$882&lt;=EOMONTH(AY$3,0))*'PA Fees Actual'!$D$5:$D$882),AY$3&gt;=EOMONTH($X59,-1)+1,$Y59,TRUE,0)</f>
        <v>0</v>
      </c>
      <c r="AZ59" s="202" cm="1">
        <f t="array" ref="AZ59">_xlfn.IFS(AZ$3&lt;$B$2,SUMPRODUCT(('PA Fees Actual'!$B$5:$B$882=$E59)*('PA Fees Actual'!$A$5:$A$882&gt;=AZ$3)*('PA Fees Actual'!$A$5:$A$882&lt;=EOMONTH(AZ$3,0))*'PA Fees Actual'!$D$5:$D$882),AZ$3&gt;=EOMONTH($X59,-1)+1,$Y59,TRUE,0)</f>
        <v>0</v>
      </c>
      <c r="BA59" s="202" cm="1">
        <f t="array" ref="BA59">_xlfn.IFS(BA$3&lt;$B$2,SUMPRODUCT(('PA Fees Actual'!$B$5:$B$882=$E59)*('PA Fees Actual'!$A$5:$A$882&gt;=BA$3)*('PA Fees Actual'!$A$5:$A$882&lt;=EOMONTH(BA$3,0))*'PA Fees Actual'!$D$5:$D$882),BA$3&gt;=EOMONTH($X59,-1)+1,$Y59,TRUE,0)</f>
        <v>0</v>
      </c>
      <c r="BB59" s="202" cm="1">
        <f t="array" ref="BB59">_xlfn.IFS(BB$3&lt;$B$2,SUMPRODUCT(('PA Fees Actual'!$B$5:$B$882=$E59)*('PA Fees Actual'!$A$5:$A$882&gt;=BB$3)*('PA Fees Actual'!$A$5:$A$882&lt;=EOMONTH(BB$3,0))*'PA Fees Actual'!$D$5:$D$882),BB$3&gt;=EOMONTH($X59,-1)+1,$Y59,TRUE,0)</f>
        <v>0</v>
      </c>
      <c r="BC59" s="202" cm="1">
        <f t="array" ref="BC59">_xlfn.IFS(BC$3&lt;$B$2,SUMPRODUCT(('PA Fees Actual'!$B$5:$B$882=$E59)*('PA Fees Actual'!$A$5:$A$882&gt;=BC$3)*('PA Fees Actual'!$A$5:$A$882&lt;=EOMONTH(BC$3,0))*'PA Fees Actual'!$D$5:$D$882),BC$3&gt;=EOMONTH($X59,-1)+1,$Y59,TRUE,0)</f>
        <v>0</v>
      </c>
      <c r="BD59" s="202" cm="1">
        <f t="array" ref="BD59">_xlfn.IFS(BD$3&lt;$B$2,SUMPRODUCT(('PA Fees Actual'!$B$5:$B$882=$E59)*('PA Fees Actual'!$A$5:$A$882&gt;=BD$3)*('PA Fees Actual'!$A$5:$A$882&lt;=EOMONTH(BD$3,0))*'PA Fees Actual'!$D$5:$D$882),BD$3&gt;=EOMONTH($X59,-1)+1,$Y59,TRUE,0)</f>
        <v>0</v>
      </c>
      <c r="BE59" s="202" cm="1">
        <f t="array" ref="BE59">_xlfn.IFS(BE$3&lt;$B$2,SUMPRODUCT(('PA Fees Actual'!$B$5:$B$882=$E59)*('PA Fees Actual'!$A$5:$A$882&gt;=BE$3)*('PA Fees Actual'!$A$5:$A$882&lt;=EOMONTH(BE$3,0))*'PA Fees Actual'!$D$5:$D$882),BE$3&gt;=EOMONTH($X59,-1)+1,$Y59,TRUE,0)</f>
        <v>0</v>
      </c>
      <c r="BF59" s="202" cm="1">
        <f t="array" ref="BF59">_xlfn.IFS(BF$3&lt;$B$2,SUMPRODUCT(('PA Fees Actual'!$B$5:$B$882=$E59)*('PA Fees Actual'!$A$5:$A$882&gt;=BF$3)*('PA Fees Actual'!$A$5:$A$882&lt;=EOMONTH(BF$3,0))*'PA Fees Actual'!$D$5:$D$882),BF$3&gt;=EOMONTH($X59,-1)+1,$Y59,TRUE,0)</f>
        <v>0</v>
      </c>
      <c r="BG59" s="202" cm="1">
        <f t="array" ref="BG59">_xlfn.IFS(BG$3&lt;$B$2,SUMPRODUCT(('PA Fees Actual'!$B$5:$B$882=$E59)*('PA Fees Actual'!$A$5:$A$882&gt;=BG$3)*('PA Fees Actual'!$A$5:$A$882&lt;=EOMONTH(BG$3,0))*'PA Fees Actual'!$D$5:$D$882),BG$3&gt;=EOMONTH($X59,-1)+1,$Y59,TRUE,0)</f>
        <v>0</v>
      </c>
      <c r="BH59" s="202" cm="1">
        <f t="array" ref="BH59">_xlfn.IFS(BH$3&lt;$B$2,SUMPRODUCT(('PA Fees Actual'!$B$5:$B$882=$E59)*('PA Fees Actual'!$A$5:$A$882&gt;=BH$3)*('PA Fees Actual'!$A$5:$A$882&lt;=EOMONTH(BH$3,0))*'PA Fees Actual'!$D$5:$D$882),BH$3&gt;=EOMONTH($X59,-1)+1,$Y59,TRUE,0)</f>
        <v>0</v>
      </c>
      <c r="BI59" s="202" cm="1">
        <f t="array" ref="BI59">_xlfn.IFS(BI$3&lt;$B$2,SUMPRODUCT(('PA Fees Actual'!$B$5:$B$882=$E59)*('PA Fees Actual'!$A$5:$A$882&gt;=BI$3)*('PA Fees Actual'!$A$5:$A$882&lt;=EOMONTH(BI$3,0))*'PA Fees Actual'!$D$5:$D$882),BI$3&gt;=EOMONTH($X59,-1)+1,$Y59,TRUE,0)</f>
        <v>0</v>
      </c>
      <c r="BJ59" s="202" cm="1">
        <f t="array" ref="BJ59">_xlfn.IFS(BJ$3&lt;$B$2,SUMPRODUCT(('PA Fees Actual'!$B$5:$B$882=$E59)*('PA Fees Actual'!$A$5:$A$882&gt;=BJ$3)*('PA Fees Actual'!$A$5:$A$882&lt;=EOMONTH(BJ$3,0))*'PA Fees Actual'!$D$5:$D$882),BJ$3&gt;=EOMONTH($X59,-1)+1,$Y59,TRUE,0)</f>
        <v>0</v>
      </c>
      <c r="BK59" s="202" cm="1">
        <f t="array" ref="BK59">_xlfn.IFS(BK$3&lt;$B$2,SUMPRODUCT(('PA Fees Actual'!$B$5:$B$882=$E59)*('PA Fees Actual'!$A$5:$A$882&gt;=BK$3)*('PA Fees Actual'!$A$5:$A$882&lt;=EOMONTH(BK$3,0))*'PA Fees Actual'!$D$5:$D$882),BK$3&gt;=EOMONTH($X59,-1)+1,$Y59,TRUE,0)</f>
        <v>0</v>
      </c>
      <c r="BL59" s="202" cm="1">
        <f t="array" ref="BL59">_xlfn.IFS(BL$3&lt;$B$2,SUMPRODUCT(('PA Fees Actual'!$B$5:$B$882=$E59)*('PA Fees Actual'!$A$5:$A$882&gt;=BL$3)*('PA Fees Actual'!$A$5:$A$882&lt;=EOMONTH(BL$3,0))*'PA Fees Actual'!$D$5:$D$882),BL$3&gt;=EOMONTH($X59,-1)+1,$Y59,TRUE,0)</f>
        <v>0</v>
      </c>
      <c r="BM59" s="202" cm="1">
        <f t="array" ref="BM59">_xlfn.IFS(BM$3&lt;$B$2,SUMPRODUCT(('PA Fees Actual'!$B$5:$B$882=$E59)*('PA Fees Actual'!$A$5:$A$882&gt;=BM$3)*('PA Fees Actual'!$A$5:$A$882&lt;=EOMONTH(BM$3,0))*'PA Fees Actual'!$D$5:$D$882),BM$3&gt;=EOMONTH($X59,-1)+1,$Y59,TRUE,0)</f>
        <v>0</v>
      </c>
      <c r="BN59" s="202" cm="1">
        <f t="array" ref="BN59">_xlfn.IFS(BN$3&lt;$B$2,SUMPRODUCT(('PA Fees Actual'!$B$5:$B$882=$E59)*('PA Fees Actual'!$A$5:$A$882&gt;=BN$3)*('PA Fees Actual'!$A$5:$A$882&lt;=EOMONTH(BN$3,0))*'PA Fees Actual'!$D$5:$D$882),BN$3&gt;=EOMONTH($X59,-1)+1,$Y59,TRUE,0)</f>
        <v>0</v>
      </c>
      <c r="BO59" s="202" cm="1">
        <f t="array" ref="BO59">_xlfn.IFS(BO$3&lt;$B$2,SUMPRODUCT(('PA Fees Actual'!$B$5:$B$882=$E59)*('PA Fees Actual'!$A$5:$A$882&gt;=BO$3)*('PA Fees Actual'!$A$5:$A$882&lt;=EOMONTH(BO$3,0))*'PA Fees Actual'!$D$5:$D$882),BO$3&gt;=EOMONTH($X59,-1)+1,$Y59,TRUE,0)</f>
        <v>0</v>
      </c>
      <c r="BP59" s="202" cm="1">
        <f t="array" ref="BP59">_xlfn.IFS(BP$3&lt;$B$2,SUMPRODUCT(('PA Fees Actual'!$B$5:$B$882=$E59)*('PA Fees Actual'!$A$5:$A$882&gt;=BP$3)*('PA Fees Actual'!$A$5:$A$882&lt;=EOMONTH(BP$3,0))*'PA Fees Actual'!$D$5:$D$882),BP$3&gt;=EOMONTH($X59,-1)+1,$Y59,TRUE,0)</f>
        <v>0</v>
      </c>
      <c r="BQ59" s="202" cm="1">
        <f t="array" ref="BQ59">_xlfn.IFS(BQ$3&lt;$B$2,SUMPRODUCT(('PA Fees Actual'!$B$5:$B$882=$E59)*('PA Fees Actual'!$A$5:$A$882&gt;=BQ$3)*('PA Fees Actual'!$A$5:$A$882&lt;=EOMONTH(BQ$3,0))*'PA Fees Actual'!$D$5:$D$882),BQ$3&gt;=EOMONTH($X59,-1)+1,$Y59,TRUE,0)</f>
        <v>0</v>
      </c>
      <c r="BR59" s="202" cm="1">
        <f t="array" ref="BR59">_xlfn.IFS(BR$3&lt;$B$2,SUMPRODUCT(('PA Fees Actual'!$B$5:$B$882=$E59)*('PA Fees Actual'!$A$5:$A$882&gt;=BR$3)*('PA Fees Actual'!$A$5:$A$882&lt;=EOMONTH(BR$3,0))*'PA Fees Actual'!$D$5:$D$882),BR$3&gt;=EOMONTH($X59,-1)+1,$Y59,TRUE,0)</f>
        <v>0</v>
      </c>
      <c r="BS59" s="202" cm="1">
        <f t="array" ref="BS59">_xlfn.IFS(BS$3&lt;$B$2,SUMPRODUCT(('PA Fees Actual'!$B$5:$B$882=$E59)*('PA Fees Actual'!$A$5:$A$882&gt;=BS$3)*('PA Fees Actual'!$A$5:$A$882&lt;=EOMONTH(BS$3,0))*'PA Fees Actual'!$D$5:$D$882),BS$3&gt;=EOMONTH($X59,-1)+1,$Y59,TRUE,0)</f>
        <v>0</v>
      </c>
      <c r="BT59" s="202" cm="1">
        <f t="array" ref="BT59">_xlfn.IFS(BT$3&lt;$B$2,SUMPRODUCT(('PA Fees Actual'!$B$5:$B$882=$E59)*('PA Fees Actual'!$A$5:$A$882&gt;=BT$3)*('PA Fees Actual'!$A$5:$A$882&lt;=EOMONTH(BT$3,0))*'PA Fees Actual'!$D$5:$D$882),BT$3&gt;=EOMONTH($X59,-1)+1,$Y59,TRUE,0)</f>
        <v>0</v>
      </c>
      <c r="BU59" s="202" cm="1">
        <f t="array" ref="BU59">_xlfn.IFS(BU$3&lt;$B$2,SUMPRODUCT(('PA Fees Actual'!$B$5:$B$882=$E59)*('PA Fees Actual'!$A$5:$A$882&gt;=BU$3)*('PA Fees Actual'!$A$5:$A$882&lt;=EOMONTH(BU$3,0))*'PA Fees Actual'!$D$5:$D$882),BU$3&gt;=EOMONTH($X59,-1)+1,$Y59,TRUE,0)</f>
        <v>0</v>
      </c>
      <c r="BV59" s="202" cm="1">
        <f t="array" ref="BV59">_xlfn.IFS(BV$3&lt;$B$2,SUMPRODUCT(('PA Fees Actual'!$B$5:$B$882=$E59)*('PA Fees Actual'!$A$5:$A$882&gt;=BV$3)*('PA Fees Actual'!$A$5:$A$882&lt;=EOMONTH(BV$3,0))*'PA Fees Actual'!$D$5:$D$882),BV$3&gt;=EOMONTH($X59,-1)+1,$Y59,TRUE,0)</f>
        <v>462.94</v>
      </c>
      <c r="BW59" s="202" cm="1">
        <f t="array" ref="BW59">_xlfn.IFS(BW$3&lt;$B$2,SUMPRODUCT(('PA Fees Actual'!$B$5:$B$882=$E59)*('PA Fees Actual'!$A$5:$A$882&gt;=BW$3)*('PA Fees Actual'!$A$5:$A$882&lt;=EOMONTH(BW$3,0))*'PA Fees Actual'!$D$5:$D$882),BW$3&gt;=EOMONTH($X59,-1)+1,$Y59,TRUE,0)</f>
        <v>1719.47</v>
      </c>
      <c r="BX59" s="202" cm="1">
        <f t="array" ref="BX59">_xlfn.IFS(BX$3&lt;$B$2,SUMPRODUCT(('PA Fees Actual'!$B$5:$B$882=$E59)*('PA Fees Actual'!$A$5:$A$882&gt;=BX$3)*('PA Fees Actual'!$A$5:$A$882&lt;=EOMONTH(BX$3,0))*'PA Fees Actual'!$D$5:$D$882),BX$3&gt;=EOMONTH($X59,-1)+1,$Y59,TRUE,0)</f>
        <v>1375.8200000000002</v>
      </c>
      <c r="BY59" s="202" cm="1">
        <f t="array" ref="BY59">_xlfn.IFS(BY$3&lt;$B$2,SUMPRODUCT(('PA Fees Actual'!$B$5:$B$882=$E59)*('PA Fees Actual'!$A$5:$A$882&gt;=BY$3)*('PA Fees Actual'!$A$5:$A$882&lt;=EOMONTH(BY$3,0))*'PA Fees Actual'!$D$5:$D$882),BY$3&gt;=EOMONTH($X59,-1)+1,$Y59,TRUE,0)</f>
        <v>169.3</v>
      </c>
      <c r="BZ59" s="202" cm="1">
        <f t="array" ref="BZ59">_xlfn.IFS(BZ$3&lt;$B$2,SUMPRODUCT(('PA Fees Actual'!$B$5:$B$882=$E59)*('PA Fees Actual'!$A$5:$A$882&gt;=BZ$3)*('PA Fees Actual'!$A$5:$A$882&lt;=EOMONTH(BZ$3,0))*'PA Fees Actual'!$D$5:$D$882),BZ$3&gt;=EOMONTH($X59,-1)+1,$Y59,TRUE,0)</f>
        <v>5895.09</v>
      </c>
      <c r="CA59" s="202" cm="1">
        <f t="array" ref="CA59">_xlfn.IFS(CA$3&lt;$B$2,SUMPRODUCT(('PA Fees Actual'!$B$5:$B$882=$E59)*('PA Fees Actual'!$A$5:$A$882&gt;=CA$3)*('PA Fees Actual'!$A$5:$A$882&lt;=EOMONTH(CA$3,0))*'PA Fees Actual'!$D$5:$D$882),CA$3&gt;=EOMONTH($X59,-1)+1,$Y59,TRUE,0)</f>
        <v>13.05</v>
      </c>
      <c r="CB59" s="202" cm="1">
        <f t="array" ref="CB59">_xlfn.IFS(CB$3&lt;$B$2,SUMPRODUCT(('PA Fees Actual'!$B$5:$B$882=$E59)*('PA Fees Actual'!$A$5:$A$882&gt;=CB$3)*('PA Fees Actual'!$A$5:$A$882&lt;=EOMONTH(CB$3,0))*'PA Fees Actual'!$D$5:$D$882),CB$3&gt;=EOMONTH($X59,-1)+1,$Y59,TRUE,0)</f>
        <v>1853.2124999999999</v>
      </c>
      <c r="CC59" s="202" cm="1">
        <f t="array" ref="CC59">_xlfn.IFS(CC$3&lt;$B$2,SUMPRODUCT(('PA Fees Actual'!$B$5:$B$882=$E59)*('PA Fees Actual'!$A$5:$A$882&gt;=CC$3)*('PA Fees Actual'!$A$5:$A$882&lt;=EOMONTH(CC$3,0))*'PA Fees Actual'!$D$5:$D$882),CC$3&gt;=EOMONTH($X59,-1)+1,$Y59,TRUE,0)</f>
        <v>1853.2124999999999</v>
      </c>
      <c r="CD59" s="202" cm="1">
        <f t="array" ref="CD59">_xlfn.IFS(CD$3&lt;$B$2,SUMPRODUCT(('PA Fees Actual'!$B$5:$B$882=$E59)*('PA Fees Actual'!$A$5:$A$882&gt;=CD$3)*('PA Fees Actual'!$A$5:$A$882&lt;=EOMONTH(CD$3,0))*'PA Fees Actual'!$D$5:$D$882),CD$3&gt;=EOMONTH($X59,-1)+1,$Y59,TRUE,0)</f>
        <v>1853.2124999999999</v>
      </c>
      <c r="CE59" s="202" cm="1">
        <f t="array" ref="CE59">_xlfn.IFS(CE$3&lt;$B$2,SUMPRODUCT(('PA Fees Actual'!$B$5:$B$882=$E59)*('PA Fees Actual'!$A$5:$A$882&gt;=CE$3)*('PA Fees Actual'!$A$5:$A$882&lt;=EOMONTH(CE$3,0))*'PA Fees Actual'!$D$5:$D$882),CE$3&gt;=EOMONTH($X59,-1)+1,$Y59,TRUE,0)</f>
        <v>1853.2124999999999</v>
      </c>
      <c r="CF59" s="202" cm="1">
        <f t="array" ref="CF59">_xlfn.IFS(CF$3&lt;$B$2,SUMPRODUCT(('PA Fees Actual'!$B$5:$B$882=$E59)*('PA Fees Actual'!$A$5:$A$882&gt;=CF$3)*('PA Fees Actual'!$A$5:$A$882&lt;=EOMONTH(CF$3,0))*'PA Fees Actual'!$D$5:$D$882),CF$3&gt;=EOMONTH($X59,-1)+1,$Y59,TRUE,0)</f>
        <v>1853.2124999999999</v>
      </c>
      <c r="CG59" s="202" cm="1">
        <f t="array" ref="CG59">_xlfn.IFS(CG$3&lt;$B$2,SUMPRODUCT(('PA Fees Actual'!$B$5:$B$882=$E59)*('PA Fees Actual'!$A$5:$A$882&gt;=CG$3)*('PA Fees Actual'!$A$5:$A$882&lt;=EOMONTH(CG$3,0))*'PA Fees Actual'!$D$5:$D$882),CG$3&gt;=EOMONTH($X59,-1)+1,$Y59,TRUE,0)</f>
        <v>1853.2124999999999</v>
      </c>
      <c r="CI59" s="202" cm="1">
        <f t="array" ref="CI59">_xlfn.IFS(CI$3&lt;=YEAR($B$2),SUMPRODUCT(($E$4:$E$79=$E59)*($Z$2:$CG$2=CI$3)*($Z$2:$CG$2&lt;CJ$3)*$Z$4:$CG$79),CI$3&lt;YEAR($X59),0,CI$3=YEAR($X59),DATEDIF($X59,DATE(CI$3,12,31),"m")*$Y59,AND(CI$3&gt;YEAR($X59),CI$3-YEAR($X59)&lt;20),$Y59*12,CI$3-YEAR($X59)=20,DATEDIF(DATE(YEAR($X59),1,1),$X59,"m")*$Y59,CI$3-YEAR($X59)&gt;20,0)</f>
        <v>0</v>
      </c>
      <c r="CJ59" s="202" cm="1">
        <f t="array" ref="CJ59">_xlfn.IFS(CJ$3&lt;=YEAR($B$2),SUMPRODUCT(($E$4:$E$79=$E59)*($Z$2:$CG$2=CJ$3)*($Z$2:$CG$2&lt;CK$3)*$Z$4:$CG$79),CJ$3&lt;YEAR($X59),0,CJ$3=YEAR($X59),DATEDIF($X59,DATE(CJ$3,12,31),"m")*$Y59,AND(CJ$3&gt;YEAR($X59),CJ$3-YEAR($X59)&lt;20),$Y59*12,CJ$3-YEAR($X59)=20,DATEDIF(DATE(YEAR($X59),1,1),$X59,"m")*$Y59,CJ$3-YEAR($X59)&gt;20,0)</f>
        <v>0</v>
      </c>
      <c r="CK59" s="202" cm="1">
        <f t="array" ref="CK59">_xlfn.IFS(CK$3&lt;=YEAR($B$2),SUMPRODUCT(($E$4:$E$79=$E59)*($Z$2:$CG$2=CK$3)*($Z$2:$CG$2&lt;CL$3)*$Z$4:$CG$79),CK$3&lt;YEAR($X59),0,CK$3=YEAR($X59),DATEDIF($X59,DATE(CK$3,12,31),"m")*$Y59,AND(CK$3&gt;YEAR($X59),CK$3-YEAR($X59)&lt;20),$Y59*12,CK$3-YEAR($X59)=20,DATEDIF(DATE(YEAR($X59),1,1),$X59,"m")*$Y59,CK$3-YEAR($X59)&gt;20,0)</f>
        <v>0</v>
      </c>
      <c r="CL59" s="202" cm="1">
        <f t="array" ref="CL59">_xlfn.IFS(CL$3&lt;=YEAR($B$2),SUMPRODUCT(($E$4:$E$79=$E59)*($Z$2:$CG$2=CL$3)*($Z$2:$CG$2&lt;CM$3)*$Z$4:$CG$79),CL$3&lt;YEAR($X59),0,CL$3=YEAR($X59),DATEDIF($X59,DATE(CL$3,12,31),"m")*$Y59,AND(CL$3&gt;YEAR($X59),CL$3-YEAR($X59)&lt;20),$Y59*12,CL$3-YEAR($X59)=20,DATEDIF(DATE(YEAR($X59),1,1),$X59,"m")*$Y59,CL$3-YEAR($X59)&gt;20,0)</f>
        <v>0</v>
      </c>
      <c r="CM59" s="202" cm="1">
        <f t="array" ref="CM59">_xlfn.IFS(CM$3&lt;=YEAR($B$2),SUMPRODUCT(($E$4:$E$79=$E59)*($Z$2:$CG$2=CM$3)*($Z$2:$CG$2&lt;CN$3)*$Z$4:$CG$79),CM$3&lt;YEAR($X59),0,CM$3=YEAR($X59),DATEDIF($X59,DATE(CM$3,12,31),"m")*$Y59,AND(CM$3&gt;YEAR($X59),CM$3-YEAR($X59)&lt;20),$Y59*12,CM$3-YEAR($X59)=20,DATEDIF(DATE(YEAR($X59),1,1),$X59,"m")*$Y59,CM$3-YEAR($X59)&gt;20,0)</f>
        <v>20754.945000000003</v>
      </c>
      <c r="CN59" s="202" cm="1">
        <f t="array" ref="CN59">_xlfn.IFS(CN$3&lt;=YEAR($B$2),SUMPRODUCT(($E$4:$E$79=$E59)*($Z$2:$CG$2=CN$3)*($Z$2:$CG$2&lt;CO$3)*$Z$4:$CG$79),CN$3&lt;YEAR($X59),0,CN$3=YEAR($X59),DATEDIF($X59,DATE(CN$3,12,31),"m")*$Y59,AND(CN$3&gt;YEAR($X59),CN$3-YEAR($X59)&lt;20),$Y59*12,CN$3-YEAR($X59)=20,DATEDIF(DATE(YEAR($X59),1,1),$X59,"m")*$Y59,CN$3-YEAR($X59)&gt;20,0)</f>
        <v>22238.55</v>
      </c>
      <c r="CO59" s="202" cm="1">
        <f t="array" ref="CO59">_xlfn.IFS(CO$3&lt;=YEAR($B$2),SUMPRODUCT(($E$4:$E$79=$E59)*($Z$2:$CG$2=CO$3)*($Z$2:$CG$2&lt;CP$3)*$Z$4:$CG$79),CO$3&lt;YEAR($X59),0,CO$3=YEAR($X59),DATEDIF($X59,DATE(CO$3,12,31),"m")*$Y59,AND(CO$3&gt;YEAR($X59),CO$3-YEAR($X59)&lt;20),$Y59*12,CO$3-YEAR($X59)=20,DATEDIF(DATE(YEAR($X59),1,1),$X59,"m")*$Y59,CO$3-YEAR($X59)&gt;20,0)</f>
        <v>22238.55</v>
      </c>
      <c r="CP59" s="202" cm="1">
        <f t="array" ref="CP59">_xlfn.IFS(CP$3&lt;=YEAR($B$2),SUMPRODUCT(($E$4:$E$79=$E59)*($Z$2:$CG$2=CP$3)*($Z$2:$CG$2&lt;CQ$3)*$Z$4:$CG$79),CP$3&lt;YEAR($X59),0,CP$3=YEAR($X59),DATEDIF($X59,DATE(CP$3,12,31),"m")*$Y59,AND(CP$3&gt;YEAR($X59),CP$3-YEAR($X59)&lt;20),$Y59*12,CP$3-YEAR($X59)=20,DATEDIF(DATE(YEAR($X59),1,1),$X59,"m")*$Y59,CP$3-YEAR($X59)&gt;20,0)</f>
        <v>22238.55</v>
      </c>
      <c r="CQ59" s="202" cm="1">
        <f t="array" ref="CQ59">_xlfn.IFS(CQ$3&lt;=YEAR($B$2),SUMPRODUCT(($E$4:$E$79=$E59)*($Z$2:$CG$2=CQ$3)*($Z$2:$CG$2&lt;CR$3)*$Z$4:$CG$79),CQ$3&lt;YEAR($X59),0,CQ$3=YEAR($X59),DATEDIF($X59,DATE(CQ$3,12,31),"m")*$Y59,AND(CQ$3&gt;YEAR($X59),CQ$3-YEAR($X59)&lt;20),$Y59*12,CQ$3-YEAR($X59)=20,DATEDIF(DATE(YEAR($X59),1,1),$X59,"m")*$Y59,CQ$3-YEAR($X59)&gt;20,0)</f>
        <v>22238.55</v>
      </c>
      <c r="CR59" s="202" cm="1">
        <f t="array" ref="CR59">_xlfn.IFS(CR$3&lt;=YEAR($B$2),SUMPRODUCT(($E$4:$E$79=$E59)*($Z$2:$CG$2=CR$3)*($Z$2:$CG$2&lt;CS$3)*$Z$4:$CG$79),CR$3&lt;YEAR($X59),0,CR$3=YEAR($X59),DATEDIF($X59,DATE(CR$3,12,31),"m")*$Y59,AND(CR$3&gt;YEAR($X59),CR$3-YEAR($X59)&lt;20),$Y59*12,CR$3-YEAR($X59)=20,DATEDIF(DATE(YEAR($X59),1,1),$X59,"m")*$Y59,CR$3-YEAR($X59)&gt;20,0)</f>
        <v>22238.55</v>
      </c>
      <c r="CS59" s="202" cm="1">
        <f t="array" ref="CS59">_xlfn.IFS(CS$3&lt;=YEAR($B$2),SUMPRODUCT(($E$4:$E$79=$E59)*($Z$2:$CG$2=CS$3)*($Z$2:$CG$2&lt;CT$3)*$Z$4:$CG$79),CS$3&lt;YEAR($X59),0,CS$3=YEAR($X59),DATEDIF($X59,DATE(CS$3,12,31),"m")*$Y59,AND(CS$3&gt;YEAR($X59),CS$3-YEAR($X59)&lt;20),$Y59*12,CS$3-YEAR($X59)=20,DATEDIF(DATE(YEAR($X59),1,1),$X59,"m")*$Y59,CS$3-YEAR($X59)&gt;20,0)</f>
        <v>22238.55</v>
      </c>
      <c r="CT59" s="202" cm="1">
        <f t="array" ref="CT59">_xlfn.IFS(CT$3&lt;=YEAR($B$2),SUMPRODUCT(($E$4:$E$79=$E59)*($Z$2:$CG$2=CT$3)*($Z$2:$CG$2&lt;CU$3)*$Z$4:$CG$79),CT$3&lt;YEAR($X59),0,CT$3=YEAR($X59),DATEDIF($X59,DATE(CT$3,12,31),"m")*$Y59,AND(CT$3&gt;YEAR($X59),CT$3-YEAR($X59)&lt;20),$Y59*12,CT$3-YEAR($X59)=20,DATEDIF(DATE(YEAR($X59),1,1),$X59,"m")*$Y59,CT$3-YEAR($X59)&gt;20,0)</f>
        <v>22238.55</v>
      </c>
      <c r="CU59" s="202" cm="1">
        <f t="array" ref="CU59">_xlfn.IFS(CU$3&lt;=YEAR($B$2),SUMPRODUCT(($E$4:$E$79=$E59)*($Z$2:$CG$2=CU$3)*($Z$2:$CG$2&lt;CV$3)*$Z$4:$CG$79),CU$3&lt;YEAR($X59),0,CU$3=YEAR($X59),DATEDIF($X59,DATE(CU$3,12,31),"m")*$Y59,AND(CU$3&gt;YEAR($X59),CU$3-YEAR($X59)&lt;20),$Y59*12,CU$3-YEAR($X59)=20,DATEDIF(DATE(YEAR($X59),1,1),$X59,"m")*$Y59,CU$3-YEAR($X59)&gt;20,0)</f>
        <v>22238.55</v>
      </c>
      <c r="CV59" s="202" cm="1">
        <f t="array" ref="CV59">_xlfn.IFS(CV$3&lt;=YEAR($B$2),SUMPRODUCT(($E$4:$E$79=$E59)*($Z$2:$CG$2=CV$3)*($Z$2:$CG$2&lt;CW$3)*$Z$4:$CG$79),CV$3&lt;YEAR($X59),0,CV$3=YEAR($X59),DATEDIF($X59,DATE(CV$3,12,31),"m")*$Y59,AND(CV$3&gt;YEAR($X59),CV$3-YEAR($X59)&lt;20),$Y59*12,CV$3-YEAR($X59)=20,DATEDIF(DATE(YEAR($X59),1,1),$X59,"m")*$Y59,CV$3-YEAR($X59)&gt;20,0)</f>
        <v>22238.55</v>
      </c>
      <c r="CW59" s="202" cm="1">
        <f t="array" ref="CW59">_xlfn.IFS(CW$3&lt;=YEAR($B$2),SUMPRODUCT(($E$4:$E$79=$E59)*($Z$2:$CG$2=CW$3)*($Z$2:$CG$2&lt;CX$3)*$Z$4:$CG$79),CW$3&lt;YEAR($X59),0,CW$3=YEAR($X59),DATEDIF($X59,DATE(CW$3,12,31),"m")*$Y59,AND(CW$3&gt;YEAR($X59),CW$3-YEAR($X59)&lt;20),$Y59*12,CW$3-YEAR($X59)=20,DATEDIF(DATE(YEAR($X59),1,1),$X59,"m")*$Y59,CW$3-YEAR($X59)&gt;20,0)</f>
        <v>22238.55</v>
      </c>
      <c r="CX59" s="202" cm="1">
        <f t="array" ref="CX59">_xlfn.IFS(CX$3&lt;=YEAR($B$2),SUMPRODUCT(($E$4:$E$79=$E59)*($Z$2:$CG$2=CX$3)*($Z$2:$CG$2&lt;CY$3)*$Z$4:$CG$79),CX$3&lt;YEAR($X59),0,CX$3=YEAR($X59),DATEDIF($X59,DATE(CX$3,12,31),"m")*$Y59,AND(CX$3&gt;YEAR($X59),CX$3-YEAR($X59)&lt;20),$Y59*12,CX$3-YEAR($X59)=20,DATEDIF(DATE(YEAR($X59),1,1),$X59,"m")*$Y59,CX$3-YEAR($X59)&gt;20,0)</f>
        <v>22238.55</v>
      </c>
      <c r="CY59" s="202" cm="1">
        <f t="array" ref="CY59">_xlfn.IFS(CY$3&lt;=YEAR($B$2),SUMPRODUCT(($E$4:$E$79=$E59)*($Z$2:$CG$2=CY$3)*($Z$2:$CG$2&lt;CZ$3)*$Z$4:$CG$79),CY$3&lt;YEAR($X59),0,CY$3=YEAR($X59),DATEDIF($X59,DATE(CY$3,12,31),"m")*$Y59,AND(CY$3&gt;YEAR($X59),CY$3-YEAR($X59)&lt;20),$Y59*12,CY$3-YEAR($X59)=20,DATEDIF(DATE(YEAR($X59),1,1),$X59,"m")*$Y59,CY$3-YEAR($X59)&gt;20,0)</f>
        <v>22238.55</v>
      </c>
      <c r="CZ59" s="202" cm="1">
        <f t="array" ref="CZ59">_xlfn.IFS(CZ$3&lt;=YEAR($B$2),SUMPRODUCT(($E$4:$E$79=$E59)*($Z$2:$CG$2=CZ$3)*($Z$2:$CG$2&lt;DA$3)*$Z$4:$CG$79),CZ$3&lt;YEAR($X59),0,CZ$3=YEAR($X59),DATEDIF($X59,DATE(CZ$3,12,31),"m")*$Y59,AND(CZ$3&gt;YEAR($X59),CZ$3-YEAR($X59)&lt;20),$Y59*12,CZ$3-YEAR($X59)=20,DATEDIF(DATE(YEAR($X59),1,1),$X59,"m")*$Y59,CZ$3-YEAR($X59)&gt;20,0)</f>
        <v>22238.55</v>
      </c>
      <c r="DA59" s="202" cm="1">
        <f t="array" ref="DA59">_xlfn.IFS(DA$3&lt;=YEAR($B$2),SUMPRODUCT(($E$4:$E$79=$E59)*($Z$2:$CG$2=DA$3)*($Z$2:$CG$2&lt;DB$3)*$Z$4:$CG$79),DA$3&lt;YEAR($X59),0,DA$3=YEAR($X59),DATEDIF($X59,DATE(DA$3,12,31),"m")*$Y59,AND(DA$3&gt;YEAR($X59),DA$3-YEAR($X59)&lt;20),$Y59*12,DA$3-YEAR($X59)=20,DATEDIF(DATE(YEAR($X59),1,1),$X59,"m")*$Y59,DA$3-YEAR($X59)&gt;20,0)</f>
        <v>22238.55</v>
      </c>
      <c r="DB59" s="202" cm="1">
        <f t="array" ref="DB59">_xlfn.IFS(DB$3&lt;=YEAR($B$2),SUMPRODUCT(($E$4:$E$79=$E59)*($Z$2:$CG$2=DB$3)*($Z$2:$CG$2&lt;DC$3)*$Z$4:$CG$79),DB$3&lt;YEAR($X59),0,DB$3=YEAR($X59),DATEDIF($X59,DATE(DB$3,12,31),"m")*$Y59,AND(DB$3&gt;YEAR($X59),DB$3-YEAR($X59)&lt;20),$Y59*12,DB$3-YEAR($X59)=20,DATEDIF(DATE(YEAR($X59),1,1),$X59,"m")*$Y59,DB$3-YEAR($X59)&gt;20,0)</f>
        <v>22238.55</v>
      </c>
      <c r="DC59" s="202" cm="1">
        <f t="array" ref="DC59">_xlfn.IFS(DC$3&lt;=YEAR($B$2),SUMPRODUCT(($E$4:$E$79=$E59)*($Z$2:$CG$2=DC$3)*($Z$2:$CG$2&lt;DD$3)*$Z$4:$CG$79),DC$3&lt;YEAR($X59),0,DC$3=YEAR($X59),DATEDIF($X59,DATE(DC$3,12,31),"m")*$Y59,AND(DC$3&gt;YEAR($X59),DC$3-YEAR($X59)&lt;20),$Y59*12,DC$3-YEAR($X59)=20,DATEDIF(DATE(YEAR($X59),1,1),$X59,"m")*$Y59,DC$3-YEAR($X59)&gt;20,0)</f>
        <v>22238.55</v>
      </c>
      <c r="DD59" s="202" cm="1">
        <f t="array" ref="DD59">_xlfn.IFS(DD$3&lt;=YEAR($B$2),SUMPRODUCT(($E$4:$E$79=$E59)*($Z$2:$CG$2=DD$3)*($Z$2:$CG$2&lt;DE$3)*$Z$4:$CG$79),DD$3&lt;YEAR($X59),0,DD$3=YEAR($X59),DATEDIF($X59,DATE(DD$3,12,31),"m")*$Y59,AND(DD$3&gt;YEAR($X59),DD$3-YEAR($X59)&lt;20),$Y59*12,DD$3-YEAR($X59)=20,DATEDIF(DATE(YEAR($X59),1,1),$X59,"m")*$Y59,DD$3-YEAR($X59)&gt;20,0)</f>
        <v>22238.55</v>
      </c>
      <c r="DE59" s="202" cm="1">
        <f t="array" ref="DE59">_xlfn.IFS(DE$3&lt;=YEAR($B$2),SUMPRODUCT(($E$4:$E$79=$E59)*($Z$2:$CG$2=DE$3)*($Z$2:$CG$2&lt;DF$3)*$Z$4:$CG$79),DE$3&lt;YEAR($X59),0,DE$3=YEAR($X59),DATEDIF($X59,DATE(DE$3,12,31),"m")*$Y59,AND(DE$3&gt;YEAR($X59),DE$3-YEAR($X59)&lt;20),$Y59*12,DE$3-YEAR($X59)=20,DATEDIF(DATE(YEAR($X59),1,1),$X59,"m")*$Y59,DE$3-YEAR($X59)&gt;20,0)</f>
        <v>22238.55</v>
      </c>
      <c r="DF59" s="202" cm="1">
        <f t="array" ref="DF59">_xlfn.IFS(DF$3&lt;=YEAR($B$2),SUMPRODUCT(($E$4:$E$79=$E59)*($Z$2:$CG$2=DF$3)*($Z$2:$CG$2&lt;DG$3)*$Z$4:$CG$79),DF$3&lt;YEAR($X59),0,DF$3=YEAR($X59),DATEDIF($X59,DATE(DF$3,12,31),"m")*$Y59,AND(DF$3&gt;YEAR($X59),DF$3-YEAR($X59)&lt;20),$Y59*12,DF$3-YEAR($X59)=20,DATEDIF(DATE(YEAR($X59),1,1),$X59,"m")*$Y59,DF$3-YEAR($X59)&gt;20,0)</f>
        <v>22238.55</v>
      </c>
      <c r="DG59" s="202" cm="1">
        <f t="array" ref="DG59">_xlfn.IFS(DG$3&lt;=YEAR($B$2),SUMPRODUCT(($E$4:$E$79=$E59)*($Z$2:$CG$2=DG$3)*($Z$2:$CG$2&lt;DH$3)*$Z$4:$CG$79),DG$3&lt;YEAR($X59),0,DG$3=YEAR($X59),DATEDIF($X59,DATE(DG$3,12,31),"m")*$Y59,AND(DG$3&gt;YEAR($X59),DG$3-YEAR($X59)&lt;20),$Y59*12,DG$3-YEAR($X59)=20,DATEDIF(DATE(YEAR($X59),1,1),$X59,"m")*$Y59,DG$3-YEAR($X59)&gt;20,0)</f>
        <v>0</v>
      </c>
      <c r="DH59" s="202" cm="1">
        <f t="array" ref="DH59">_xlfn.IFS(DH$3&lt;=YEAR($B$2),SUMPRODUCT(($E$4:$E$79=$E59)*($Z$2:$CG$2=DH$3)*($Z$2:$CG$2&lt;DI$3)*$Z$4:$CG$79),DH$3&lt;YEAR($X59),0,DH$3=YEAR($X59),DATEDIF($X59,DATE(DH$3,12,31),"m")*$Y59,AND(DH$3&gt;YEAR($X59),DH$3-YEAR($X59)&lt;20),$Y59*12,DH$3-YEAR($X59)=20,DATEDIF(DATE(YEAR($X59),1,1),$X59,"m")*$Y59,DH$3-YEAR($X59)&gt;20,0)</f>
        <v>0</v>
      </c>
      <c r="DI59" s="202" cm="1">
        <f t="array" ref="DI59">_xlfn.IFS(DI$3&lt;=YEAR($B$2),SUMPRODUCT(($E$4:$E$79=$E59)*($Z$2:$CG$2=DI$3)*($Z$2:$CG$2&lt;DJ$3)*$Z$4:$CG$79),DI$3&lt;YEAR($X59),0,DI$3=YEAR($X59),DATEDIF($X59,DATE(DI$3,12,31),"m")*$Y59,AND(DI$3&gt;YEAR($X59),DI$3-YEAR($X59)&lt;20),$Y59*12,DI$3-YEAR($X59)=20,DATEDIF(DATE(YEAR($X59),1,1),$X59,"m")*$Y59,DI$3-YEAR($X59)&gt;20,0)</f>
        <v>0</v>
      </c>
      <c r="DJ59" s="202" cm="1">
        <f t="array" ref="DJ59">_xlfn.IFS(DJ$3&lt;=YEAR($B$2),SUMPRODUCT(($E$4:$E$79=$E59)*($Z$2:$CG$2=DJ$3)*($Z$2:$CG$2&lt;DK$3)*$Z$4:$CG$79),DJ$3&lt;YEAR($X59),0,DJ$3=YEAR($X59),DATEDIF($X59,DATE(DJ$3,12,31),"m")*$Y59,AND(DJ$3&gt;YEAR($X59),DJ$3-YEAR($X59)&lt;20),$Y59*12,DJ$3-YEAR($X59)=20,DATEDIF(DATE(YEAR($X59),1,1),$X59,"m")*$Y59,DJ$3-YEAR($X59)&gt;20,0)</f>
        <v>0</v>
      </c>
      <c r="DK59" s="202" cm="1">
        <f t="array" ref="DK59">_xlfn.IFS(DK$3&lt;=YEAR($B$2),SUMPRODUCT(($E$4:$E$79=$E59)*($Z$2:$CG$2=DK$3)*($Z$2:$CG$2&lt;DL$3)*$Z$4:$CG$79),DK$3&lt;YEAR($X59),0,DK$3=YEAR($X59),DATEDIF($X59,DATE(DK$3,12,31),"m")*$Y59,AND(DK$3&gt;YEAR($X59),DK$3-YEAR($X59)&lt;20),$Y59*12,DK$3-YEAR($X59)=20,DATEDIF(DATE(YEAR($X59),1,1),$X59,"m")*$Y59,DK$3-YEAR($X59)&gt;20,0)</f>
        <v>0</v>
      </c>
      <c r="DL59" s="202" cm="1">
        <f t="array" ref="DL59">_xlfn.IFS(DL$3&lt;=YEAR($B$2),SUMPRODUCT(($E$4:$E$79=$E59)*($Z$2:$CG$2=DL$3)*($Z$2:$CG$2&lt;DM$3)*$Z$4:$CG$79),DL$3&lt;YEAR($X59),0,DL$3=YEAR($X59),DATEDIF($X59,DATE(DL$3,12,31),"m")*$Y59,AND(DL$3&gt;YEAR($X59),DL$3-YEAR($X59)&lt;20),$Y59*12,DL$3-YEAR($X59)=20,DATEDIF(DATE(YEAR($X59),1,1),$X59,"m")*$Y59,DL$3-YEAR($X59)&gt;20,0)</f>
        <v>0</v>
      </c>
    </row>
    <row r="60" spans="1:116">
      <c r="A60" s="155" t="str" cm="1">
        <f t="array" ref="A60">INDEX('Monthly Report July 2025'!C:C,MATCH(E60,'Monthly Report July 2025'!E:E,0),0)</f>
        <v>OCS074</v>
      </c>
      <c r="B60" s="155" t="str" cm="1">
        <f t="array" ref="B60">_xlfn.IFS(LEFT(E60,3)="PGE","PGE",LEFT(E60,2)="PP","PAC",TRUE,"IP")</f>
        <v>PAC</v>
      </c>
      <c r="C60" s="155" t="str">
        <f>IF(ISNA(MATCH(E60,'Monthly Report July 2025'!E:E,0)),"Missing","Present")</f>
        <v>Present</v>
      </c>
      <c r="D60" s="155" t="str">
        <f>IF(ISNA(MATCH(E60,'Project Operational Timelines'!C:C,0))=TRUE,"Missing","Present")</f>
        <v>Present</v>
      </c>
      <c r="E60" s="155" t="s">
        <v>168</v>
      </c>
      <c r="F60" s="155" t="str" cm="1">
        <f t="array" ref="F60">INDEX('Monthly Report July 2025'!F:F,MATCH(E60,'Monthly Report July 2025'!E:E,),0)</f>
        <v>Wood River Solar</v>
      </c>
      <c r="G60" s="155" t="str" cm="1">
        <f t="array" ref="G60">_xlfn.IFS(INDEX('Monthly Report July 2025'!O:O,MATCH(E60,'Monthly Report July 2025'!E:E,0),0)="Operational","Operational",INDEX('Monthly Report July 2025'!O:O,MATCH(E60,'Monthly Report July 2025'!E:E,0),0)="Certified","Certified",TRUE,"Pre-Certified")</f>
        <v>Operational</v>
      </c>
      <c r="H60" s="155" t="str" cm="1">
        <f t="array" ref="H60">INDEX('Monthly Report July 2025'!H:H,MATCH($E60,'Monthly Report July 2025'!$E:$E,0),0)</f>
        <v>TLS Capital</v>
      </c>
      <c r="I60" s="155" t="str" cm="1">
        <f t="array" ref="I60">INDEX('Monthly Report July 2025'!I:I,MATCH($E60,'Monthly Report July 2025'!$E:$E,0),0)</f>
        <v>TLS Capital</v>
      </c>
      <c r="J60" s="174" cm="1">
        <f t="array" ref="J60">INDEX('Monthly Report July 2025'!J:J,MATCH($E60,'Monthly Report July 2025'!$E:$E,0),0)</f>
        <v>1</v>
      </c>
      <c r="K60" s="174" t="str" cm="1">
        <f t="array" ref="K60">INDEX('Monthly Report July 2025'!K:K,MATCH($E60,'Monthly Report July 2025'!$E:$E,0),0)</f>
        <v>Yes</v>
      </c>
      <c r="L60" s="174" t="b" cm="1">
        <f t="array" ref="L60">INDEX('Monthly Report July 2025'!L:L,MATCH(E60,'Monthly Report July 2025'!E:E,0),0)=M60</f>
        <v>1</v>
      </c>
      <c r="M60" s="273" cm="1">
        <f t="array" ref="M60">INDEX('Monthly Report July 2025'!L:L,MATCH($E60,'Monthly Report July 2025'!$E:$E,0),0)</f>
        <v>359</v>
      </c>
      <c r="N60" s="175" cm="1">
        <f t="array" ref="N60">INDEX('Monthly Report July 2025'!M:M,MATCH($E60,'Monthly Report July 2025'!$E:$E,0),0)</f>
        <v>44558</v>
      </c>
      <c r="O60" s="175" t="str" cm="1">
        <f t="array" ref="O60">_xlfn.IFS(G60="Operational","Operational",G60="Certified","Certified",TRUE,INDEX('Monthly Report July 2025'!O:O,MATCH(E60,'Monthly Report July 2025'!E:E,0),0))</f>
        <v>Operational</v>
      </c>
      <c r="P60" s="175" t="b" cm="1">
        <f t="array" ref="P60">_xlfn.IFS(G60="Operational",O60="Operational",G60="Certified",O60="Certified",TRUE,G60="Pre-Certified")</f>
        <v>1</v>
      </c>
      <c r="Q60" s="175" cm="1">
        <f t="array" ref="Q60">IF(O60="Operational",INDEX('Monthly Report July 2025'!R:R,MATCH(E60,'Monthly Report July 2025'!E:E,0),0),"")</f>
        <v>45665</v>
      </c>
      <c r="R60" s="175" cm="1">
        <f t="array" ref="R60">INDEX('Monthly Report July 2025'!P:P,MATCH(E60,'Monthly Report July 2025'!E:E,0),0)</f>
        <v>45483</v>
      </c>
      <c r="S60" s="175" t="b">
        <f t="shared" si="28"/>
        <v>1</v>
      </c>
      <c r="T60" s="175" cm="1">
        <f t="array" ref="T60">INDEX('Monthly Report July 2025'!U:U,MATCH(E60,'Monthly Report July 2025'!E:E,0),0)</f>
        <v>45471</v>
      </c>
      <c r="U60" s="175" t="str">
        <f t="shared" si="6"/>
        <v>IGNORE</v>
      </c>
      <c r="V60" s="156">
        <f t="shared" si="29"/>
        <v>45483</v>
      </c>
      <c r="W60" s="156" cm="1">
        <f t="array" ref="W60">_xlfn.IFS(U60=TRUE,EDATE(O60,6),U60=FALSE,T60,O60="Operational",Q60,AND(O60="Certified",EDATE(R60,6)&gt;T60),EDATE(R60,6),TRUE,T60)</f>
        <v>45665</v>
      </c>
      <c r="X60" s="156">
        <f t="shared" si="30"/>
        <v>45724</v>
      </c>
      <c r="Y60" s="157">
        <f t="shared" si="31"/>
        <v>137.3175</v>
      </c>
      <c r="Z60" s="202" cm="1">
        <f t="array" ref="Z60">_xlfn.IFS(Z$3&lt;$B$2,SUMPRODUCT(('PA Fees Actual'!$B$5:$B$882=$E60)*('PA Fees Actual'!$A$5:$A$882&gt;=Z$3)*('PA Fees Actual'!$A$5:$A$882&lt;=EOMONTH(Z$3,0))*'PA Fees Actual'!$D$5:$D$882),Z$3&gt;=EOMONTH($X60,-1)+1,$Y60,TRUE,0)</f>
        <v>0</v>
      </c>
      <c r="AA60" s="202" cm="1">
        <f t="array" ref="AA60">_xlfn.IFS(AA$3&lt;$B$2,SUMPRODUCT(('PA Fees Actual'!$B$5:$B$882=$E60)*('PA Fees Actual'!$A$5:$A$882&gt;=AA$3)*('PA Fees Actual'!$A$5:$A$882&lt;=EOMONTH(AA$3,0))*'PA Fees Actual'!$D$5:$D$882),AA$3&gt;=EOMONTH($X60,-1)+1,$Y60,TRUE,0)</f>
        <v>0</v>
      </c>
      <c r="AB60" s="202" cm="1">
        <f t="array" ref="AB60">_xlfn.IFS(AB$3&lt;$B$2,SUMPRODUCT(('PA Fees Actual'!$B$5:$B$882=$E60)*('PA Fees Actual'!$A$5:$A$882&gt;=AB$3)*('PA Fees Actual'!$A$5:$A$882&lt;=EOMONTH(AB$3,0))*'PA Fees Actual'!$D$5:$D$882),AB$3&gt;=EOMONTH($X60,-1)+1,$Y60,TRUE,0)</f>
        <v>0</v>
      </c>
      <c r="AC60" s="202" cm="1">
        <f t="array" ref="AC60">_xlfn.IFS(AC$3&lt;$B$2,SUMPRODUCT(('PA Fees Actual'!$B$5:$B$882=$E60)*('PA Fees Actual'!$A$5:$A$882&gt;=AC$3)*('PA Fees Actual'!$A$5:$A$882&lt;=EOMONTH(AC$3,0))*'PA Fees Actual'!$D$5:$D$882),AC$3&gt;=EOMONTH($X60,-1)+1,$Y60,TRUE,0)</f>
        <v>0</v>
      </c>
      <c r="AD60" s="202" cm="1">
        <f t="array" ref="AD60">_xlfn.IFS(AD$3&lt;$B$2,SUMPRODUCT(('PA Fees Actual'!$B$5:$B$882=$E60)*('PA Fees Actual'!$A$5:$A$882&gt;=AD$3)*('PA Fees Actual'!$A$5:$A$882&lt;=EOMONTH(AD$3,0))*'PA Fees Actual'!$D$5:$D$882),AD$3&gt;=EOMONTH($X60,-1)+1,$Y60,TRUE,0)</f>
        <v>0</v>
      </c>
      <c r="AE60" s="202" cm="1">
        <f t="array" ref="AE60">_xlfn.IFS(AE$3&lt;$B$2,SUMPRODUCT(('PA Fees Actual'!$B$5:$B$882=$E60)*('PA Fees Actual'!$A$5:$A$882&gt;=AE$3)*('PA Fees Actual'!$A$5:$A$882&lt;=EOMONTH(AE$3,0))*'PA Fees Actual'!$D$5:$D$882),AE$3&gt;=EOMONTH($X60,-1)+1,$Y60,TRUE,0)</f>
        <v>0</v>
      </c>
      <c r="AF60" s="202" cm="1">
        <f t="array" ref="AF60">_xlfn.IFS(AF$3&lt;$B$2,SUMPRODUCT(('PA Fees Actual'!$B$5:$B$882=$E60)*('PA Fees Actual'!$A$5:$A$882&gt;=AF$3)*('PA Fees Actual'!$A$5:$A$882&lt;=EOMONTH(AF$3,0))*'PA Fees Actual'!$D$5:$D$882),AF$3&gt;=EOMONTH($X60,-1)+1,$Y60,TRUE,0)</f>
        <v>0</v>
      </c>
      <c r="AG60" s="202" cm="1">
        <f t="array" ref="AG60">_xlfn.IFS(AG$3&lt;$B$2,SUMPRODUCT(('PA Fees Actual'!$B$5:$B$882=$E60)*('PA Fees Actual'!$A$5:$A$882&gt;=AG$3)*('PA Fees Actual'!$A$5:$A$882&lt;=EOMONTH(AG$3,0))*'PA Fees Actual'!$D$5:$D$882),AG$3&gt;=EOMONTH($X60,-1)+1,$Y60,TRUE,0)</f>
        <v>0</v>
      </c>
      <c r="AH60" s="202" cm="1">
        <f t="array" ref="AH60">_xlfn.IFS(AH$3&lt;$B$2,SUMPRODUCT(('PA Fees Actual'!$B$5:$B$882=$E60)*('PA Fees Actual'!$A$5:$A$882&gt;=AH$3)*('PA Fees Actual'!$A$5:$A$882&lt;=EOMONTH(AH$3,0))*'PA Fees Actual'!$D$5:$D$882),AH$3&gt;=EOMONTH($X60,-1)+1,$Y60,TRUE,0)</f>
        <v>0</v>
      </c>
      <c r="AI60" s="202" cm="1">
        <f t="array" ref="AI60">_xlfn.IFS(AI$3&lt;$B$2,SUMPRODUCT(('PA Fees Actual'!$B$5:$B$882=$E60)*('PA Fees Actual'!$A$5:$A$882&gt;=AI$3)*('PA Fees Actual'!$A$5:$A$882&lt;=EOMONTH(AI$3,0))*'PA Fees Actual'!$D$5:$D$882),AI$3&gt;=EOMONTH($X60,-1)+1,$Y60,TRUE,0)</f>
        <v>0</v>
      </c>
      <c r="AJ60" s="202" cm="1">
        <f t="array" ref="AJ60">_xlfn.IFS(AJ$3&lt;$B$2,SUMPRODUCT(('PA Fees Actual'!$B$5:$B$882=$E60)*('PA Fees Actual'!$A$5:$A$882&gt;=AJ$3)*('PA Fees Actual'!$A$5:$A$882&lt;=EOMONTH(AJ$3,0))*'PA Fees Actual'!$D$5:$D$882),AJ$3&gt;=EOMONTH($X60,-1)+1,$Y60,TRUE,0)</f>
        <v>0</v>
      </c>
      <c r="AK60" s="202" cm="1">
        <f t="array" ref="AK60">_xlfn.IFS(AK$3&lt;$B$2,SUMPRODUCT(('PA Fees Actual'!$B$5:$B$882=$E60)*('PA Fees Actual'!$A$5:$A$882&gt;=AK$3)*('PA Fees Actual'!$A$5:$A$882&lt;=EOMONTH(AK$3,0))*'PA Fees Actual'!$D$5:$D$882),AK$3&gt;=EOMONTH($X60,-1)+1,$Y60,TRUE,0)</f>
        <v>0</v>
      </c>
      <c r="AL60" s="202" cm="1">
        <f t="array" ref="AL60">_xlfn.IFS(AL$3&lt;$B$2,SUMPRODUCT(('PA Fees Actual'!$B$5:$B$882=$E60)*('PA Fees Actual'!$A$5:$A$882&gt;=AL$3)*('PA Fees Actual'!$A$5:$A$882&lt;=EOMONTH(AL$3,0))*'PA Fees Actual'!$D$5:$D$882),AL$3&gt;=EOMONTH($X60,-1)+1,$Y60,TRUE,0)</f>
        <v>0</v>
      </c>
      <c r="AM60" s="202" cm="1">
        <f t="array" ref="AM60">_xlfn.IFS(AM$3&lt;$B$2,SUMPRODUCT(('PA Fees Actual'!$B$5:$B$882=$E60)*('PA Fees Actual'!$A$5:$A$882&gt;=AM$3)*('PA Fees Actual'!$A$5:$A$882&lt;=EOMONTH(AM$3,0))*'PA Fees Actual'!$D$5:$D$882),AM$3&gt;=EOMONTH($X60,-1)+1,$Y60,TRUE,0)</f>
        <v>0</v>
      </c>
      <c r="AN60" s="202" cm="1">
        <f t="array" ref="AN60">_xlfn.IFS(AN$3&lt;$B$2,SUMPRODUCT(('PA Fees Actual'!$B$5:$B$882=$E60)*('PA Fees Actual'!$A$5:$A$882&gt;=AN$3)*('PA Fees Actual'!$A$5:$A$882&lt;=EOMONTH(AN$3,0))*'PA Fees Actual'!$D$5:$D$882),AN$3&gt;=EOMONTH($X60,-1)+1,$Y60,TRUE,0)</f>
        <v>0</v>
      </c>
      <c r="AO60" s="202" cm="1">
        <f t="array" ref="AO60">_xlfn.IFS(AO$3&lt;$B$2,SUMPRODUCT(('PA Fees Actual'!$B$5:$B$882=$E60)*('PA Fees Actual'!$A$5:$A$882&gt;=AO$3)*('PA Fees Actual'!$A$5:$A$882&lt;=EOMONTH(AO$3,0))*'PA Fees Actual'!$D$5:$D$882),AO$3&gt;=EOMONTH($X60,-1)+1,$Y60,TRUE,0)</f>
        <v>0</v>
      </c>
      <c r="AP60" s="202" cm="1">
        <f t="array" ref="AP60">_xlfn.IFS(AP$3&lt;$B$2,SUMPRODUCT(('PA Fees Actual'!$B$5:$B$882=$E60)*('PA Fees Actual'!$A$5:$A$882&gt;=AP$3)*('PA Fees Actual'!$A$5:$A$882&lt;=EOMONTH(AP$3,0))*'PA Fees Actual'!$D$5:$D$882),AP$3&gt;=EOMONTH($X60,-1)+1,$Y60,TRUE,0)</f>
        <v>0</v>
      </c>
      <c r="AQ60" s="202" cm="1">
        <f t="array" ref="AQ60">_xlfn.IFS(AQ$3&lt;$B$2,SUMPRODUCT(('PA Fees Actual'!$B$5:$B$882=$E60)*('PA Fees Actual'!$A$5:$A$882&gt;=AQ$3)*('PA Fees Actual'!$A$5:$A$882&lt;=EOMONTH(AQ$3,0))*'PA Fees Actual'!$D$5:$D$882),AQ$3&gt;=EOMONTH($X60,-1)+1,$Y60,TRUE,0)</f>
        <v>0</v>
      </c>
      <c r="AR60" s="202" cm="1">
        <f t="array" ref="AR60">_xlfn.IFS(AR$3&lt;$B$2,SUMPRODUCT(('PA Fees Actual'!$B$5:$B$882=$E60)*('PA Fees Actual'!$A$5:$A$882&gt;=AR$3)*('PA Fees Actual'!$A$5:$A$882&lt;=EOMONTH(AR$3,0))*'PA Fees Actual'!$D$5:$D$882),AR$3&gt;=EOMONTH($X60,-1)+1,$Y60,TRUE,0)</f>
        <v>0</v>
      </c>
      <c r="AS60" s="202" cm="1">
        <f t="array" ref="AS60">_xlfn.IFS(AS$3&lt;$B$2,SUMPRODUCT(('PA Fees Actual'!$B$5:$B$882=$E60)*('PA Fees Actual'!$A$5:$A$882&gt;=AS$3)*('PA Fees Actual'!$A$5:$A$882&lt;=EOMONTH(AS$3,0))*'PA Fees Actual'!$D$5:$D$882),AS$3&gt;=EOMONTH($X60,-1)+1,$Y60,TRUE,0)</f>
        <v>0</v>
      </c>
      <c r="AT60" s="202" cm="1">
        <f t="array" ref="AT60">_xlfn.IFS(AT$3&lt;$B$2,SUMPRODUCT(('PA Fees Actual'!$B$5:$B$882=$E60)*('PA Fees Actual'!$A$5:$A$882&gt;=AT$3)*('PA Fees Actual'!$A$5:$A$882&lt;=EOMONTH(AT$3,0))*'PA Fees Actual'!$D$5:$D$882),AT$3&gt;=EOMONTH($X60,-1)+1,$Y60,TRUE,0)</f>
        <v>0</v>
      </c>
      <c r="AU60" s="202" cm="1">
        <f t="array" ref="AU60">_xlfn.IFS(AU$3&lt;$B$2,SUMPRODUCT(('PA Fees Actual'!$B$5:$B$882=$E60)*('PA Fees Actual'!$A$5:$A$882&gt;=AU$3)*('PA Fees Actual'!$A$5:$A$882&lt;=EOMONTH(AU$3,0))*'PA Fees Actual'!$D$5:$D$882),AU$3&gt;=EOMONTH($X60,-1)+1,$Y60,TRUE,0)</f>
        <v>0</v>
      </c>
      <c r="AV60" s="202" cm="1">
        <f t="array" ref="AV60">_xlfn.IFS(AV$3&lt;$B$2,SUMPRODUCT(('PA Fees Actual'!$B$5:$B$882=$E60)*('PA Fees Actual'!$A$5:$A$882&gt;=AV$3)*('PA Fees Actual'!$A$5:$A$882&lt;=EOMONTH(AV$3,0))*'PA Fees Actual'!$D$5:$D$882),AV$3&gt;=EOMONTH($X60,-1)+1,$Y60,TRUE,0)</f>
        <v>0</v>
      </c>
      <c r="AW60" s="202" cm="1">
        <f t="array" ref="AW60">_xlfn.IFS(AW$3&lt;$B$2,SUMPRODUCT(('PA Fees Actual'!$B$5:$B$882=$E60)*('PA Fees Actual'!$A$5:$A$882&gt;=AW$3)*('PA Fees Actual'!$A$5:$A$882&lt;=EOMONTH(AW$3,0))*'PA Fees Actual'!$D$5:$D$882),AW$3&gt;=EOMONTH($X60,-1)+1,$Y60,TRUE,0)</f>
        <v>0</v>
      </c>
      <c r="AX60" s="202" cm="1">
        <f t="array" ref="AX60">_xlfn.IFS(AX$3&lt;$B$2,SUMPRODUCT(('PA Fees Actual'!$B$5:$B$882=$E60)*('PA Fees Actual'!$A$5:$A$882&gt;=AX$3)*('PA Fees Actual'!$A$5:$A$882&lt;=EOMONTH(AX$3,0))*'PA Fees Actual'!$D$5:$D$882),AX$3&gt;=EOMONTH($X60,-1)+1,$Y60,TRUE,0)</f>
        <v>0</v>
      </c>
      <c r="AY60" s="202" cm="1">
        <f t="array" ref="AY60">_xlfn.IFS(AY$3&lt;$B$2,SUMPRODUCT(('PA Fees Actual'!$B$5:$B$882=$E60)*('PA Fees Actual'!$A$5:$A$882&gt;=AY$3)*('PA Fees Actual'!$A$5:$A$882&lt;=EOMONTH(AY$3,0))*'PA Fees Actual'!$D$5:$D$882),AY$3&gt;=EOMONTH($X60,-1)+1,$Y60,TRUE,0)</f>
        <v>0</v>
      </c>
      <c r="AZ60" s="202" cm="1">
        <f t="array" ref="AZ60">_xlfn.IFS(AZ$3&lt;$B$2,SUMPRODUCT(('PA Fees Actual'!$B$5:$B$882=$E60)*('PA Fees Actual'!$A$5:$A$882&gt;=AZ$3)*('PA Fees Actual'!$A$5:$A$882&lt;=EOMONTH(AZ$3,0))*'PA Fees Actual'!$D$5:$D$882),AZ$3&gt;=EOMONTH($X60,-1)+1,$Y60,TRUE,0)</f>
        <v>0</v>
      </c>
      <c r="BA60" s="202" cm="1">
        <f t="array" ref="BA60">_xlfn.IFS(BA$3&lt;$B$2,SUMPRODUCT(('PA Fees Actual'!$B$5:$B$882=$E60)*('PA Fees Actual'!$A$5:$A$882&gt;=BA$3)*('PA Fees Actual'!$A$5:$A$882&lt;=EOMONTH(BA$3,0))*'PA Fees Actual'!$D$5:$D$882),BA$3&gt;=EOMONTH($X60,-1)+1,$Y60,TRUE,0)</f>
        <v>0</v>
      </c>
      <c r="BB60" s="202" cm="1">
        <f t="array" ref="BB60">_xlfn.IFS(BB$3&lt;$B$2,SUMPRODUCT(('PA Fees Actual'!$B$5:$B$882=$E60)*('PA Fees Actual'!$A$5:$A$882&gt;=BB$3)*('PA Fees Actual'!$A$5:$A$882&lt;=EOMONTH(BB$3,0))*'PA Fees Actual'!$D$5:$D$882),BB$3&gt;=EOMONTH($X60,-1)+1,$Y60,TRUE,0)</f>
        <v>0</v>
      </c>
      <c r="BC60" s="202" cm="1">
        <f t="array" ref="BC60">_xlfn.IFS(BC$3&lt;$B$2,SUMPRODUCT(('PA Fees Actual'!$B$5:$B$882=$E60)*('PA Fees Actual'!$A$5:$A$882&gt;=BC$3)*('PA Fees Actual'!$A$5:$A$882&lt;=EOMONTH(BC$3,0))*'PA Fees Actual'!$D$5:$D$882),BC$3&gt;=EOMONTH($X60,-1)+1,$Y60,TRUE,0)</f>
        <v>0</v>
      </c>
      <c r="BD60" s="202" cm="1">
        <f t="array" ref="BD60">_xlfn.IFS(BD$3&lt;$B$2,SUMPRODUCT(('PA Fees Actual'!$B$5:$B$882=$E60)*('PA Fees Actual'!$A$5:$A$882&gt;=BD$3)*('PA Fees Actual'!$A$5:$A$882&lt;=EOMONTH(BD$3,0))*'PA Fees Actual'!$D$5:$D$882),BD$3&gt;=EOMONTH($X60,-1)+1,$Y60,TRUE,0)</f>
        <v>0</v>
      </c>
      <c r="BE60" s="202" cm="1">
        <f t="array" ref="BE60">_xlfn.IFS(BE$3&lt;$B$2,SUMPRODUCT(('PA Fees Actual'!$B$5:$B$882=$E60)*('PA Fees Actual'!$A$5:$A$882&gt;=BE$3)*('PA Fees Actual'!$A$5:$A$882&lt;=EOMONTH(BE$3,0))*'PA Fees Actual'!$D$5:$D$882),BE$3&gt;=EOMONTH($X60,-1)+1,$Y60,TRUE,0)</f>
        <v>0</v>
      </c>
      <c r="BF60" s="202" cm="1">
        <f t="array" ref="BF60">_xlfn.IFS(BF$3&lt;$B$2,SUMPRODUCT(('PA Fees Actual'!$B$5:$B$882=$E60)*('PA Fees Actual'!$A$5:$A$882&gt;=BF$3)*('PA Fees Actual'!$A$5:$A$882&lt;=EOMONTH(BF$3,0))*'PA Fees Actual'!$D$5:$D$882),BF$3&gt;=EOMONTH($X60,-1)+1,$Y60,TRUE,0)</f>
        <v>0</v>
      </c>
      <c r="BG60" s="202" cm="1">
        <f t="array" ref="BG60">_xlfn.IFS(BG$3&lt;$B$2,SUMPRODUCT(('PA Fees Actual'!$B$5:$B$882=$E60)*('PA Fees Actual'!$A$5:$A$882&gt;=BG$3)*('PA Fees Actual'!$A$5:$A$882&lt;=EOMONTH(BG$3,0))*'PA Fees Actual'!$D$5:$D$882),BG$3&gt;=EOMONTH($X60,-1)+1,$Y60,TRUE,0)</f>
        <v>0</v>
      </c>
      <c r="BH60" s="202" cm="1">
        <f t="array" ref="BH60">_xlfn.IFS(BH$3&lt;$B$2,SUMPRODUCT(('PA Fees Actual'!$B$5:$B$882=$E60)*('PA Fees Actual'!$A$5:$A$882&gt;=BH$3)*('PA Fees Actual'!$A$5:$A$882&lt;=EOMONTH(BH$3,0))*'PA Fees Actual'!$D$5:$D$882),BH$3&gt;=EOMONTH($X60,-1)+1,$Y60,TRUE,0)</f>
        <v>0</v>
      </c>
      <c r="BI60" s="202" cm="1">
        <f t="array" ref="BI60">_xlfn.IFS(BI$3&lt;$B$2,SUMPRODUCT(('PA Fees Actual'!$B$5:$B$882=$E60)*('PA Fees Actual'!$A$5:$A$882&gt;=BI$3)*('PA Fees Actual'!$A$5:$A$882&lt;=EOMONTH(BI$3,0))*'PA Fees Actual'!$D$5:$D$882),BI$3&gt;=EOMONTH($X60,-1)+1,$Y60,TRUE,0)</f>
        <v>0</v>
      </c>
      <c r="BJ60" s="202" cm="1">
        <f t="array" ref="BJ60">_xlfn.IFS(BJ$3&lt;$B$2,SUMPRODUCT(('PA Fees Actual'!$B$5:$B$882=$E60)*('PA Fees Actual'!$A$5:$A$882&gt;=BJ$3)*('PA Fees Actual'!$A$5:$A$882&lt;=EOMONTH(BJ$3,0))*'PA Fees Actual'!$D$5:$D$882),BJ$3&gt;=EOMONTH($X60,-1)+1,$Y60,TRUE,0)</f>
        <v>0</v>
      </c>
      <c r="BK60" s="202" cm="1">
        <f t="array" ref="BK60">_xlfn.IFS(BK$3&lt;$B$2,SUMPRODUCT(('PA Fees Actual'!$B$5:$B$882=$E60)*('PA Fees Actual'!$A$5:$A$882&gt;=BK$3)*('PA Fees Actual'!$A$5:$A$882&lt;=EOMONTH(BK$3,0))*'PA Fees Actual'!$D$5:$D$882),BK$3&gt;=EOMONTH($X60,-1)+1,$Y60,TRUE,0)</f>
        <v>0</v>
      </c>
      <c r="BL60" s="202" cm="1">
        <f t="array" ref="BL60">_xlfn.IFS(BL$3&lt;$B$2,SUMPRODUCT(('PA Fees Actual'!$B$5:$B$882=$E60)*('PA Fees Actual'!$A$5:$A$882&gt;=BL$3)*('PA Fees Actual'!$A$5:$A$882&lt;=EOMONTH(BL$3,0))*'PA Fees Actual'!$D$5:$D$882),BL$3&gt;=EOMONTH($X60,-1)+1,$Y60,TRUE,0)</f>
        <v>0</v>
      </c>
      <c r="BM60" s="202" cm="1">
        <f t="array" ref="BM60">_xlfn.IFS(BM$3&lt;$B$2,SUMPRODUCT(('PA Fees Actual'!$B$5:$B$882=$E60)*('PA Fees Actual'!$A$5:$A$882&gt;=BM$3)*('PA Fees Actual'!$A$5:$A$882&lt;=EOMONTH(BM$3,0))*'PA Fees Actual'!$D$5:$D$882),BM$3&gt;=EOMONTH($X60,-1)+1,$Y60,TRUE,0)</f>
        <v>0</v>
      </c>
      <c r="BN60" s="202" cm="1">
        <f t="array" ref="BN60">_xlfn.IFS(BN$3&lt;$B$2,SUMPRODUCT(('PA Fees Actual'!$B$5:$B$882=$E60)*('PA Fees Actual'!$A$5:$A$882&gt;=BN$3)*('PA Fees Actual'!$A$5:$A$882&lt;=EOMONTH(BN$3,0))*'PA Fees Actual'!$D$5:$D$882),BN$3&gt;=EOMONTH($X60,-1)+1,$Y60,TRUE,0)</f>
        <v>0</v>
      </c>
      <c r="BO60" s="202" cm="1">
        <f t="array" ref="BO60">_xlfn.IFS(BO$3&lt;$B$2,SUMPRODUCT(('PA Fees Actual'!$B$5:$B$882=$E60)*('PA Fees Actual'!$A$5:$A$882&gt;=BO$3)*('PA Fees Actual'!$A$5:$A$882&lt;=EOMONTH(BO$3,0))*'PA Fees Actual'!$D$5:$D$882),BO$3&gt;=EOMONTH($X60,-1)+1,$Y60,TRUE,0)</f>
        <v>0</v>
      </c>
      <c r="BP60" s="202" cm="1">
        <f t="array" ref="BP60">_xlfn.IFS(BP$3&lt;$B$2,SUMPRODUCT(('PA Fees Actual'!$B$5:$B$882=$E60)*('PA Fees Actual'!$A$5:$A$882&gt;=BP$3)*('PA Fees Actual'!$A$5:$A$882&lt;=EOMONTH(BP$3,0))*'PA Fees Actual'!$D$5:$D$882),BP$3&gt;=EOMONTH($X60,-1)+1,$Y60,TRUE,0)</f>
        <v>0</v>
      </c>
      <c r="BQ60" s="202" cm="1">
        <f t="array" ref="BQ60">_xlfn.IFS(BQ$3&lt;$B$2,SUMPRODUCT(('PA Fees Actual'!$B$5:$B$882=$E60)*('PA Fees Actual'!$A$5:$A$882&gt;=BQ$3)*('PA Fees Actual'!$A$5:$A$882&lt;=EOMONTH(BQ$3,0))*'PA Fees Actual'!$D$5:$D$882),BQ$3&gt;=EOMONTH($X60,-1)+1,$Y60,TRUE,0)</f>
        <v>0</v>
      </c>
      <c r="BR60" s="202" cm="1">
        <f t="array" ref="BR60">_xlfn.IFS(BR$3&lt;$B$2,SUMPRODUCT(('PA Fees Actual'!$B$5:$B$882=$E60)*('PA Fees Actual'!$A$5:$A$882&gt;=BR$3)*('PA Fees Actual'!$A$5:$A$882&lt;=EOMONTH(BR$3,0))*'PA Fees Actual'!$D$5:$D$882),BR$3&gt;=EOMONTH($X60,-1)+1,$Y60,TRUE,0)</f>
        <v>0</v>
      </c>
      <c r="BS60" s="202" cm="1">
        <f t="array" ref="BS60">_xlfn.IFS(BS$3&lt;$B$2,SUMPRODUCT(('PA Fees Actual'!$B$5:$B$882=$E60)*('PA Fees Actual'!$A$5:$A$882&gt;=BS$3)*('PA Fees Actual'!$A$5:$A$882&lt;=EOMONTH(BS$3,0))*'PA Fees Actual'!$D$5:$D$882),BS$3&gt;=EOMONTH($X60,-1)+1,$Y60,TRUE,0)</f>
        <v>0</v>
      </c>
      <c r="BT60" s="202" cm="1">
        <f t="array" ref="BT60">_xlfn.IFS(BT$3&lt;$B$2,SUMPRODUCT(('PA Fees Actual'!$B$5:$B$882=$E60)*('PA Fees Actual'!$A$5:$A$882&gt;=BT$3)*('PA Fees Actual'!$A$5:$A$882&lt;=EOMONTH(BT$3,0))*'PA Fees Actual'!$D$5:$D$882),BT$3&gt;=EOMONTH($X60,-1)+1,$Y60,TRUE,0)</f>
        <v>0</v>
      </c>
      <c r="BU60" s="202" cm="1">
        <f t="array" ref="BU60">_xlfn.IFS(BU$3&lt;$B$2,SUMPRODUCT(('PA Fees Actual'!$B$5:$B$882=$E60)*('PA Fees Actual'!$A$5:$A$882&gt;=BU$3)*('PA Fees Actual'!$A$5:$A$882&lt;=EOMONTH(BU$3,0))*'PA Fees Actual'!$D$5:$D$882),BU$3&gt;=EOMONTH($X60,-1)+1,$Y60,TRUE,0)</f>
        <v>0</v>
      </c>
      <c r="BV60" s="202" cm="1">
        <f t="array" ref="BV60">_xlfn.IFS(BV$3&lt;$B$2,SUMPRODUCT(('PA Fees Actual'!$B$5:$B$882=$E60)*('PA Fees Actual'!$A$5:$A$882&gt;=BV$3)*('PA Fees Actual'!$A$5:$A$882&lt;=EOMONTH(BV$3,0))*'PA Fees Actual'!$D$5:$D$882),BV$3&gt;=EOMONTH($X60,-1)+1,$Y60,TRUE,0)</f>
        <v>0</v>
      </c>
      <c r="BW60" s="202" cm="1">
        <f t="array" ref="BW60">_xlfn.IFS(BW$3&lt;$B$2,SUMPRODUCT(('PA Fees Actual'!$B$5:$B$882=$E60)*('PA Fees Actual'!$A$5:$A$882&gt;=BW$3)*('PA Fees Actual'!$A$5:$A$882&lt;=EOMONTH(BW$3,0))*'PA Fees Actual'!$D$5:$D$882),BW$3&gt;=EOMONTH($X60,-1)+1,$Y60,TRUE,0)</f>
        <v>0</v>
      </c>
      <c r="BX60" s="202" cm="1">
        <f t="array" ref="BX60">_xlfn.IFS(BX$3&lt;$B$2,SUMPRODUCT(('PA Fees Actual'!$B$5:$B$882=$E60)*('PA Fees Actual'!$A$5:$A$882&gt;=BX$3)*('PA Fees Actual'!$A$5:$A$882&lt;=EOMONTH(BX$3,0))*'PA Fees Actual'!$D$5:$D$882),BX$3&gt;=EOMONTH($X60,-1)+1,$Y60,TRUE,0)</f>
        <v>0</v>
      </c>
      <c r="BY60" s="202" cm="1">
        <f t="array" ref="BY60">_xlfn.IFS(BY$3&lt;$B$2,SUMPRODUCT(('PA Fees Actual'!$B$5:$B$882=$E60)*('PA Fees Actual'!$A$5:$A$882&gt;=BY$3)*('PA Fees Actual'!$A$5:$A$882&lt;=EOMONTH(BY$3,0))*'PA Fees Actual'!$D$5:$D$882),BY$3&gt;=EOMONTH($X60,-1)+1,$Y60,TRUE,0)</f>
        <v>152.59</v>
      </c>
      <c r="BZ60" s="202" cm="1">
        <f t="array" ref="BZ60">_xlfn.IFS(BZ$3&lt;$B$2,SUMPRODUCT(('PA Fees Actual'!$B$5:$B$882=$E60)*('PA Fees Actual'!$A$5:$A$882&gt;=BZ$3)*('PA Fees Actual'!$A$5:$A$882&lt;=EOMONTH(BZ$3,0))*'PA Fees Actual'!$D$5:$D$882),BZ$3&gt;=EOMONTH($X60,-1)+1,$Y60,TRUE,0)</f>
        <v>0</v>
      </c>
      <c r="CA60" s="202" cm="1">
        <f t="array" ref="CA60">_xlfn.IFS(CA$3&lt;$B$2,SUMPRODUCT(('PA Fees Actual'!$B$5:$B$882=$E60)*('PA Fees Actual'!$A$5:$A$882&gt;=CA$3)*('PA Fees Actual'!$A$5:$A$882&lt;=EOMONTH(CA$3,0))*'PA Fees Actual'!$D$5:$D$882),CA$3&gt;=EOMONTH($X60,-1)+1,$Y60,TRUE,0)</f>
        <v>152.59</v>
      </c>
      <c r="CB60" s="202" cm="1">
        <f t="array" ref="CB60">_xlfn.IFS(CB$3&lt;$B$2,SUMPRODUCT(('PA Fees Actual'!$B$5:$B$882=$E60)*('PA Fees Actual'!$A$5:$A$882&gt;=CB$3)*('PA Fees Actual'!$A$5:$A$882&lt;=EOMONTH(CB$3,0))*'PA Fees Actual'!$D$5:$D$882),CB$3&gt;=EOMONTH($X60,-1)+1,$Y60,TRUE,0)</f>
        <v>137.3175</v>
      </c>
      <c r="CC60" s="202" cm="1">
        <f t="array" ref="CC60">_xlfn.IFS(CC$3&lt;$B$2,SUMPRODUCT(('PA Fees Actual'!$B$5:$B$882=$E60)*('PA Fees Actual'!$A$5:$A$882&gt;=CC$3)*('PA Fees Actual'!$A$5:$A$882&lt;=EOMONTH(CC$3,0))*'PA Fees Actual'!$D$5:$D$882),CC$3&gt;=EOMONTH($X60,-1)+1,$Y60,TRUE,0)</f>
        <v>137.3175</v>
      </c>
      <c r="CD60" s="202" cm="1">
        <f t="array" ref="CD60">_xlfn.IFS(CD$3&lt;$B$2,SUMPRODUCT(('PA Fees Actual'!$B$5:$B$882=$E60)*('PA Fees Actual'!$A$5:$A$882&gt;=CD$3)*('PA Fees Actual'!$A$5:$A$882&lt;=EOMONTH(CD$3,0))*'PA Fees Actual'!$D$5:$D$882),CD$3&gt;=EOMONTH($X60,-1)+1,$Y60,TRUE,0)</f>
        <v>137.3175</v>
      </c>
      <c r="CE60" s="202" cm="1">
        <f t="array" ref="CE60">_xlfn.IFS(CE$3&lt;$B$2,SUMPRODUCT(('PA Fees Actual'!$B$5:$B$882=$E60)*('PA Fees Actual'!$A$5:$A$882&gt;=CE$3)*('PA Fees Actual'!$A$5:$A$882&lt;=EOMONTH(CE$3,0))*'PA Fees Actual'!$D$5:$D$882),CE$3&gt;=EOMONTH($X60,-1)+1,$Y60,TRUE,0)</f>
        <v>137.3175</v>
      </c>
      <c r="CF60" s="202" cm="1">
        <f t="array" ref="CF60">_xlfn.IFS(CF$3&lt;$B$2,SUMPRODUCT(('PA Fees Actual'!$B$5:$B$882=$E60)*('PA Fees Actual'!$A$5:$A$882&gt;=CF$3)*('PA Fees Actual'!$A$5:$A$882&lt;=EOMONTH(CF$3,0))*'PA Fees Actual'!$D$5:$D$882),CF$3&gt;=EOMONTH($X60,-1)+1,$Y60,TRUE,0)</f>
        <v>137.3175</v>
      </c>
      <c r="CG60" s="202" cm="1">
        <f t="array" ref="CG60">_xlfn.IFS(CG$3&lt;$B$2,SUMPRODUCT(('PA Fees Actual'!$B$5:$B$882=$E60)*('PA Fees Actual'!$A$5:$A$882&gt;=CG$3)*('PA Fees Actual'!$A$5:$A$882&lt;=EOMONTH(CG$3,0))*'PA Fees Actual'!$D$5:$D$882),CG$3&gt;=EOMONTH($X60,-1)+1,$Y60,TRUE,0)</f>
        <v>137.3175</v>
      </c>
      <c r="CI60" s="202" cm="1">
        <f t="array" ref="CI60">_xlfn.IFS(CI$3&lt;=YEAR($B$2),SUMPRODUCT(($E$4:$E$79=$E60)*($Z$2:$CG$2=CI$3)*($Z$2:$CG$2&lt;CJ$3)*$Z$4:$CG$79),CI$3&lt;YEAR($X60),0,CI$3=YEAR($X60),DATEDIF($X60,DATE(CI$3,12,31),"m")*$Y60,AND(CI$3&gt;YEAR($X60),CI$3-YEAR($X60)&lt;20),$Y60*12,CI$3-YEAR($X60)=20,DATEDIF(DATE(YEAR($X60),1,1),$X60,"m")*$Y60,CI$3-YEAR($X60)&gt;20,0)</f>
        <v>0</v>
      </c>
      <c r="CJ60" s="202" cm="1">
        <f t="array" ref="CJ60">_xlfn.IFS(CJ$3&lt;=YEAR($B$2),SUMPRODUCT(($E$4:$E$79=$E60)*($Z$2:$CG$2=CJ$3)*($Z$2:$CG$2&lt;CK$3)*$Z$4:$CG$79),CJ$3&lt;YEAR($X60),0,CJ$3=YEAR($X60),DATEDIF($X60,DATE(CJ$3,12,31),"m")*$Y60,AND(CJ$3&gt;YEAR($X60),CJ$3-YEAR($X60)&lt;20),$Y60*12,CJ$3-YEAR($X60)=20,DATEDIF(DATE(YEAR($X60),1,1),$X60,"m")*$Y60,CJ$3-YEAR($X60)&gt;20,0)</f>
        <v>0</v>
      </c>
      <c r="CK60" s="202" cm="1">
        <f t="array" ref="CK60">_xlfn.IFS(CK$3&lt;=YEAR($B$2),SUMPRODUCT(($E$4:$E$79=$E60)*($Z$2:$CG$2=CK$3)*($Z$2:$CG$2&lt;CL$3)*$Z$4:$CG$79),CK$3&lt;YEAR($X60),0,CK$3=YEAR($X60),DATEDIF($X60,DATE(CK$3,12,31),"m")*$Y60,AND(CK$3&gt;YEAR($X60),CK$3-YEAR($X60)&lt;20),$Y60*12,CK$3-YEAR($X60)=20,DATEDIF(DATE(YEAR($X60),1,1),$X60,"m")*$Y60,CK$3-YEAR($X60)&gt;20,0)</f>
        <v>0</v>
      </c>
      <c r="CL60" s="202" cm="1">
        <f t="array" ref="CL60">_xlfn.IFS(CL$3&lt;=YEAR($B$2),SUMPRODUCT(($E$4:$E$79=$E60)*($Z$2:$CG$2=CL$3)*($Z$2:$CG$2&lt;CM$3)*$Z$4:$CG$79),CL$3&lt;YEAR($X60),0,CL$3=YEAR($X60),DATEDIF($X60,DATE(CL$3,12,31),"m")*$Y60,AND(CL$3&gt;YEAR($X60),CL$3-YEAR($X60)&lt;20),$Y60*12,CL$3-YEAR($X60)=20,DATEDIF(DATE(YEAR($X60),1,1),$X60,"m")*$Y60,CL$3-YEAR($X60)&gt;20,0)</f>
        <v>0</v>
      </c>
      <c r="CM60" s="202" cm="1">
        <f t="array" ref="CM60">_xlfn.IFS(CM$3&lt;=YEAR($B$2),SUMPRODUCT(($E$4:$E$79=$E60)*($Z$2:$CG$2=CM$3)*($Z$2:$CG$2&lt;CN$3)*$Z$4:$CG$79),CM$3&lt;YEAR($X60),0,CM$3=YEAR($X60),DATEDIF($X60,DATE(CM$3,12,31),"m")*$Y60,AND(CM$3&gt;YEAR($X60),CM$3-YEAR($X60)&lt;20),$Y60*12,CM$3-YEAR($X60)=20,DATEDIF(DATE(YEAR($X60),1,1),$X60,"m")*$Y60,CM$3-YEAR($X60)&gt;20,0)</f>
        <v>1129.085</v>
      </c>
      <c r="CN60" s="202" cm="1">
        <f t="array" ref="CN60">_xlfn.IFS(CN$3&lt;=YEAR($B$2),SUMPRODUCT(($E$4:$E$79=$E60)*($Z$2:$CG$2=CN$3)*($Z$2:$CG$2&lt;CO$3)*$Z$4:$CG$79),CN$3&lt;YEAR($X60),0,CN$3=YEAR($X60),DATEDIF($X60,DATE(CN$3,12,31),"m")*$Y60,AND(CN$3&gt;YEAR($X60),CN$3-YEAR($X60)&lt;20),$Y60*12,CN$3-YEAR($X60)=20,DATEDIF(DATE(YEAR($X60),1,1),$X60,"m")*$Y60,CN$3-YEAR($X60)&gt;20,0)</f>
        <v>1647.81</v>
      </c>
      <c r="CO60" s="202" cm="1">
        <f t="array" ref="CO60">_xlfn.IFS(CO$3&lt;=YEAR($B$2),SUMPRODUCT(($E$4:$E$79=$E60)*($Z$2:$CG$2=CO$3)*($Z$2:$CG$2&lt;CP$3)*$Z$4:$CG$79),CO$3&lt;YEAR($X60),0,CO$3=YEAR($X60),DATEDIF($X60,DATE(CO$3,12,31),"m")*$Y60,AND(CO$3&gt;YEAR($X60),CO$3-YEAR($X60)&lt;20),$Y60*12,CO$3-YEAR($X60)=20,DATEDIF(DATE(YEAR($X60),1,1),$X60,"m")*$Y60,CO$3-YEAR($X60)&gt;20,0)</f>
        <v>1647.81</v>
      </c>
      <c r="CP60" s="202" cm="1">
        <f t="array" ref="CP60">_xlfn.IFS(CP$3&lt;=YEAR($B$2),SUMPRODUCT(($E$4:$E$79=$E60)*($Z$2:$CG$2=CP$3)*($Z$2:$CG$2&lt;CQ$3)*$Z$4:$CG$79),CP$3&lt;YEAR($X60),0,CP$3=YEAR($X60),DATEDIF($X60,DATE(CP$3,12,31),"m")*$Y60,AND(CP$3&gt;YEAR($X60),CP$3-YEAR($X60)&lt;20),$Y60*12,CP$3-YEAR($X60)=20,DATEDIF(DATE(YEAR($X60),1,1),$X60,"m")*$Y60,CP$3-YEAR($X60)&gt;20,0)</f>
        <v>1647.81</v>
      </c>
      <c r="CQ60" s="202" cm="1">
        <f t="array" ref="CQ60">_xlfn.IFS(CQ$3&lt;=YEAR($B$2),SUMPRODUCT(($E$4:$E$79=$E60)*($Z$2:$CG$2=CQ$3)*($Z$2:$CG$2&lt;CR$3)*$Z$4:$CG$79),CQ$3&lt;YEAR($X60),0,CQ$3=YEAR($X60),DATEDIF($X60,DATE(CQ$3,12,31),"m")*$Y60,AND(CQ$3&gt;YEAR($X60),CQ$3-YEAR($X60)&lt;20),$Y60*12,CQ$3-YEAR($X60)=20,DATEDIF(DATE(YEAR($X60),1,1),$X60,"m")*$Y60,CQ$3-YEAR($X60)&gt;20,0)</f>
        <v>1647.81</v>
      </c>
      <c r="CR60" s="202" cm="1">
        <f t="array" ref="CR60">_xlfn.IFS(CR$3&lt;=YEAR($B$2),SUMPRODUCT(($E$4:$E$79=$E60)*($Z$2:$CG$2=CR$3)*($Z$2:$CG$2&lt;CS$3)*$Z$4:$CG$79),CR$3&lt;YEAR($X60),0,CR$3=YEAR($X60),DATEDIF($X60,DATE(CR$3,12,31),"m")*$Y60,AND(CR$3&gt;YEAR($X60),CR$3-YEAR($X60)&lt;20),$Y60*12,CR$3-YEAR($X60)=20,DATEDIF(DATE(YEAR($X60),1,1),$X60,"m")*$Y60,CR$3-YEAR($X60)&gt;20,0)</f>
        <v>1647.81</v>
      </c>
      <c r="CS60" s="202" cm="1">
        <f t="array" ref="CS60">_xlfn.IFS(CS$3&lt;=YEAR($B$2),SUMPRODUCT(($E$4:$E$79=$E60)*($Z$2:$CG$2=CS$3)*($Z$2:$CG$2&lt;CT$3)*$Z$4:$CG$79),CS$3&lt;YEAR($X60),0,CS$3=YEAR($X60),DATEDIF($X60,DATE(CS$3,12,31),"m")*$Y60,AND(CS$3&gt;YEAR($X60),CS$3-YEAR($X60)&lt;20),$Y60*12,CS$3-YEAR($X60)=20,DATEDIF(DATE(YEAR($X60),1,1),$X60,"m")*$Y60,CS$3-YEAR($X60)&gt;20,0)</f>
        <v>1647.81</v>
      </c>
      <c r="CT60" s="202" cm="1">
        <f t="array" ref="CT60">_xlfn.IFS(CT$3&lt;=YEAR($B$2),SUMPRODUCT(($E$4:$E$79=$E60)*($Z$2:$CG$2=CT$3)*($Z$2:$CG$2&lt;CU$3)*$Z$4:$CG$79),CT$3&lt;YEAR($X60),0,CT$3=YEAR($X60),DATEDIF($X60,DATE(CT$3,12,31),"m")*$Y60,AND(CT$3&gt;YEAR($X60),CT$3-YEAR($X60)&lt;20),$Y60*12,CT$3-YEAR($X60)=20,DATEDIF(DATE(YEAR($X60),1,1),$X60,"m")*$Y60,CT$3-YEAR($X60)&gt;20,0)</f>
        <v>1647.81</v>
      </c>
      <c r="CU60" s="202" cm="1">
        <f t="array" ref="CU60">_xlfn.IFS(CU$3&lt;=YEAR($B$2),SUMPRODUCT(($E$4:$E$79=$E60)*($Z$2:$CG$2=CU$3)*($Z$2:$CG$2&lt;CV$3)*$Z$4:$CG$79),CU$3&lt;YEAR($X60),0,CU$3=YEAR($X60),DATEDIF($X60,DATE(CU$3,12,31),"m")*$Y60,AND(CU$3&gt;YEAR($X60),CU$3-YEAR($X60)&lt;20),$Y60*12,CU$3-YEAR($X60)=20,DATEDIF(DATE(YEAR($X60),1,1),$X60,"m")*$Y60,CU$3-YEAR($X60)&gt;20,0)</f>
        <v>1647.81</v>
      </c>
      <c r="CV60" s="202" cm="1">
        <f t="array" ref="CV60">_xlfn.IFS(CV$3&lt;=YEAR($B$2),SUMPRODUCT(($E$4:$E$79=$E60)*($Z$2:$CG$2=CV$3)*($Z$2:$CG$2&lt;CW$3)*$Z$4:$CG$79),CV$3&lt;YEAR($X60),0,CV$3=YEAR($X60),DATEDIF($X60,DATE(CV$3,12,31),"m")*$Y60,AND(CV$3&gt;YEAR($X60),CV$3-YEAR($X60)&lt;20),$Y60*12,CV$3-YEAR($X60)=20,DATEDIF(DATE(YEAR($X60),1,1),$X60,"m")*$Y60,CV$3-YEAR($X60)&gt;20,0)</f>
        <v>1647.81</v>
      </c>
      <c r="CW60" s="202" cm="1">
        <f t="array" ref="CW60">_xlfn.IFS(CW$3&lt;=YEAR($B$2),SUMPRODUCT(($E$4:$E$79=$E60)*($Z$2:$CG$2=CW$3)*($Z$2:$CG$2&lt;CX$3)*$Z$4:$CG$79),CW$3&lt;YEAR($X60),0,CW$3=YEAR($X60),DATEDIF($X60,DATE(CW$3,12,31),"m")*$Y60,AND(CW$3&gt;YEAR($X60),CW$3-YEAR($X60)&lt;20),$Y60*12,CW$3-YEAR($X60)=20,DATEDIF(DATE(YEAR($X60),1,1),$X60,"m")*$Y60,CW$3-YEAR($X60)&gt;20,0)</f>
        <v>1647.81</v>
      </c>
      <c r="CX60" s="202" cm="1">
        <f t="array" ref="CX60">_xlfn.IFS(CX$3&lt;=YEAR($B$2),SUMPRODUCT(($E$4:$E$79=$E60)*($Z$2:$CG$2=CX$3)*($Z$2:$CG$2&lt;CY$3)*$Z$4:$CG$79),CX$3&lt;YEAR($X60),0,CX$3=YEAR($X60),DATEDIF($X60,DATE(CX$3,12,31),"m")*$Y60,AND(CX$3&gt;YEAR($X60),CX$3-YEAR($X60)&lt;20),$Y60*12,CX$3-YEAR($X60)=20,DATEDIF(DATE(YEAR($X60),1,1),$X60,"m")*$Y60,CX$3-YEAR($X60)&gt;20,0)</f>
        <v>1647.81</v>
      </c>
      <c r="CY60" s="202" cm="1">
        <f t="array" ref="CY60">_xlfn.IFS(CY$3&lt;=YEAR($B$2),SUMPRODUCT(($E$4:$E$79=$E60)*($Z$2:$CG$2=CY$3)*($Z$2:$CG$2&lt;CZ$3)*$Z$4:$CG$79),CY$3&lt;YEAR($X60),0,CY$3=YEAR($X60),DATEDIF($X60,DATE(CY$3,12,31),"m")*$Y60,AND(CY$3&gt;YEAR($X60),CY$3-YEAR($X60)&lt;20),$Y60*12,CY$3-YEAR($X60)=20,DATEDIF(DATE(YEAR($X60),1,1),$X60,"m")*$Y60,CY$3-YEAR($X60)&gt;20,0)</f>
        <v>1647.81</v>
      </c>
      <c r="CZ60" s="202" cm="1">
        <f t="array" ref="CZ60">_xlfn.IFS(CZ$3&lt;=YEAR($B$2),SUMPRODUCT(($E$4:$E$79=$E60)*($Z$2:$CG$2=CZ$3)*($Z$2:$CG$2&lt;DA$3)*$Z$4:$CG$79),CZ$3&lt;YEAR($X60),0,CZ$3=YEAR($X60),DATEDIF($X60,DATE(CZ$3,12,31),"m")*$Y60,AND(CZ$3&gt;YEAR($X60),CZ$3-YEAR($X60)&lt;20),$Y60*12,CZ$3-YEAR($X60)=20,DATEDIF(DATE(YEAR($X60),1,1),$X60,"m")*$Y60,CZ$3-YEAR($X60)&gt;20,0)</f>
        <v>1647.81</v>
      </c>
      <c r="DA60" s="202" cm="1">
        <f t="array" ref="DA60">_xlfn.IFS(DA$3&lt;=YEAR($B$2),SUMPRODUCT(($E$4:$E$79=$E60)*($Z$2:$CG$2=DA$3)*($Z$2:$CG$2&lt;DB$3)*$Z$4:$CG$79),DA$3&lt;YEAR($X60),0,DA$3=YEAR($X60),DATEDIF($X60,DATE(DA$3,12,31),"m")*$Y60,AND(DA$3&gt;YEAR($X60),DA$3-YEAR($X60)&lt;20),$Y60*12,DA$3-YEAR($X60)=20,DATEDIF(DATE(YEAR($X60),1,1),$X60,"m")*$Y60,DA$3-YEAR($X60)&gt;20,0)</f>
        <v>1647.81</v>
      </c>
      <c r="DB60" s="202" cm="1">
        <f t="array" ref="DB60">_xlfn.IFS(DB$3&lt;=YEAR($B$2),SUMPRODUCT(($E$4:$E$79=$E60)*($Z$2:$CG$2=DB$3)*($Z$2:$CG$2&lt;DC$3)*$Z$4:$CG$79),DB$3&lt;YEAR($X60),0,DB$3=YEAR($X60),DATEDIF($X60,DATE(DB$3,12,31),"m")*$Y60,AND(DB$3&gt;YEAR($X60),DB$3-YEAR($X60)&lt;20),$Y60*12,DB$3-YEAR($X60)=20,DATEDIF(DATE(YEAR($X60),1,1),$X60,"m")*$Y60,DB$3-YEAR($X60)&gt;20,0)</f>
        <v>1647.81</v>
      </c>
      <c r="DC60" s="202" cm="1">
        <f t="array" ref="DC60">_xlfn.IFS(DC$3&lt;=YEAR($B$2),SUMPRODUCT(($E$4:$E$79=$E60)*($Z$2:$CG$2=DC$3)*($Z$2:$CG$2&lt;DD$3)*$Z$4:$CG$79),DC$3&lt;YEAR($X60),0,DC$3=YEAR($X60),DATEDIF($X60,DATE(DC$3,12,31),"m")*$Y60,AND(DC$3&gt;YEAR($X60),DC$3-YEAR($X60)&lt;20),$Y60*12,DC$3-YEAR($X60)=20,DATEDIF(DATE(YEAR($X60),1,1),$X60,"m")*$Y60,DC$3-YEAR($X60)&gt;20,0)</f>
        <v>1647.81</v>
      </c>
      <c r="DD60" s="202" cm="1">
        <f t="array" ref="DD60">_xlfn.IFS(DD$3&lt;=YEAR($B$2),SUMPRODUCT(($E$4:$E$79=$E60)*($Z$2:$CG$2=DD$3)*($Z$2:$CG$2&lt;DE$3)*$Z$4:$CG$79),DD$3&lt;YEAR($X60),0,DD$3=YEAR($X60),DATEDIF($X60,DATE(DD$3,12,31),"m")*$Y60,AND(DD$3&gt;YEAR($X60),DD$3-YEAR($X60)&lt;20),$Y60*12,DD$3-YEAR($X60)=20,DATEDIF(DATE(YEAR($X60),1,1),$X60,"m")*$Y60,DD$3-YEAR($X60)&gt;20,0)</f>
        <v>1647.81</v>
      </c>
      <c r="DE60" s="202" cm="1">
        <f t="array" ref="DE60">_xlfn.IFS(DE$3&lt;=YEAR($B$2),SUMPRODUCT(($E$4:$E$79=$E60)*($Z$2:$CG$2=DE$3)*($Z$2:$CG$2&lt;DF$3)*$Z$4:$CG$79),DE$3&lt;YEAR($X60),0,DE$3=YEAR($X60),DATEDIF($X60,DATE(DE$3,12,31),"m")*$Y60,AND(DE$3&gt;YEAR($X60),DE$3-YEAR($X60)&lt;20),$Y60*12,DE$3-YEAR($X60)=20,DATEDIF(DATE(YEAR($X60),1,1),$X60,"m")*$Y60,DE$3-YEAR($X60)&gt;20,0)</f>
        <v>1647.81</v>
      </c>
      <c r="DF60" s="202" cm="1">
        <f t="array" ref="DF60">_xlfn.IFS(DF$3&lt;=YEAR($B$2),SUMPRODUCT(($E$4:$E$79=$E60)*($Z$2:$CG$2=DF$3)*($Z$2:$CG$2&lt;DG$3)*$Z$4:$CG$79),DF$3&lt;YEAR($X60),0,DF$3=YEAR($X60),DATEDIF($X60,DATE(DF$3,12,31),"m")*$Y60,AND(DF$3&gt;YEAR($X60),DF$3-YEAR($X60)&lt;20),$Y60*12,DF$3-YEAR($X60)=20,DATEDIF(DATE(YEAR($X60),1,1),$X60,"m")*$Y60,DF$3-YEAR($X60)&gt;20,0)</f>
        <v>1647.81</v>
      </c>
      <c r="DG60" s="202" cm="1">
        <f t="array" ref="DG60">_xlfn.IFS(DG$3&lt;=YEAR($B$2),SUMPRODUCT(($E$4:$E$79=$E60)*($Z$2:$CG$2=DG$3)*($Z$2:$CG$2&lt;DH$3)*$Z$4:$CG$79),DG$3&lt;YEAR($X60),0,DG$3=YEAR($X60),DATEDIF($X60,DATE(DG$3,12,31),"m")*$Y60,AND(DG$3&gt;YEAR($X60),DG$3-YEAR($X60)&lt;20),$Y60*12,DG$3-YEAR($X60)=20,DATEDIF(DATE(YEAR($X60),1,1),$X60,"m")*$Y60,DG$3-YEAR($X60)&gt;20,0)</f>
        <v>274.63499999999999</v>
      </c>
      <c r="DH60" s="202" cm="1">
        <f t="array" ref="DH60">_xlfn.IFS(DH$3&lt;=YEAR($B$2),SUMPRODUCT(($E$4:$E$79=$E60)*($Z$2:$CG$2=DH$3)*($Z$2:$CG$2&lt;DI$3)*$Z$4:$CG$79),DH$3&lt;YEAR($X60),0,DH$3=YEAR($X60),DATEDIF($X60,DATE(DH$3,12,31),"m")*$Y60,AND(DH$3&gt;YEAR($X60),DH$3-YEAR($X60)&lt;20),$Y60*12,DH$3-YEAR($X60)=20,DATEDIF(DATE(YEAR($X60),1,1),$X60,"m")*$Y60,DH$3-YEAR($X60)&gt;20,0)</f>
        <v>0</v>
      </c>
      <c r="DI60" s="202" cm="1">
        <f t="array" ref="DI60">_xlfn.IFS(DI$3&lt;=YEAR($B$2),SUMPRODUCT(($E$4:$E$79=$E60)*($Z$2:$CG$2=DI$3)*($Z$2:$CG$2&lt;DJ$3)*$Z$4:$CG$79),DI$3&lt;YEAR($X60),0,DI$3=YEAR($X60),DATEDIF($X60,DATE(DI$3,12,31),"m")*$Y60,AND(DI$3&gt;YEAR($X60),DI$3-YEAR($X60)&lt;20),$Y60*12,DI$3-YEAR($X60)=20,DATEDIF(DATE(YEAR($X60),1,1),$X60,"m")*$Y60,DI$3-YEAR($X60)&gt;20,0)</f>
        <v>0</v>
      </c>
      <c r="DJ60" s="202" cm="1">
        <f t="array" ref="DJ60">_xlfn.IFS(DJ$3&lt;=YEAR($B$2),SUMPRODUCT(($E$4:$E$79=$E60)*($Z$2:$CG$2=DJ$3)*($Z$2:$CG$2&lt;DK$3)*$Z$4:$CG$79),DJ$3&lt;YEAR($X60),0,DJ$3=YEAR($X60),DATEDIF($X60,DATE(DJ$3,12,31),"m")*$Y60,AND(DJ$3&gt;YEAR($X60),DJ$3-YEAR($X60)&lt;20),$Y60*12,DJ$3-YEAR($X60)=20,DATEDIF(DATE(YEAR($X60),1,1),$X60,"m")*$Y60,DJ$3-YEAR($X60)&gt;20,0)</f>
        <v>0</v>
      </c>
      <c r="DK60" s="202" cm="1">
        <f t="array" ref="DK60">_xlfn.IFS(DK$3&lt;=YEAR($B$2),SUMPRODUCT(($E$4:$E$79=$E60)*($Z$2:$CG$2=DK$3)*($Z$2:$CG$2&lt;DL$3)*$Z$4:$CG$79),DK$3&lt;YEAR($X60),0,DK$3=YEAR($X60),DATEDIF($X60,DATE(DK$3,12,31),"m")*$Y60,AND(DK$3&gt;YEAR($X60),DK$3-YEAR($X60)&lt;20),$Y60*12,DK$3-YEAR($X60)=20,DATEDIF(DATE(YEAR($X60),1,1),$X60,"m")*$Y60,DK$3-YEAR($X60)&gt;20,0)</f>
        <v>0</v>
      </c>
      <c r="DL60" s="202" cm="1">
        <f t="array" ref="DL60">_xlfn.IFS(DL$3&lt;=YEAR($B$2),SUMPRODUCT(($E$4:$E$79=$E60)*($Z$2:$CG$2=DL$3)*($Z$2:$CG$2&lt;DM$3)*$Z$4:$CG$79),DL$3&lt;YEAR($X60),0,DL$3=YEAR($X60),DATEDIF($X60,DATE(DL$3,12,31),"m")*$Y60,AND(DL$3&gt;YEAR($X60),DL$3-YEAR($X60)&lt;20),$Y60*12,DL$3-YEAR($X60)=20,DATEDIF(DATE(YEAR($X60),1,1),$X60,"m")*$Y60,DL$3-YEAR($X60)&gt;20,0)</f>
        <v>0</v>
      </c>
    </row>
    <row r="61" spans="1:116">
      <c r="A61" s="155" t="str" cm="1">
        <f t="array" ref="A61">INDEX('Monthly Report July 2025'!C:C,MATCH(E61,'Monthly Report July 2025'!E:E,0),0)</f>
        <v>OCS045</v>
      </c>
      <c r="B61" s="155" t="str" cm="1">
        <f t="array" ref="B61">_xlfn.IFS(LEFT(E61,3)="PGE","PGE",LEFT(E61,2)="PP","PAC",TRUE,"IP")</f>
        <v>PAC</v>
      </c>
      <c r="C61" s="155" t="str">
        <f>IF(ISNA(MATCH(E61,'Monthly Report July 2025'!E:E,0)),"Missing","Present")</f>
        <v>Present</v>
      </c>
      <c r="D61" s="155" t="str">
        <f>IF(ISNA(MATCH(E61,'Project Operational Timelines'!C:C,0))=TRUE,"Missing","Present")</f>
        <v>Present</v>
      </c>
      <c r="E61" s="155" t="s">
        <v>169</v>
      </c>
      <c r="F61" s="155" t="str" cm="1">
        <f t="array" ref="F61">INDEX('Monthly Report July 2025'!F:F,MATCH(E61,'Monthly Report July 2025'!E:E,),0)</f>
        <v>Green Solar</v>
      </c>
      <c r="G61" s="155" t="str" cm="1">
        <f t="array" ref="G61">_xlfn.IFS(INDEX('Monthly Report July 2025'!O:O,MATCH(E61,'Monthly Report July 2025'!E:E,0),0)="Operational","Operational",INDEX('Monthly Report July 2025'!O:O,MATCH(E61,'Monthly Report July 2025'!E:E,0),0)="Certified","Certified",TRUE,"Pre-Certified")</f>
        <v>Operational</v>
      </c>
      <c r="H61" s="155" t="str" cm="1">
        <f t="array" ref="H61">INDEX('Monthly Report July 2025'!H:H,MATCH($E61,'Monthly Report July 2025'!$E:$E,0),0)</f>
        <v>Greenkey Solar</v>
      </c>
      <c r="I61" s="155" t="str" cm="1">
        <f t="array" ref="I61">INDEX('Monthly Report July 2025'!I:I,MATCH($E61,'Monthly Report July 2025'!$E:$E,0),0)</f>
        <v>SolRiver Capital</v>
      </c>
      <c r="J61" s="174" cm="1">
        <f t="array" ref="J61">INDEX('Monthly Report July 2025'!J:J,MATCH($E61,'Monthly Report July 2025'!$E:$E,0),0)</f>
        <v>2</v>
      </c>
      <c r="K61" s="174" t="str" cm="1">
        <f t="array" ref="K61">INDEX('Monthly Report July 2025'!K:K,MATCH($E61,'Monthly Report July 2025'!$E:$E,0),0)</f>
        <v>No</v>
      </c>
      <c r="L61" s="174" t="b" cm="1">
        <f t="array" ref="L61">INDEX('Monthly Report July 2025'!L:L,MATCH(E61,'Monthly Report July 2025'!E:E,0),0)=M61</f>
        <v>1</v>
      </c>
      <c r="M61" s="273" cm="1">
        <f t="array" ref="M61">INDEX('Monthly Report July 2025'!L:L,MATCH($E61,'Monthly Report July 2025'!$E:$E,0),0)</f>
        <v>2875</v>
      </c>
      <c r="N61" s="175" cm="1">
        <f t="array" ref="N61">INDEX('Monthly Report July 2025'!M:M,MATCH($E61,'Monthly Report July 2025'!$E:$E,0),0)</f>
        <v>44666</v>
      </c>
      <c r="O61" s="175" t="str" cm="1">
        <f t="array" ref="O61">_xlfn.IFS(G61="Operational","Operational",G61="Certified","Certified",TRUE,INDEX('Monthly Report July 2025'!O:O,MATCH(E61,'Monthly Report July 2025'!E:E,0),0))</f>
        <v>Operational</v>
      </c>
      <c r="P61" s="175" t="b" cm="1">
        <f t="array" ref="P61">_xlfn.IFS(G61="Operational",O61="Operational",G61="Certified",O61="Certified",TRUE,G61="Pre-Certified")</f>
        <v>1</v>
      </c>
      <c r="Q61" s="175" cm="1">
        <f t="array" ref="Q61">IF(O61="Operational",INDEX('Monthly Report July 2025'!R:R,MATCH(E61,'Monthly Report July 2025'!E:E,0),0),"")</f>
        <v>45474</v>
      </c>
      <c r="R61" s="175" cm="1">
        <f t="array" ref="R61">INDEX('Monthly Report July 2025'!P:P,MATCH(E61,'Monthly Report July 2025'!E:E,0),0)</f>
        <v>45468</v>
      </c>
      <c r="S61" s="175" t="b">
        <f t="shared" si="28"/>
        <v>1</v>
      </c>
      <c r="T61" s="175" cm="1">
        <f t="array" ref="T61">INDEX('Monthly Report July 2025'!U:U,MATCH(E61,'Monthly Report July 2025'!E:E,0),0)</f>
        <v>44855</v>
      </c>
      <c r="U61" s="175" t="str">
        <f t="shared" si="6"/>
        <v>IGNORE</v>
      </c>
      <c r="V61" s="156">
        <f t="shared" si="29"/>
        <v>45468</v>
      </c>
      <c r="W61" s="156" cm="1">
        <f t="array" ref="W61">_xlfn.IFS(U61=TRUE,EDATE(O61,6),U61=FALSE,T61,O61="Operational",Q61,AND(O61="Certified",EDATE(R61,6)&gt;T61),EDATE(R61,6),TRUE,T61)</f>
        <v>45474</v>
      </c>
      <c r="X61" s="156">
        <f t="shared" si="30"/>
        <v>45536</v>
      </c>
      <c r="Y61" s="157">
        <f t="shared" si="31"/>
        <v>2077.1875</v>
      </c>
      <c r="Z61" s="202" cm="1">
        <f t="array" ref="Z61">_xlfn.IFS(Z$3&lt;$B$2,SUMPRODUCT(('PA Fees Actual'!$B$5:$B$882=$E61)*('PA Fees Actual'!$A$5:$A$882&gt;=Z$3)*('PA Fees Actual'!$A$5:$A$882&lt;=EOMONTH(Z$3,0))*'PA Fees Actual'!$D$5:$D$882),Z$3&gt;=EOMONTH($X61,-1)+1,$Y61,TRUE,0)</f>
        <v>0</v>
      </c>
      <c r="AA61" s="202" cm="1">
        <f t="array" ref="AA61">_xlfn.IFS(AA$3&lt;$B$2,SUMPRODUCT(('PA Fees Actual'!$B$5:$B$882=$E61)*('PA Fees Actual'!$A$5:$A$882&gt;=AA$3)*('PA Fees Actual'!$A$5:$A$882&lt;=EOMONTH(AA$3,0))*'PA Fees Actual'!$D$5:$D$882),AA$3&gt;=EOMONTH($X61,-1)+1,$Y61,TRUE,0)</f>
        <v>0</v>
      </c>
      <c r="AB61" s="202" cm="1">
        <f t="array" ref="AB61">_xlfn.IFS(AB$3&lt;$B$2,SUMPRODUCT(('PA Fees Actual'!$B$5:$B$882=$E61)*('PA Fees Actual'!$A$5:$A$882&gt;=AB$3)*('PA Fees Actual'!$A$5:$A$882&lt;=EOMONTH(AB$3,0))*'PA Fees Actual'!$D$5:$D$882),AB$3&gt;=EOMONTH($X61,-1)+1,$Y61,TRUE,0)</f>
        <v>0</v>
      </c>
      <c r="AC61" s="202" cm="1">
        <f t="array" ref="AC61">_xlfn.IFS(AC$3&lt;$B$2,SUMPRODUCT(('PA Fees Actual'!$B$5:$B$882=$E61)*('PA Fees Actual'!$A$5:$A$882&gt;=AC$3)*('PA Fees Actual'!$A$5:$A$882&lt;=EOMONTH(AC$3,0))*'PA Fees Actual'!$D$5:$D$882),AC$3&gt;=EOMONTH($X61,-1)+1,$Y61,TRUE,0)</f>
        <v>0</v>
      </c>
      <c r="AD61" s="202" cm="1">
        <f t="array" ref="AD61">_xlfn.IFS(AD$3&lt;$B$2,SUMPRODUCT(('PA Fees Actual'!$B$5:$B$882=$E61)*('PA Fees Actual'!$A$5:$A$882&gt;=AD$3)*('PA Fees Actual'!$A$5:$A$882&lt;=EOMONTH(AD$3,0))*'PA Fees Actual'!$D$5:$D$882),AD$3&gt;=EOMONTH($X61,-1)+1,$Y61,TRUE,0)</f>
        <v>0</v>
      </c>
      <c r="AE61" s="202" cm="1">
        <f t="array" ref="AE61">_xlfn.IFS(AE$3&lt;$B$2,SUMPRODUCT(('PA Fees Actual'!$B$5:$B$882=$E61)*('PA Fees Actual'!$A$5:$A$882&gt;=AE$3)*('PA Fees Actual'!$A$5:$A$882&lt;=EOMONTH(AE$3,0))*'PA Fees Actual'!$D$5:$D$882),AE$3&gt;=EOMONTH($X61,-1)+1,$Y61,TRUE,0)</f>
        <v>0</v>
      </c>
      <c r="AF61" s="202" cm="1">
        <f t="array" ref="AF61">_xlfn.IFS(AF$3&lt;$B$2,SUMPRODUCT(('PA Fees Actual'!$B$5:$B$882=$E61)*('PA Fees Actual'!$A$5:$A$882&gt;=AF$3)*('PA Fees Actual'!$A$5:$A$882&lt;=EOMONTH(AF$3,0))*'PA Fees Actual'!$D$5:$D$882),AF$3&gt;=EOMONTH($X61,-1)+1,$Y61,TRUE,0)</f>
        <v>0</v>
      </c>
      <c r="AG61" s="202" cm="1">
        <f t="array" ref="AG61">_xlfn.IFS(AG$3&lt;$B$2,SUMPRODUCT(('PA Fees Actual'!$B$5:$B$882=$E61)*('PA Fees Actual'!$A$5:$A$882&gt;=AG$3)*('PA Fees Actual'!$A$5:$A$882&lt;=EOMONTH(AG$3,0))*'PA Fees Actual'!$D$5:$D$882),AG$3&gt;=EOMONTH($X61,-1)+1,$Y61,TRUE,0)</f>
        <v>0</v>
      </c>
      <c r="AH61" s="202" cm="1">
        <f t="array" ref="AH61">_xlfn.IFS(AH$3&lt;$B$2,SUMPRODUCT(('PA Fees Actual'!$B$5:$B$882=$E61)*('PA Fees Actual'!$A$5:$A$882&gt;=AH$3)*('PA Fees Actual'!$A$5:$A$882&lt;=EOMONTH(AH$3,0))*'PA Fees Actual'!$D$5:$D$882),AH$3&gt;=EOMONTH($X61,-1)+1,$Y61,TRUE,0)</f>
        <v>0</v>
      </c>
      <c r="AI61" s="202" cm="1">
        <f t="array" ref="AI61">_xlfn.IFS(AI$3&lt;$B$2,SUMPRODUCT(('PA Fees Actual'!$B$5:$B$882=$E61)*('PA Fees Actual'!$A$5:$A$882&gt;=AI$3)*('PA Fees Actual'!$A$5:$A$882&lt;=EOMONTH(AI$3,0))*'PA Fees Actual'!$D$5:$D$882),AI$3&gt;=EOMONTH($X61,-1)+1,$Y61,TRUE,0)</f>
        <v>0</v>
      </c>
      <c r="AJ61" s="202" cm="1">
        <f t="array" ref="AJ61">_xlfn.IFS(AJ$3&lt;$B$2,SUMPRODUCT(('PA Fees Actual'!$B$5:$B$882=$E61)*('PA Fees Actual'!$A$5:$A$882&gt;=AJ$3)*('PA Fees Actual'!$A$5:$A$882&lt;=EOMONTH(AJ$3,0))*'PA Fees Actual'!$D$5:$D$882),AJ$3&gt;=EOMONTH($X61,-1)+1,$Y61,TRUE,0)</f>
        <v>0</v>
      </c>
      <c r="AK61" s="202" cm="1">
        <f t="array" ref="AK61">_xlfn.IFS(AK$3&lt;$B$2,SUMPRODUCT(('PA Fees Actual'!$B$5:$B$882=$E61)*('PA Fees Actual'!$A$5:$A$882&gt;=AK$3)*('PA Fees Actual'!$A$5:$A$882&lt;=EOMONTH(AK$3,0))*'PA Fees Actual'!$D$5:$D$882),AK$3&gt;=EOMONTH($X61,-1)+1,$Y61,TRUE,0)</f>
        <v>0</v>
      </c>
      <c r="AL61" s="202" cm="1">
        <f t="array" ref="AL61">_xlfn.IFS(AL$3&lt;$B$2,SUMPRODUCT(('PA Fees Actual'!$B$5:$B$882=$E61)*('PA Fees Actual'!$A$5:$A$882&gt;=AL$3)*('PA Fees Actual'!$A$5:$A$882&lt;=EOMONTH(AL$3,0))*'PA Fees Actual'!$D$5:$D$882),AL$3&gt;=EOMONTH($X61,-1)+1,$Y61,TRUE,0)</f>
        <v>0</v>
      </c>
      <c r="AM61" s="202" cm="1">
        <f t="array" ref="AM61">_xlfn.IFS(AM$3&lt;$B$2,SUMPRODUCT(('PA Fees Actual'!$B$5:$B$882=$E61)*('PA Fees Actual'!$A$5:$A$882&gt;=AM$3)*('PA Fees Actual'!$A$5:$A$882&lt;=EOMONTH(AM$3,0))*'PA Fees Actual'!$D$5:$D$882),AM$3&gt;=EOMONTH($X61,-1)+1,$Y61,TRUE,0)</f>
        <v>0</v>
      </c>
      <c r="AN61" s="202" cm="1">
        <f t="array" ref="AN61">_xlfn.IFS(AN$3&lt;$B$2,SUMPRODUCT(('PA Fees Actual'!$B$5:$B$882=$E61)*('PA Fees Actual'!$A$5:$A$882&gt;=AN$3)*('PA Fees Actual'!$A$5:$A$882&lt;=EOMONTH(AN$3,0))*'PA Fees Actual'!$D$5:$D$882),AN$3&gt;=EOMONTH($X61,-1)+1,$Y61,TRUE,0)</f>
        <v>0</v>
      </c>
      <c r="AO61" s="202" cm="1">
        <f t="array" ref="AO61">_xlfn.IFS(AO$3&lt;$B$2,SUMPRODUCT(('PA Fees Actual'!$B$5:$B$882=$E61)*('PA Fees Actual'!$A$5:$A$882&gt;=AO$3)*('PA Fees Actual'!$A$5:$A$882&lt;=EOMONTH(AO$3,0))*'PA Fees Actual'!$D$5:$D$882),AO$3&gt;=EOMONTH($X61,-1)+1,$Y61,TRUE,0)</f>
        <v>0</v>
      </c>
      <c r="AP61" s="202" cm="1">
        <f t="array" ref="AP61">_xlfn.IFS(AP$3&lt;$B$2,SUMPRODUCT(('PA Fees Actual'!$B$5:$B$882=$E61)*('PA Fees Actual'!$A$5:$A$882&gt;=AP$3)*('PA Fees Actual'!$A$5:$A$882&lt;=EOMONTH(AP$3,0))*'PA Fees Actual'!$D$5:$D$882),AP$3&gt;=EOMONTH($X61,-1)+1,$Y61,TRUE,0)</f>
        <v>0</v>
      </c>
      <c r="AQ61" s="202" cm="1">
        <f t="array" ref="AQ61">_xlfn.IFS(AQ$3&lt;$B$2,SUMPRODUCT(('PA Fees Actual'!$B$5:$B$882=$E61)*('PA Fees Actual'!$A$5:$A$882&gt;=AQ$3)*('PA Fees Actual'!$A$5:$A$882&lt;=EOMONTH(AQ$3,0))*'PA Fees Actual'!$D$5:$D$882),AQ$3&gt;=EOMONTH($X61,-1)+1,$Y61,TRUE,0)</f>
        <v>0</v>
      </c>
      <c r="AR61" s="202" cm="1">
        <f t="array" ref="AR61">_xlfn.IFS(AR$3&lt;$B$2,SUMPRODUCT(('PA Fees Actual'!$B$5:$B$882=$E61)*('PA Fees Actual'!$A$5:$A$882&gt;=AR$3)*('PA Fees Actual'!$A$5:$A$882&lt;=EOMONTH(AR$3,0))*'PA Fees Actual'!$D$5:$D$882),AR$3&gt;=EOMONTH($X61,-1)+1,$Y61,TRUE,0)</f>
        <v>0</v>
      </c>
      <c r="AS61" s="202" cm="1">
        <f t="array" ref="AS61">_xlfn.IFS(AS$3&lt;$B$2,SUMPRODUCT(('PA Fees Actual'!$B$5:$B$882=$E61)*('PA Fees Actual'!$A$5:$A$882&gt;=AS$3)*('PA Fees Actual'!$A$5:$A$882&lt;=EOMONTH(AS$3,0))*'PA Fees Actual'!$D$5:$D$882),AS$3&gt;=EOMONTH($X61,-1)+1,$Y61,TRUE,0)</f>
        <v>0</v>
      </c>
      <c r="AT61" s="202" cm="1">
        <f t="array" ref="AT61">_xlfn.IFS(AT$3&lt;$B$2,SUMPRODUCT(('PA Fees Actual'!$B$5:$B$882=$E61)*('PA Fees Actual'!$A$5:$A$882&gt;=AT$3)*('PA Fees Actual'!$A$5:$A$882&lt;=EOMONTH(AT$3,0))*'PA Fees Actual'!$D$5:$D$882),AT$3&gt;=EOMONTH($X61,-1)+1,$Y61,TRUE,0)</f>
        <v>0</v>
      </c>
      <c r="AU61" s="202" cm="1">
        <f t="array" ref="AU61">_xlfn.IFS(AU$3&lt;$B$2,SUMPRODUCT(('PA Fees Actual'!$B$5:$B$882=$E61)*('PA Fees Actual'!$A$5:$A$882&gt;=AU$3)*('PA Fees Actual'!$A$5:$A$882&lt;=EOMONTH(AU$3,0))*'PA Fees Actual'!$D$5:$D$882),AU$3&gt;=EOMONTH($X61,-1)+1,$Y61,TRUE,0)</f>
        <v>0</v>
      </c>
      <c r="AV61" s="202" cm="1">
        <f t="array" ref="AV61">_xlfn.IFS(AV$3&lt;$B$2,SUMPRODUCT(('PA Fees Actual'!$B$5:$B$882=$E61)*('PA Fees Actual'!$A$5:$A$882&gt;=AV$3)*('PA Fees Actual'!$A$5:$A$882&lt;=EOMONTH(AV$3,0))*'PA Fees Actual'!$D$5:$D$882),AV$3&gt;=EOMONTH($X61,-1)+1,$Y61,TRUE,0)</f>
        <v>0</v>
      </c>
      <c r="AW61" s="202" cm="1">
        <f t="array" ref="AW61">_xlfn.IFS(AW$3&lt;$B$2,SUMPRODUCT(('PA Fees Actual'!$B$5:$B$882=$E61)*('PA Fees Actual'!$A$5:$A$882&gt;=AW$3)*('PA Fees Actual'!$A$5:$A$882&lt;=EOMONTH(AW$3,0))*'PA Fees Actual'!$D$5:$D$882),AW$3&gt;=EOMONTH($X61,-1)+1,$Y61,TRUE,0)</f>
        <v>0</v>
      </c>
      <c r="AX61" s="202" cm="1">
        <f t="array" ref="AX61">_xlfn.IFS(AX$3&lt;$B$2,SUMPRODUCT(('PA Fees Actual'!$B$5:$B$882=$E61)*('PA Fees Actual'!$A$5:$A$882&gt;=AX$3)*('PA Fees Actual'!$A$5:$A$882&lt;=EOMONTH(AX$3,0))*'PA Fees Actual'!$D$5:$D$882),AX$3&gt;=EOMONTH($X61,-1)+1,$Y61,TRUE,0)</f>
        <v>0</v>
      </c>
      <c r="AY61" s="202" cm="1">
        <f t="array" ref="AY61">_xlfn.IFS(AY$3&lt;$B$2,SUMPRODUCT(('PA Fees Actual'!$B$5:$B$882=$E61)*('PA Fees Actual'!$A$5:$A$882&gt;=AY$3)*('PA Fees Actual'!$A$5:$A$882&lt;=EOMONTH(AY$3,0))*'PA Fees Actual'!$D$5:$D$882),AY$3&gt;=EOMONTH($X61,-1)+1,$Y61,TRUE,0)</f>
        <v>0</v>
      </c>
      <c r="AZ61" s="202" cm="1">
        <f t="array" ref="AZ61">_xlfn.IFS(AZ$3&lt;$B$2,SUMPRODUCT(('PA Fees Actual'!$B$5:$B$882=$E61)*('PA Fees Actual'!$A$5:$A$882&gt;=AZ$3)*('PA Fees Actual'!$A$5:$A$882&lt;=EOMONTH(AZ$3,0))*'PA Fees Actual'!$D$5:$D$882),AZ$3&gt;=EOMONTH($X61,-1)+1,$Y61,TRUE,0)</f>
        <v>0</v>
      </c>
      <c r="BA61" s="202" cm="1">
        <f t="array" ref="BA61">_xlfn.IFS(BA$3&lt;$B$2,SUMPRODUCT(('PA Fees Actual'!$B$5:$B$882=$E61)*('PA Fees Actual'!$A$5:$A$882&gt;=BA$3)*('PA Fees Actual'!$A$5:$A$882&lt;=EOMONTH(BA$3,0))*'PA Fees Actual'!$D$5:$D$882),BA$3&gt;=EOMONTH($X61,-1)+1,$Y61,TRUE,0)</f>
        <v>0</v>
      </c>
      <c r="BB61" s="202" cm="1">
        <f t="array" ref="BB61">_xlfn.IFS(BB$3&lt;$B$2,SUMPRODUCT(('PA Fees Actual'!$B$5:$B$882=$E61)*('PA Fees Actual'!$A$5:$A$882&gt;=BB$3)*('PA Fees Actual'!$A$5:$A$882&lt;=EOMONTH(BB$3,0))*'PA Fees Actual'!$D$5:$D$882),BB$3&gt;=EOMONTH($X61,-1)+1,$Y61,TRUE,0)</f>
        <v>0</v>
      </c>
      <c r="BC61" s="202" cm="1">
        <f t="array" ref="BC61">_xlfn.IFS(BC$3&lt;$B$2,SUMPRODUCT(('PA Fees Actual'!$B$5:$B$882=$E61)*('PA Fees Actual'!$A$5:$A$882&gt;=BC$3)*('PA Fees Actual'!$A$5:$A$882&lt;=EOMONTH(BC$3,0))*'PA Fees Actual'!$D$5:$D$882),BC$3&gt;=EOMONTH($X61,-1)+1,$Y61,TRUE,0)</f>
        <v>0</v>
      </c>
      <c r="BD61" s="202" cm="1">
        <f t="array" ref="BD61">_xlfn.IFS(BD$3&lt;$B$2,SUMPRODUCT(('PA Fees Actual'!$B$5:$B$882=$E61)*('PA Fees Actual'!$A$5:$A$882&gt;=BD$3)*('PA Fees Actual'!$A$5:$A$882&lt;=EOMONTH(BD$3,0))*'PA Fees Actual'!$D$5:$D$882),BD$3&gt;=EOMONTH($X61,-1)+1,$Y61,TRUE,0)</f>
        <v>0</v>
      </c>
      <c r="BE61" s="202" cm="1">
        <f t="array" ref="BE61">_xlfn.IFS(BE$3&lt;$B$2,SUMPRODUCT(('PA Fees Actual'!$B$5:$B$882=$E61)*('PA Fees Actual'!$A$5:$A$882&gt;=BE$3)*('PA Fees Actual'!$A$5:$A$882&lt;=EOMONTH(BE$3,0))*'PA Fees Actual'!$D$5:$D$882),BE$3&gt;=EOMONTH($X61,-1)+1,$Y61,TRUE,0)</f>
        <v>0</v>
      </c>
      <c r="BF61" s="202" cm="1">
        <f t="array" ref="BF61">_xlfn.IFS(BF$3&lt;$B$2,SUMPRODUCT(('PA Fees Actual'!$B$5:$B$882=$E61)*('PA Fees Actual'!$A$5:$A$882&gt;=BF$3)*('PA Fees Actual'!$A$5:$A$882&lt;=EOMONTH(BF$3,0))*'PA Fees Actual'!$D$5:$D$882),BF$3&gt;=EOMONTH($X61,-1)+1,$Y61,TRUE,0)</f>
        <v>0</v>
      </c>
      <c r="BG61" s="202" cm="1">
        <f t="array" ref="BG61">_xlfn.IFS(BG$3&lt;$B$2,SUMPRODUCT(('PA Fees Actual'!$B$5:$B$882=$E61)*('PA Fees Actual'!$A$5:$A$882&gt;=BG$3)*('PA Fees Actual'!$A$5:$A$882&lt;=EOMONTH(BG$3,0))*'PA Fees Actual'!$D$5:$D$882),BG$3&gt;=EOMONTH($X61,-1)+1,$Y61,TRUE,0)</f>
        <v>0</v>
      </c>
      <c r="BH61" s="202" cm="1">
        <f t="array" ref="BH61">_xlfn.IFS(BH$3&lt;$B$2,SUMPRODUCT(('PA Fees Actual'!$B$5:$B$882=$E61)*('PA Fees Actual'!$A$5:$A$882&gt;=BH$3)*('PA Fees Actual'!$A$5:$A$882&lt;=EOMONTH(BH$3,0))*'PA Fees Actual'!$D$5:$D$882),BH$3&gt;=EOMONTH($X61,-1)+1,$Y61,TRUE,0)</f>
        <v>0</v>
      </c>
      <c r="BI61" s="202" cm="1">
        <f t="array" ref="BI61">_xlfn.IFS(BI$3&lt;$B$2,SUMPRODUCT(('PA Fees Actual'!$B$5:$B$882=$E61)*('PA Fees Actual'!$A$5:$A$882&gt;=BI$3)*('PA Fees Actual'!$A$5:$A$882&lt;=EOMONTH(BI$3,0))*'PA Fees Actual'!$D$5:$D$882),BI$3&gt;=EOMONTH($X61,-1)+1,$Y61,TRUE,0)</f>
        <v>0</v>
      </c>
      <c r="BJ61" s="202" cm="1">
        <f t="array" ref="BJ61">_xlfn.IFS(BJ$3&lt;$B$2,SUMPRODUCT(('PA Fees Actual'!$B$5:$B$882=$E61)*('PA Fees Actual'!$A$5:$A$882&gt;=BJ$3)*('PA Fees Actual'!$A$5:$A$882&lt;=EOMONTH(BJ$3,0))*'PA Fees Actual'!$D$5:$D$882),BJ$3&gt;=EOMONTH($X61,-1)+1,$Y61,TRUE,0)</f>
        <v>0</v>
      </c>
      <c r="BK61" s="202" cm="1">
        <f t="array" ref="BK61">_xlfn.IFS(BK$3&lt;$B$2,SUMPRODUCT(('PA Fees Actual'!$B$5:$B$882=$E61)*('PA Fees Actual'!$A$5:$A$882&gt;=BK$3)*('PA Fees Actual'!$A$5:$A$882&lt;=EOMONTH(BK$3,0))*'PA Fees Actual'!$D$5:$D$882),BK$3&gt;=EOMONTH($X61,-1)+1,$Y61,TRUE,0)</f>
        <v>0</v>
      </c>
      <c r="BL61" s="202" cm="1">
        <f t="array" ref="BL61">_xlfn.IFS(BL$3&lt;$B$2,SUMPRODUCT(('PA Fees Actual'!$B$5:$B$882=$E61)*('PA Fees Actual'!$A$5:$A$882&gt;=BL$3)*('PA Fees Actual'!$A$5:$A$882&lt;=EOMONTH(BL$3,0))*'PA Fees Actual'!$D$5:$D$882),BL$3&gt;=EOMONTH($X61,-1)+1,$Y61,TRUE,0)</f>
        <v>0</v>
      </c>
      <c r="BM61" s="202" cm="1">
        <f t="array" ref="BM61">_xlfn.IFS(BM$3&lt;$B$2,SUMPRODUCT(('PA Fees Actual'!$B$5:$B$882=$E61)*('PA Fees Actual'!$A$5:$A$882&gt;=BM$3)*('PA Fees Actual'!$A$5:$A$882&lt;=EOMONTH(BM$3,0))*'PA Fees Actual'!$D$5:$D$882),BM$3&gt;=EOMONTH($X61,-1)+1,$Y61,TRUE,0)</f>
        <v>0</v>
      </c>
      <c r="BN61" s="202" cm="1">
        <f t="array" ref="BN61">_xlfn.IFS(BN$3&lt;$B$2,SUMPRODUCT(('PA Fees Actual'!$B$5:$B$882=$E61)*('PA Fees Actual'!$A$5:$A$882&gt;=BN$3)*('PA Fees Actual'!$A$5:$A$882&lt;=EOMONTH(BN$3,0))*'PA Fees Actual'!$D$5:$D$882),BN$3&gt;=EOMONTH($X61,-1)+1,$Y61,TRUE,0)</f>
        <v>0</v>
      </c>
      <c r="BO61" s="202" cm="1">
        <f t="array" ref="BO61">_xlfn.IFS(BO$3&lt;$B$2,SUMPRODUCT(('PA Fees Actual'!$B$5:$B$882=$E61)*('PA Fees Actual'!$A$5:$A$882&gt;=BO$3)*('PA Fees Actual'!$A$5:$A$882&lt;=EOMONTH(BO$3,0))*'PA Fees Actual'!$D$5:$D$882),BO$3&gt;=EOMONTH($X61,-1)+1,$Y61,TRUE,0)</f>
        <v>0</v>
      </c>
      <c r="BP61" s="202" cm="1">
        <f t="array" ref="BP61">_xlfn.IFS(BP$3&lt;$B$2,SUMPRODUCT(('PA Fees Actual'!$B$5:$B$882=$E61)*('PA Fees Actual'!$A$5:$A$882&gt;=BP$3)*('PA Fees Actual'!$A$5:$A$882&lt;=EOMONTH(BP$3,0))*'PA Fees Actual'!$D$5:$D$882),BP$3&gt;=EOMONTH($X61,-1)+1,$Y61,TRUE,0)</f>
        <v>0</v>
      </c>
      <c r="BQ61" s="202" cm="1">
        <f t="array" ref="BQ61">_xlfn.IFS(BQ$3&lt;$B$2,SUMPRODUCT(('PA Fees Actual'!$B$5:$B$882=$E61)*('PA Fees Actual'!$A$5:$A$882&gt;=BQ$3)*('PA Fees Actual'!$A$5:$A$882&lt;=EOMONTH(BQ$3,0))*'PA Fees Actual'!$D$5:$D$882),BQ$3&gt;=EOMONTH($X61,-1)+1,$Y61,TRUE,0)</f>
        <v>0</v>
      </c>
      <c r="BR61" s="202" cm="1">
        <f t="array" ref="BR61">_xlfn.IFS(BR$3&lt;$B$2,SUMPRODUCT(('PA Fees Actual'!$B$5:$B$882=$E61)*('PA Fees Actual'!$A$5:$A$882&gt;=BR$3)*('PA Fees Actual'!$A$5:$A$882&lt;=EOMONTH(BR$3,0))*'PA Fees Actual'!$D$5:$D$882),BR$3&gt;=EOMONTH($X61,-1)+1,$Y61,TRUE,0)</f>
        <v>0</v>
      </c>
      <c r="BS61" s="202" cm="1">
        <f t="array" ref="BS61">_xlfn.IFS(BS$3&lt;$B$2,SUMPRODUCT(('PA Fees Actual'!$B$5:$B$882=$E61)*('PA Fees Actual'!$A$5:$A$882&gt;=BS$3)*('PA Fees Actual'!$A$5:$A$882&lt;=EOMONTH(BS$3,0))*'PA Fees Actual'!$D$5:$D$882),BS$3&gt;=EOMONTH($X61,-1)+1,$Y61,TRUE,0)</f>
        <v>0</v>
      </c>
      <c r="BT61" s="202" cm="1">
        <f t="array" ref="BT61">_xlfn.IFS(BT$3&lt;$B$2,SUMPRODUCT(('PA Fees Actual'!$B$5:$B$882=$E61)*('PA Fees Actual'!$A$5:$A$882&gt;=BT$3)*('PA Fees Actual'!$A$5:$A$882&lt;=EOMONTH(BT$3,0))*'PA Fees Actual'!$D$5:$D$882),BT$3&gt;=EOMONTH($X61,-1)+1,$Y61,TRUE,0)</f>
        <v>6286.84</v>
      </c>
      <c r="BU61" s="202" cm="1">
        <f t="array" ref="BU61">_xlfn.IFS(BU$3&lt;$B$2,SUMPRODUCT(('PA Fees Actual'!$B$5:$B$882=$E61)*('PA Fees Actual'!$A$5:$A$882&gt;=BU$3)*('PA Fees Actual'!$A$5:$A$882&lt;=EOMONTH(BU$3,0))*'PA Fees Actual'!$D$5:$D$882),BU$3&gt;=EOMONTH($X61,-1)+1,$Y61,TRUE,0)</f>
        <v>0</v>
      </c>
      <c r="BV61" s="202" cm="1">
        <f t="array" ref="BV61">_xlfn.IFS(BV$3&lt;$B$2,SUMPRODUCT(('PA Fees Actual'!$B$5:$B$882=$E61)*('PA Fees Actual'!$A$5:$A$882&gt;=BV$3)*('PA Fees Actual'!$A$5:$A$882&lt;=EOMONTH(BV$3,0))*'PA Fees Actual'!$D$5:$D$882),BV$3&gt;=EOMONTH($X61,-1)+1,$Y61,TRUE,0)</f>
        <v>2041.93</v>
      </c>
      <c r="BW61" s="202" cm="1">
        <f t="array" ref="BW61">_xlfn.IFS(BW$3&lt;$B$2,SUMPRODUCT(('PA Fees Actual'!$B$5:$B$882=$E61)*('PA Fees Actual'!$A$5:$A$882&gt;=BW$3)*('PA Fees Actual'!$A$5:$A$882&lt;=EOMONTH(BW$3,0))*'PA Fees Actual'!$D$5:$D$882),BW$3&gt;=EOMONTH($X61,-1)+1,$Y61,TRUE,0)</f>
        <v>1.43</v>
      </c>
      <c r="BX61" s="202" cm="1">
        <f t="array" ref="BX61">_xlfn.IFS(BX$3&lt;$B$2,SUMPRODUCT(('PA Fees Actual'!$B$5:$B$882=$E61)*('PA Fees Actual'!$A$5:$A$882&gt;=BX$3)*('PA Fees Actual'!$A$5:$A$882&lt;=EOMONTH(BX$3,0))*'PA Fees Actual'!$D$5:$D$882),BX$3&gt;=EOMONTH($X61,-1)+1,$Y61,TRUE,0)</f>
        <v>4341.57</v>
      </c>
      <c r="BY61" s="202" cm="1">
        <f t="array" ref="BY61">_xlfn.IFS(BY$3&lt;$B$2,SUMPRODUCT(('PA Fees Actual'!$B$5:$B$882=$E61)*('PA Fees Actual'!$A$5:$A$882&gt;=BY$3)*('PA Fees Actual'!$A$5:$A$882&lt;=EOMONTH(BY$3,0))*'PA Fees Actual'!$D$5:$D$882),BY$3&gt;=EOMONTH($X61,-1)+1,$Y61,TRUE,0)</f>
        <v>2079.1</v>
      </c>
      <c r="BZ61" s="202" cm="1">
        <f t="array" ref="BZ61">_xlfn.IFS(BZ$3&lt;$B$2,SUMPRODUCT(('PA Fees Actual'!$B$5:$B$882=$E61)*('PA Fees Actual'!$A$5:$A$882&gt;=BZ$3)*('PA Fees Actual'!$A$5:$A$882&lt;=EOMONTH(BZ$3,0))*'PA Fees Actual'!$D$5:$D$882),BZ$3&gt;=EOMONTH($X61,-1)+1,$Y61,TRUE,0)</f>
        <v>0</v>
      </c>
      <c r="CA61" s="202" cm="1">
        <f t="array" ref="CA61">_xlfn.IFS(CA$3&lt;$B$2,SUMPRODUCT(('PA Fees Actual'!$B$5:$B$882=$E61)*('PA Fees Actual'!$A$5:$A$882&gt;=CA$3)*('PA Fees Actual'!$A$5:$A$882&lt;=EOMONTH(CA$3,0))*'PA Fees Actual'!$D$5:$D$882),CA$3&gt;=EOMONTH($X61,-1)+1,$Y61,TRUE,0)</f>
        <v>0</v>
      </c>
      <c r="CB61" s="202" cm="1">
        <f t="array" ref="CB61">_xlfn.IFS(CB$3&lt;$B$2,SUMPRODUCT(('PA Fees Actual'!$B$5:$B$882=$E61)*('PA Fees Actual'!$A$5:$A$882&gt;=CB$3)*('PA Fees Actual'!$A$5:$A$882&lt;=EOMONTH(CB$3,0))*'PA Fees Actual'!$D$5:$D$882),CB$3&gt;=EOMONTH($X61,-1)+1,$Y61,TRUE,0)</f>
        <v>2077.1875</v>
      </c>
      <c r="CC61" s="202" cm="1">
        <f t="array" ref="CC61">_xlfn.IFS(CC$3&lt;$B$2,SUMPRODUCT(('PA Fees Actual'!$B$5:$B$882=$E61)*('PA Fees Actual'!$A$5:$A$882&gt;=CC$3)*('PA Fees Actual'!$A$5:$A$882&lt;=EOMONTH(CC$3,0))*'PA Fees Actual'!$D$5:$D$882),CC$3&gt;=EOMONTH($X61,-1)+1,$Y61,TRUE,0)</f>
        <v>2077.1875</v>
      </c>
      <c r="CD61" s="202" cm="1">
        <f t="array" ref="CD61">_xlfn.IFS(CD$3&lt;$B$2,SUMPRODUCT(('PA Fees Actual'!$B$5:$B$882=$E61)*('PA Fees Actual'!$A$5:$A$882&gt;=CD$3)*('PA Fees Actual'!$A$5:$A$882&lt;=EOMONTH(CD$3,0))*'PA Fees Actual'!$D$5:$D$882),CD$3&gt;=EOMONTH($X61,-1)+1,$Y61,TRUE,0)</f>
        <v>2077.1875</v>
      </c>
      <c r="CE61" s="202" cm="1">
        <f t="array" ref="CE61">_xlfn.IFS(CE$3&lt;$B$2,SUMPRODUCT(('PA Fees Actual'!$B$5:$B$882=$E61)*('PA Fees Actual'!$A$5:$A$882&gt;=CE$3)*('PA Fees Actual'!$A$5:$A$882&lt;=EOMONTH(CE$3,0))*'PA Fees Actual'!$D$5:$D$882),CE$3&gt;=EOMONTH($X61,-1)+1,$Y61,TRUE,0)</f>
        <v>2077.1875</v>
      </c>
      <c r="CF61" s="202" cm="1">
        <f t="array" ref="CF61">_xlfn.IFS(CF$3&lt;$B$2,SUMPRODUCT(('PA Fees Actual'!$B$5:$B$882=$E61)*('PA Fees Actual'!$A$5:$A$882&gt;=CF$3)*('PA Fees Actual'!$A$5:$A$882&lt;=EOMONTH(CF$3,0))*'PA Fees Actual'!$D$5:$D$882),CF$3&gt;=EOMONTH($X61,-1)+1,$Y61,TRUE,0)</f>
        <v>2077.1875</v>
      </c>
      <c r="CG61" s="202" cm="1">
        <f t="array" ref="CG61">_xlfn.IFS(CG$3&lt;$B$2,SUMPRODUCT(('PA Fees Actual'!$B$5:$B$882=$E61)*('PA Fees Actual'!$A$5:$A$882&gt;=CG$3)*('PA Fees Actual'!$A$5:$A$882&lt;=EOMONTH(CG$3,0))*'PA Fees Actual'!$D$5:$D$882),CG$3&gt;=EOMONTH($X61,-1)+1,$Y61,TRUE,0)</f>
        <v>2077.1875</v>
      </c>
      <c r="CI61" s="202" cm="1">
        <f t="array" ref="CI61">_xlfn.IFS(CI$3&lt;=YEAR($B$2),SUMPRODUCT(($E$4:$E$79=$E61)*($Z$2:$CG$2=CI$3)*($Z$2:$CG$2&lt;CJ$3)*$Z$4:$CG$79),CI$3&lt;YEAR($X61),0,CI$3=YEAR($X61),DATEDIF($X61,DATE(CI$3,12,31),"m")*$Y61,AND(CI$3&gt;YEAR($X61),CI$3-YEAR($X61)&lt;20),$Y61*12,CI$3-YEAR($X61)=20,DATEDIF(DATE(YEAR($X61),1,1),$X61,"m")*$Y61,CI$3-YEAR($X61)&gt;20,0)</f>
        <v>0</v>
      </c>
      <c r="CJ61" s="202" cm="1">
        <f t="array" ref="CJ61">_xlfn.IFS(CJ$3&lt;=YEAR($B$2),SUMPRODUCT(($E$4:$E$79=$E61)*($Z$2:$CG$2=CJ$3)*($Z$2:$CG$2&lt;CK$3)*$Z$4:$CG$79),CJ$3&lt;YEAR($X61),0,CJ$3=YEAR($X61),DATEDIF($X61,DATE(CJ$3,12,31),"m")*$Y61,AND(CJ$3&gt;YEAR($X61),CJ$3-YEAR($X61)&lt;20),$Y61*12,CJ$3-YEAR($X61)=20,DATEDIF(DATE(YEAR($X61),1,1),$X61,"m")*$Y61,CJ$3-YEAR($X61)&gt;20,0)</f>
        <v>0</v>
      </c>
      <c r="CK61" s="202" cm="1">
        <f t="array" ref="CK61">_xlfn.IFS(CK$3&lt;=YEAR($B$2),SUMPRODUCT(($E$4:$E$79=$E61)*($Z$2:$CG$2=CK$3)*($Z$2:$CG$2&lt;CL$3)*$Z$4:$CG$79),CK$3&lt;YEAR($X61),0,CK$3=YEAR($X61),DATEDIF($X61,DATE(CK$3,12,31),"m")*$Y61,AND(CK$3&gt;YEAR($X61),CK$3-YEAR($X61)&lt;20),$Y61*12,CK$3-YEAR($X61)=20,DATEDIF(DATE(YEAR($X61),1,1),$X61,"m")*$Y61,CK$3-YEAR($X61)&gt;20,0)</f>
        <v>0</v>
      </c>
      <c r="CL61" s="202" cm="1">
        <f t="array" ref="CL61">_xlfn.IFS(CL$3&lt;=YEAR($B$2),SUMPRODUCT(($E$4:$E$79=$E61)*($Z$2:$CG$2=CL$3)*($Z$2:$CG$2&lt;CM$3)*$Z$4:$CG$79),CL$3&lt;YEAR($X61),0,CL$3=YEAR($X61),DATEDIF($X61,DATE(CL$3,12,31),"m")*$Y61,AND(CL$3&gt;YEAR($X61),CL$3-YEAR($X61)&lt;20),$Y61*12,CL$3-YEAR($X61)=20,DATEDIF(DATE(YEAR($X61),1,1),$X61,"m")*$Y61,CL$3-YEAR($X61)&gt;20,0)</f>
        <v>6286.84</v>
      </c>
      <c r="CM61" s="202" cm="1">
        <f t="array" ref="CM61">_xlfn.IFS(CM$3&lt;=YEAR($B$2),SUMPRODUCT(($E$4:$E$79=$E61)*($Z$2:$CG$2=CM$3)*($Z$2:$CG$2&lt;CN$3)*$Z$4:$CG$79),CM$3&lt;YEAR($X61),0,CM$3=YEAR($X61),DATEDIF($X61,DATE(CM$3,12,31),"m")*$Y61,AND(CM$3&gt;YEAR($X61),CM$3-YEAR($X61)&lt;20),$Y61*12,CM$3-YEAR($X61)=20,DATEDIF(DATE(YEAR($X61),1,1),$X61,"m")*$Y61,CM$3-YEAR($X61)&gt;20,0)</f>
        <v>20927.154999999999</v>
      </c>
      <c r="CN61" s="202" cm="1">
        <f t="array" ref="CN61">_xlfn.IFS(CN$3&lt;=YEAR($B$2),SUMPRODUCT(($E$4:$E$79=$E61)*($Z$2:$CG$2=CN$3)*($Z$2:$CG$2&lt;CO$3)*$Z$4:$CG$79),CN$3&lt;YEAR($X61),0,CN$3=YEAR($X61),DATEDIF($X61,DATE(CN$3,12,31),"m")*$Y61,AND(CN$3&gt;YEAR($X61),CN$3-YEAR($X61)&lt;20),$Y61*12,CN$3-YEAR($X61)=20,DATEDIF(DATE(YEAR($X61),1,1),$X61,"m")*$Y61,CN$3-YEAR($X61)&gt;20,0)</f>
        <v>24926.25</v>
      </c>
      <c r="CO61" s="202" cm="1">
        <f t="array" ref="CO61">_xlfn.IFS(CO$3&lt;=YEAR($B$2),SUMPRODUCT(($E$4:$E$79=$E61)*($Z$2:$CG$2=CO$3)*($Z$2:$CG$2&lt;CP$3)*$Z$4:$CG$79),CO$3&lt;YEAR($X61),0,CO$3=YEAR($X61),DATEDIF($X61,DATE(CO$3,12,31),"m")*$Y61,AND(CO$3&gt;YEAR($X61),CO$3-YEAR($X61)&lt;20),$Y61*12,CO$3-YEAR($X61)=20,DATEDIF(DATE(YEAR($X61),1,1),$X61,"m")*$Y61,CO$3-YEAR($X61)&gt;20,0)</f>
        <v>24926.25</v>
      </c>
      <c r="CP61" s="202" cm="1">
        <f t="array" ref="CP61">_xlfn.IFS(CP$3&lt;=YEAR($B$2),SUMPRODUCT(($E$4:$E$79=$E61)*($Z$2:$CG$2=CP$3)*($Z$2:$CG$2&lt;CQ$3)*$Z$4:$CG$79),CP$3&lt;YEAR($X61),0,CP$3=YEAR($X61),DATEDIF($X61,DATE(CP$3,12,31),"m")*$Y61,AND(CP$3&gt;YEAR($X61),CP$3-YEAR($X61)&lt;20),$Y61*12,CP$3-YEAR($X61)=20,DATEDIF(DATE(YEAR($X61),1,1),$X61,"m")*$Y61,CP$3-YEAR($X61)&gt;20,0)</f>
        <v>24926.25</v>
      </c>
      <c r="CQ61" s="202" cm="1">
        <f t="array" ref="CQ61">_xlfn.IFS(CQ$3&lt;=YEAR($B$2),SUMPRODUCT(($E$4:$E$79=$E61)*($Z$2:$CG$2=CQ$3)*($Z$2:$CG$2&lt;CR$3)*$Z$4:$CG$79),CQ$3&lt;YEAR($X61),0,CQ$3=YEAR($X61),DATEDIF($X61,DATE(CQ$3,12,31),"m")*$Y61,AND(CQ$3&gt;YEAR($X61),CQ$3-YEAR($X61)&lt;20),$Y61*12,CQ$3-YEAR($X61)=20,DATEDIF(DATE(YEAR($X61),1,1),$X61,"m")*$Y61,CQ$3-YEAR($X61)&gt;20,0)</f>
        <v>24926.25</v>
      </c>
      <c r="CR61" s="202" cm="1">
        <f t="array" ref="CR61">_xlfn.IFS(CR$3&lt;=YEAR($B$2),SUMPRODUCT(($E$4:$E$79=$E61)*($Z$2:$CG$2=CR$3)*($Z$2:$CG$2&lt;CS$3)*$Z$4:$CG$79),CR$3&lt;YEAR($X61),0,CR$3=YEAR($X61),DATEDIF($X61,DATE(CR$3,12,31),"m")*$Y61,AND(CR$3&gt;YEAR($X61),CR$3-YEAR($X61)&lt;20),$Y61*12,CR$3-YEAR($X61)=20,DATEDIF(DATE(YEAR($X61),1,1),$X61,"m")*$Y61,CR$3-YEAR($X61)&gt;20,0)</f>
        <v>24926.25</v>
      </c>
      <c r="CS61" s="202" cm="1">
        <f t="array" ref="CS61">_xlfn.IFS(CS$3&lt;=YEAR($B$2),SUMPRODUCT(($E$4:$E$79=$E61)*($Z$2:$CG$2=CS$3)*($Z$2:$CG$2&lt;CT$3)*$Z$4:$CG$79),CS$3&lt;YEAR($X61),0,CS$3=YEAR($X61),DATEDIF($X61,DATE(CS$3,12,31),"m")*$Y61,AND(CS$3&gt;YEAR($X61),CS$3-YEAR($X61)&lt;20),$Y61*12,CS$3-YEAR($X61)=20,DATEDIF(DATE(YEAR($X61),1,1),$X61,"m")*$Y61,CS$3-YEAR($X61)&gt;20,0)</f>
        <v>24926.25</v>
      </c>
      <c r="CT61" s="202" cm="1">
        <f t="array" ref="CT61">_xlfn.IFS(CT$3&lt;=YEAR($B$2),SUMPRODUCT(($E$4:$E$79=$E61)*($Z$2:$CG$2=CT$3)*($Z$2:$CG$2&lt;CU$3)*$Z$4:$CG$79),CT$3&lt;YEAR($X61),0,CT$3=YEAR($X61),DATEDIF($X61,DATE(CT$3,12,31),"m")*$Y61,AND(CT$3&gt;YEAR($X61),CT$3-YEAR($X61)&lt;20),$Y61*12,CT$3-YEAR($X61)=20,DATEDIF(DATE(YEAR($X61),1,1),$X61,"m")*$Y61,CT$3-YEAR($X61)&gt;20,0)</f>
        <v>24926.25</v>
      </c>
      <c r="CU61" s="202" cm="1">
        <f t="array" ref="CU61">_xlfn.IFS(CU$3&lt;=YEAR($B$2),SUMPRODUCT(($E$4:$E$79=$E61)*($Z$2:$CG$2=CU$3)*($Z$2:$CG$2&lt;CV$3)*$Z$4:$CG$79),CU$3&lt;YEAR($X61),0,CU$3=YEAR($X61),DATEDIF($X61,DATE(CU$3,12,31),"m")*$Y61,AND(CU$3&gt;YEAR($X61),CU$3-YEAR($X61)&lt;20),$Y61*12,CU$3-YEAR($X61)=20,DATEDIF(DATE(YEAR($X61),1,1),$X61,"m")*$Y61,CU$3-YEAR($X61)&gt;20,0)</f>
        <v>24926.25</v>
      </c>
      <c r="CV61" s="202" cm="1">
        <f t="array" ref="CV61">_xlfn.IFS(CV$3&lt;=YEAR($B$2),SUMPRODUCT(($E$4:$E$79=$E61)*($Z$2:$CG$2=CV$3)*($Z$2:$CG$2&lt;CW$3)*$Z$4:$CG$79),CV$3&lt;YEAR($X61),0,CV$3=YEAR($X61),DATEDIF($X61,DATE(CV$3,12,31),"m")*$Y61,AND(CV$3&gt;YEAR($X61),CV$3-YEAR($X61)&lt;20),$Y61*12,CV$3-YEAR($X61)=20,DATEDIF(DATE(YEAR($X61),1,1),$X61,"m")*$Y61,CV$3-YEAR($X61)&gt;20,0)</f>
        <v>24926.25</v>
      </c>
      <c r="CW61" s="202" cm="1">
        <f t="array" ref="CW61">_xlfn.IFS(CW$3&lt;=YEAR($B$2),SUMPRODUCT(($E$4:$E$79=$E61)*($Z$2:$CG$2=CW$3)*($Z$2:$CG$2&lt;CX$3)*$Z$4:$CG$79),CW$3&lt;YEAR($X61),0,CW$3=YEAR($X61),DATEDIF($X61,DATE(CW$3,12,31),"m")*$Y61,AND(CW$3&gt;YEAR($X61),CW$3-YEAR($X61)&lt;20),$Y61*12,CW$3-YEAR($X61)=20,DATEDIF(DATE(YEAR($X61),1,1),$X61,"m")*$Y61,CW$3-YEAR($X61)&gt;20,0)</f>
        <v>24926.25</v>
      </c>
      <c r="CX61" s="202" cm="1">
        <f t="array" ref="CX61">_xlfn.IFS(CX$3&lt;=YEAR($B$2),SUMPRODUCT(($E$4:$E$79=$E61)*($Z$2:$CG$2=CX$3)*($Z$2:$CG$2&lt;CY$3)*$Z$4:$CG$79),CX$3&lt;YEAR($X61),0,CX$3=YEAR($X61),DATEDIF($X61,DATE(CX$3,12,31),"m")*$Y61,AND(CX$3&gt;YEAR($X61),CX$3-YEAR($X61)&lt;20),$Y61*12,CX$3-YEAR($X61)=20,DATEDIF(DATE(YEAR($X61),1,1),$X61,"m")*$Y61,CX$3-YEAR($X61)&gt;20,0)</f>
        <v>24926.25</v>
      </c>
      <c r="CY61" s="202" cm="1">
        <f t="array" ref="CY61">_xlfn.IFS(CY$3&lt;=YEAR($B$2),SUMPRODUCT(($E$4:$E$79=$E61)*($Z$2:$CG$2=CY$3)*($Z$2:$CG$2&lt;CZ$3)*$Z$4:$CG$79),CY$3&lt;YEAR($X61),0,CY$3=YEAR($X61),DATEDIF($X61,DATE(CY$3,12,31),"m")*$Y61,AND(CY$3&gt;YEAR($X61),CY$3-YEAR($X61)&lt;20),$Y61*12,CY$3-YEAR($X61)=20,DATEDIF(DATE(YEAR($X61),1,1),$X61,"m")*$Y61,CY$3-YEAR($X61)&gt;20,0)</f>
        <v>24926.25</v>
      </c>
      <c r="CZ61" s="202" cm="1">
        <f t="array" ref="CZ61">_xlfn.IFS(CZ$3&lt;=YEAR($B$2),SUMPRODUCT(($E$4:$E$79=$E61)*($Z$2:$CG$2=CZ$3)*($Z$2:$CG$2&lt;DA$3)*$Z$4:$CG$79),CZ$3&lt;YEAR($X61),0,CZ$3=YEAR($X61),DATEDIF($X61,DATE(CZ$3,12,31),"m")*$Y61,AND(CZ$3&gt;YEAR($X61),CZ$3-YEAR($X61)&lt;20),$Y61*12,CZ$3-YEAR($X61)=20,DATEDIF(DATE(YEAR($X61),1,1),$X61,"m")*$Y61,CZ$3-YEAR($X61)&gt;20,0)</f>
        <v>24926.25</v>
      </c>
      <c r="DA61" s="202" cm="1">
        <f t="array" ref="DA61">_xlfn.IFS(DA$3&lt;=YEAR($B$2),SUMPRODUCT(($E$4:$E$79=$E61)*($Z$2:$CG$2=DA$3)*($Z$2:$CG$2&lt;DB$3)*$Z$4:$CG$79),DA$3&lt;YEAR($X61),0,DA$3=YEAR($X61),DATEDIF($X61,DATE(DA$3,12,31),"m")*$Y61,AND(DA$3&gt;YEAR($X61),DA$3-YEAR($X61)&lt;20),$Y61*12,DA$3-YEAR($X61)=20,DATEDIF(DATE(YEAR($X61),1,1),$X61,"m")*$Y61,DA$3-YEAR($X61)&gt;20,0)</f>
        <v>24926.25</v>
      </c>
      <c r="DB61" s="202" cm="1">
        <f t="array" ref="DB61">_xlfn.IFS(DB$3&lt;=YEAR($B$2),SUMPRODUCT(($E$4:$E$79=$E61)*($Z$2:$CG$2=DB$3)*($Z$2:$CG$2&lt;DC$3)*$Z$4:$CG$79),DB$3&lt;YEAR($X61),0,DB$3=YEAR($X61),DATEDIF($X61,DATE(DB$3,12,31),"m")*$Y61,AND(DB$3&gt;YEAR($X61),DB$3-YEAR($X61)&lt;20),$Y61*12,DB$3-YEAR($X61)=20,DATEDIF(DATE(YEAR($X61),1,1),$X61,"m")*$Y61,DB$3-YEAR($X61)&gt;20,0)</f>
        <v>24926.25</v>
      </c>
      <c r="DC61" s="202" cm="1">
        <f t="array" ref="DC61">_xlfn.IFS(DC$3&lt;=YEAR($B$2),SUMPRODUCT(($E$4:$E$79=$E61)*($Z$2:$CG$2=DC$3)*($Z$2:$CG$2&lt;DD$3)*$Z$4:$CG$79),DC$3&lt;YEAR($X61),0,DC$3=YEAR($X61),DATEDIF($X61,DATE(DC$3,12,31),"m")*$Y61,AND(DC$3&gt;YEAR($X61),DC$3-YEAR($X61)&lt;20),$Y61*12,DC$3-YEAR($X61)=20,DATEDIF(DATE(YEAR($X61),1,1),$X61,"m")*$Y61,DC$3-YEAR($X61)&gt;20,0)</f>
        <v>24926.25</v>
      </c>
      <c r="DD61" s="202" cm="1">
        <f t="array" ref="DD61">_xlfn.IFS(DD$3&lt;=YEAR($B$2),SUMPRODUCT(($E$4:$E$79=$E61)*($Z$2:$CG$2=DD$3)*($Z$2:$CG$2&lt;DE$3)*$Z$4:$CG$79),DD$3&lt;YEAR($X61),0,DD$3=YEAR($X61),DATEDIF($X61,DATE(DD$3,12,31),"m")*$Y61,AND(DD$3&gt;YEAR($X61),DD$3-YEAR($X61)&lt;20),$Y61*12,DD$3-YEAR($X61)=20,DATEDIF(DATE(YEAR($X61),1,1),$X61,"m")*$Y61,DD$3-YEAR($X61)&gt;20,0)</f>
        <v>24926.25</v>
      </c>
      <c r="DE61" s="202" cm="1">
        <f t="array" ref="DE61">_xlfn.IFS(DE$3&lt;=YEAR($B$2),SUMPRODUCT(($E$4:$E$79=$E61)*($Z$2:$CG$2=DE$3)*($Z$2:$CG$2&lt;DF$3)*$Z$4:$CG$79),DE$3&lt;YEAR($X61),0,DE$3=YEAR($X61),DATEDIF($X61,DATE(DE$3,12,31),"m")*$Y61,AND(DE$3&gt;YEAR($X61),DE$3-YEAR($X61)&lt;20),$Y61*12,DE$3-YEAR($X61)=20,DATEDIF(DATE(YEAR($X61),1,1),$X61,"m")*$Y61,DE$3-YEAR($X61)&gt;20,0)</f>
        <v>24926.25</v>
      </c>
      <c r="DF61" s="202" cm="1">
        <f t="array" ref="DF61">_xlfn.IFS(DF$3&lt;=YEAR($B$2),SUMPRODUCT(($E$4:$E$79=$E61)*($Z$2:$CG$2=DF$3)*($Z$2:$CG$2&lt;DG$3)*$Z$4:$CG$79),DF$3&lt;YEAR($X61),0,DF$3=YEAR($X61),DATEDIF($X61,DATE(DF$3,12,31),"m")*$Y61,AND(DF$3&gt;YEAR($X61),DF$3-YEAR($X61)&lt;20),$Y61*12,DF$3-YEAR($X61)=20,DATEDIF(DATE(YEAR($X61),1,1),$X61,"m")*$Y61,DF$3-YEAR($X61)&gt;20,0)</f>
        <v>16617.5</v>
      </c>
      <c r="DG61" s="202" cm="1">
        <f t="array" ref="DG61">_xlfn.IFS(DG$3&lt;=YEAR($B$2),SUMPRODUCT(($E$4:$E$79=$E61)*($Z$2:$CG$2=DG$3)*($Z$2:$CG$2&lt;DH$3)*$Z$4:$CG$79),DG$3&lt;YEAR($X61),0,DG$3=YEAR($X61),DATEDIF($X61,DATE(DG$3,12,31),"m")*$Y61,AND(DG$3&gt;YEAR($X61),DG$3-YEAR($X61)&lt;20),$Y61*12,DG$3-YEAR($X61)=20,DATEDIF(DATE(YEAR($X61),1,1),$X61,"m")*$Y61,DG$3-YEAR($X61)&gt;20,0)</f>
        <v>0</v>
      </c>
      <c r="DH61" s="202" cm="1">
        <f t="array" ref="DH61">_xlfn.IFS(DH$3&lt;=YEAR($B$2),SUMPRODUCT(($E$4:$E$79=$E61)*($Z$2:$CG$2=DH$3)*($Z$2:$CG$2&lt;DI$3)*$Z$4:$CG$79),DH$3&lt;YEAR($X61),0,DH$3=YEAR($X61),DATEDIF($X61,DATE(DH$3,12,31),"m")*$Y61,AND(DH$3&gt;YEAR($X61),DH$3-YEAR($X61)&lt;20),$Y61*12,DH$3-YEAR($X61)=20,DATEDIF(DATE(YEAR($X61),1,1),$X61,"m")*$Y61,DH$3-YEAR($X61)&gt;20,0)</f>
        <v>0</v>
      </c>
      <c r="DI61" s="202" cm="1">
        <f t="array" ref="DI61">_xlfn.IFS(DI$3&lt;=YEAR($B$2),SUMPRODUCT(($E$4:$E$79=$E61)*($Z$2:$CG$2=DI$3)*($Z$2:$CG$2&lt;DJ$3)*$Z$4:$CG$79),DI$3&lt;YEAR($X61),0,DI$3=YEAR($X61),DATEDIF($X61,DATE(DI$3,12,31),"m")*$Y61,AND(DI$3&gt;YEAR($X61),DI$3-YEAR($X61)&lt;20),$Y61*12,DI$3-YEAR($X61)=20,DATEDIF(DATE(YEAR($X61),1,1),$X61,"m")*$Y61,DI$3-YEAR($X61)&gt;20,0)</f>
        <v>0</v>
      </c>
      <c r="DJ61" s="202" cm="1">
        <f t="array" ref="DJ61">_xlfn.IFS(DJ$3&lt;=YEAR($B$2),SUMPRODUCT(($E$4:$E$79=$E61)*($Z$2:$CG$2=DJ$3)*($Z$2:$CG$2&lt;DK$3)*$Z$4:$CG$79),DJ$3&lt;YEAR($X61),0,DJ$3=YEAR($X61),DATEDIF($X61,DATE(DJ$3,12,31),"m")*$Y61,AND(DJ$3&gt;YEAR($X61),DJ$3-YEAR($X61)&lt;20),$Y61*12,DJ$3-YEAR($X61)=20,DATEDIF(DATE(YEAR($X61),1,1),$X61,"m")*$Y61,DJ$3-YEAR($X61)&gt;20,0)</f>
        <v>0</v>
      </c>
      <c r="DK61" s="202" cm="1">
        <f t="array" ref="DK61">_xlfn.IFS(DK$3&lt;=YEAR($B$2),SUMPRODUCT(($E$4:$E$79=$E61)*($Z$2:$CG$2=DK$3)*($Z$2:$CG$2&lt;DL$3)*$Z$4:$CG$79),DK$3&lt;YEAR($X61),0,DK$3=YEAR($X61),DATEDIF($X61,DATE(DK$3,12,31),"m")*$Y61,AND(DK$3&gt;YEAR($X61),DK$3-YEAR($X61)&lt;20),$Y61*12,DK$3-YEAR($X61)=20,DATEDIF(DATE(YEAR($X61),1,1),$X61,"m")*$Y61,DK$3-YEAR($X61)&gt;20,0)</f>
        <v>0</v>
      </c>
      <c r="DL61" s="202" cm="1">
        <f t="array" ref="DL61">_xlfn.IFS(DL$3&lt;=YEAR($B$2),SUMPRODUCT(($E$4:$E$79=$E61)*($Z$2:$CG$2=DL$3)*($Z$2:$CG$2&lt;DM$3)*$Z$4:$CG$79),DL$3&lt;YEAR($X61),0,DL$3=YEAR($X61),DATEDIF($X61,DATE(DL$3,12,31),"m")*$Y61,AND(DL$3&gt;YEAR($X61),DL$3-YEAR($X61)&lt;20),$Y61*12,DL$3-YEAR($X61)=20,DATEDIF(DATE(YEAR($X61),1,1),$X61,"m")*$Y61,DL$3-YEAR($X61)&gt;20,0)</f>
        <v>0</v>
      </c>
    </row>
    <row r="62" spans="1:116">
      <c r="A62" s="155" t="str" cm="1">
        <f t="array" ref="A62">INDEX('Monthly Report July 2025'!C:C,MATCH(E62,'Monthly Report July 2025'!E:E,0),0)</f>
        <v>OCS038</v>
      </c>
      <c r="B62" s="155" t="str" cm="1">
        <f t="array" ref="B62">_xlfn.IFS(LEFT(E62,3)="PGE","PGE",LEFT(E62,2)="PP","PAC",TRUE,"IP")</f>
        <v>PAC</v>
      </c>
      <c r="C62" s="155" t="str">
        <f>IF(ISNA(MATCH(E62,'Monthly Report July 2025'!E:E,0)),"Missing","Present")</f>
        <v>Present</v>
      </c>
      <c r="D62" s="155" t="str">
        <f>IF(ISNA(MATCH(E62,'Project Operational Timelines'!C:C,0))=TRUE,"Missing","Present")</f>
        <v>Present</v>
      </c>
      <c r="E62" s="155" t="s">
        <v>170</v>
      </c>
      <c r="F62" s="155" t="str" cm="1">
        <f t="array" ref="F62">INDEX('Monthly Report July 2025'!F:F,MATCH(E62,'Monthly Report July 2025'!E:E,),0)</f>
        <v>7 Mile Solar</v>
      </c>
      <c r="G62" s="155" t="str" cm="1">
        <f t="array" ref="G62">_xlfn.IFS(INDEX('Monthly Report July 2025'!O:O,MATCH(E62,'Monthly Report July 2025'!E:E,0),0)="Operational","Operational",INDEX('Monthly Report July 2025'!O:O,MATCH(E62,'Monthly Report July 2025'!E:E,0),0)="Certified","Certified",TRUE,"Pre-Certified")</f>
        <v>Certified</v>
      </c>
      <c r="H62" s="155" t="str" cm="1">
        <f t="array" ref="H62">INDEX('Monthly Report July 2025'!H:H,MATCH($E62,'Monthly Report July 2025'!$E:$E,0),0)</f>
        <v>TLS Capital</v>
      </c>
      <c r="I62" s="155" t="str" cm="1">
        <f t="array" ref="I62">INDEX('Monthly Report July 2025'!I:I,MATCH($E62,'Monthly Report July 2025'!$E:$E,0),0)</f>
        <v>Luminace</v>
      </c>
      <c r="J62" s="174" cm="1">
        <f t="array" ref="J62">INDEX('Monthly Report July 2025'!J:J,MATCH($E62,'Monthly Report July 2025'!$E:$E,0),0)</f>
        <v>2</v>
      </c>
      <c r="K62" s="174" t="str" cm="1">
        <f t="array" ref="K62">INDEX('Monthly Report July 2025'!K:K,MATCH($E62,'Monthly Report July 2025'!$E:$E,0),0)</f>
        <v>No</v>
      </c>
      <c r="L62" s="174" t="b" cm="1">
        <f t="array" ref="L62">INDEX('Monthly Report July 2025'!L:L,MATCH(E62,'Monthly Report July 2025'!E:E,0),0)=M62</f>
        <v>1</v>
      </c>
      <c r="M62" s="273" cm="1">
        <f t="array" ref="M62">INDEX('Monthly Report July 2025'!L:L,MATCH($E62,'Monthly Report July 2025'!$E:$E,0),0)</f>
        <v>951</v>
      </c>
      <c r="N62" s="175" cm="1">
        <f t="array" ref="N62">INDEX('Monthly Report July 2025'!M:M,MATCH($E62,'Monthly Report July 2025'!$E:$E,0),0)</f>
        <v>44666</v>
      </c>
      <c r="O62" s="175" t="str" cm="1">
        <f t="array" ref="O62">_xlfn.IFS(G62="Operational","Operational",G62="Certified","Certified",TRUE,INDEX('Monthly Report July 2025'!O:O,MATCH(E62,'Monthly Report July 2025'!E:E,0),0))</f>
        <v>Certified</v>
      </c>
      <c r="P62" s="175" t="b" cm="1">
        <f t="array" ref="P62">_xlfn.IFS(G62="Operational",O62="Operational",G62="Certified",O62="Certified",TRUE,G62="Pre-Certified")</f>
        <v>1</v>
      </c>
      <c r="Q62" s="175" t="str" cm="1">
        <f t="array" ref="Q62">IF(O62="Operational",INDEX('Monthly Report July 2025'!R:R,MATCH(E62,'Monthly Report July 2025'!E:E,0),0),"")</f>
        <v/>
      </c>
      <c r="R62" s="175" cm="1">
        <f t="array" ref="R62">INDEX('Monthly Report July 2025'!P:P,MATCH(E62,'Monthly Report July 2025'!E:E,0),0)</f>
        <v>45720</v>
      </c>
      <c r="S62" s="175" t="b">
        <f t="shared" si="28"/>
        <v>1</v>
      </c>
      <c r="T62" s="175" cm="1">
        <f t="array" ref="T62">INDEX('Monthly Report July 2025'!U:U,MATCH(E62,'Monthly Report July 2025'!E:E,0),0)</f>
        <v>45785</v>
      </c>
      <c r="U62" s="175" t="str">
        <f t="shared" si="6"/>
        <v>IGNORE</v>
      </c>
      <c r="V62" s="156">
        <f t="shared" si="29"/>
        <v>45720</v>
      </c>
      <c r="W62" s="156" cm="1">
        <f t="array" ref="W62">_xlfn.IFS(U62=TRUE,EDATE(O62,6),U62=FALSE,T62,O62="Operational",Q62,AND(O62="Certified",EDATE(R62,6)&gt;T62),EDATE(R62,6),TRUE,T62)</f>
        <v>45904</v>
      </c>
      <c r="X62" s="156">
        <f t="shared" si="30"/>
        <v>45965</v>
      </c>
      <c r="Y62" s="157">
        <f t="shared" si="31"/>
        <v>687.09749999999997</v>
      </c>
      <c r="Z62" s="202" cm="1">
        <f t="array" ref="Z62">_xlfn.IFS(Z$3&lt;$B$2,SUMPRODUCT(('PA Fees Actual'!$B$5:$B$882=$E62)*('PA Fees Actual'!$A$5:$A$882&gt;=Z$3)*('PA Fees Actual'!$A$5:$A$882&lt;=EOMONTH(Z$3,0))*'PA Fees Actual'!$D$5:$D$882),Z$3&gt;=EOMONTH($X62,-1)+1,$Y62,TRUE,0)</f>
        <v>0</v>
      </c>
      <c r="AA62" s="202" cm="1">
        <f t="array" ref="AA62">_xlfn.IFS(AA$3&lt;$B$2,SUMPRODUCT(('PA Fees Actual'!$B$5:$B$882=$E62)*('PA Fees Actual'!$A$5:$A$882&gt;=AA$3)*('PA Fees Actual'!$A$5:$A$882&lt;=EOMONTH(AA$3,0))*'PA Fees Actual'!$D$5:$D$882),AA$3&gt;=EOMONTH($X62,-1)+1,$Y62,TRUE,0)</f>
        <v>0</v>
      </c>
      <c r="AB62" s="202" cm="1">
        <f t="array" ref="AB62">_xlfn.IFS(AB$3&lt;$B$2,SUMPRODUCT(('PA Fees Actual'!$B$5:$B$882=$E62)*('PA Fees Actual'!$A$5:$A$882&gt;=AB$3)*('PA Fees Actual'!$A$5:$A$882&lt;=EOMONTH(AB$3,0))*'PA Fees Actual'!$D$5:$D$882),AB$3&gt;=EOMONTH($X62,-1)+1,$Y62,TRUE,0)</f>
        <v>0</v>
      </c>
      <c r="AC62" s="202" cm="1">
        <f t="array" ref="AC62">_xlfn.IFS(AC$3&lt;$B$2,SUMPRODUCT(('PA Fees Actual'!$B$5:$B$882=$E62)*('PA Fees Actual'!$A$5:$A$882&gt;=AC$3)*('PA Fees Actual'!$A$5:$A$882&lt;=EOMONTH(AC$3,0))*'PA Fees Actual'!$D$5:$D$882),AC$3&gt;=EOMONTH($X62,-1)+1,$Y62,TRUE,0)</f>
        <v>0</v>
      </c>
      <c r="AD62" s="202" cm="1">
        <f t="array" ref="AD62">_xlfn.IFS(AD$3&lt;$B$2,SUMPRODUCT(('PA Fees Actual'!$B$5:$B$882=$E62)*('PA Fees Actual'!$A$5:$A$882&gt;=AD$3)*('PA Fees Actual'!$A$5:$A$882&lt;=EOMONTH(AD$3,0))*'PA Fees Actual'!$D$5:$D$882),AD$3&gt;=EOMONTH($X62,-1)+1,$Y62,TRUE,0)</f>
        <v>0</v>
      </c>
      <c r="AE62" s="202" cm="1">
        <f t="array" ref="AE62">_xlfn.IFS(AE$3&lt;$B$2,SUMPRODUCT(('PA Fees Actual'!$B$5:$B$882=$E62)*('PA Fees Actual'!$A$5:$A$882&gt;=AE$3)*('PA Fees Actual'!$A$5:$A$882&lt;=EOMONTH(AE$3,0))*'PA Fees Actual'!$D$5:$D$882),AE$3&gt;=EOMONTH($X62,-1)+1,$Y62,TRUE,0)</f>
        <v>0</v>
      </c>
      <c r="AF62" s="202" cm="1">
        <f t="array" ref="AF62">_xlfn.IFS(AF$3&lt;$B$2,SUMPRODUCT(('PA Fees Actual'!$B$5:$B$882=$E62)*('PA Fees Actual'!$A$5:$A$882&gt;=AF$3)*('PA Fees Actual'!$A$5:$A$882&lt;=EOMONTH(AF$3,0))*'PA Fees Actual'!$D$5:$D$882),AF$3&gt;=EOMONTH($X62,-1)+1,$Y62,TRUE,0)</f>
        <v>0</v>
      </c>
      <c r="AG62" s="202" cm="1">
        <f t="array" ref="AG62">_xlfn.IFS(AG$3&lt;$B$2,SUMPRODUCT(('PA Fees Actual'!$B$5:$B$882=$E62)*('PA Fees Actual'!$A$5:$A$882&gt;=AG$3)*('PA Fees Actual'!$A$5:$A$882&lt;=EOMONTH(AG$3,0))*'PA Fees Actual'!$D$5:$D$882),AG$3&gt;=EOMONTH($X62,-1)+1,$Y62,TRUE,0)</f>
        <v>0</v>
      </c>
      <c r="AH62" s="202" cm="1">
        <f t="array" ref="AH62">_xlfn.IFS(AH$3&lt;$B$2,SUMPRODUCT(('PA Fees Actual'!$B$5:$B$882=$E62)*('PA Fees Actual'!$A$5:$A$882&gt;=AH$3)*('PA Fees Actual'!$A$5:$A$882&lt;=EOMONTH(AH$3,0))*'PA Fees Actual'!$D$5:$D$882),AH$3&gt;=EOMONTH($X62,-1)+1,$Y62,TRUE,0)</f>
        <v>0</v>
      </c>
      <c r="AI62" s="202" cm="1">
        <f t="array" ref="AI62">_xlfn.IFS(AI$3&lt;$B$2,SUMPRODUCT(('PA Fees Actual'!$B$5:$B$882=$E62)*('PA Fees Actual'!$A$5:$A$882&gt;=AI$3)*('PA Fees Actual'!$A$5:$A$882&lt;=EOMONTH(AI$3,0))*'PA Fees Actual'!$D$5:$D$882),AI$3&gt;=EOMONTH($X62,-1)+1,$Y62,TRUE,0)</f>
        <v>0</v>
      </c>
      <c r="AJ62" s="202" cm="1">
        <f t="array" ref="AJ62">_xlfn.IFS(AJ$3&lt;$B$2,SUMPRODUCT(('PA Fees Actual'!$B$5:$B$882=$E62)*('PA Fees Actual'!$A$5:$A$882&gt;=AJ$3)*('PA Fees Actual'!$A$5:$A$882&lt;=EOMONTH(AJ$3,0))*'PA Fees Actual'!$D$5:$D$882),AJ$3&gt;=EOMONTH($X62,-1)+1,$Y62,TRUE,0)</f>
        <v>0</v>
      </c>
      <c r="AK62" s="202" cm="1">
        <f t="array" ref="AK62">_xlfn.IFS(AK$3&lt;$B$2,SUMPRODUCT(('PA Fees Actual'!$B$5:$B$882=$E62)*('PA Fees Actual'!$A$5:$A$882&gt;=AK$3)*('PA Fees Actual'!$A$5:$A$882&lt;=EOMONTH(AK$3,0))*'PA Fees Actual'!$D$5:$D$882),AK$3&gt;=EOMONTH($X62,-1)+1,$Y62,TRUE,0)</f>
        <v>0</v>
      </c>
      <c r="AL62" s="202" cm="1">
        <f t="array" ref="AL62">_xlfn.IFS(AL$3&lt;$B$2,SUMPRODUCT(('PA Fees Actual'!$B$5:$B$882=$E62)*('PA Fees Actual'!$A$5:$A$882&gt;=AL$3)*('PA Fees Actual'!$A$5:$A$882&lt;=EOMONTH(AL$3,0))*'PA Fees Actual'!$D$5:$D$882),AL$3&gt;=EOMONTH($X62,-1)+1,$Y62,TRUE,0)</f>
        <v>0</v>
      </c>
      <c r="AM62" s="202" cm="1">
        <f t="array" ref="AM62">_xlfn.IFS(AM$3&lt;$B$2,SUMPRODUCT(('PA Fees Actual'!$B$5:$B$882=$E62)*('PA Fees Actual'!$A$5:$A$882&gt;=AM$3)*('PA Fees Actual'!$A$5:$A$882&lt;=EOMONTH(AM$3,0))*'PA Fees Actual'!$D$5:$D$882),AM$3&gt;=EOMONTH($X62,-1)+1,$Y62,TRUE,0)</f>
        <v>0</v>
      </c>
      <c r="AN62" s="202" cm="1">
        <f t="array" ref="AN62">_xlfn.IFS(AN$3&lt;$B$2,SUMPRODUCT(('PA Fees Actual'!$B$5:$B$882=$E62)*('PA Fees Actual'!$A$5:$A$882&gt;=AN$3)*('PA Fees Actual'!$A$5:$A$882&lt;=EOMONTH(AN$3,0))*'PA Fees Actual'!$D$5:$D$882),AN$3&gt;=EOMONTH($X62,-1)+1,$Y62,TRUE,0)</f>
        <v>0</v>
      </c>
      <c r="AO62" s="202" cm="1">
        <f t="array" ref="AO62">_xlfn.IFS(AO$3&lt;$B$2,SUMPRODUCT(('PA Fees Actual'!$B$5:$B$882=$E62)*('PA Fees Actual'!$A$5:$A$882&gt;=AO$3)*('PA Fees Actual'!$A$5:$A$882&lt;=EOMONTH(AO$3,0))*'PA Fees Actual'!$D$5:$D$882),AO$3&gt;=EOMONTH($X62,-1)+1,$Y62,TRUE,0)</f>
        <v>0</v>
      </c>
      <c r="AP62" s="202" cm="1">
        <f t="array" ref="AP62">_xlfn.IFS(AP$3&lt;$B$2,SUMPRODUCT(('PA Fees Actual'!$B$5:$B$882=$E62)*('PA Fees Actual'!$A$5:$A$882&gt;=AP$3)*('PA Fees Actual'!$A$5:$A$882&lt;=EOMONTH(AP$3,0))*'PA Fees Actual'!$D$5:$D$882),AP$3&gt;=EOMONTH($X62,-1)+1,$Y62,TRUE,0)</f>
        <v>0</v>
      </c>
      <c r="AQ62" s="202" cm="1">
        <f t="array" ref="AQ62">_xlfn.IFS(AQ$3&lt;$B$2,SUMPRODUCT(('PA Fees Actual'!$B$5:$B$882=$E62)*('PA Fees Actual'!$A$5:$A$882&gt;=AQ$3)*('PA Fees Actual'!$A$5:$A$882&lt;=EOMONTH(AQ$3,0))*'PA Fees Actual'!$D$5:$D$882),AQ$3&gt;=EOMONTH($X62,-1)+1,$Y62,TRUE,0)</f>
        <v>0</v>
      </c>
      <c r="AR62" s="202" cm="1">
        <f t="array" ref="AR62">_xlfn.IFS(AR$3&lt;$B$2,SUMPRODUCT(('PA Fees Actual'!$B$5:$B$882=$E62)*('PA Fees Actual'!$A$5:$A$882&gt;=AR$3)*('PA Fees Actual'!$A$5:$A$882&lt;=EOMONTH(AR$3,0))*'PA Fees Actual'!$D$5:$D$882),AR$3&gt;=EOMONTH($X62,-1)+1,$Y62,TRUE,0)</f>
        <v>0</v>
      </c>
      <c r="AS62" s="202" cm="1">
        <f t="array" ref="AS62">_xlfn.IFS(AS$3&lt;$B$2,SUMPRODUCT(('PA Fees Actual'!$B$5:$B$882=$E62)*('PA Fees Actual'!$A$5:$A$882&gt;=AS$3)*('PA Fees Actual'!$A$5:$A$882&lt;=EOMONTH(AS$3,0))*'PA Fees Actual'!$D$5:$D$882),AS$3&gt;=EOMONTH($X62,-1)+1,$Y62,TRUE,0)</f>
        <v>0</v>
      </c>
      <c r="AT62" s="202" cm="1">
        <f t="array" ref="AT62">_xlfn.IFS(AT$3&lt;$B$2,SUMPRODUCT(('PA Fees Actual'!$B$5:$B$882=$E62)*('PA Fees Actual'!$A$5:$A$882&gt;=AT$3)*('PA Fees Actual'!$A$5:$A$882&lt;=EOMONTH(AT$3,0))*'PA Fees Actual'!$D$5:$D$882),AT$3&gt;=EOMONTH($X62,-1)+1,$Y62,TRUE,0)</f>
        <v>0</v>
      </c>
      <c r="AU62" s="202" cm="1">
        <f t="array" ref="AU62">_xlfn.IFS(AU$3&lt;$B$2,SUMPRODUCT(('PA Fees Actual'!$B$5:$B$882=$E62)*('PA Fees Actual'!$A$5:$A$882&gt;=AU$3)*('PA Fees Actual'!$A$5:$A$882&lt;=EOMONTH(AU$3,0))*'PA Fees Actual'!$D$5:$D$882),AU$3&gt;=EOMONTH($X62,-1)+1,$Y62,TRUE,0)</f>
        <v>0</v>
      </c>
      <c r="AV62" s="202" cm="1">
        <f t="array" ref="AV62">_xlfn.IFS(AV$3&lt;$B$2,SUMPRODUCT(('PA Fees Actual'!$B$5:$B$882=$E62)*('PA Fees Actual'!$A$5:$A$882&gt;=AV$3)*('PA Fees Actual'!$A$5:$A$882&lt;=EOMONTH(AV$3,0))*'PA Fees Actual'!$D$5:$D$882),AV$3&gt;=EOMONTH($X62,-1)+1,$Y62,TRUE,0)</f>
        <v>0</v>
      </c>
      <c r="AW62" s="202" cm="1">
        <f t="array" ref="AW62">_xlfn.IFS(AW$3&lt;$B$2,SUMPRODUCT(('PA Fees Actual'!$B$5:$B$882=$E62)*('PA Fees Actual'!$A$5:$A$882&gt;=AW$3)*('PA Fees Actual'!$A$5:$A$882&lt;=EOMONTH(AW$3,0))*'PA Fees Actual'!$D$5:$D$882),AW$3&gt;=EOMONTH($X62,-1)+1,$Y62,TRUE,0)</f>
        <v>0</v>
      </c>
      <c r="AX62" s="202" cm="1">
        <f t="array" ref="AX62">_xlfn.IFS(AX$3&lt;$B$2,SUMPRODUCT(('PA Fees Actual'!$B$5:$B$882=$E62)*('PA Fees Actual'!$A$5:$A$882&gt;=AX$3)*('PA Fees Actual'!$A$5:$A$882&lt;=EOMONTH(AX$3,0))*'PA Fees Actual'!$D$5:$D$882),AX$3&gt;=EOMONTH($X62,-1)+1,$Y62,TRUE,0)</f>
        <v>0</v>
      </c>
      <c r="AY62" s="202" cm="1">
        <f t="array" ref="AY62">_xlfn.IFS(AY$3&lt;$B$2,SUMPRODUCT(('PA Fees Actual'!$B$5:$B$882=$E62)*('PA Fees Actual'!$A$5:$A$882&gt;=AY$3)*('PA Fees Actual'!$A$5:$A$882&lt;=EOMONTH(AY$3,0))*'PA Fees Actual'!$D$5:$D$882),AY$3&gt;=EOMONTH($X62,-1)+1,$Y62,TRUE,0)</f>
        <v>0</v>
      </c>
      <c r="AZ62" s="202" cm="1">
        <f t="array" ref="AZ62">_xlfn.IFS(AZ$3&lt;$B$2,SUMPRODUCT(('PA Fees Actual'!$B$5:$B$882=$E62)*('PA Fees Actual'!$A$5:$A$882&gt;=AZ$3)*('PA Fees Actual'!$A$5:$A$882&lt;=EOMONTH(AZ$3,0))*'PA Fees Actual'!$D$5:$D$882),AZ$3&gt;=EOMONTH($X62,-1)+1,$Y62,TRUE,0)</f>
        <v>0</v>
      </c>
      <c r="BA62" s="202" cm="1">
        <f t="array" ref="BA62">_xlfn.IFS(BA$3&lt;$B$2,SUMPRODUCT(('PA Fees Actual'!$B$5:$B$882=$E62)*('PA Fees Actual'!$A$5:$A$882&gt;=BA$3)*('PA Fees Actual'!$A$5:$A$882&lt;=EOMONTH(BA$3,0))*'PA Fees Actual'!$D$5:$D$882),BA$3&gt;=EOMONTH($X62,-1)+1,$Y62,TRUE,0)</f>
        <v>0</v>
      </c>
      <c r="BB62" s="202" cm="1">
        <f t="array" ref="BB62">_xlfn.IFS(BB$3&lt;$B$2,SUMPRODUCT(('PA Fees Actual'!$B$5:$B$882=$E62)*('PA Fees Actual'!$A$5:$A$882&gt;=BB$3)*('PA Fees Actual'!$A$5:$A$882&lt;=EOMONTH(BB$3,0))*'PA Fees Actual'!$D$5:$D$882),BB$3&gt;=EOMONTH($X62,-1)+1,$Y62,TRUE,0)</f>
        <v>0</v>
      </c>
      <c r="BC62" s="202" cm="1">
        <f t="array" ref="BC62">_xlfn.IFS(BC$3&lt;$B$2,SUMPRODUCT(('PA Fees Actual'!$B$5:$B$882=$E62)*('PA Fees Actual'!$A$5:$A$882&gt;=BC$3)*('PA Fees Actual'!$A$5:$A$882&lt;=EOMONTH(BC$3,0))*'PA Fees Actual'!$D$5:$D$882),BC$3&gt;=EOMONTH($X62,-1)+1,$Y62,TRUE,0)</f>
        <v>0</v>
      </c>
      <c r="BD62" s="202" cm="1">
        <f t="array" ref="BD62">_xlfn.IFS(BD$3&lt;$B$2,SUMPRODUCT(('PA Fees Actual'!$B$5:$B$882=$E62)*('PA Fees Actual'!$A$5:$A$882&gt;=BD$3)*('PA Fees Actual'!$A$5:$A$882&lt;=EOMONTH(BD$3,0))*'PA Fees Actual'!$D$5:$D$882),BD$3&gt;=EOMONTH($X62,-1)+1,$Y62,TRUE,0)</f>
        <v>0</v>
      </c>
      <c r="BE62" s="202" cm="1">
        <f t="array" ref="BE62">_xlfn.IFS(BE$3&lt;$B$2,SUMPRODUCT(('PA Fees Actual'!$B$5:$B$882=$E62)*('PA Fees Actual'!$A$5:$A$882&gt;=BE$3)*('PA Fees Actual'!$A$5:$A$882&lt;=EOMONTH(BE$3,0))*'PA Fees Actual'!$D$5:$D$882),BE$3&gt;=EOMONTH($X62,-1)+1,$Y62,TRUE,0)</f>
        <v>0</v>
      </c>
      <c r="BF62" s="202" cm="1">
        <f t="array" ref="BF62">_xlfn.IFS(BF$3&lt;$B$2,SUMPRODUCT(('PA Fees Actual'!$B$5:$B$882=$E62)*('PA Fees Actual'!$A$5:$A$882&gt;=BF$3)*('PA Fees Actual'!$A$5:$A$882&lt;=EOMONTH(BF$3,0))*'PA Fees Actual'!$D$5:$D$882),BF$3&gt;=EOMONTH($X62,-1)+1,$Y62,TRUE,0)</f>
        <v>0</v>
      </c>
      <c r="BG62" s="202" cm="1">
        <f t="array" ref="BG62">_xlfn.IFS(BG$3&lt;$B$2,SUMPRODUCT(('PA Fees Actual'!$B$5:$B$882=$E62)*('PA Fees Actual'!$A$5:$A$882&gt;=BG$3)*('PA Fees Actual'!$A$5:$A$882&lt;=EOMONTH(BG$3,0))*'PA Fees Actual'!$D$5:$D$882),BG$3&gt;=EOMONTH($X62,-1)+1,$Y62,TRUE,0)</f>
        <v>0</v>
      </c>
      <c r="BH62" s="202" cm="1">
        <f t="array" ref="BH62">_xlfn.IFS(BH$3&lt;$B$2,SUMPRODUCT(('PA Fees Actual'!$B$5:$B$882=$E62)*('PA Fees Actual'!$A$5:$A$882&gt;=BH$3)*('PA Fees Actual'!$A$5:$A$882&lt;=EOMONTH(BH$3,0))*'PA Fees Actual'!$D$5:$D$882),BH$3&gt;=EOMONTH($X62,-1)+1,$Y62,TRUE,0)</f>
        <v>0</v>
      </c>
      <c r="BI62" s="202" cm="1">
        <f t="array" ref="BI62">_xlfn.IFS(BI$3&lt;$B$2,SUMPRODUCT(('PA Fees Actual'!$B$5:$B$882=$E62)*('PA Fees Actual'!$A$5:$A$882&gt;=BI$3)*('PA Fees Actual'!$A$5:$A$882&lt;=EOMONTH(BI$3,0))*'PA Fees Actual'!$D$5:$D$882),BI$3&gt;=EOMONTH($X62,-1)+1,$Y62,TRUE,0)</f>
        <v>0</v>
      </c>
      <c r="BJ62" s="202" cm="1">
        <f t="array" ref="BJ62">_xlfn.IFS(BJ$3&lt;$B$2,SUMPRODUCT(('PA Fees Actual'!$B$5:$B$882=$E62)*('PA Fees Actual'!$A$5:$A$882&gt;=BJ$3)*('PA Fees Actual'!$A$5:$A$882&lt;=EOMONTH(BJ$3,0))*'PA Fees Actual'!$D$5:$D$882),BJ$3&gt;=EOMONTH($X62,-1)+1,$Y62,TRUE,0)</f>
        <v>0</v>
      </c>
      <c r="BK62" s="202" cm="1">
        <f t="array" ref="BK62">_xlfn.IFS(BK$3&lt;$B$2,SUMPRODUCT(('PA Fees Actual'!$B$5:$B$882=$E62)*('PA Fees Actual'!$A$5:$A$882&gt;=BK$3)*('PA Fees Actual'!$A$5:$A$882&lt;=EOMONTH(BK$3,0))*'PA Fees Actual'!$D$5:$D$882),BK$3&gt;=EOMONTH($X62,-1)+1,$Y62,TRUE,0)</f>
        <v>0</v>
      </c>
      <c r="BL62" s="202" cm="1">
        <f t="array" ref="BL62">_xlfn.IFS(BL$3&lt;$B$2,SUMPRODUCT(('PA Fees Actual'!$B$5:$B$882=$E62)*('PA Fees Actual'!$A$5:$A$882&gt;=BL$3)*('PA Fees Actual'!$A$5:$A$882&lt;=EOMONTH(BL$3,0))*'PA Fees Actual'!$D$5:$D$882),BL$3&gt;=EOMONTH($X62,-1)+1,$Y62,TRUE,0)</f>
        <v>0</v>
      </c>
      <c r="BM62" s="202" cm="1">
        <f t="array" ref="BM62">_xlfn.IFS(BM$3&lt;$B$2,SUMPRODUCT(('PA Fees Actual'!$B$5:$B$882=$E62)*('PA Fees Actual'!$A$5:$A$882&gt;=BM$3)*('PA Fees Actual'!$A$5:$A$882&lt;=EOMONTH(BM$3,0))*'PA Fees Actual'!$D$5:$D$882),BM$3&gt;=EOMONTH($X62,-1)+1,$Y62,TRUE,0)</f>
        <v>0</v>
      </c>
      <c r="BN62" s="202" cm="1">
        <f t="array" ref="BN62">_xlfn.IFS(BN$3&lt;$B$2,SUMPRODUCT(('PA Fees Actual'!$B$5:$B$882=$E62)*('PA Fees Actual'!$A$5:$A$882&gt;=BN$3)*('PA Fees Actual'!$A$5:$A$882&lt;=EOMONTH(BN$3,0))*'PA Fees Actual'!$D$5:$D$882),BN$3&gt;=EOMONTH($X62,-1)+1,$Y62,TRUE,0)</f>
        <v>0</v>
      </c>
      <c r="BO62" s="202" cm="1">
        <f t="array" ref="BO62">_xlfn.IFS(BO$3&lt;$B$2,SUMPRODUCT(('PA Fees Actual'!$B$5:$B$882=$E62)*('PA Fees Actual'!$A$5:$A$882&gt;=BO$3)*('PA Fees Actual'!$A$5:$A$882&lt;=EOMONTH(BO$3,0))*'PA Fees Actual'!$D$5:$D$882),BO$3&gt;=EOMONTH($X62,-1)+1,$Y62,TRUE,0)</f>
        <v>0</v>
      </c>
      <c r="BP62" s="202" cm="1">
        <f t="array" ref="BP62">_xlfn.IFS(BP$3&lt;$B$2,SUMPRODUCT(('PA Fees Actual'!$B$5:$B$882=$E62)*('PA Fees Actual'!$A$5:$A$882&gt;=BP$3)*('PA Fees Actual'!$A$5:$A$882&lt;=EOMONTH(BP$3,0))*'PA Fees Actual'!$D$5:$D$882),BP$3&gt;=EOMONTH($X62,-1)+1,$Y62,TRUE,0)</f>
        <v>0</v>
      </c>
      <c r="BQ62" s="202" cm="1">
        <f t="array" ref="BQ62">_xlfn.IFS(BQ$3&lt;$B$2,SUMPRODUCT(('PA Fees Actual'!$B$5:$B$882=$E62)*('PA Fees Actual'!$A$5:$A$882&gt;=BQ$3)*('PA Fees Actual'!$A$5:$A$882&lt;=EOMONTH(BQ$3,0))*'PA Fees Actual'!$D$5:$D$882),BQ$3&gt;=EOMONTH($X62,-1)+1,$Y62,TRUE,0)</f>
        <v>0</v>
      </c>
      <c r="BR62" s="202" cm="1">
        <f t="array" ref="BR62">_xlfn.IFS(BR$3&lt;$B$2,SUMPRODUCT(('PA Fees Actual'!$B$5:$B$882=$E62)*('PA Fees Actual'!$A$5:$A$882&gt;=BR$3)*('PA Fees Actual'!$A$5:$A$882&lt;=EOMONTH(BR$3,0))*'PA Fees Actual'!$D$5:$D$882),BR$3&gt;=EOMONTH($X62,-1)+1,$Y62,TRUE,0)</f>
        <v>0</v>
      </c>
      <c r="BS62" s="202" cm="1">
        <f t="array" ref="BS62">_xlfn.IFS(BS$3&lt;$B$2,SUMPRODUCT(('PA Fees Actual'!$B$5:$B$882=$E62)*('PA Fees Actual'!$A$5:$A$882&gt;=BS$3)*('PA Fees Actual'!$A$5:$A$882&lt;=EOMONTH(BS$3,0))*'PA Fees Actual'!$D$5:$D$882),BS$3&gt;=EOMONTH($X62,-1)+1,$Y62,TRUE,0)</f>
        <v>0</v>
      </c>
      <c r="BT62" s="202" cm="1">
        <f t="array" ref="BT62">_xlfn.IFS(BT$3&lt;$B$2,SUMPRODUCT(('PA Fees Actual'!$B$5:$B$882=$E62)*('PA Fees Actual'!$A$5:$A$882&gt;=BT$3)*('PA Fees Actual'!$A$5:$A$882&lt;=EOMONTH(BT$3,0))*'PA Fees Actual'!$D$5:$D$882),BT$3&gt;=EOMONTH($X62,-1)+1,$Y62,TRUE,0)</f>
        <v>0</v>
      </c>
      <c r="BU62" s="202" cm="1">
        <f t="array" ref="BU62">_xlfn.IFS(BU$3&lt;$B$2,SUMPRODUCT(('PA Fees Actual'!$B$5:$B$882=$E62)*('PA Fees Actual'!$A$5:$A$882&gt;=BU$3)*('PA Fees Actual'!$A$5:$A$882&lt;=EOMONTH(BU$3,0))*'PA Fees Actual'!$D$5:$D$882),BU$3&gt;=EOMONTH($X62,-1)+1,$Y62,TRUE,0)</f>
        <v>0</v>
      </c>
      <c r="BV62" s="202" cm="1">
        <f t="array" ref="BV62">_xlfn.IFS(BV$3&lt;$B$2,SUMPRODUCT(('PA Fees Actual'!$B$5:$B$882=$E62)*('PA Fees Actual'!$A$5:$A$882&gt;=BV$3)*('PA Fees Actual'!$A$5:$A$882&lt;=EOMONTH(BV$3,0))*'PA Fees Actual'!$D$5:$D$882),BV$3&gt;=EOMONTH($X62,-1)+1,$Y62,TRUE,0)</f>
        <v>0</v>
      </c>
      <c r="BW62" s="202" cm="1">
        <f t="array" ref="BW62">_xlfn.IFS(BW$3&lt;$B$2,SUMPRODUCT(('PA Fees Actual'!$B$5:$B$882=$E62)*('PA Fees Actual'!$A$5:$A$882&gt;=BW$3)*('PA Fees Actual'!$A$5:$A$882&lt;=EOMONTH(BW$3,0))*'PA Fees Actual'!$D$5:$D$882),BW$3&gt;=EOMONTH($X62,-1)+1,$Y62,TRUE,0)</f>
        <v>0</v>
      </c>
      <c r="BX62" s="202" cm="1">
        <f t="array" ref="BX62">_xlfn.IFS(BX$3&lt;$B$2,SUMPRODUCT(('PA Fees Actual'!$B$5:$B$882=$E62)*('PA Fees Actual'!$A$5:$A$882&gt;=BX$3)*('PA Fees Actual'!$A$5:$A$882&lt;=EOMONTH(BX$3,0))*'PA Fees Actual'!$D$5:$D$882),BX$3&gt;=EOMONTH($X62,-1)+1,$Y62,TRUE,0)</f>
        <v>0</v>
      </c>
      <c r="BY62" s="202" cm="1">
        <f t="array" ref="BY62">_xlfn.IFS(BY$3&lt;$B$2,SUMPRODUCT(('PA Fees Actual'!$B$5:$B$882=$E62)*('PA Fees Actual'!$A$5:$A$882&gt;=BY$3)*('PA Fees Actual'!$A$5:$A$882&lt;=EOMONTH(BY$3,0))*'PA Fees Actual'!$D$5:$D$882),BY$3&gt;=EOMONTH($X62,-1)+1,$Y62,TRUE,0)</f>
        <v>0</v>
      </c>
      <c r="BZ62" s="202" cm="1">
        <f t="array" ref="BZ62">_xlfn.IFS(BZ$3&lt;$B$2,SUMPRODUCT(('PA Fees Actual'!$B$5:$B$882=$E62)*('PA Fees Actual'!$A$5:$A$882&gt;=BZ$3)*('PA Fees Actual'!$A$5:$A$882&lt;=EOMONTH(BZ$3,0))*'PA Fees Actual'!$D$5:$D$882),BZ$3&gt;=EOMONTH($X62,-1)+1,$Y62,TRUE,0)</f>
        <v>0</v>
      </c>
      <c r="CA62" s="202" cm="1">
        <f t="array" ref="CA62">_xlfn.IFS(CA$3&lt;$B$2,SUMPRODUCT(('PA Fees Actual'!$B$5:$B$882=$E62)*('PA Fees Actual'!$A$5:$A$882&gt;=CA$3)*('PA Fees Actual'!$A$5:$A$882&lt;=EOMONTH(CA$3,0))*'PA Fees Actual'!$D$5:$D$882),CA$3&gt;=EOMONTH($X62,-1)+1,$Y62,TRUE,0)</f>
        <v>0</v>
      </c>
      <c r="CB62" s="202" cm="1">
        <f t="array" ref="CB62">_xlfn.IFS(CB$3&lt;$B$2,SUMPRODUCT(('PA Fees Actual'!$B$5:$B$749=$E62)*('PA Fees Actual'!$A$5:$A$749&gt;=CB$3)*('PA Fees Actual'!$A$5:$A$749&lt;=EOMONTH(CB$3,0))*'PA Fees Actual'!$D$5:$D$749),CB$3&gt;=EOMONTH($X62,-1)+1,$Y62,TRUE,0)</f>
        <v>0</v>
      </c>
      <c r="CC62" s="202" cm="1">
        <f t="array" ref="CC62">_xlfn.IFS(CC$3&lt;$B$2,SUMPRODUCT(('PA Fees Actual'!$B$5:$B$749=$E62)*('PA Fees Actual'!$A$5:$A$749&gt;=CC$3)*('PA Fees Actual'!$A$5:$A$749&lt;=EOMONTH(CC$3,0))*'PA Fees Actual'!$D$5:$D$749),CC$3&gt;=EOMONTH($X62,-1)+1,$Y62,TRUE,0)</f>
        <v>0</v>
      </c>
      <c r="CD62" s="202" cm="1">
        <f t="array" ref="CD62">_xlfn.IFS(CD$3&lt;$B$2,SUMPRODUCT(('PA Fees Actual'!$B$5:$B$749=$E62)*('PA Fees Actual'!$A$5:$A$749&gt;=CD$3)*('PA Fees Actual'!$A$5:$A$749&lt;=EOMONTH(CD$3,0))*'PA Fees Actual'!$D$5:$D$749),CD$3&gt;=EOMONTH($X62,-1)+1,$Y62,TRUE,0)</f>
        <v>0</v>
      </c>
      <c r="CE62" s="202" cm="1">
        <f t="array" ref="CE62">_xlfn.IFS(CE$3&lt;$B$2,SUMPRODUCT(('PA Fees Actual'!$B$5:$B$749=$E62)*('PA Fees Actual'!$A$5:$A$749&gt;=CE$3)*('PA Fees Actual'!$A$5:$A$749&lt;=EOMONTH(CE$3,0))*'PA Fees Actual'!$D$5:$D$749),CE$3&gt;=EOMONTH($X62,-1)+1,$Y62,TRUE,0)</f>
        <v>0</v>
      </c>
      <c r="CF62" s="202" cm="1">
        <f t="array" ref="CF62">_xlfn.IFS(CF$3&lt;$B$2,SUMPRODUCT(('PA Fees Actual'!$B$5:$B$749=$E62)*('PA Fees Actual'!$A$5:$A$749&gt;=CF$3)*('PA Fees Actual'!$A$5:$A$749&lt;=EOMONTH(CF$3,0))*'PA Fees Actual'!$D$5:$D$749),CF$3&gt;=EOMONTH($X62,-1)+1,$Y62,TRUE,0)</f>
        <v>687.09749999999997</v>
      </c>
      <c r="CG62" s="202" cm="1">
        <f t="array" ref="CG62">_xlfn.IFS(CG$3&lt;$B$2,SUMPRODUCT(('PA Fees Actual'!$B$5:$B$749=$E62)*('PA Fees Actual'!$A$5:$A$749&gt;=CG$3)*('PA Fees Actual'!$A$5:$A$749&lt;=EOMONTH(CG$3,0))*'PA Fees Actual'!$D$5:$D$749),CG$3&gt;=EOMONTH($X62,-1)+1,$Y62,TRUE,0)</f>
        <v>687.09749999999997</v>
      </c>
      <c r="CI62" s="202" cm="1">
        <f t="array" ref="CI62">_xlfn.IFS(CI$3&lt;=YEAR($B$2),SUMPRODUCT(($E$4:$E$79=$E62)*($Z$2:$CG$2=CI$3)*($Z$2:$CG$2&lt;CJ$3)*$Z$4:$CG$79),CI$3&lt;YEAR($X62),0,CI$3=YEAR($X62),DATEDIF($X62,DATE(CI$3,12,31),"m")*$Y62,AND(CI$3&gt;YEAR($X62),CI$3-YEAR($X62)&lt;20),$Y62*12,CI$3-YEAR($X62)=20,DATEDIF(DATE(YEAR($X62),1,1),$X62,"m")*$Y62,CI$3-YEAR($X62)&gt;20,0)</f>
        <v>0</v>
      </c>
      <c r="CJ62" s="202" cm="1">
        <f t="array" ref="CJ62">_xlfn.IFS(CJ$3&lt;=YEAR($B$2),SUMPRODUCT(($E$4:$E$79=$E62)*($Z$2:$CG$2=CJ$3)*($Z$2:$CG$2&lt;CK$3)*$Z$4:$CG$79),CJ$3&lt;YEAR($X62),0,CJ$3=YEAR($X62),DATEDIF($X62,DATE(CJ$3,12,31),"m")*$Y62,AND(CJ$3&gt;YEAR($X62),CJ$3-YEAR($X62)&lt;20),$Y62*12,CJ$3-YEAR($X62)=20,DATEDIF(DATE(YEAR($X62),1,1),$X62,"m")*$Y62,CJ$3-YEAR($X62)&gt;20,0)</f>
        <v>0</v>
      </c>
      <c r="CK62" s="202" cm="1">
        <f t="array" ref="CK62">_xlfn.IFS(CK$3&lt;=YEAR($B$2),SUMPRODUCT(($E$4:$E$79=$E62)*($Z$2:$CG$2=CK$3)*($Z$2:$CG$2&lt;CL$3)*$Z$4:$CG$79),CK$3&lt;YEAR($X62),0,CK$3=YEAR($X62),DATEDIF($X62,DATE(CK$3,12,31),"m")*$Y62,AND(CK$3&gt;YEAR($X62),CK$3-YEAR($X62)&lt;20),$Y62*12,CK$3-YEAR($X62)=20,DATEDIF(DATE(YEAR($X62),1,1),$X62,"m")*$Y62,CK$3-YEAR($X62)&gt;20,0)</f>
        <v>0</v>
      </c>
      <c r="CL62" s="202" cm="1">
        <f t="array" ref="CL62">_xlfn.IFS(CL$3&lt;=YEAR($B$2),SUMPRODUCT(($E$4:$E$79=$E62)*($Z$2:$CG$2=CL$3)*($Z$2:$CG$2&lt;CM$3)*$Z$4:$CG$79),CL$3&lt;YEAR($X62),0,CL$3=YEAR($X62),DATEDIF($X62,DATE(CL$3,12,31),"m")*$Y62,AND(CL$3&gt;YEAR($X62),CL$3-YEAR($X62)&lt;20),$Y62*12,CL$3-YEAR($X62)=20,DATEDIF(DATE(YEAR($X62),1,1),$X62,"m")*$Y62,CL$3-YEAR($X62)&gt;20,0)</f>
        <v>0</v>
      </c>
      <c r="CM62" s="202" cm="1">
        <f t="array" ref="CM62">_xlfn.IFS(CM$3&lt;=YEAR($B$2),SUMPRODUCT(($E$4:$E$79=$E62)*($Z$2:$CG$2=CM$3)*($Z$2:$CG$2&lt;CN$3)*$Z$4:$CG$79),CM$3&lt;YEAR($X62),0,CM$3=YEAR($X62),DATEDIF($X62,DATE(CM$3,12,31),"m")*$Y62,AND(CM$3&gt;YEAR($X62),CM$3-YEAR($X62)&lt;20),$Y62*12,CM$3-YEAR($X62)=20,DATEDIF(DATE(YEAR($X62),1,1),$X62,"m")*$Y62,CM$3-YEAR($X62)&gt;20,0)</f>
        <v>1374.1949999999999</v>
      </c>
      <c r="CN62" s="202" cm="1">
        <f t="array" ref="CN62">_xlfn.IFS(CN$3&lt;=YEAR($B$2),SUMPRODUCT(($E$4:$E$79=$E62)*($Z$2:$CG$2=CN$3)*($Z$2:$CG$2&lt;CO$3)*$Z$4:$CG$79),CN$3&lt;YEAR($X62),0,CN$3=YEAR($X62),DATEDIF($X62,DATE(CN$3,12,31),"m")*$Y62,AND(CN$3&gt;YEAR($X62),CN$3-YEAR($X62)&lt;20),$Y62*12,CN$3-YEAR($X62)=20,DATEDIF(DATE(YEAR($X62),1,1),$X62,"m")*$Y62,CN$3-YEAR($X62)&gt;20,0)</f>
        <v>8245.17</v>
      </c>
      <c r="CO62" s="202" cm="1">
        <f t="array" ref="CO62">_xlfn.IFS(CO$3&lt;=YEAR($B$2),SUMPRODUCT(($E$4:$E$79=$E62)*($Z$2:$CG$2=CO$3)*($Z$2:$CG$2&lt;CP$3)*$Z$4:$CG$79),CO$3&lt;YEAR($X62),0,CO$3=YEAR($X62),DATEDIF($X62,DATE(CO$3,12,31),"m")*$Y62,AND(CO$3&gt;YEAR($X62),CO$3-YEAR($X62)&lt;20),$Y62*12,CO$3-YEAR($X62)=20,DATEDIF(DATE(YEAR($X62),1,1),$X62,"m")*$Y62,CO$3-YEAR($X62)&gt;20,0)</f>
        <v>8245.17</v>
      </c>
      <c r="CP62" s="202" cm="1">
        <f t="array" ref="CP62">_xlfn.IFS(CP$3&lt;=YEAR($B$2),SUMPRODUCT(($E$4:$E$79=$E62)*($Z$2:$CG$2=CP$3)*($Z$2:$CG$2&lt;CQ$3)*$Z$4:$CG$79),CP$3&lt;YEAR($X62),0,CP$3=YEAR($X62),DATEDIF($X62,DATE(CP$3,12,31),"m")*$Y62,AND(CP$3&gt;YEAR($X62),CP$3-YEAR($X62)&lt;20),$Y62*12,CP$3-YEAR($X62)=20,DATEDIF(DATE(YEAR($X62),1,1),$X62,"m")*$Y62,CP$3-YEAR($X62)&gt;20,0)</f>
        <v>8245.17</v>
      </c>
      <c r="CQ62" s="202" cm="1">
        <f t="array" ref="CQ62">_xlfn.IFS(CQ$3&lt;=YEAR($B$2),SUMPRODUCT(($E$4:$E$79=$E62)*($Z$2:$CG$2=CQ$3)*($Z$2:$CG$2&lt;CR$3)*$Z$4:$CG$79),CQ$3&lt;YEAR($X62),0,CQ$3=YEAR($X62),DATEDIF($X62,DATE(CQ$3,12,31),"m")*$Y62,AND(CQ$3&gt;YEAR($X62),CQ$3-YEAR($X62)&lt;20),$Y62*12,CQ$3-YEAR($X62)=20,DATEDIF(DATE(YEAR($X62),1,1),$X62,"m")*$Y62,CQ$3-YEAR($X62)&gt;20,0)</f>
        <v>8245.17</v>
      </c>
      <c r="CR62" s="202" cm="1">
        <f t="array" ref="CR62">_xlfn.IFS(CR$3&lt;=YEAR($B$2),SUMPRODUCT(($E$4:$E$79=$E62)*($Z$2:$CG$2=CR$3)*($Z$2:$CG$2&lt;CS$3)*$Z$4:$CG$79),CR$3&lt;YEAR($X62),0,CR$3=YEAR($X62),DATEDIF($X62,DATE(CR$3,12,31),"m")*$Y62,AND(CR$3&gt;YEAR($X62),CR$3-YEAR($X62)&lt;20),$Y62*12,CR$3-YEAR($X62)=20,DATEDIF(DATE(YEAR($X62),1,1),$X62,"m")*$Y62,CR$3-YEAR($X62)&gt;20,0)</f>
        <v>8245.17</v>
      </c>
      <c r="CS62" s="202" cm="1">
        <f t="array" ref="CS62">_xlfn.IFS(CS$3&lt;=YEAR($B$2),SUMPRODUCT(($E$4:$E$79=$E62)*($Z$2:$CG$2=CS$3)*($Z$2:$CG$2&lt;CT$3)*$Z$4:$CG$79),CS$3&lt;YEAR($X62),0,CS$3=YEAR($X62),DATEDIF($X62,DATE(CS$3,12,31),"m")*$Y62,AND(CS$3&gt;YEAR($X62),CS$3-YEAR($X62)&lt;20),$Y62*12,CS$3-YEAR($X62)=20,DATEDIF(DATE(YEAR($X62),1,1),$X62,"m")*$Y62,CS$3-YEAR($X62)&gt;20,0)</f>
        <v>8245.17</v>
      </c>
      <c r="CT62" s="202" cm="1">
        <f t="array" ref="CT62">_xlfn.IFS(CT$3&lt;=YEAR($B$2),SUMPRODUCT(($E$4:$E$79=$E62)*($Z$2:$CG$2=CT$3)*($Z$2:$CG$2&lt;CU$3)*$Z$4:$CG$79),CT$3&lt;YEAR($X62),0,CT$3=YEAR($X62),DATEDIF($X62,DATE(CT$3,12,31),"m")*$Y62,AND(CT$3&gt;YEAR($X62),CT$3-YEAR($X62)&lt;20),$Y62*12,CT$3-YEAR($X62)=20,DATEDIF(DATE(YEAR($X62),1,1),$X62,"m")*$Y62,CT$3-YEAR($X62)&gt;20,0)</f>
        <v>8245.17</v>
      </c>
      <c r="CU62" s="202" cm="1">
        <f t="array" ref="CU62">_xlfn.IFS(CU$3&lt;=YEAR($B$2),SUMPRODUCT(($E$4:$E$79=$E62)*($Z$2:$CG$2=CU$3)*($Z$2:$CG$2&lt;CV$3)*$Z$4:$CG$79),CU$3&lt;YEAR($X62),0,CU$3=YEAR($X62),DATEDIF($X62,DATE(CU$3,12,31),"m")*$Y62,AND(CU$3&gt;YEAR($X62),CU$3-YEAR($X62)&lt;20),$Y62*12,CU$3-YEAR($X62)=20,DATEDIF(DATE(YEAR($X62),1,1),$X62,"m")*$Y62,CU$3-YEAR($X62)&gt;20,0)</f>
        <v>8245.17</v>
      </c>
      <c r="CV62" s="202" cm="1">
        <f t="array" ref="CV62">_xlfn.IFS(CV$3&lt;=YEAR($B$2),SUMPRODUCT(($E$4:$E$79=$E62)*($Z$2:$CG$2=CV$3)*($Z$2:$CG$2&lt;CW$3)*$Z$4:$CG$79),CV$3&lt;YEAR($X62),0,CV$3=YEAR($X62),DATEDIF($X62,DATE(CV$3,12,31),"m")*$Y62,AND(CV$3&gt;YEAR($X62),CV$3-YEAR($X62)&lt;20),$Y62*12,CV$3-YEAR($X62)=20,DATEDIF(DATE(YEAR($X62),1,1),$X62,"m")*$Y62,CV$3-YEAR($X62)&gt;20,0)</f>
        <v>8245.17</v>
      </c>
      <c r="CW62" s="202" cm="1">
        <f t="array" ref="CW62">_xlfn.IFS(CW$3&lt;=YEAR($B$2),SUMPRODUCT(($E$4:$E$79=$E62)*($Z$2:$CG$2=CW$3)*($Z$2:$CG$2&lt;CX$3)*$Z$4:$CG$79),CW$3&lt;YEAR($X62),0,CW$3=YEAR($X62),DATEDIF($X62,DATE(CW$3,12,31),"m")*$Y62,AND(CW$3&gt;YEAR($X62),CW$3-YEAR($X62)&lt;20),$Y62*12,CW$3-YEAR($X62)=20,DATEDIF(DATE(YEAR($X62),1,1),$X62,"m")*$Y62,CW$3-YEAR($X62)&gt;20,0)</f>
        <v>8245.17</v>
      </c>
      <c r="CX62" s="202" cm="1">
        <f t="array" ref="CX62">_xlfn.IFS(CX$3&lt;=YEAR($B$2),SUMPRODUCT(($E$4:$E$79=$E62)*($Z$2:$CG$2=CX$3)*($Z$2:$CG$2&lt;CY$3)*$Z$4:$CG$79),CX$3&lt;YEAR($X62),0,CX$3=YEAR($X62),DATEDIF($X62,DATE(CX$3,12,31),"m")*$Y62,AND(CX$3&gt;YEAR($X62),CX$3-YEAR($X62)&lt;20),$Y62*12,CX$3-YEAR($X62)=20,DATEDIF(DATE(YEAR($X62),1,1),$X62,"m")*$Y62,CX$3-YEAR($X62)&gt;20,0)</f>
        <v>8245.17</v>
      </c>
      <c r="CY62" s="202" cm="1">
        <f t="array" ref="CY62">_xlfn.IFS(CY$3&lt;=YEAR($B$2),SUMPRODUCT(($E$4:$E$79=$E62)*($Z$2:$CG$2=CY$3)*($Z$2:$CG$2&lt;CZ$3)*$Z$4:$CG$79),CY$3&lt;YEAR($X62),0,CY$3=YEAR($X62),DATEDIF($X62,DATE(CY$3,12,31),"m")*$Y62,AND(CY$3&gt;YEAR($X62),CY$3-YEAR($X62)&lt;20),$Y62*12,CY$3-YEAR($X62)=20,DATEDIF(DATE(YEAR($X62),1,1),$X62,"m")*$Y62,CY$3-YEAR($X62)&gt;20,0)</f>
        <v>8245.17</v>
      </c>
      <c r="CZ62" s="202" cm="1">
        <f t="array" ref="CZ62">_xlfn.IFS(CZ$3&lt;=YEAR($B$2),SUMPRODUCT(($E$4:$E$79=$E62)*($Z$2:$CG$2=CZ$3)*($Z$2:$CG$2&lt;DA$3)*$Z$4:$CG$79),CZ$3&lt;YEAR($X62),0,CZ$3=YEAR($X62),DATEDIF($X62,DATE(CZ$3,12,31),"m")*$Y62,AND(CZ$3&gt;YEAR($X62),CZ$3-YEAR($X62)&lt;20),$Y62*12,CZ$3-YEAR($X62)=20,DATEDIF(DATE(YEAR($X62),1,1),$X62,"m")*$Y62,CZ$3-YEAR($X62)&gt;20,0)</f>
        <v>8245.17</v>
      </c>
      <c r="DA62" s="202" cm="1">
        <f t="array" ref="DA62">_xlfn.IFS(DA$3&lt;=YEAR($B$2),SUMPRODUCT(($E$4:$E$79=$E62)*($Z$2:$CG$2=DA$3)*($Z$2:$CG$2&lt;DB$3)*$Z$4:$CG$79),DA$3&lt;YEAR($X62),0,DA$3=YEAR($X62),DATEDIF($X62,DATE(DA$3,12,31),"m")*$Y62,AND(DA$3&gt;YEAR($X62),DA$3-YEAR($X62)&lt;20),$Y62*12,DA$3-YEAR($X62)=20,DATEDIF(DATE(YEAR($X62),1,1),$X62,"m")*$Y62,DA$3-YEAR($X62)&gt;20,0)</f>
        <v>8245.17</v>
      </c>
      <c r="DB62" s="202" cm="1">
        <f t="array" ref="DB62">_xlfn.IFS(DB$3&lt;=YEAR($B$2),SUMPRODUCT(($E$4:$E$79=$E62)*($Z$2:$CG$2=DB$3)*($Z$2:$CG$2&lt;DC$3)*$Z$4:$CG$79),DB$3&lt;YEAR($X62),0,DB$3=YEAR($X62),DATEDIF($X62,DATE(DB$3,12,31),"m")*$Y62,AND(DB$3&gt;YEAR($X62),DB$3-YEAR($X62)&lt;20),$Y62*12,DB$3-YEAR($X62)=20,DATEDIF(DATE(YEAR($X62),1,1),$X62,"m")*$Y62,DB$3-YEAR($X62)&gt;20,0)</f>
        <v>8245.17</v>
      </c>
      <c r="DC62" s="202" cm="1">
        <f t="array" ref="DC62">_xlfn.IFS(DC$3&lt;=YEAR($B$2),SUMPRODUCT(($E$4:$E$79=$E62)*($Z$2:$CG$2=DC$3)*($Z$2:$CG$2&lt;DD$3)*$Z$4:$CG$79),DC$3&lt;YEAR($X62),0,DC$3=YEAR($X62),DATEDIF($X62,DATE(DC$3,12,31),"m")*$Y62,AND(DC$3&gt;YEAR($X62),DC$3-YEAR($X62)&lt;20),$Y62*12,DC$3-YEAR($X62)=20,DATEDIF(DATE(YEAR($X62),1,1),$X62,"m")*$Y62,DC$3-YEAR($X62)&gt;20,0)</f>
        <v>8245.17</v>
      </c>
      <c r="DD62" s="202" cm="1">
        <f t="array" ref="DD62">_xlfn.IFS(DD$3&lt;=YEAR($B$2),SUMPRODUCT(($E$4:$E$79=$E62)*($Z$2:$CG$2=DD$3)*($Z$2:$CG$2&lt;DE$3)*$Z$4:$CG$79),DD$3&lt;YEAR($X62),0,DD$3=YEAR($X62),DATEDIF($X62,DATE(DD$3,12,31),"m")*$Y62,AND(DD$3&gt;YEAR($X62),DD$3-YEAR($X62)&lt;20),$Y62*12,DD$3-YEAR($X62)=20,DATEDIF(DATE(YEAR($X62),1,1),$X62,"m")*$Y62,DD$3-YEAR($X62)&gt;20,0)</f>
        <v>8245.17</v>
      </c>
      <c r="DE62" s="202" cm="1">
        <f t="array" ref="DE62">_xlfn.IFS(DE$3&lt;=YEAR($B$2),SUMPRODUCT(($E$4:$E$79=$E62)*($Z$2:$CG$2=DE$3)*($Z$2:$CG$2&lt;DF$3)*$Z$4:$CG$79),DE$3&lt;YEAR($X62),0,DE$3=YEAR($X62),DATEDIF($X62,DATE(DE$3,12,31),"m")*$Y62,AND(DE$3&gt;YEAR($X62),DE$3-YEAR($X62)&lt;20),$Y62*12,DE$3-YEAR($X62)=20,DATEDIF(DATE(YEAR($X62),1,1),$X62,"m")*$Y62,DE$3-YEAR($X62)&gt;20,0)</f>
        <v>8245.17</v>
      </c>
      <c r="DF62" s="202" cm="1">
        <f t="array" ref="DF62">_xlfn.IFS(DF$3&lt;=YEAR($B$2),SUMPRODUCT(($E$4:$E$79=$E62)*($Z$2:$CG$2=DF$3)*($Z$2:$CG$2&lt;DG$3)*$Z$4:$CG$79),DF$3&lt;YEAR($X62),0,DF$3=YEAR($X62),DATEDIF($X62,DATE(DF$3,12,31),"m")*$Y62,AND(DF$3&gt;YEAR($X62),DF$3-YEAR($X62)&lt;20),$Y62*12,DF$3-YEAR($X62)=20,DATEDIF(DATE(YEAR($X62),1,1),$X62,"m")*$Y62,DF$3-YEAR($X62)&gt;20,0)</f>
        <v>8245.17</v>
      </c>
      <c r="DG62" s="202" cm="1">
        <f t="array" ref="DG62">_xlfn.IFS(DG$3&lt;=YEAR($B$2),SUMPRODUCT(($E$4:$E$79=$E62)*($Z$2:$CG$2=DG$3)*($Z$2:$CG$2&lt;DH$3)*$Z$4:$CG$79),DG$3&lt;YEAR($X62),0,DG$3=YEAR($X62),DATEDIF($X62,DATE(DG$3,12,31),"m")*$Y62,AND(DG$3&gt;YEAR($X62),DG$3-YEAR($X62)&lt;20),$Y62*12,DG$3-YEAR($X62)=20,DATEDIF(DATE(YEAR($X62),1,1),$X62,"m")*$Y62,DG$3-YEAR($X62)&gt;20,0)</f>
        <v>6870.9749999999995</v>
      </c>
      <c r="DH62" s="202" cm="1">
        <f t="array" ref="DH62">_xlfn.IFS(DH$3&lt;=YEAR($B$2),SUMPRODUCT(($E$4:$E$79=$E62)*($Z$2:$CG$2=DH$3)*($Z$2:$CG$2&lt;DI$3)*$Z$4:$CG$79),DH$3&lt;YEAR($X62),0,DH$3=YEAR($X62),DATEDIF($X62,DATE(DH$3,12,31),"m")*$Y62,AND(DH$3&gt;YEAR($X62),DH$3-YEAR($X62)&lt;20),$Y62*12,DH$3-YEAR($X62)=20,DATEDIF(DATE(YEAR($X62),1,1),$X62,"m")*$Y62,DH$3-YEAR($X62)&gt;20,0)</f>
        <v>0</v>
      </c>
      <c r="DI62" s="202" cm="1">
        <f t="array" ref="DI62">_xlfn.IFS(DI$3&lt;=YEAR($B$2),SUMPRODUCT(($E$4:$E$79=$E62)*($Z$2:$CG$2=DI$3)*($Z$2:$CG$2&lt;DJ$3)*$Z$4:$CG$79),DI$3&lt;YEAR($X62),0,DI$3=YEAR($X62),DATEDIF($X62,DATE(DI$3,12,31),"m")*$Y62,AND(DI$3&gt;YEAR($X62),DI$3-YEAR($X62)&lt;20),$Y62*12,DI$3-YEAR($X62)=20,DATEDIF(DATE(YEAR($X62),1,1),$X62,"m")*$Y62,DI$3-YEAR($X62)&gt;20,0)</f>
        <v>0</v>
      </c>
      <c r="DJ62" s="202" cm="1">
        <f t="array" ref="DJ62">_xlfn.IFS(DJ$3&lt;=YEAR($B$2),SUMPRODUCT(($E$4:$E$79=$E62)*($Z$2:$CG$2=DJ$3)*($Z$2:$CG$2&lt;DK$3)*$Z$4:$CG$79),DJ$3&lt;YEAR($X62),0,DJ$3=YEAR($X62),DATEDIF($X62,DATE(DJ$3,12,31),"m")*$Y62,AND(DJ$3&gt;YEAR($X62),DJ$3-YEAR($X62)&lt;20),$Y62*12,DJ$3-YEAR($X62)=20,DATEDIF(DATE(YEAR($X62),1,1),$X62,"m")*$Y62,DJ$3-YEAR($X62)&gt;20,0)</f>
        <v>0</v>
      </c>
      <c r="DK62" s="202" cm="1">
        <f t="array" ref="DK62">_xlfn.IFS(DK$3&lt;=YEAR($B$2),SUMPRODUCT(($E$4:$E$79=$E62)*($Z$2:$CG$2=DK$3)*($Z$2:$CG$2&lt;DL$3)*$Z$4:$CG$79),DK$3&lt;YEAR($X62),0,DK$3=YEAR($X62),DATEDIF($X62,DATE(DK$3,12,31),"m")*$Y62,AND(DK$3&gt;YEAR($X62),DK$3-YEAR($X62)&lt;20),$Y62*12,DK$3-YEAR($X62)=20,DATEDIF(DATE(YEAR($X62),1,1),$X62,"m")*$Y62,DK$3-YEAR($X62)&gt;20,0)</f>
        <v>0</v>
      </c>
      <c r="DL62" s="202" cm="1">
        <f t="array" ref="DL62">_xlfn.IFS(DL$3&lt;=YEAR($B$2),SUMPRODUCT(($E$4:$E$79=$E62)*($Z$2:$CG$2=DL$3)*($Z$2:$CG$2&lt;DM$3)*$Z$4:$CG$79),DL$3&lt;YEAR($X62),0,DL$3=YEAR($X62),DATEDIF($X62,DATE(DL$3,12,31),"m")*$Y62,AND(DL$3&gt;YEAR($X62),DL$3-YEAR($X62)&lt;20),$Y62*12,DL$3-YEAR($X62)=20,DATEDIF(DATE(YEAR($X62),1,1),$X62,"m")*$Y62,DL$3-YEAR($X62)&gt;20,0)</f>
        <v>0</v>
      </c>
    </row>
    <row r="63" spans="1:116">
      <c r="A63" s="155" t="str" cm="1">
        <f t="array" ref="A63">INDEX('Monthly Report July 2025'!C:C,MATCH(E63,'Monthly Report July 2025'!E:E,0),0)</f>
        <v>OCS047</v>
      </c>
      <c r="B63" s="155" t="str" cm="1">
        <f t="array" ref="B63">_xlfn.IFS(LEFT(E63,3)="PGE","PGE",LEFT(E63,2)="PP","PAC",TRUE,"IP")</f>
        <v>PAC</v>
      </c>
      <c r="C63" s="155" t="str">
        <f>IF(ISNA(MATCH(E63,'Monthly Report July 2025'!E:E,0)),"Missing","Present")</f>
        <v>Present</v>
      </c>
      <c r="D63" s="155" t="str">
        <f>IF(ISNA(MATCH(E63,'Project Operational Timelines'!C:C,0))=TRUE,"Missing","Present")</f>
        <v>Present</v>
      </c>
      <c r="E63" s="155" t="s">
        <v>171</v>
      </c>
      <c r="F63" s="155" t="str" cm="1">
        <f t="array" ref="F63">INDEX('Monthly Report July 2025'!F:F,MATCH(E63,'Monthly Report July 2025'!E:E,),0)</f>
        <v>Sunset Ridge Solar</v>
      </c>
      <c r="G63" s="155" t="str" cm="1">
        <f t="array" ref="G63">_xlfn.IFS(INDEX('Monthly Report July 2025'!O:O,MATCH(E63,'Monthly Report July 2025'!E:E,0),0)="Operational","Operational",INDEX('Monthly Report July 2025'!O:O,MATCH(E63,'Monthly Report July 2025'!E:E,0),0)="Certified","Certified",TRUE,"Pre-Certified")</f>
        <v>Operational</v>
      </c>
      <c r="H63" s="155" t="str" cm="1">
        <f t="array" ref="H63">INDEX('Monthly Report July 2025'!H:H,MATCH($E63,'Monthly Report July 2025'!$E:$E,0),0)</f>
        <v>Greenkey Solar</v>
      </c>
      <c r="I63" s="155" t="str" cm="1">
        <f t="array" ref="I63">INDEX('Monthly Report July 2025'!I:I,MATCH($E63,'Monthly Report July 2025'!$E:$E,0),0)</f>
        <v>Luminace</v>
      </c>
      <c r="J63" s="174" cm="1">
        <f t="array" ref="J63">INDEX('Monthly Report July 2025'!J:J,MATCH($E63,'Monthly Report July 2025'!$E:$E,0),0)</f>
        <v>1</v>
      </c>
      <c r="K63" s="174" t="str" cm="1">
        <f t="array" ref="K63">INDEX('Monthly Report July 2025'!K:K,MATCH($E63,'Monthly Report July 2025'!$E:$E,0),0)</f>
        <v>No</v>
      </c>
      <c r="L63" s="174" t="b" cm="1">
        <f t="array" ref="L63">INDEX('Monthly Report July 2025'!L:L,MATCH(E63,'Monthly Report July 2025'!E:E,0),0)=M63</f>
        <v>1</v>
      </c>
      <c r="M63" s="273" cm="1">
        <f t="array" ref="M63">INDEX('Monthly Report July 2025'!L:L,MATCH($E63,'Monthly Report July 2025'!$E:$E,0),0)</f>
        <v>2250</v>
      </c>
      <c r="N63" s="175" cm="1">
        <f t="array" ref="N63">INDEX('Monthly Report July 2025'!M:M,MATCH($E63,'Monthly Report July 2025'!$E:$E,0),0)</f>
        <v>44306</v>
      </c>
      <c r="O63" s="175" t="str" cm="1">
        <f t="array" ref="O63">_xlfn.IFS(G63="Operational","Operational",G63="Certified","Certified",TRUE,INDEX('Monthly Report July 2025'!O:O,MATCH(E63,'Monthly Report July 2025'!E:E,0),0))</f>
        <v>Operational</v>
      </c>
      <c r="P63" s="175" t="b" cm="1">
        <f t="array" ref="P63">_xlfn.IFS(G63="Operational",O63="Operational",G63="Certified",O63="Certified",TRUE,G63="Pre-Certified")</f>
        <v>1</v>
      </c>
      <c r="Q63" s="175" cm="1">
        <f t="array" ref="Q63">IF(O63="Operational",INDEX('Monthly Report July 2025'!R:R,MATCH(E63,'Monthly Report July 2025'!E:E,0),0),"")</f>
        <v>45839</v>
      </c>
      <c r="R63" s="175" cm="1">
        <f t="array" ref="R63">INDEX('Monthly Report July 2025'!P:P,MATCH(E63,'Monthly Report July 2025'!E:E,0),0)</f>
        <v>45595</v>
      </c>
      <c r="S63" s="175" t="b">
        <f t="shared" si="28"/>
        <v>1</v>
      </c>
      <c r="T63" s="175" cm="1">
        <f t="array" ref="T63">INDEX('Monthly Report July 2025'!U:U,MATCH(E63,'Monthly Report July 2025'!E:E,0),0)</f>
        <v>45527</v>
      </c>
      <c r="U63" s="175" t="str">
        <f t="shared" si="6"/>
        <v>IGNORE</v>
      </c>
      <c r="V63" s="156">
        <f t="shared" si="29"/>
        <v>45595</v>
      </c>
      <c r="W63" s="156" cm="1">
        <f t="array" ref="W63">_xlfn.IFS(U63=TRUE,EDATE(O63,6),U63=FALSE,T63,O63="Operational",Q63,AND(O63="Certified",EDATE(R63,6)&gt;T63),EDATE(R63,6),TRUE,T63)</f>
        <v>45839</v>
      </c>
      <c r="X63" s="156">
        <f t="shared" si="30"/>
        <v>45901</v>
      </c>
      <c r="Y63" s="157">
        <f t="shared" si="31"/>
        <v>1625.625</v>
      </c>
      <c r="Z63" s="202" cm="1">
        <f t="array" ref="Z63">_xlfn.IFS(Z$3&lt;$B$2,SUMPRODUCT(('PA Fees Actual'!$B$5:$B$882=$E63)*('PA Fees Actual'!$A$5:$A$882&gt;=Z$3)*('PA Fees Actual'!$A$5:$A$882&lt;=EOMONTH(Z$3,0))*'PA Fees Actual'!$D$5:$D$882),Z$3&gt;=EOMONTH($X63,-1)+1,$Y63,TRUE,0)</f>
        <v>0</v>
      </c>
      <c r="AA63" s="202" cm="1">
        <f t="array" ref="AA63">_xlfn.IFS(AA$3&lt;$B$2,SUMPRODUCT(('PA Fees Actual'!$B$5:$B$882=$E63)*('PA Fees Actual'!$A$5:$A$882&gt;=AA$3)*('PA Fees Actual'!$A$5:$A$882&lt;=EOMONTH(AA$3,0))*'PA Fees Actual'!$D$5:$D$882),AA$3&gt;=EOMONTH($X63,-1)+1,$Y63,TRUE,0)</f>
        <v>0</v>
      </c>
      <c r="AB63" s="202" cm="1">
        <f t="array" ref="AB63">_xlfn.IFS(AB$3&lt;$B$2,SUMPRODUCT(('PA Fees Actual'!$B$5:$B$882=$E63)*('PA Fees Actual'!$A$5:$A$882&gt;=AB$3)*('PA Fees Actual'!$A$5:$A$882&lt;=EOMONTH(AB$3,0))*'PA Fees Actual'!$D$5:$D$882),AB$3&gt;=EOMONTH($X63,-1)+1,$Y63,TRUE,0)</f>
        <v>0</v>
      </c>
      <c r="AC63" s="202" cm="1">
        <f t="array" ref="AC63">_xlfn.IFS(AC$3&lt;$B$2,SUMPRODUCT(('PA Fees Actual'!$B$5:$B$882=$E63)*('PA Fees Actual'!$A$5:$A$882&gt;=AC$3)*('PA Fees Actual'!$A$5:$A$882&lt;=EOMONTH(AC$3,0))*'PA Fees Actual'!$D$5:$D$882),AC$3&gt;=EOMONTH($X63,-1)+1,$Y63,TRUE,0)</f>
        <v>0</v>
      </c>
      <c r="AD63" s="202" cm="1">
        <f t="array" ref="AD63">_xlfn.IFS(AD$3&lt;$B$2,SUMPRODUCT(('PA Fees Actual'!$B$5:$B$882=$E63)*('PA Fees Actual'!$A$5:$A$882&gt;=AD$3)*('PA Fees Actual'!$A$5:$A$882&lt;=EOMONTH(AD$3,0))*'PA Fees Actual'!$D$5:$D$882),AD$3&gt;=EOMONTH($X63,-1)+1,$Y63,TRUE,0)</f>
        <v>0</v>
      </c>
      <c r="AE63" s="202" cm="1">
        <f t="array" ref="AE63">_xlfn.IFS(AE$3&lt;$B$2,SUMPRODUCT(('PA Fees Actual'!$B$5:$B$882=$E63)*('PA Fees Actual'!$A$5:$A$882&gt;=AE$3)*('PA Fees Actual'!$A$5:$A$882&lt;=EOMONTH(AE$3,0))*'PA Fees Actual'!$D$5:$D$882),AE$3&gt;=EOMONTH($X63,-1)+1,$Y63,TRUE,0)</f>
        <v>0</v>
      </c>
      <c r="AF63" s="202" cm="1">
        <f t="array" ref="AF63">_xlfn.IFS(AF$3&lt;$B$2,SUMPRODUCT(('PA Fees Actual'!$B$5:$B$882=$E63)*('PA Fees Actual'!$A$5:$A$882&gt;=AF$3)*('PA Fees Actual'!$A$5:$A$882&lt;=EOMONTH(AF$3,0))*'PA Fees Actual'!$D$5:$D$882),AF$3&gt;=EOMONTH($X63,-1)+1,$Y63,TRUE,0)</f>
        <v>0</v>
      </c>
      <c r="AG63" s="202" cm="1">
        <f t="array" ref="AG63">_xlfn.IFS(AG$3&lt;$B$2,SUMPRODUCT(('PA Fees Actual'!$B$5:$B$882=$E63)*('PA Fees Actual'!$A$5:$A$882&gt;=AG$3)*('PA Fees Actual'!$A$5:$A$882&lt;=EOMONTH(AG$3,0))*'PA Fees Actual'!$D$5:$D$882),AG$3&gt;=EOMONTH($X63,-1)+1,$Y63,TRUE,0)</f>
        <v>0</v>
      </c>
      <c r="AH63" s="202" cm="1">
        <f t="array" ref="AH63">_xlfn.IFS(AH$3&lt;$B$2,SUMPRODUCT(('PA Fees Actual'!$B$5:$B$882=$E63)*('PA Fees Actual'!$A$5:$A$882&gt;=AH$3)*('PA Fees Actual'!$A$5:$A$882&lt;=EOMONTH(AH$3,0))*'PA Fees Actual'!$D$5:$D$882),AH$3&gt;=EOMONTH($X63,-1)+1,$Y63,TRUE,0)</f>
        <v>0</v>
      </c>
      <c r="AI63" s="202" cm="1">
        <f t="array" ref="AI63">_xlfn.IFS(AI$3&lt;$B$2,SUMPRODUCT(('PA Fees Actual'!$B$5:$B$882=$E63)*('PA Fees Actual'!$A$5:$A$882&gt;=AI$3)*('PA Fees Actual'!$A$5:$A$882&lt;=EOMONTH(AI$3,0))*'PA Fees Actual'!$D$5:$D$882),AI$3&gt;=EOMONTH($X63,-1)+1,$Y63,TRUE,0)</f>
        <v>0</v>
      </c>
      <c r="AJ63" s="202" cm="1">
        <f t="array" ref="AJ63">_xlfn.IFS(AJ$3&lt;$B$2,SUMPRODUCT(('PA Fees Actual'!$B$5:$B$882=$E63)*('PA Fees Actual'!$A$5:$A$882&gt;=AJ$3)*('PA Fees Actual'!$A$5:$A$882&lt;=EOMONTH(AJ$3,0))*'PA Fees Actual'!$D$5:$D$882),AJ$3&gt;=EOMONTH($X63,-1)+1,$Y63,TRUE,0)</f>
        <v>0</v>
      </c>
      <c r="AK63" s="202" cm="1">
        <f t="array" ref="AK63">_xlfn.IFS(AK$3&lt;$B$2,SUMPRODUCT(('PA Fees Actual'!$B$5:$B$882=$E63)*('PA Fees Actual'!$A$5:$A$882&gt;=AK$3)*('PA Fees Actual'!$A$5:$A$882&lt;=EOMONTH(AK$3,0))*'PA Fees Actual'!$D$5:$D$882),AK$3&gt;=EOMONTH($X63,-1)+1,$Y63,TRUE,0)</f>
        <v>0</v>
      </c>
      <c r="AL63" s="202" cm="1">
        <f t="array" ref="AL63">_xlfn.IFS(AL$3&lt;$B$2,SUMPRODUCT(('PA Fees Actual'!$B$5:$B$882=$E63)*('PA Fees Actual'!$A$5:$A$882&gt;=AL$3)*('PA Fees Actual'!$A$5:$A$882&lt;=EOMONTH(AL$3,0))*'PA Fees Actual'!$D$5:$D$882),AL$3&gt;=EOMONTH($X63,-1)+1,$Y63,TRUE,0)</f>
        <v>0</v>
      </c>
      <c r="AM63" s="202" cm="1">
        <f t="array" ref="AM63">_xlfn.IFS(AM$3&lt;$B$2,SUMPRODUCT(('PA Fees Actual'!$B$5:$B$882=$E63)*('PA Fees Actual'!$A$5:$A$882&gt;=AM$3)*('PA Fees Actual'!$A$5:$A$882&lt;=EOMONTH(AM$3,0))*'PA Fees Actual'!$D$5:$D$882),AM$3&gt;=EOMONTH($X63,-1)+1,$Y63,TRUE,0)</f>
        <v>0</v>
      </c>
      <c r="AN63" s="202" cm="1">
        <f t="array" ref="AN63">_xlfn.IFS(AN$3&lt;$B$2,SUMPRODUCT(('PA Fees Actual'!$B$5:$B$882=$E63)*('PA Fees Actual'!$A$5:$A$882&gt;=AN$3)*('PA Fees Actual'!$A$5:$A$882&lt;=EOMONTH(AN$3,0))*'PA Fees Actual'!$D$5:$D$882),AN$3&gt;=EOMONTH($X63,-1)+1,$Y63,TRUE,0)</f>
        <v>0</v>
      </c>
      <c r="AO63" s="202" cm="1">
        <f t="array" ref="AO63">_xlfn.IFS(AO$3&lt;$B$2,SUMPRODUCT(('PA Fees Actual'!$B$5:$B$882=$E63)*('PA Fees Actual'!$A$5:$A$882&gt;=AO$3)*('PA Fees Actual'!$A$5:$A$882&lt;=EOMONTH(AO$3,0))*'PA Fees Actual'!$D$5:$D$882),AO$3&gt;=EOMONTH($X63,-1)+1,$Y63,TRUE,0)</f>
        <v>0</v>
      </c>
      <c r="AP63" s="202" cm="1">
        <f t="array" ref="AP63">_xlfn.IFS(AP$3&lt;$B$2,SUMPRODUCT(('PA Fees Actual'!$B$5:$B$882=$E63)*('PA Fees Actual'!$A$5:$A$882&gt;=AP$3)*('PA Fees Actual'!$A$5:$A$882&lt;=EOMONTH(AP$3,0))*'PA Fees Actual'!$D$5:$D$882),AP$3&gt;=EOMONTH($X63,-1)+1,$Y63,TRUE,0)</f>
        <v>0</v>
      </c>
      <c r="AQ63" s="202" cm="1">
        <f t="array" ref="AQ63">_xlfn.IFS(AQ$3&lt;$B$2,SUMPRODUCT(('PA Fees Actual'!$B$5:$B$882=$E63)*('PA Fees Actual'!$A$5:$A$882&gt;=AQ$3)*('PA Fees Actual'!$A$5:$A$882&lt;=EOMONTH(AQ$3,0))*'PA Fees Actual'!$D$5:$D$882),AQ$3&gt;=EOMONTH($X63,-1)+1,$Y63,TRUE,0)</f>
        <v>0</v>
      </c>
      <c r="AR63" s="202" cm="1">
        <f t="array" ref="AR63">_xlfn.IFS(AR$3&lt;$B$2,SUMPRODUCT(('PA Fees Actual'!$B$5:$B$882=$E63)*('PA Fees Actual'!$A$5:$A$882&gt;=AR$3)*('PA Fees Actual'!$A$5:$A$882&lt;=EOMONTH(AR$3,0))*'PA Fees Actual'!$D$5:$D$882),AR$3&gt;=EOMONTH($X63,-1)+1,$Y63,TRUE,0)</f>
        <v>0</v>
      </c>
      <c r="AS63" s="202" cm="1">
        <f t="array" ref="AS63">_xlfn.IFS(AS$3&lt;$B$2,SUMPRODUCT(('PA Fees Actual'!$B$5:$B$882=$E63)*('PA Fees Actual'!$A$5:$A$882&gt;=AS$3)*('PA Fees Actual'!$A$5:$A$882&lt;=EOMONTH(AS$3,0))*'PA Fees Actual'!$D$5:$D$882),AS$3&gt;=EOMONTH($X63,-1)+1,$Y63,TRUE,0)</f>
        <v>0</v>
      </c>
      <c r="AT63" s="202" cm="1">
        <f t="array" ref="AT63">_xlfn.IFS(AT$3&lt;$B$2,SUMPRODUCT(('PA Fees Actual'!$B$5:$B$882=$E63)*('PA Fees Actual'!$A$5:$A$882&gt;=AT$3)*('PA Fees Actual'!$A$5:$A$882&lt;=EOMONTH(AT$3,0))*'PA Fees Actual'!$D$5:$D$882),AT$3&gt;=EOMONTH($X63,-1)+1,$Y63,TRUE,0)</f>
        <v>0</v>
      </c>
      <c r="AU63" s="202" cm="1">
        <f t="array" ref="AU63">_xlfn.IFS(AU$3&lt;$B$2,SUMPRODUCT(('PA Fees Actual'!$B$5:$B$882=$E63)*('PA Fees Actual'!$A$5:$A$882&gt;=AU$3)*('PA Fees Actual'!$A$5:$A$882&lt;=EOMONTH(AU$3,0))*'PA Fees Actual'!$D$5:$D$882),AU$3&gt;=EOMONTH($X63,-1)+1,$Y63,TRUE,0)</f>
        <v>0</v>
      </c>
      <c r="AV63" s="202" cm="1">
        <f t="array" ref="AV63">_xlfn.IFS(AV$3&lt;$B$2,SUMPRODUCT(('PA Fees Actual'!$B$5:$B$882=$E63)*('PA Fees Actual'!$A$5:$A$882&gt;=AV$3)*('PA Fees Actual'!$A$5:$A$882&lt;=EOMONTH(AV$3,0))*'PA Fees Actual'!$D$5:$D$882),AV$3&gt;=EOMONTH($X63,-1)+1,$Y63,TRUE,0)</f>
        <v>0</v>
      </c>
      <c r="AW63" s="202" cm="1">
        <f t="array" ref="AW63">_xlfn.IFS(AW$3&lt;$B$2,SUMPRODUCT(('PA Fees Actual'!$B$5:$B$882=$E63)*('PA Fees Actual'!$A$5:$A$882&gt;=AW$3)*('PA Fees Actual'!$A$5:$A$882&lt;=EOMONTH(AW$3,0))*'PA Fees Actual'!$D$5:$D$882),AW$3&gt;=EOMONTH($X63,-1)+1,$Y63,TRUE,0)</f>
        <v>0</v>
      </c>
      <c r="AX63" s="202" cm="1">
        <f t="array" ref="AX63">_xlfn.IFS(AX$3&lt;$B$2,SUMPRODUCT(('PA Fees Actual'!$B$5:$B$882=$E63)*('PA Fees Actual'!$A$5:$A$882&gt;=AX$3)*('PA Fees Actual'!$A$5:$A$882&lt;=EOMONTH(AX$3,0))*'PA Fees Actual'!$D$5:$D$882),AX$3&gt;=EOMONTH($X63,-1)+1,$Y63,TRUE,0)</f>
        <v>0</v>
      </c>
      <c r="AY63" s="202" cm="1">
        <f t="array" ref="AY63">_xlfn.IFS(AY$3&lt;$B$2,SUMPRODUCT(('PA Fees Actual'!$B$5:$B$882=$E63)*('PA Fees Actual'!$A$5:$A$882&gt;=AY$3)*('PA Fees Actual'!$A$5:$A$882&lt;=EOMONTH(AY$3,0))*'PA Fees Actual'!$D$5:$D$882),AY$3&gt;=EOMONTH($X63,-1)+1,$Y63,TRUE,0)</f>
        <v>0</v>
      </c>
      <c r="AZ63" s="202" cm="1">
        <f t="array" ref="AZ63">_xlfn.IFS(AZ$3&lt;$B$2,SUMPRODUCT(('PA Fees Actual'!$B$5:$B$882=$E63)*('PA Fees Actual'!$A$5:$A$882&gt;=AZ$3)*('PA Fees Actual'!$A$5:$A$882&lt;=EOMONTH(AZ$3,0))*'PA Fees Actual'!$D$5:$D$882),AZ$3&gt;=EOMONTH($X63,-1)+1,$Y63,TRUE,0)</f>
        <v>0</v>
      </c>
      <c r="BA63" s="202" cm="1">
        <f t="array" ref="BA63">_xlfn.IFS(BA$3&lt;$B$2,SUMPRODUCT(('PA Fees Actual'!$B$5:$B$882=$E63)*('PA Fees Actual'!$A$5:$A$882&gt;=BA$3)*('PA Fees Actual'!$A$5:$A$882&lt;=EOMONTH(BA$3,0))*'PA Fees Actual'!$D$5:$D$882),BA$3&gt;=EOMONTH($X63,-1)+1,$Y63,TRUE,0)</f>
        <v>0</v>
      </c>
      <c r="BB63" s="202" cm="1">
        <f t="array" ref="BB63">_xlfn.IFS(BB$3&lt;$B$2,SUMPRODUCT(('PA Fees Actual'!$B$5:$B$882=$E63)*('PA Fees Actual'!$A$5:$A$882&gt;=BB$3)*('PA Fees Actual'!$A$5:$A$882&lt;=EOMONTH(BB$3,0))*'PA Fees Actual'!$D$5:$D$882),BB$3&gt;=EOMONTH($X63,-1)+1,$Y63,TRUE,0)</f>
        <v>0</v>
      </c>
      <c r="BC63" s="202" cm="1">
        <f t="array" ref="BC63">_xlfn.IFS(BC$3&lt;$B$2,SUMPRODUCT(('PA Fees Actual'!$B$5:$B$882=$E63)*('PA Fees Actual'!$A$5:$A$882&gt;=BC$3)*('PA Fees Actual'!$A$5:$A$882&lt;=EOMONTH(BC$3,0))*'PA Fees Actual'!$D$5:$D$882),BC$3&gt;=EOMONTH($X63,-1)+1,$Y63,TRUE,0)</f>
        <v>0</v>
      </c>
      <c r="BD63" s="202" cm="1">
        <f t="array" ref="BD63">_xlfn.IFS(BD$3&lt;$B$2,SUMPRODUCT(('PA Fees Actual'!$B$5:$B$882=$E63)*('PA Fees Actual'!$A$5:$A$882&gt;=BD$3)*('PA Fees Actual'!$A$5:$A$882&lt;=EOMONTH(BD$3,0))*'PA Fees Actual'!$D$5:$D$882),BD$3&gt;=EOMONTH($X63,-1)+1,$Y63,TRUE,0)</f>
        <v>0</v>
      </c>
      <c r="BE63" s="202" cm="1">
        <f t="array" ref="BE63">_xlfn.IFS(BE$3&lt;$B$2,SUMPRODUCT(('PA Fees Actual'!$B$5:$B$882=$E63)*('PA Fees Actual'!$A$5:$A$882&gt;=BE$3)*('PA Fees Actual'!$A$5:$A$882&lt;=EOMONTH(BE$3,0))*'PA Fees Actual'!$D$5:$D$882),BE$3&gt;=EOMONTH($X63,-1)+1,$Y63,TRUE,0)</f>
        <v>0</v>
      </c>
      <c r="BF63" s="202" cm="1">
        <f t="array" ref="BF63">_xlfn.IFS(BF$3&lt;$B$2,SUMPRODUCT(('PA Fees Actual'!$B$5:$B$882=$E63)*('PA Fees Actual'!$A$5:$A$882&gt;=BF$3)*('PA Fees Actual'!$A$5:$A$882&lt;=EOMONTH(BF$3,0))*'PA Fees Actual'!$D$5:$D$882),BF$3&gt;=EOMONTH($X63,-1)+1,$Y63,TRUE,0)</f>
        <v>0</v>
      </c>
      <c r="BG63" s="202" cm="1">
        <f t="array" ref="BG63">_xlfn.IFS(BG$3&lt;$B$2,SUMPRODUCT(('PA Fees Actual'!$B$5:$B$882=$E63)*('PA Fees Actual'!$A$5:$A$882&gt;=BG$3)*('PA Fees Actual'!$A$5:$A$882&lt;=EOMONTH(BG$3,0))*'PA Fees Actual'!$D$5:$D$882),BG$3&gt;=EOMONTH($X63,-1)+1,$Y63,TRUE,0)</f>
        <v>0</v>
      </c>
      <c r="BH63" s="202" cm="1">
        <f t="array" ref="BH63">_xlfn.IFS(BH$3&lt;$B$2,SUMPRODUCT(('PA Fees Actual'!$B$5:$B$882=$E63)*('PA Fees Actual'!$A$5:$A$882&gt;=BH$3)*('PA Fees Actual'!$A$5:$A$882&lt;=EOMONTH(BH$3,0))*'PA Fees Actual'!$D$5:$D$882),BH$3&gt;=EOMONTH($X63,-1)+1,$Y63,TRUE,0)</f>
        <v>0</v>
      </c>
      <c r="BI63" s="202" cm="1">
        <f t="array" ref="BI63">_xlfn.IFS(BI$3&lt;$B$2,SUMPRODUCT(('PA Fees Actual'!$B$5:$B$882=$E63)*('PA Fees Actual'!$A$5:$A$882&gt;=BI$3)*('PA Fees Actual'!$A$5:$A$882&lt;=EOMONTH(BI$3,0))*'PA Fees Actual'!$D$5:$D$882),BI$3&gt;=EOMONTH($X63,-1)+1,$Y63,TRUE,0)</f>
        <v>0</v>
      </c>
      <c r="BJ63" s="202" cm="1">
        <f t="array" ref="BJ63">_xlfn.IFS(BJ$3&lt;$B$2,SUMPRODUCT(('PA Fees Actual'!$B$5:$B$882=$E63)*('PA Fees Actual'!$A$5:$A$882&gt;=BJ$3)*('PA Fees Actual'!$A$5:$A$882&lt;=EOMONTH(BJ$3,0))*'PA Fees Actual'!$D$5:$D$882),BJ$3&gt;=EOMONTH($X63,-1)+1,$Y63,TRUE,0)</f>
        <v>0</v>
      </c>
      <c r="BK63" s="202" cm="1">
        <f t="array" ref="BK63">_xlfn.IFS(BK$3&lt;$B$2,SUMPRODUCT(('PA Fees Actual'!$B$5:$B$882=$E63)*('PA Fees Actual'!$A$5:$A$882&gt;=BK$3)*('PA Fees Actual'!$A$5:$A$882&lt;=EOMONTH(BK$3,0))*'PA Fees Actual'!$D$5:$D$882),BK$3&gt;=EOMONTH($X63,-1)+1,$Y63,TRUE,0)</f>
        <v>0</v>
      </c>
      <c r="BL63" s="202" cm="1">
        <f t="array" ref="BL63">_xlfn.IFS(BL$3&lt;$B$2,SUMPRODUCT(('PA Fees Actual'!$B$5:$B$882=$E63)*('PA Fees Actual'!$A$5:$A$882&gt;=BL$3)*('PA Fees Actual'!$A$5:$A$882&lt;=EOMONTH(BL$3,0))*'PA Fees Actual'!$D$5:$D$882),BL$3&gt;=EOMONTH($X63,-1)+1,$Y63,TRUE,0)</f>
        <v>0</v>
      </c>
      <c r="BM63" s="202" cm="1">
        <f t="array" ref="BM63">_xlfn.IFS(BM$3&lt;$B$2,SUMPRODUCT(('PA Fees Actual'!$B$5:$B$882=$E63)*('PA Fees Actual'!$A$5:$A$882&gt;=BM$3)*('PA Fees Actual'!$A$5:$A$882&lt;=EOMONTH(BM$3,0))*'PA Fees Actual'!$D$5:$D$882),BM$3&gt;=EOMONTH($X63,-1)+1,$Y63,TRUE,0)</f>
        <v>0</v>
      </c>
      <c r="BN63" s="202" cm="1">
        <f t="array" ref="BN63">_xlfn.IFS(BN$3&lt;$B$2,SUMPRODUCT(('PA Fees Actual'!$B$5:$B$882=$E63)*('PA Fees Actual'!$A$5:$A$882&gt;=BN$3)*('PA Fees Actual'!$A$5:$A$882&lt;=EOMONTH(BN$3,0))*'PA Fees Actual'!$D$5:$D$882),BN$3&gt;=EOMONTH($X63,-1)+1,$Y63,TRUE,0)</f>
        <v>0</v>
      </c>
      <c r="BO63" s="202" cm="1">
        <f t="array" ref="BO63">_xlfn.IFS(BO$3&lt;$B$2,SUMPRODUCT(('PA Fees Actual'!$B$5:$B$882=$E63)*('PA Fees Actual'!$A$5:$A$882&gt;=BO$3)*('PA Fees Actual'!$A$5:$A$882&lt;=EOMONTH(BO$3,0))*'PA Fees Actual'!$D$5:$D$882),BO$3&gt;=EOMONTH($X63,-1)+1,$Y63,TRUE,0)</f>
        <v>0</v>
      </c>
      <c r="BP63" s="202" cm="1">
        <f t="array" ref="BP63">_xlfn.IFS(BP$3&lt;$B$2,SUMPRODUCT(('PA Fees Actual'!$B$5:$B$882=$E63)*('PA Fees Actual'!$A$5:$A$882&gt;=BP$3)*('PA Fees Actual'!$A$5:$A$882&lt;=EOMONTH(BP$3,0))*'PA Fees Actual'!$D$5:$D$882),BP$3&gt;=EOMONTH($X63,-1)+1,$Y63,TRUE,0)</f>
        <v>0</v>
      </c>
      <c r="BQ63" s="202" cm="1">
        <f t="array" ref="BQ63">_xlfn.IFS(BQ$3&lt;$B$2,SUMPRODUCT(('PA Fees Actual'!$B$5:$B$882=$E63)*('PA Fees Actual'!$A$5:$A$882&gt;=BQ$3)*('PA Fees Actual'!$A$5:$A$882&lt;=EOMONTH(BQ$3,0))*'PA Fees Actual'!$D$5:$D$882),BQ$3&gt;=EOMONTH($X63,-1)+1,$Y63,TRUE,0)</f>
        <v>0</v>
      </c>
      <c r="BR63" s="202" cm="1">
        <f t="array" ref="BR63">_xlfn.IFS(BR$3&lt;$B$2,SUMPRODUCT(('PA Fees Actual'!$B$5:$B$882=$E63)*('PA Fees Actual'!$A$5:$A$882&gt;=BR$3)*('PA Fees Actual'!$A$5:$A$882&lt;=EOMONTH(BR$3,0))*'PA Fees Actual'!$D$5:$D$882),BR$3&gt;=EOMONTH($X63,-1)+1,$Y63,TRUE,0)</f>
        <v>0</v>
      </c>
      <c r="BS63" s="202" cm="1">
        <f t="array" ref="BS63">_xlfn.IFS(BS$3&lt;$B$2,SUMPRODUCT(('PA Fees Actual'!$B$5:$B$882=$E63)*('PA Fees Actual'!$A$5:$A$882&gt;=BS$3)*('PA Fees Actual'!$A$5:$A$882&lt;=EOMONTH(BS$3,0))*'PA Fees Actual'!$D$5:$D$882),BS$3&gt;=EOMONTH($X63,-1)+1,$Y63,TRUE,0)</f>
        <v>0</v>
      </c>
      <c r="BT63" s="202" cm="1">
        <f t="array" ref="BT63">_xlfn.IFS(BT$3&lt;$B$2,SUMPRODUCT(('PA Fees Actual'!$B$5:$B$882=$E63)*('PA Fees Actual'!$A$5:$A$882&gt;=BT$3)*('PA Fees Actual'!$A$5:$A$882&lt;=EOMONTH(BT$3,0))*'PA Fees Actual'!$D$5:$D$882),BT$3&gt;=EOMONTH($X63,-1)+1,$Y63,TRUE,0)</f>
        <v>0</v>
      </c>
      <c r="BU63" s="202" cm="1">
        <f t="array" ref="BU63">_xlfn.IFS(BU$3&lt;$B$2,SUMPRODUCT(('PA Fees Actual'!$B$5:$B$882=$E63)*('PA Fees Actual'!$A$5:$A$882&gt;=BU$3)*('PA Fees Actual'!$A$5:$A$882&lt;=EOMONTH(BU$3,0))*'PA Fees Actual'!$D$5:$D$882),BU$3&gt;=EOMONTH($X63,-1)+1,$Y63,TRUE,0)</f>
        <v>0</v>
      </c>
      <c r="BV63" s="202" cm="1">
        <f t="array" ref="BV63">_xlfn.IFS(BV$3&lt;$B$2,SUMPRODUCT(('PA Fees Actual'!$B$5:$B$882=$E63)*('PA Fees Actual'!$A$5:$A$882&gt;=BV$3)*('PA Fees Actual'!$A$5:$A$882&lt;=EOMONTH(BV$3,0))*'PA Fees Actual'!$D$5:$D$882),BV$3&gt;=EOMONTH($X63,-1)+1,$Y63,TRUE,0)</f>
        <v>0</v>
      </c>
      <c r="BW63" s="202" cm="1">
        <f t="array" ref="BW63">_xlfn.IFS(BW$3&lt;$B$2,SUMPRODUCT(('PA Fees Actual'!$B$5:$B$882=$E63)*('PA Fees Actual'!$A$5:$A$882&gt;=BW$3)*('PA Fees Actual'!$A$5:$A$882&lt;=EOMONTH(BW$3,0))*'PA Fees Actual'!$D$5:$D$882),BW$3&gt;=EOMONTH($X63,-1)+1,$Y63,TRUE,0)</f>
        <v>0</v>
      </c>
      <c r="BX63" s="202" cm="1">
        <f t="array" ref="BX63">_xlfn.IFS(BX$3&lt;$B$2,SUMPRODUCT(('PA Fees Actual'!$B$5:$B$882=$E63)*('PA Fees Actual'!$A$5:$A$882&gt;=BX$3)*('PA Fees Actual'!$A$5:$A$882&lt;=EOMONTH(BX$3,0))*'PA Fees Actual'!$D$5:$D$882),BX$3&gt;=EOMONTH($X63,-1)+1,$Y63,TRUE,0)</f>
        <v>0</v>
      </c>
      <c r="BY63" s="202" cm="1">
        <f t="array" ref="BY63">_xlfn.IFS(BY$3&lt;$B$2,SUMPRODUCT(('PA Fees Actual'!$B$5:$B$882=$E63)*('PA Fees Actual'!$A$5:$A$882&gt;=BY$3)*('PA Fees Actual'!$A$5:$A$882&lt;=EOMONTH(BY$3,0))*'PA Fees Actual'!$D$5:$D$882),BY$3&gt;=EOMONTH($X63,-1)+1,$Y63,TRUE,0)</f>
        <v>0</v>
      </c>
      <c r="BZ63" s="202" cm="1">
        <f t="array" ref="BZ63">_xlfn.IFS(BZ$3&lt;$B$2,SUMPRODUCT(('PA Fees Actual'!$B$5:$B$882=$E63)*('PA Fees Actual'!$A$5:$A$882&gt;=BZ$3)*('PA Fees Actual'!$A$5:$A$882&lt;=EOMONTH(BZ$3,0))*'PA Fees Actual'!$D$5:$D$882),BZ$3&gt;=EOMONTH($X63,-1)+1,$Y63,TRUE,0)</f>
        <v>0</v>
      </c>
      <c r="CA63" s="202" cm="1">
        <f t="array" ref="CA63">_xlfn.IFS(CA$3&lt;$B$2,SUMPRODUCT(('PA Fees Actual'!$B$5:$B$882=$E63)*('PA Fees Actual'!$A$5:$A$882&gt;=CA$3)*('PA Fees Actual'!$A$5:$A$882&lt;=EOMONTH(CA$3,0))*'PA Fees Actual'!$D$5:$D$882),CA$3&gt;=EOMONTH($X63,-1)+1,$Y63,TRUE,0)</f>
        <v>0</v>
      </c>
      <c r="CB63" s="202" cm="1">
        <f t="array" ref="CB63">_xlfn.IFS(CB$3&lt;$B$2,SUMPRODUCT(('PA Fees Actual'!$B$5:$B$749=$E63)*('PA Fees Actual'!$A$5:$A$749&gt;=CB$3)*('PA Fees Actual'!$A$5:$A$749&lt;=EOMONTH(CB$3,0))*'PA Fees Actual'!$D$5:$D$749),CB$3&gt;=EOMONTH($X63,-1)+1,$Y63,TRUE,0)</f>
        <v>0</v>
      </c>
      <c r="CC63" s="202" cm="1">
        <f t="array" ref="CC63">_xlfn.IFS(CC$3&lt;$B$2,SUMPRODUCT(('PA Fees Actual'!$B$5:$B$749=$E63)*('PA Fees Actual'!$A$5:$A$749&gt;=CC$3)*('PA Fees Actual'!$A$5:$A$749&lt;=EOMONTH(CC$3,0))*'PA Fees Actual'!$D$5:$D$749),CC$3&gt;=EOMONTH($X63,-1)+1,$Y63,TRUE,0)</f>
        <v>0</v>
      </c>
      <c r="CD63" s="202" cm="1">
        <f t="array" ref="CD63">_xlfn.IFS(CD$3&lt;$B$2,SUMPRODUCT(('PA Fees Actual'!$B$5:$B$749=$E63)*('PA Fees Actual'!$A$5:$A$749&gt;=CD$3)*('PA Fees Actual'!$A$5:$A$749&lt;=EOMONTH(CD$3,0))*'PA Fees Actual'!$D$5:$D$749),CD$3&gt;=EOMONTH($X63,-1)+1,$Y63,TRUE,0)</f>
        <v>1625.625</v>
      </c>
      <c r="CE63" s="202" cm="1">
        <f t="array" ref="CE63">_xlfn.IFS(CE$3&lt;$B$2,SUMPRODUCT(('PA Fees Actual'!$B$5:$B$749=$E63)*('PA Fees Actual'!$A$5:$A$749&gt;=CE$3)*('PA Fees Actual'!$A$5:$A$749&lt;=EOMONTH(CE$3,0))*'PA Fees Actual'!$D$5:$D$749),CE$3&gt;=EOMONTH($X63,-1)+1,$Y63,TRUE,0)</f>
        <v>1625.625</v>
      </c>
      <c r="CF63" s="202" cm="1">
        <f t="array" ref="CF63">_xlfn.IFS(CF$3&lt;$B$2,SUMPRODUCT(('PA Fees Actual'!$B$5:$B$749=$E63)*('PA Fees Actual'!$A$5:$A$749&gt;=CF$3)*('PA Fees Actual'!$A$5:$A$749&lt;=EOMONTH(CF$3,0))*'PA Fees Actual'!$D$5:$D$749),CF$3&gt;=EOMONTH($X63,-1)+1,$Y63,TRUE,0)</f>
        <v>1625.625</v>
      </c>
      <c r="CG63" s="202" cm="1">
        <f t="array" ref="CG63">_xlfn.IFS(CG$3&lt;$B$2,SUMPRODUCT(('PA Fees Actual'!$B$5:$B$749=$E63)*('PA Fees Actual'!$A$5:$A$749&gt;=CG$3)*('PA Fees Actual'!$A$5:$A$749&lt;=EOMONTH(CG$3,0))*'PA Fees Actual'!$D$5:$D$749),CG$3&gt;=EOMONTH($X63,-1)+1,$Y63,TRUE,0)</f>
        <v>1625.625</v>
      </c>
      <c r="CI63" s="202" cm="1">
        <f t="array" ref="CI63">_xlfn.IFS(CI$3&lt;=YEAR($B$2),SUMPRODUCT(($E$4:$E$79=$E63)*($Z$2:$CG$2=CI$3)*($Z$2:$CG$2&lt;CJ$3)*$Z$4:$CG$79),CI$3&lt;YEAR($X63),0,CI$3=YEAR($X63),DATEDIF($X63,DATE(CI$3,12,31),"m")*$Y63,AND(CI$3&gt;YEAR($X63),CI$3-YEAR($X63)&lt;20),$Y63*12,CI$3-YEAR($X63)=20,DATEDIF(DATE(YEAR($X63),1,1),$X63,"m")*$Y63,CI$3-YEAR($X63)&gt;20,0)</f>
        <v>0</v>
      </c>
      <c r="CJ63" s="202" cm="1">
        <f t="array" ref="CJ63">_xlfn.IFS(CJ$3&lt;=YEAR($B$2),SUMPRODUCT(($E$4:$E$79=$E63)*($Z$2:$CG$2=CJ$3)*($Z$2:$CG$2&lt;CK$3)*$Z$4:$CG$79),CJ$3&lt;YEAR($X63),0,CJ$3=YEAR($X63),DATEDIF($X63,DATE(CJ$3,12,31),"m")*$Y63,AND(CJ$3&gt;YEAR($X63),CJ$3-YEAR($X63)&lt;20),$Y63*12,CJ$3-YEAR($X63)=20,DATEDIF(DATE(YEAR($X63),1,1),$X63,"m")*$Y63,CJ$3-YEAR($X63)&gt;20,0)</f>
        <v>0</v>
      </c>
      <c r="CK63" s="202" cm="1">
        <f t="array" ref="CK63">_xlfn.IFS(CK$3&lt;=YEAR($B$2),SUMPRODUCT(($E$4:$E$79=$E63)*($Z$2:$CG$2=CK$3)*($Z$2:$CG$2&lt;CL$3)*$Z$4:$CG$79),CK$3&lt;YEAR($X63),0,CK$3=YEAR($X63),DATEDIF($X63,DATE(CK$3,12,31),"m")*$Y63,AND(CK$3&gt;YEAR($X63),CK$3-YEAR($X63)&lt;20),$Y63*12,CK$3-YEAR($X63)=20,DATEDIF(DATE(YEAR($X63),1,1),$X63,"m")*$Y63,CK$3-YEAR($X63)&gt;20,0)</f>
        <v>0</v>
      </c>
      <c r="CL63" s="202" cm="1">
        <f t="array" ref="CL63">_xlfn.IFS(CL$3&lt;=YEAR($B$2),SUMPRODUCT(($E$4:$E$79=$E63)*($Z$2:$CG$2=CL$3)*($Z$2:$CG$2&lt;CM$3)*$Z$4:$CG$79),CL$3&lt;YEAR($X63),0,CL$3=YEAR($X63),DATEDIF($X63,DATE(CL$3,12,31),"m")*$Y63,AND(CL$3&gt;YEAR($X63),CL$3-YEAR($X63)&lt;20),$Y63*12,CL$3-YEAR($X63)=20,DATEDIF(DATE(YEAR($X63),1,1),$X63,"m")*$Y63,CL$3-YEAR($X63)&gt;20,0)</f>
        <v>0</v>
      </c>
      <c r="CM63" s="202" cm="1">
        <f t="array" ref="CM63">_xlfn.IFS(CM$3&lt;=YEAR($B$2),SUMPRODUCT(($E$4:$E$79=$E63)*($Z$2:$CG$2=CM$3)*($Z$2:$CG$2&lt;CN$3)*$Z$4:$CG$79),CM$3&lt;YEAR($X63),0,CM$3=YEAR($X63),DATEDIF($X63,DATE(CM$3,12,31),"m")*$Y63,AND(CM$3&gt;YEAR($X63),CM$3-YEAR($X63)&lt;20),$Y63*12,CM$3-YEAR($X63)=20,DATEDIF(DATE(YEAR($X63),1,1),$X63,"m")*$Y63,CM$3-YEAR($X63)&gt;20,0)</f>
        <v>6502.5</v>
      </c>
      <c r="CN63" s="202" cm="1">
        <f t="array" ref="CN63">_xlfn.IFS(CN$3&lt;=YEAR($B$2),SUMPRODUCT(($E$4:$E$79=$E63)*($Z$2:$CG$2=CN$3)*($Z$2:$CG$2&lt;CO$3)*$Z$4:$CG$79),CN$3&lt;YEAR($X63),0,CN$3=YEAR($X63),DATEDIF($X63,DATE(CN$3,12,31),"m")*$Y63,AND(CN$3&gt;YEAR($X63),CN$3-YEAR($X63)&lt;20),$Y63*12,CN$3-YEAR($X63)=20,DATEDIF(DATE(YEAR($X63),1,1),$X63,"m")*$Y63,CN$3-YEAR($X63)&gt;20,0)</f>
        <v>19507.5</v>
      </c>
      <c r="CO63" s="202" cm="1">
        <f t="array" ref="CO63">_xlfn.IFS(CO$3&lt;=YEAR($B$2),SUMPRODUCT(($E$4:$E$79=$E63)*($Z$2:$CG$2=CO$3)*($Z$2:$CG$2&lt;CP$3)*$Z$4:$CG$79),CO$3&lt;YEAR($X63),0,CO$3=YEAR($X63),DATEDIF($X63,DATE(CO$3,12,31),"m")*$Y63,AND(CO$3&gt;YEAR($X63),CO$3-YEAR($X63)&lt;20),$Y63*12,CO$3-YEAR($X63)=20,DATEDIF(DATE(YEAR($X63),1,1),$X63,"m")*$Y63,CO$3-YEAR($X63)&gt;20,0)</f>
        <v>19507.5</v>
      </c>
      <c r="CP63" s="202" cm="1">
        <f t="array" ref="CP63">_xlfn.IFS(CP$3&lt;=YEAR($B$2),SUMPRODUCT(($E$4:$E$79=$E63)*($Z$2:$CG$2=CP$3)*($Z$2:$CG$2&lt;CQ$3)*$Z$4:$CG$79),CP$3&lt;YEAR($X63),0,CP$3=YEAR($X63),DATEDIF($X63,DATE(CP$3,12,31),"m")*$Y63,AND(CP$3&gt;YEAR($X63),CP$3-YEAR($X63)&lt;20),$Y63*12,CP$3-YEAR($X63)=20,DATEDIF(DATE(YEAR($X63),1,1),$X63,"m")*$Y63,CP$3-YEAR($X63)&gt;20,0)</f>
        <v>19507.5</v>
      </c>
      <c r="CQ63" s="202" cm="1">
        <f t="array" ref="CQ63">_xlfn.IFS(CQ$3&lt;=YEAR($B$2),SUMPRODUCT(($E$4:$E$79=$E63)*($Z$2:$CG$2=CQ$3)*($Z$2:$CG$2&lt;CR$3)*$Z$4:$CG$79),CQ$3&lt;YEAR($X63),0,CQ$3=YEAR($X63),DATEDIF($X63,DATE(CQ$3,12,31),"m")*$Y63,AND(CQ$3&gt;YEAR($X63),CQ$3-YEAR($X63)&lt;20),$Y63*12,CQ$3-YEAR($X63)=20,DATEDIF(DATE(YEAR($X63),1,1),$X63,"m")*$Y63,CQ$3-YEAR($X63)&gt;20,0)</f>
        <v>19507.5</v>
      </c>
      <c r="CR63" s="202" cm="1">
        <f t="array" ref="CR63">_xlfn.IFS(CR$3&lt;=YEAR($B$2),SUMPRODUCT(($E$4:$E$79=$E63)*($Z$2:$CG$2=CR$3)*($Z$2:$CG$2&lt;CS$3)*$Z$4:$CG$79),CR$3&lt;YEAR($X63),0,CR$3=YEAR($X63),DATEDIF($X63,DATE(CR$3,12,31),"m")*$Y63,AND(CR$3&gt;YEAR($X63),CR$3-YEAR($X63)&lt;20),$Y63*12,CR$3-YEAR($X63)=20,DATEDIF(DATE(YEAR($X63),1,1),$X63,"m")*$Y63,CR$3-YEAR($X63)&gt;20,0)</f>
        <v>19507.5</v>
      </c>
      <c r="CS63" s="202" cm="1">
        <f t="array" ref="CS63">_xlfn.IFS(CS$3&lt;=YEAR($B$2),SUMPRODUCT(($E$4:$E$79=$E63)*($Z$2:$CG$2=CS$3)*($Z$2:$CG$2&lt;CT$3)*$Z$4:$CG$79),CS$3&lt;YEAR($X63),0,CS$3=YEAR($X63),DATEDIF($X63,DATE(CS$3,12,31),"m")*$Y63,AND(CS$3&gt;YEAR($X63),CS$3-YEAR($X63)&lt;20),$Y63*12,CS$3-YEAR($X63)=20,DATEDIF(DATE(YEAR($X63),1,1),$X63,"m")*$Y63,CS$3-YEAR($X63)&gt;20,0)</f>
        <v>19507.5</v>
      </c>
      <c r="CT63" s="202" cm="1">
        <f t="array" ref="CT63">_xlfn.IFS(CT$3&lt;=YEAR($B$2),SUMPRODUCT(($E$4:$E$79=$E63)*($Z$2:$CG$2=CT$3)*($Z$2:$CG$2&lt;CU$3)*$Z$4:$CG$79),CT$3&lt;YEAR($X63),0,CT$3=YEAR($X63),DATEDIF($X63,DATE(CT$3,12,31),"m")*$Y63,AND(CT$3&gt;YEAR($X63),CT$3-YEAR($X63)&lt;20),$Y63*12,CT$3-YEAR($X63)=20,DATEDIF(DATE(YEAR($X63),1,1),$X63,"m")*$Y63,CT$3-YEAR($X63)&gt;20,0)</f>
        <v>19507.5</v>
      </c>
      <c r="CU63" s="202" cm="1">
        <f t="array" ref="CU63">_xlfn.IFS(CU$3&lt;=YEAR($B$2),SUMPRODUCT(($E$4:$E$79=$E63)*($Z$2:$CG$2=CU$3)*($Z$2:$CG$2&lt;CV$3)*$Z$4:$CG$79),CU$3&lt;YEAR($X63),0,CU$3=YEAR($X63),DATEDIF($X63,DATE(CU$3,12,31),"m")*$Y63,AND(CU$3&gt;YEAR($X63),CU$3-YEAR($X63)&lt;20),$Y63*12,CU$3-YEAR($X63)=20,DATEDIF(DATE(YEAR($X63),1,1),$X63,"m")*$Y63,CU$3-YEAR($X63)&gt;20,0)</f>
        <v>19507.5</v>
      </c>
      <c r="CV63" s="202" cm="1">
        <f t="array" ref="CV63">_xlfn.IFS(CV$3&lt;=YEAR($B$2),SUMPRODUCT(($E$4:$E$79=$E63)*($Z$2:$CG$2=CV$3)*($Z$2:$CG$2&lt;CW$3)*$Z$4:$CG$79),CV$3&lt;YEAR($X63),0,CV$3=YEAR($X63),DATEDIF($X63,DATE(CV$3,12,31),"m")*$Y63,AND(CV$3&gt;YEAR($X63),CV$3-YEAR($X63)&lt;20),$Y63*12,CV$3-YEAR($X63)=20,DATEDIF(DATE(YEAR($X63),1,1),$X63,"m")*$Y63,CV$3-YEAR($X63)&gt;20,0)</f>
        <v>19507.5</v>
      </c>
      <c r="CW63" s="202" cm="1">
        <f t="array" ref="CW63">_xlfn.IFS(CW$3&lt;=YEAR($B$2),SUMPRODUCT(($E$4:$E$79=$E63)*($Z$2:$CG$2=CW$3)*($Z$2:$CG$2&lt;CX$3)*$Z$4:$CG$79),CW$3&lt;YEAR($X63),0,CW$3=YEAR($X63),DATEDIF($X63,DATE(CW$3,12,31),"m")*$Y63,AND(CW$3&gt;YEAR($X63),CW$3-YEAR($X63)&lt;20),$Y63*12,CW$3-YEAR($X63)=20,DATEDIF(DATE(YEAR($X63),1,1),$X63,"m")*$Y63,CW$3-YEAR($X63)&gt;20,0)</f>
        <v>19507.5</v>
      </c>
      <c r="CX63" s="202" cm="1">
        <f t="array" ref="CX63">_xlfn.IFS(CX$3&lt;=YEAR($B$2),SUMPRODUCT(($E$4:$E$79=$E63)*($Z$2:$CG$2=CX$3)*($Z$2:$CG$2&lt;CY$3)*$Z$4:$CG$79),CX$3&lt;YEAR($X63),0,CX$3=YEAR($X63),DATEDIF($X63,DATE(CX$3,12,31),"m")*$Y63,AND(CX$3&gt;YEAR($X63),CX$3-YEAR($X63)&lt;20),$Y63*12,CX$3-YEAR($X63)=20,DATEDIF(DATE(YEAR($X63),1,1),$X63,"m")*$Y63,CX$3-YEAR($X63)&gt;20,0)</f>
        <v>19507.5</v>
      </c>
      <c r="CY63" s="202" cm="1">
        <f t="array" ref="CY63">_xlfn.IFS(CY$3&lt;=YEAR($B$2),SUMPRODUCT(($E$4:$E$79=$E63)*($Z$2:$CG$2=CY$3)*($Z$2:$CG$2&lt;CZ$3)*$Z$4:$CG$79),CY$3&lt;YEAR($X63),0,CY$3=YEAR($X63),DATEDIF($X63,DATE(CY$3,12,31),"m")*$Y63,AND(CY$3&gt;YEAR($X63),CY$3-YEAR($X63)&lt;20),$Y63*12,CY$3-YEAR($X63)=20,DATEDIF(DATE(YEAR($X63),1,1),$X63,"m")*$Y63,CY$3-YEAR($X63)&gt;20,0)</f>
        <v>19507.5</v>
      </c>
      <c r="CZ63" s="202" cm="1">
        <f t="array" ref="CZ63">_xlfn.IFS(CZ$3&lt;=YEAR($B$2),SUMPRODUCT(($E$4:$E$79=$E63)*($Z$2:$CG$2=CZ$3)*($Z$2:$CG$2&lt;DA$3)*$Z$4:$CG$79),CZ$3&lt;YEAR($X63),0,CZ$3=YEAR($X63),DATEDIF($X63,DATE(CZ$3,12,31),"m")*$Y63,AND(CZ$3&gt;YEAR($X63),CZ$3-YEAR($X63)&lt;20),$Y63*12,CZ$3-YEAR($X63)=20,DATEDIF(DATE(YEAR($X63),1,1),$X63,"m")*$Y63,CZ$3-YEAR($X63)&gt;20,0)</f>
        <v>19507.5</v>
      </c>
      <c r="DA63" s="202" cm="1">
        <f t="array" ref="DA63">_xlfn.IFS(DA$3&lt;=YEAR($B$2),SUMPRODUCT(($E$4:$E$79=$E63)*($Z$2:$CG$2=DA$3)*($Z$2:$CG$2&lt;DB$3)*$Z$4:$CG$79),DA$3&lt;YEAR($X63),0,DA$3=YEAR($X63),DATEDIF($X63,DATE(DA$3,12,31),"m")*$Y63,AND(DA$3&gt;YEAR($X63),DA$3-YEAR($X63)&lt;20),$Y63*12,DA$3-YEAR($X63)=20,DATEDIF(DATE(YEAR($X63),1,1),$X63,"m")*$Y63,DA$3-YEAR($X63)&gt;20,0)</f>
        <v>19507.5</v>
      </c>
      <c r="DB63" s="202" cm="1">
        <f t="array" ref="DB63">_xlfn.IFS(DB$3&lt;=YEAR($B$2),SUMPRODUCT(($E$4:$E$79=$E63)*($Z$2:$CG$2=DB$3)*($Z$2:$CG$2&lt;DC$3)*$Z$4:$CG$79),DB$3&lt;YEAR($X63),0,DB$3=YEAR($X63),DATEDIF($X63,DATE(DB$3,12,31),"m")*$Y63,AND(DB$3&gt;YEAR($X63),DB$3-YEAR($X63)&lt;20),$Y63*12,DB$3-YEAR($X63)=20,DATEDIF(DATE(YEAR($X63),1,1),$X63,"m")*$Y63,DB$3-YEAR($X63)&gt;20,0)</f>
        <v>19507.5</v>
      </c>
      <c r="DC63" s="202" cm="1">
        <f t="array" ref="DC63">_xlfn.IFS(DC$3&lt;=YEAR($B$2),SUMPRODUCT(($E$4:$E$79=$E63)*($Z$2:$CG$2=DC$3)*($Z$2:$CG$2&lt;DD$3)*$Z$4:$CG$79),DC$3&lt;YEAR($X63),0,DC$3=YEAR($X63),DATEDIF($X63,DATE(DC$3,12,31),"m")*$Y63,AND(DC$3&gt;YEAR($X63),DC$3-YEAR($X63)&lt;20),$Y63*12,DC$3-YEAR($X63)=20,DATEDIF(DATE(YEAR($X63),1,1),$X63,"m")*$Y63,DC$3-YEAR($X63)&gt;20,0)</f>
        <v>19507.5</v>
      </c>
      <c r="DD63" s="202" cm="1">
        <f t="array" ref="DD63">_xlfn.IFS(DD$3&lt;=YEAR($B$2),SUMPRODUCT(($E$4:$E$79=$E63)*($Z$2:$CG$2=DD$3)*($Z$2:$CG$2&lt;DE$3)*$Z$4:$CG$79),DD$3&lt;YEAR($X63),0,DD$3=YEAR($X63),DATEDIF($X63,DATE(DD$3,12,31),"m")*$Y63,AND(DD$3&gt;YEAR($X63),DD$3-YEAR($X63)&lt;20),$Y63*12,DD$3-YEAR($X63)=20,DATEDIF(DATE(YEAR($X63),1,1),$X63,"m")*$Y63,DD$3-YEAR($X63)&gt;20,0)</f>
        <v>19507.5</v>
      </c>
      <c r="DE63" s="202" cm="1">
        <f t="array" ref="DE63">_xlfn.IFS(DE$3&lt;=YEAR($B$2),SUMPRODUCT(($E$4:$E$79=$E63)*($Z$2:$CG$2=DE$3)*($Z$2:$CG$2&lt;DF$3)*$Z$4:$CG$79),DE$3&lt;YEAR($X63),0,DE$3=YEAR($X63),DATEDIF($X63,DATE(DE$3,12,31),"m")*$Y63,AND(DE$3&gt;YEAR($X63),DE$3-YEAR($X63)&lt;20),$Y63*12,DE$3-YEAR($X63)=20,DATEDIF(DATE(YEAR($X63),1,1),$X63,"m")*$Y63,DE$3-YEAR($X63)&gt;20,0)</f>
        <v>19507.5</v>
      </c>
      <c r="DF63" s="202" cm="1">
        <f t="array" ref="DF63">_xlfn.IFS(DF$3&lt;=YEAR($B$2),SUMPRODUCT(($E$4:$E$79=$E63)*($Z$2:$CG$2=DF$3)*($Z$2:$CG$2&lt;DG$3)*$Z$4:$CG$79),DF$3&lt;YEAR($X63),0,DF$3=YEAR($X63),DATEDIF($X63,DATE(DF$3,12,31),"m")*$Y63,AND(DF$3&gt;YEAR($X63),DF$3-YEAR($X63)&lt;20),$Y63*12,DF$3-YEAR($X63)=20,DATEDIF(DATE(YEAR($X63),1,1),$X63,"m")*$Y63,DF$3-YEAR($X63)&gt;20,0)</f>
        <v>19507.5</v>
      </c>
      <c r="DG63" s="202" cm="1">
        <f t="array" ref="DG63">_xlfn.IFS(DG$3&lt;=YEAR($B$2),SUMPRODUCT(($E$4:$E$79=$E63)*($Z$2:$CG$2=DG$3)*($Z$2:$CG$2&lt;DH$3)*$Z$4:$CG$79),DG$3&lt;YEAR($X63),0,DG$3=YEAR($X63),DATEDIF($X63,DATE(DG$3,12,31),"m")*$Y63,AND(DG$3&gt;YEAR($X63),DG$3-YEAR($X63)&lt;20),$Y63*12,DG$3-YEAR($X63)=20,DATEDIF(DATE(YEAR($X63),1,1),$X63,"m")*$Y63,DG$3-YEAR($X63)&gt;20,0)</f>
        <v>13005</v>
      </c>
      <c r="DH63" s="202" cm="1">
        <f t="array" ref="DH63">_xlfn.IFS(DH$3&lt;=YEAR($B$2),SUMPRODUCT(($E$4:$E$79=$E63)*($Z$2:$CG$2=DH$3)*($Z$2:$CG$2&lt;DI$3)*$Z$4:$CG$79),DH$3&lt;YEAR($X63),0,DH$3=YEAR($X63),DATEDIF($X63,DATE(DH$3,12,31),"m")*$Y63,AND(DH$3&gt;YEAR($X63),DH$3-YEAR($X63)&lt;20),$Y63*12,DH$3-YEAR($X63)=20,DATEDIF(DATE(YEAR($X63),1,1),$X63,"m")*$Y63,DH$3-YEAR($X63)&gt;20,0)</f>
        <v>0</v>
      </c>
      <c r="DI63" s="202" cm="1">
        <f t="array" ref="DI63">_xlfn.IFS(DI$3&lt;=YEAR($B$2),SUMPRODUCT(($E$4:$E$79=$E63)*($Z$2:$CG$2=DI$3)*($Z$2:$CG$2&lt;DJ$3)*$Z$4:$CG$79),DI$3&lt;YEAR($X63),0,DI$3=YEAR($X63),DATEDIF($X63,DATE(DI$3,12,31),"m")*$Y63,AND(DI$3&gt;YEAR($X63),DI$3-YEAR($X63)&lt;20),$Y63*12,DI$3-YEAR($X63)=20,DATEDIF(DATE(YEAR($X63),1,1),$X63,"m")*$Y63,DI$3-YEAR($X63)&gt;20,0)</f>
        <v>0</v>
      </c>
      <c r="DJ63" s="202" cm="1">
        <f t="array" ref="DJ63">_xlfn.IFS(DJ$3&lt;=YEAR($B$2),SUMPRODUCT(($E$4:$E$79=$E63)*($Z$2:$CG$2=DJ$3)*($Z$2:$CG$2&lt;DK$3)*$Z$4:$CG$79),DJ$3&lt;YEAR($X63),0,DJ$3=YEAR($X63),DATEDIF($X63,DATE(DJ$3,12,31),"m")*$Y63,AND(DJ$3&gt;YEAR($X63),DJ$3-YEAR($X63)&lt;20),$Y63*12,DJ$3-YEAR($X63)=20,DATEDIF(DATE(YEAR($X63),1,1),$X63,"m")*$Y63,DJ$3-YEAR($X63)&gt;20,0)</f>
        <v>0</v>
      </c>
      <c r="DK63" s="202" cm="1">
        <f t="array" ref="DK63">_xlfn.IFS(DK$3&lt;=YEAR($B$2),SUMPRODUCT(($E$4:$E$79=$E63)*($Z$2:$CG$2=DK$3)*($Z$2:$CG$2&lt;DL$3)*$Z$4:$CG$79),DK$3&lt;YEAR($X63),0,DK$3=YEAR($X63),DATEDIF($X63,DATE(DK$3,12,31),"m")*$Y63,AND(DK$3&gt;YEAR($X63),DK$3-YEAR($X63)&lt;20),$Y63*12,DK$3-YEAR($X63)=20,DATEDIF(DATE(YEAR($X63),1,1),$X63,"m")*$Y63,DK$3-YEAR($X63)&gt;20,0)</f>
        <v>0</v>
      </c>
      <c r="DL63" s="202" cm="1">
        <f t="array" ref="DL63">_xlfn.IFS(DL$3&lt;=YEAR($B$2),SUMPRODUCT(($E$4:$E$79=$E63)*($Z$2:$CG$2=DL$3)*($Z$2:$CG$2&lt;DM$3)*$Z$4:$CG$79),DL$3&lt;YEAR($X63),0,DL$3=YEAR($X63),DATEDIF($X63,DATE(DL$3,12,31),"m")*$Y63,AND(DL$3&gt;YEAR($X63),DL$3-YEAR($X63)&lt;20),$Y63*12,DL$3-YEAR($X63)=20,DATEDIF(DATE(YEAR($X63),1,1),$X63,"m")*$Y63,DL$3-YEAR($X63)&gt;20,0)</f>
        <v>0</v>
      </c>
    </row>
    <row r="64" spans="1:116">
      <c r="A64" s="155" t="str" cm="1">
        <f t="array" ref="A64">INDEX('Monthly Report July 2025'!C:C,MATCH(E64,'Monthly Report July 2025'!E:E,0),0)</f>
        <v>OCS055</v>
      </c>
      <c r="B64" s="155" t="str" cm="1">
        <f t="array" ref="B64">_xlfn.IFS(LEFT(E64,3)="PGE","PGE",LEFT(E64,2)="PP","PAC",TRUE,"IP")</f>
        <v>PAC</v>
      </c>
      <c r="C64" s="155" t="str">
        <f>IF(ISNA(MATCH(E64,'Monthly Report July 2025'!E:E,0)),"Missing","Present")</f>
        <v>Present</v>
      </c>
      <c r="D64" s="155" t="str">
        <f>IF(ISNA(MATCH(E64,'Project Operational Timelines'!C:C,0))=TRUE,"Missing","Present")</f>
        <v>Present</v>
      </c>
      <c r="E64" s="155" t="s">
        <v>172</v>
      </c>
      <c r="F64" s="155" t="str" cm="1">
        <f t="array" ref="F64">INDEX('Monthly Report July 2025'!F:F,MATCH(E64,'Monthly Report July 2025'!E:E,),0)</f>
        <v>Blackwell Creek Solar</v>
      </c>
      <c r="G64" s="155" t="str" cm="1">
        <f t="array" ref="G64">_xlfn.IFS(INDEX('Monthly Report July 2025'!O:O,MATCH(E64,'Monthly Report July 2025'!E:E,0),0)="Operational","Operational",INDEX('Monthly Report July 2025'!O:O,MATCH(E64,'Monthly Report July 2025'!E:E,0),0)="Certified","Certified",TRUE,"Pre-Certified")</f>
        <v>Operational</v>
      </c>
      <c r="H64" s="155" t="str" cm="1">
        <f t="array" ref="H64">INDEX('Monthly Report July 2025'!H:H,MATCH($E64,'Monthly Report July 2025'!$E:$E,0),0)</f>
        <v>TLS Capital</v>
      </c>
      <c r="I64" s="155" t="str" cm="1">
        <f t="array" ref="I64">INDEX('Monthly Report July 2025'!I:I,MATCH($E64,'Monthly Report July 2025'!$E:$E,0),0)</f>
        <v>TLS Capital</v>
      </c>
      <c r="J64" s="174" cm="1">
        <f t="array" ref="J64">INDEX('Monthly Report July 2025'!J:J,MATCH($E64,'Monthly Report July 2025'!$E:$E,0),0)</f>
        <v>2</v>
      </c>
      <c r="K64" s="174" t="str" cm="1">
        <f t="array" ref="K64">INDEX('Monthly Report July 2025'!K:K,MATCH($E64,'Monthly Report July 2025'!$E:$E,0),0)</f>
        <v>No</v>
      </c>
      <c r="L64" s="174" t="b" cm="1">
        <f t="array" ref="L64">INDEX('Monthly Report July 2025'!L:L,MATCH(E64,'Monthly Report July 2025'!E:E,0),0)=M64</f>
        <v>1</v>
      </c>
      <c r="M64" s="273" cm="1">
        <f t="array" ref="M64">INDEX('Monthly Report July 2025'!L:L,MATCH($E64,'Monthly Report July 2025'!$E:$E,0),0)</f>
        <v>1350</v>
      </c>
      <c r="N64" s="175" cm="1">
        <f t="array" ref="N64">INDEX('Monthly Report July 2025'!M:M,MATCH($E64,'Monthly Report July 2025'!$E:$E,0),0)</f>
        <v>44896</v>
      </c>
      <c r="O64" s="175" t="str" cm="1">
        <f t="array" ref="O64">_xlfn.IFS(G64="Operational","Operational",G64="Certified","Certified",TRUE,INDEX('Monthly Report July 2025'!O:O,MATCH(E64,'Monthly Report July 2025'!E:E,0),0))</f>
        <v>Operational</v>
      </c>
      <c r="P64" s="175" t="b" cm="1">
        <f t="array" ref="P64">_xlfn.IFS(G64="Operational",O64="Operational",G64="Certified",O64="Certified",TRUE,G64="Pre-Certified")</f>
        <v>1</v>
      </c>
      <c r="Q64" s="175" cm="1">
        <f t="array" ref="Q64">IF(O64="Operational",INDEX('Monthly Report July 2025'!R:R,MATCH(E64,'Monthly Report July 2025'!E:E,0),0),"")</f>
        <v>45665</v>
      </c>
      <c r="R64" s="175" cm="1">
        <f t="array" ref="R64">INDEX('Monthly Report July 2025'!P:P,MATCH(E64,'Monthly Report July 2025'!E:E,0),0)</f>
        <v>45483</v>
      </c>
      <c r="S64" s="175" t="b">
        <f t="shared" si="28"/>
        <v>1</v>
      </c>
      <c r="T64" s="175" cm="1">
        <f t="array" ref="T64">INDEX('Monthly Report July 2025'!U:U,MATCH(E64,'Monthly Report July 2025'!E:E,0),0)</f>
        <v>45434</v>
      </c>
      <c r="U64" s="175" t="str">
        <f t="shared" si="6"/>
        <v>IGNORE</v>
      </c>
      <c r="V64" s="156">
        <f t="shared" si="29"/>
        <v>45483</v>
      </c>
      <c r="W64" s="156" cm="1">
        <f t="array" ref="W64">_xlfn.IFS(U64=TRUE,EDATE(O64,6),U64=FALSE,T64,O64="Operational",Q64,AND(O64="Certified",EDATE(R64,6)&gt;T64),EDATE(R64,6),TRUE,T64)</f>
        <v>45665</v>
      </c>
      <c r="X64" s="156">
        <f t="shared" si="30"/>
        <v>45724</v>
      </c>
      <c r="Y64" s="157">
        <f t="shared" si="31"/>
        <v>975.375</v>
      </c>
      <c r="Z64" s="202" cm="1">
        <f t="array" ref="Z64">_xlfn.IFS(Z$3&lt;$B$2,SUMPRODUCT(('PA Fees Actual'!$B$5:$B$882=$E64)*('PA Fees Actual'!$A$5:$A$882&gt;=Z$3)*('PA Fees Actual'!$A$5:$A$882&lt;=EOMONTH(Z$3,0))*'PA Fees Actual'!$D$5:$D$882),Z$3&gt;=EOMONTH($X64,-1)+1,$Y64,TRUE,0)</f>
        <v>0</v>
      </c>
      <c r="AA64" s="202" cm="1">
        <f t="array" ref="AA64">_xlfn.IFS(AA$3&lt;$B$2,SUMPRODUCT(('PA Fees Actual'!$B$5:$B$882=$E64)*('PA Fees Actual'!$A$5:$A$882&gt;=AA$3)*('PA Fees Actual'!$A$5:$A$882&lt;=EOMONTH(AA$3,0))*'PA Fees Actual'!$D$5:$D$882),AA$3&gt;=EOMONTH($X64,-1)+1,$Y64,TRUE,0)</f>
        <v>0</v>
      </c>
      <c r="AB64" s="202" cm="1">
        <f t="array" ref="AB64">_xlfn.IFS(AB$3&lt;$B$2,SUMPRODUCT(('PA Fees Actual'!$B$5:$B$882=$E64)*('PA Fees Actual'!$A$5:$A$882&gt;=AB$3)*('PA Fees Actual'!$A$5:$A$882&lt;=EOMONTH(AB$3,0))*'PA Fees Actual'!$D$5:$D$882),AB$3&gt;=EOMONTH($X64,-1)+1,$Y64,TRUE,0)</f>
        <v>0</v>
      </c>
      <c r="AC64" s="202" cm="1">
        <f t="array" ref="AC64">_xlfn.IFS(AC$3&lt;$B$2,SUMPRODUCT(('PA Fees Actual'!$B$5:$B$882=$E64)*('PA Fees Actual'!$A$5:$A$882&gt;=AC$3)*('PA Fees Actual'!$A$5:$A$882&lt;=EOMONTH(AC$3,0))*'PA Fees Actual'!$D$5:$D$882),AC$3&gt;=EOMONTH($X64,-1)+1,$Y64,TRUE,0)</f>
        <v>0</v>
      </c>
      <c r="AD64" s="202" cm="1">
        <f t="array" ref="AD64">_xlfn.IFS(AD$3&lt;$B$2,SUMPRODUCT(('PA Fees Actual'!$B$5:$B$882=$E64)*('PA Fees Actual'!$A$5:$A$882&gt;=AD$3)*('PA Fees Actual'!$A$5:$A$882&lt;=EOMONTH(AD$3,0))*'PA Fees Actual'!$D$5:$D$882),AD$3&gt;=EOMONTH($X64,-1)+1,$Y64,TRUE,0)</f>
        <v>0</v>
      </c>
      <c r="AE64" s="202" cm="1">
        <f t="array" ref="AE64">_xlfn.IFS(AE$3&lt;$B$2,SUMPRODUCT(('PA Fees Actual'!$B$5:$B$882=$E64)*('PA Fees Actual'!$A$5:$A$882&gt;=AE$3)*('PA Fees Actual'!$A$5:$A$882&lt;=EOMONTH(AE$3,0))*'PA Fees Actual'!$D$5:$D$882),AE$3&gt;=EOMONTH($X64,-1)+1,$Y64,TRUE,0)</f>
        <v>0</v>
      </c>
      <c r="AF64" s="202" cm="1">
        <f t="array" ref="AF64">_xlfn.IFS(AF$3&lt;$B$2,SUMPRODUCT(('PA Fees Actual'!$B$5:$B$882=$E64)*('PA Fees Actual'!$A$5:$A$882&gt;=AF$3)*('PA Fees Actual'!$A$5:$A$882&lt;=EOMONTH(AF$3,0))*'PA Fees Actual'!$D$5:$D$882),AF$3&gt;=EOMONTH($X64,-1)+1,$Y64,TRUE,0)</f>
        <v>0</v>
      </c>
      <c r="AG64" s="202" cm="1">
        <f t="array" ref="AG64">_xlfn.IFS(AG$3&lt;$B$2,SUMPRODUCT(('PA Fees Actual'!$B$5:$B$882=$E64)*('PA Fees Actual'!$A$5:$A$882&gt;=AG$3)*('PA Fees Actual'!$A$5:$A$882&lt;=EOMONTH(AG$3,0))*'PA Fees Actual'!$D$5:$D$882),AG$3&gt;=EOMONTH($X64,-1)+1,$Y64,TRUE,0)</f>
        <v>0</v>
      </c>
      <c r="AH64" s="202" cm="1">
        <f t="array" ref="AH64">_xlfn.IFS(AH$3&lt;$B$2,SUMPRODUCT(('PA Fees Actual'!$B$5:$B$882=$E64)*('PA Fees Actual'!$A$5:$A$882&gt;=AH$3)*('PA Fees Actual'!$A$5:$A$882&lt;=EOMONTH(AH$3,0))*'PA Fees Actual'!$D$5:$D$882),AH$3&gt;=EOMONTH($X64,-1)+1,$Y64,TRUE,0)</f>
        <v>0</v>
      </c>
      <c r="AI64" s="202" cm="1">
        <f t="array" ref="AI64">_xlfn.IFS(AI$3&lt;$B$2,SUMPRODUCT(('PA Fees Actual'!$B$5:$B$882=$E64)*('PA Fees Actual'!$A$5:$A$882&gt;=AI$3)*('PA Fees Actual'!$A$5:$A$882&lt;=EOMONTH(AI$3,0))*'PA Fees Actual'!$D$5:$D$882),AI$3&gt;=EOMONTH($X64,-1)+1,$Y64,TRUE,0)</f>
        <v>0</v>
      </c>
      <c r="AJ64" s="202" cm="1">
        <f t="array" ref="AJ64">_xlfn.IFS(AJ$3&lt;$B$2,SUMPRODUCT(('PA Fees Actual'!$B$5:$B$882=$E64)*('PA Fees Actual'!$A$5:$A$882&gt;=AJ$3)*('PA Fees Actual'!$A$5:$A$882&lt;=EOMONTH(AJ$3,0))*'PA Fees Actual'!$D$5:$D$882),AJ$3&gt;=EOMONTH($X64,-1)+1,$Y64,TRUE,0)</f>
        <v>0</v>
      </c>
      <c r="AK64" s="202" cm="1">
        <f t="array" ref="AK64">_xlfn.IFS(AK$3&lt;$B$2,SUMPRODUCT(('PA Fees Actual'!$B$5:$B$882=$E64)*('PA Fees Actual'!$A$5:$A$882&gt;=AK$3)*('PA Fees Actual'!$A$5:$A$882&lt;=EOMONTH(AK$3,0))*'PA Fees Actual'!$D$5:$D$882),AK$3&gt;=EOMONTH($X64,-1)+1,$Y64,TRUE,0)</f>
        <v>0</v>
      </c>
      <c r="AL64" s="202" cm="1">
        <f t="array" ref="AL64">_xlfn.IFS(AL$3&lt;$B$2,SUMPRODUCT(('PA Fees Actual'!$B$5:$B$882=$E64)*('PA Fees Actual'!$A$5:$A$882&gt;=AL$3)*('PA Fees Actual'!$A$5:$A$882&lt;=EOMONTH(AL$3,0))*'PA Fees Actual'!$D$5:$D$882),AL$3&gt;=EOMONTH($X64,-1)+1,$Y64,TRUE,0)</f>
        <v>0</v>
      </c>
      <c r="AM64" s="202" cm="1">
        <f t="array" ref="AM64">_xlfn.IFS(AM$3&lt;$B$2,SUMPRODUCT(('PA Fees Actual'!$B$5:$B$882=$E64)*('PA Fees Actual'!$A$5:$A$882&gt;=AM$3)*('PA Fees Actual'!$A$5:$A$882&lt;=EOMONTH(AM$3,0))*'PA Fees Actual'!$D$5:$D$882),AM$3&gt;=EOMONTH($X64,-1)+1,$Y64,TRUE,0)</f>
        <v>0</v>
      </c>
      <c r="AN64" s="202" cm="1">
        <f t="array" ref="AN64">_xlfn.IFS(AN$3&lt;$B$2,SUMPRODUCT(('PA Fees Actual'!$B$5:$B$882=$E64)*('PA Fees Actual'!$A$5:$A$882&gt;=AN$3)*('PA Fees Actual'!$A$5:$A$882&lt;=EOMONTH(AN$3,0))*'PA Fees Actual'!$D$5:$D$882),AN$3&gt;=EOMONTH($X64,-1)+1,$Y64,TRUE,0)</f>
        <v>0</v>
      </c>
      <c r="AO64" s="202" cm="1">
        <f t="array" ref="AO64">_xlfn.IFS(AO$3&lt;$B$2,SUMPRODUCT(('PA Fees Actual'!$B$5:$B$882=$E64)*('PA Fees Actual'!$A$5:$A$882&gt;=AO$3)*('PA Fees Actual'!$A$5:$A$882&lt;=EOMONTH(AO$3,0))*'PA Fees Actual'!$D$5:$D$882),AO$3&gt;=EOMONTH($X64,-1)+1,$Y64,TRUE,0)</f>
        <v>0</v>
      </c>
      <c r="AP64" s="202" cm="1">
        <f t="array" ref="AP64">_xlfn.IFS(AP$3&lt;$B$2,SUMPRODUCT(('PA Fees Actual'!$B$5:$B$882=$E64)*('PA Fees Actual'!$A$5:$A$882&gt;=AP$3)*('PA Fees Actual'!$A$5:$A$882&lt;=EOMONTH(AP$3,0))*'PA Fees Actual'!$D$5:$D$882),AP$3&gt;=EOMONTH($X64,-1)+1,$Y64,TRUE,0)</f>
        <v>0</v>
      </c>
      <c r="AQ64" s="202" cm="1">
        <f t="array" ref="AQ64">_xlfn.IFS(AQ$3&lt;$B$2,SUMPRODUCT(('PA Fees Actual'!$B$5:$B$882=$E64)*('PA Fees Actual'!$A$5:$A$882&gt;=AQ$3)*('PA Fees Actual'!$A$5:$A$882&lt;=EOMONTH(AQ$3,0))*'PA Fees Actual'!$D$5:$D$882),AQ$3&gt;=EOMONTH($X64,-1)+1,$Y64,TRUE,0)</f>
        <v>0</v>
      </c>
      <c r="AR64" s="202" cm="1">
        <f t="array" ref="AR64">_xlfn.IFS(AR$3&lt;$B$2,SUMPRODUCT(('PA Fees Actual'!$B$5:$B$882=$E64)*('PA Fees Actual'!$A$5:$A$882&gt;=AR$3)*('PA Fees Actual'!$A$5:$A$882&lt;=EOMONTH(AR$3,0))*'PA Fees Actual'!$D$5:$D$882),AR$3&gt;=EOMONTH($X64,-1)+1,$Y64,TRUE,0)</f>
        <v>0</v>
      </c>
      <c r="AS64" s="202" cm="1">
        <f t="array" ref="AS64">_xlfn.IFS(AS$3&lt;$B$2,SUMPRODUCT(('PA Fees Actual'!$B$5:$B$882=$E64)*('PA Fees Actual'!$A$5:$A$882&gt;=AS$3)*('PA Fees Actual'!$A$5:$A$882&lt;=EOMONTH(AS$3,0))*'PA Fees Actual'!$D$5:$D$882),AS$3&gt;=EOMONTH($X64,-1)+1,$Y64,TRUE,0)</f>
        <v>0</v>
      </c>
      <c r="AT64" s="202" cm="1">
        <f t="array" ref="AT64">_xlfn.IFS(AT$3&lt;$B$2,SUMPRODUCT(('PA Fees Actual'!$B$5:$B$882=$E64)*('PA Fees Actual'!$A$5:$A$882&gt;=AT$3)*('PA Fees Actual'!$A$5:$A$882&lt;=EOMONTH(AT$3,0))*'PA Fees Actual'!$D$5:$D$882),AT$3&gt;=EOMONTH($X64,-1)+1,$Y64,TRUE,0)</f>
        <v>0</v>
      </c>
      <c r="AU64" s="202" cm="1">
        <f t="array" ref="AU64">_xlfn.IFS(AU$3&lt;$B$2,SUMPRODUCT(('PA Fees Actual'!$B$5:$B$882=$E64)*('PA Fees Actual'!$A$5:$A$882&gt;=AU$3)*('PA Fees Actual'!$A$5:$A$882&lt;=EOMONTH(AU$3,0))*'PA Fees Actual'!$D$5:$D$882),AU$3&gt;=EOMONTH($X64,-1)+1,$Y64,TRUE,0)</f>
        <v>0</v>
      </c>
      <c r="AV64" s="202" cm="1">
        <f t="array" ref="AV64">_xlfn.IFS(AV$3&lt;$B$2,SUMPRODUCT(('PA Fees Actual'!$B$5:$B$882=$E64)*('PA Fees Actual'!$A$5:$A$882&gt;=AV$3)*('PA Fees Actual'!$A$5:$A$882&lt;=EOMONTH(AV$3,0))*'PA Fees Actual'!$D$5:$D$882),AV$3&gt;=EOMONTH($X64,-1)+1,$Y64,TRUE,0)</f>
        <v>0</v>
      </c>
      <c r="AW64" s="202" cm="1">
        <f t="array" ref="AW64">_xlfn.IFS(AW$3&lt;$B$2,SUMPRODUCT(('PA Fees Actual'!$B$5:$B$882=$E64)*('PA Fees Actual'!$A$5:$A$882&gt;=AW$3)*('PA Fees Actual'!$A$5:$A$882&lt;=EOMONTH(AW$3,0))*'PA Fees Actual'!$D$5:$D$882),AW$3&gt;=EOMONTH($X64,-1)+1,$Y64,TRUE,0)</f>
        <v>0</v>
      </c>
      <c r="AX64" s="202" cm="1">
        <f t="array" ref="AX64">_xlfn.IFS(AX$3&lt;$B$2,SUMPRODUCT(('PA Fees Actual'!$B$5:$B$882=$E64)*('PA Fees Actual'!$A$5:$A$882&gt;=AX$3)*('PA Fees Actual'!$A$5:$A$882&lt;=EOMONTH(AX$3,0))*'PA Fees Actual'!$D$5:$D$882),AX$3&gt;=EOMONTH($X64,-1)+1,$Y64,TRUE,0)</f>
        <v>0</v>
      </c>
      <c r="AY64" s="202" cm="1">
        <f t="array" ref="AY64">_xlfn.IFS(AY$3&lt;$B$2,SUMPRODUCT(('PA Fees Actual'!$B$5:$B$882=$E64)*('PA Fees Actual'!$A$5:$A$882&gt;=AY$3)*('PA Fees Actual'!$A$5:$A$882&lt;=EOMONTH(AY$3,0))*'PA Fees Actual'!$D$5:$D$882),AY$3&gt;=EOMONTH($X64,-1)+1,$Y64,TRUE,0)</f>
        <v>0</v>
      </c>
      <c r="AZ64" s="202" cm="1">
        <f t="array" ref="AZ64">_xlfn.IFS(AZ$3&lt;$B$2,SUMPRODUCT(('PA Fees Actual'!$B$5:$B$882=$E64)*('PA Fees Actual'!$A$5:$A$882&gt;=AZ$3)*('PA Fees Actual'!$A$5:$A$882&lt;=EOMONTH(AZ$3,0))*'PA Fees Actual'!$D$5:$D$882),AZ$3&gt;=EOMONTH($X64,-1)+1,$Y64,TRUE,0)</f>
        <v>0</v>
      </c>
      <c r="BA64" s="202" cm="1">
        <f t="array" ref="BA64">_xlfn.IFS(BA$3&lt;$B$2,SUMPRODUCT(('PA Fees Actual'!$B$5:$B$882=$E64)*('PA Fees Actual'!$A$5:$A$882&gt;=BA$3)*('PA Fees Actual'!$A$5:$A$882&lt;=EOMONTH(BA$3,0))*'PA Fees Actual'!$D$5:$D$882),BA$3&gt;=EOMONTH($X64,-1)+1,$Y64,TRUE,0)</f>
        <v>0</v>
      </c>
      <c r="BB64" s="202" cm="1">
        <f t="array" ref="BB64">_xlfn.IFS(BB$3&lt;$B$2,SUMPRODUCT(('PA Fees Actual'!$B$5:$B$882=$E64)*('PA Fees Actual'!$A$5:$A$882&gt;=BB$3)*('PA Fees Actual'!$A$5:$A$882&lt;=EOMONTH(BB$3,0))*'PA Fees Actual'!$D$5:$D$882),BB$3&gt;=EOMONTH($X64,-1)+1,$Y64,TRUE,0)</f>
        <v>0</v>
      </c>
      <c r="BC64" s="202" cm="1">
        <f t="array" ref="BC64">_xlfn.IFS(BC$3&lt;$B$2,SUMPRODUCT(('PA Fees Actual'!$B$5:$B$882=$E64)*('PA Fees Actual'!$A$5:$A$882&gt;=BC$3)*('PA Fees Actual'!$A$5:$A$882&lt;=EOMONTH(BC$3,0))*'PA Fees Actual'!$D$5:$D$882),BC$3&gt;=EOMONTH($X64,-1)+1,$Y64,TRUE,0)</f>
        <v>0</v>
      </c>
      <c r="BD64" s="202" cm="1">
        <f t="array" ref="BD64">_xlfn.IFS(BD$3&lt;$B$2,SUMPRODUCT(('PA Fees Actual'!$B$5:$B$882=$E64)*('PA Fees Actual'!$A$5:$A$882&gt;=BD$3)*('PA Fees Actual'!$A$5:$A$882&lt;=EOMONTH(BD$3,0))*'PA Fees Actual'!$D$5:$D$882),BD$3&gt;=EOMONTH($X64,-1)+1,$Y64,TRUE,0)</f>
        <v>0</v>
      </c>
      <c r="BE64" s="202" cm="1">
        <f t="array" ref="BE64">_xlfn.IFS(BE$3&lt;$B$2,SUMPRODUCT(('PA Fees Actual'!$B$5:$B$882=$E64)*('PA Fees Actual'!$A$5:$A$882&gt;=BE$3)*('PA Fees Actual'!$A$5:$A$882&lt;=EOMONTH(BE$3,0))*'PA Fees Actual'!$D$5:$D$882),BE$3&gt;=EOMONTH($X64,-1)+1,$Y64,TRUE,0)</f>
        <v>0</v>
      </c>
      <c r="BF64" s="202" cm="1">
        <f t="array" ref="BF64">_xlfn.IFS(BF$3&lt;$B$2,SUMPRODUCT(('PA Fees Actual'!$B$5:$B$882=$E64)*('PA Fees Actual'!$A$5:$A$882&gt;=BF$3)*('PA Fees Actual'!$A$5:$A$882&lt;=EOMONTH(BF$3,0))*'PA Fees Actual'!$D$5:$D$882),BF$3&gt;=EOMONTH($X64,-1)+1,$Y64,TRUE,0)</f>
        <v>0</v>
      </c>
      <c r="BG64" s="202" cm="1">
        <f t="array" ref="BG64">_xlfn.IFS(BG$3&lt;$B$2,SUMPRODUCT(('PA Fees Actual'!$B$5:$B$882=$E64)*('PA Fees Actual'!$A$5:$A$882&gt;=BG$3)*('PA Fees Actual'!$A$5:$A$882&lt;=EOMONTH(BG$3,0))*'PA Fees Actual'!$D$5:$D$882),BG$3&gt;=EOMONTH($X64,-1)+1,$Y64,TRUE,0)</f>
        <v>0</v>
      </c>
      <c r="BH64" s="202" cm="1">
        <f t="array" ref="BH64">_xlfn.IFS(BH$3&lt;$B$2,SUMPRODUCT(('PA Fees Actual'!$B$5:$B$882=$E64)*('PA Fees Actual'!$A$5:$A$882&gt;=BH$3)*('PA Fees Actual'!$A$5:$A$882&lt;=EOMONTH(BH$3,0))*'PA Fees Actual'!$D$5:$D$882),BH$3&gt;=EOMONTH($X64,-1)+1,$Y64,TRUE,0)</f>
        <v>0</v>
      </c>
      <c r="BI64" s="202" cm="1">
        <f t="array" ref="BI64">_xlfn.IFS(BI$3&lt;$B$2,SUMPRODUCT(('PA Fees Actual'!$B$5:$B$882=$E64)*('PA Fees Actual'!$A$5:$A$882&gt;=BI$3)*('PA Fees Actual'!$A$5:$A$882&lt;=EOMONTH(BI$3,0))*'PA Fees Actual'!$D$5:$D$882),BI$3&gt;=EOMONTH($X64,-1)+1,$Y64,TRUE,0)</f>
        <v>0</v>
      </c>
      <c r="BJ64" s="202" cm="1">
        <f t="array" ref="BJ64">_xlfn.IFS(BJ$3&lt;$B$2,SUMPRODUCT(('PA Fees Actual'!$B$5:$B$882=$E64)*('PA Fees Actual'!$A$5:$A$882&gt;=BJ$3)*('PA Fees Actual'!$A$5:$A$882&lt;=EOMONTH(BJ$3,0))*'PA Fees Actual'!$D$5:$D$882),BJ$3&gt;=EOMONTH($X64,-1)+1,$Y64,TRUE,0)</f>
        <v>0</v>
      </c>
      <c r="BK64" s="202" cm="1">
        <f t="array" ref="BK64">_xlfn.IFS(BK$3&lt;$B$2,SUMPRODUCT(('PA Fees Actual'!$B$5:$B$882=$E64)*('PA Fees Actual'!$A$5:$A$882&gt;=BK$3)*('PA Fees Actual'!$A$5:$A$882&lt;=EOMONTH(BK$3,0))*'PA Fees Actual'!$D$5:$D$882),BK$3&gt;=EOMONTH($X64,-1)+1,$Y64,TRUE,0)</f>
        <v>0</v>
      </c>
      <c r="BL64" s="202" cm="1">
        <f t="array" ref="BL64">_xlfn.IFS(BL$3&lt;$B$2,SUMPRODUCT(('PA Fees Actual'!$B$5:$B$882=$E64)*('PA Fees Actual'!$A$5:$A$882&gt;=BL$3)*('PA Fees Actual'!$A$5:$A$882&lt;=EOMONTH(BL$3,0))*'PA Fees Actual'!$D$5:$D$882),BL$3&gt;=EOMONTH($X64,-1)+1,$Y64,TRUE,0)</f>
        <v>0</v>
      </c>
      <c r="BM64" s="202" cm="1">
        <f t="array" ref="BM64">_xlfn.IFS(BM$3&lt;$B$2,SUMPRODUCT(('PA Fees Actual'!$B$5:$B$882=$E64)*('PA Fees Actual'!$A$5:$A$882&gt;=BM$3)*('PA Fees Actual'!$A$5:$A$882&lt;=EOMONTH(BM$3,0))*'PA Fees Actual'!$D$5:$D$882),BM$3&gt;=EOMONTH($X64,-1)+1,$Y64,TRUE,0)</f>
        <v>0</v>
      </c>
      <c r="BN64" s="202" cm="1">
        <f t="array" ref="BN64">_xlfn.IFS(BN$3&lt;$B$2,SUMPRODUCT(('PA Fees Actual'!$B$5:$B$882=$E64)*('PA Fees Actual'!$A$5:$A$882&gt;=BN$3)*('PA Fees Actual'!$A$5:$A$882&lt;=EOMONTH(BN$3,0))*'PA Fees Actual'!$D$5:$D$882),BN$3&gt;=EOMONTH($X64,-1)+1,$Y64,TRUE,0)</f>
        <v>0</v>
      </c>
      <c r="BO64" s="202" cm="1">
        <f t="array" ref="BO64">_xlfn.IFS(BO$3&lt;$B$2,SUMPRODUCT(('PA Fees Actual'!$B$5:$B$882=$E64)*('PA Fees Actual'!$A$5:$A$882&gt;=BO$3)*('PA Fees Actual'!$A$5:$A$882&lt;=EOMONTH(BO$3,0))*'PA Fees Actual'!$D$5:$D$882),BO$3&gt;=EOMONTH($X64,-1)+1,$Y64,TRUE,0)</f>
        <v>0</v>
      </c>
      <c r="BP64" s="202" cm="1">
        <f t="array" ref="BP64">_xlfn.IFS(BP$3&lt;$B$2,SUMPRODUCT(('PA Fees Actual'!$B$5:$B$882=$E64)*('PA Fees Actual'!$A$5:$A$882&gt;=BP$3)*('PA Fees Actual'!$A$5:$A$882&lt;=EOMONTH(BP$3,0))*'PA Fees Actual'!$D$5:$D$882),BP$3&gt;=EOMONTH($X64,-1)+1,$Y64,TRUE,0)</f>
        <v>0</v>
      </c>
      <c r="BQ64" s="202" cm="1">
        <f t="array" ref="BQ64">_xlfn.IFS(BQ$3&lt;$B$2,SUMPRODUCT(('PA Fees Actual'!$B$5:$B$882=$E64)*('PA Fees Actual'!$A$5:$A$882&gt;=BQ$3)*('PA Fees Actual'!$A$5:$A$882&lt;=EOMONTH(BQ$3,0))*'PA Fees Actual'!$D$5:$D$882),BQ$3&gt;=EOMONTH($X64,-1)+1,$Y64,TRUE,0)</f>
        <v>0</v>
      </c>
      <c r="BR64" s="202" cm="1">
        <f t="array" ref="BR64">_xlfn.IFS(BR$3&lt;$B$2,SUMPRODUCT(('PA Fees Actual'!$B$5:$B$882=$E64)*('PA Fees Actual'!$A$5:$A$882&gt;=BR$3)*('PA Fees Actual'!$A$5:$A$882&lt;=EOMONTH(BR$3,0))*'PA Fees Actual'!$D$5:$D$882),BR$3&gt;=EOMONTH($X64,-1)+1,$Y64,TRUE,0)</f>
        <v>0</v>
      </c>
      <c r="BS64" s="202" cm="1">
        <f t="array" ref="BS64">_xlfn.IFS(BS$3&lt;$B$2,SUMPRODUCT(('PA Fees Actual'!$B$5:$B$882=$E64)*('PA Fees Actual'!$A$5:$A$882&gt;=BS$3)*('PA Fees Actual'!$A$5:$A$882&lt;=EOMONTH(BS$3,0))*'PA Fees Actual'!$D$5:$D$882),BS$3&gt;=EOMONTH($X64,-1)+1,$Y64,TRUE,0)</f>
        <v>0</v>
      </c>
      <c r="BT64" s="202" cm="1">
        <f t="array" ref="BT64">_xlfn.IFS(BT$3&lt;$B$2,SUMPRODUCT(('PA Fees Actual'!$B$5:$B$882=$E64)*('PA Fees Actual'!$A$5:$A$882&gt;=BT$3)*('PA Fees Actual'!$A$5:$A$882&lt;=EOMONTH(BT$3,0))*'PA Fees Actual'!$D$5:$D$882),BT$3&gt;=EOMONTH($X64,-1)+1,$Y64,TRUE,0)</f>
        <v>0</v>
      </c>
      <c r="BU64" s="202" cm="1">
        <f t="array" ref="BU64">_xlfn.IFS(BU$3&lt;$B$2,SUMPRODUCT(('PA Fees Actual'!$B$5:$B$882=$E64)*('PA Fees Actual'!$A$5:$A$882&gt;=BU$3)*('PA Fees Actual'!$A$5:$A$882&lt;=EOMONTH(BU$3,0))*'PA Fees Actual'!$D$5:$D$882),BU$3&gt;=EOMONTH($X64,-1)+1,$Y64,TRUE,0)</f>
        <v>0</v>
      </c>
      <c r="BV64" s="202" cm="1">
        <f t="array" ref="BV64">_xlfn.IFS(BV$3&lt;$B$2,SUMPRODUCT(('PA Fees Actual'!$B$5:$B$882=$E64)*('PA Fees Actual'!$A$5:$A$882&gt;=BV$3)*('PA Fees Actual'!$A$5:$A$882&lt;=EOMONTH(BV$3,0))*'PA Fees Actual'!$D$5:$D$882),BV$3&gt;=EOMONTH($X64,-1)+1,$Y64,TRUE,0)</f>
        <v>0</v>
      </c>
      <c r="BW64" s="202" cm="1">
        <f t="array" ref="BW64">_xlfn.IFS(BW$3&lt;$B$2,SUMPRODUCT(('PA Fees Actual'!$B$5:$B$882=$E64)*('PA Fees Actual'!$A$5:$A$882&gt;=BW$3)*('PA Fees Actual'!$A$5:$A$882&lt;=EOMONTH(BW$3,0))*'PA Fees Actual'!$D$5:$D$882),BW$3&gt;=EOMONTH($X64,-1)+1,$Y64,TRUE,0)</f>
        <v>0</v>
      </c>
      <c r="BX64" s="202" cm="1">
        <f t="array" ref="BX64">_xlfn.IFS(BX$3&lt;$B$2,SUMPRODUCT(('PA Fees Actual'!$B$5:$B$882=$E64)*('PA Fees Actual'!$A$5:$A$882&gt;=BX$3)*('PA Fees Actual'!$A$5:$A$882&lt;=EOMONTH(BX$3,0))*'PA Fees Actual'!$D$5:$D$882),BX$3&gt;=EOMONTH($X64,-1)+1,$Y64,TRUE,0)</f>
        <v>0</v>
      </c>
      <c r="BY64" s="202" cm="1">
        <f t="array" ref="BY64">_xlfn.IFS(BY$3&lt;$B$2,SUMPRODUCT(('PA Fees Actual'!$B$5:$B$882=$E64)*('PA Fees Actual'!$A$5:$A$882&gt;=BY$3)*('PA Fees Actual'!$A$5:$A$882&lt;=EOMONTH(BY$3,0))*'PA Fees Actual'!$D$5:$D$882),BY$3&gt;=EOMONTH($X64,-1)+1,$Y64,TRUE,0)</f>
        <v>0</v>
      </c>
      <c r="BZ64" s="202" cm="1">
        <f t="array" ref="BZ64">_xlfn.IFS(BZ$3&lt;$B$2,SUMPRODUCT(('PA Fees Actual'!$B$5:$B$882=$E64)*('PA Fees Actual'!$A$5:$A$882&gt;=BZ$3)*('PA Fees Actual'!$A$5:$A$882&lt;=EOMONTH(BZ$3,0))*'PA Fees Actual'!$D$5:$D$882),BZ$3&gt;=EOMONTH($X64,-1)+1,$Y64,TRUE,0)</f>
        <v>0</v>
      </c>
      <c r="CA64" s="202" cm="1">
        <f t="array" ref="CA64">_xlfn.IFS(CA$3&lt;$B$2,SUMPRODUCT(('PA Fees Actual'!$B$5:$B$882=$E64)*('PA Fees Actual'!$A$5:$A$882&gt;=CA$3)*('PA Fees Actual'!$A$5:$A$882&lt;=EOMONTH(CA$3,0))*'PA Fees Actual'!$D$5:$D$882),CA$3&gt;=EOMONTH($X64,-1)+1,$Y64,TRUE,0)</f>
        <v>2950.33</v>
      </c>
      <c r="CB64" s="202" cm="1">
        <f t="array" ref="CB64">_xlfn.IFS(CB$3&lt;$B$2,SUMPRODUCT(('PA Fees Actual'!$B$5:$B$882=$E64)*('PA Fees Actual'!$A$5:$A$882&gt;=CB$3)*('PA Fees Actual'!$A$5:$A$882&lt;=EOMONTH(CB$3,0))*'PA Fees Actual'!$D$5:$D$882),CB$3&gt;=EOMONTH($X64,-1)+1,$Y64,TRUE,0)</f>
        <v>975.375</v>
      </c>
      <c r="CC64" s="202" cm="1">
        <f t="array" ref="CC64">_xlfn.IFS(CC$3&lt;$B$2,SUMPRODUCT(('PA Fees Actual'!$B$5:$B$882=$E64)*('PA Fees Actual'!$A$5:$A$882&gt;=CC$3)*('PA Fees Actual'!$A$5:$A$882&lt;=EOMONTH(CC$3,0))*'PA Fees Actual'!$D$5:$D$882),CC$3&gt;=EOMONTH($X64,-1)+1,$Y64,TRUE,0)</f>
        <v>975.375</v>
      </c>
      <c r="CD64" s="202" cm="1">
        <f t="array" ref="CD64">_xlfn.IFS(CD$3&lt;$B$2,SUMPRODUCT(('PA Fees Actual'!$B$5:$B$882=$E64)*('PA Fees Actual'!$A$5:$A$882&gt;=CD$3)*('PA Fees Actual'!$A$5:$A$882&lt;=EOMONTH(CD$3,0))*'PA Fees Actual'!$D$5:$D$882),CD$3&gt;=EOMONTH($X64,-1)+1,$Y64,TRUE,0)</f>
        <v>975.375</v>
      </c>
      <c r="CE64" s="202" cm="1">
        <f t="array" ref="CE64">_xlfn.IFS(CE$3&lt;$B$2,SUMPRODUCT(('PA Fees Actual'!$B$5:$B$882=$E64)*('PA Fees Actual'!$A$5:$A$882&gt;=CE$3)*('PA Fees Actual'!$A$5:$A$882&lt;=EOMONTH(CE$3,0))*'PA Fees Actual'!$D$5:$D$882),CE$3&gt;=EOMONTH($X64,-1)+1,$Y64,TRUE,0)</f>
        <v>975.375</v>
      </c>
      <c r="CF64" s="202" cm="1">
        <f t="array" ref="CF64">_xlfn.IFS(CF$3&lt;$B$2,SUMPRODUCT(('PA Fees Actual'!$B$5:$B$882=$E64)*('PA Fees Actual'!$A$5:$A$882&gt;=CF$3)*('PA Fees Actual'!$A$5:$A$882&lt;=EOMONTH(CF$3,0))*'PA Fees Actual'!$D$5:$D$882),CF$3&gt;=EOMONTH($X64,-1)+1,$Y64,TRUE,0)</f>
        <v>975.375</v>
      </c>
      <c r="CG64" s="202" cm="1">
        <f t="array" ref="CG64">_xlfn.IFS(CG$3&lt;$B$2,SUMPRODUCT(('PA Fees Actual'!$B$5:$B$882=$E64)*('PA Fees Actual'!$A$5:$A$882&gt;=CG$3)*('PA Fees Actual'!$A$5:$A$882&lt;=EOMONTH(CG$3,0))*'PA Fees Actual'!$D$5:$D$882),CG$3&gt;=EOMONTH($X64,-1)+1,$Y64,TRUE,0)</f>
        <v>975.375</v>
      </c>
      <c r="CI64" s="202" cm="1">
        <f t="array" ref="CI64">_xlfn.IFS(CI$3&lt;=YEAR($B$2),SUMPRODUCT(($E$4:$E$79=$E64)*($Z$2:$CG$2=CI$3)*($Z$2:$CG$2&lt;CJ$3)*$Z$4:$CG$79),CI$3&lt;YEAR($X64),0,CI$3=YEAR($X64),DATEDIF($X64,DATE(CI$3,12,31),"m")*$Y64,AND(CI$3&gt;YEAR($X64),CI$3-YEAR($X64)&lt;20),$Y64*12,CI$3-YEAR($X64)=20,DATEDIF(DATE(YEAR($X64),1,1),$X64,"m")*$Y64,CI$3-YEAR($X64)&gt;20,0)</f>
        <v>0</v>
      </c>
      <c r="CJ64" s="202" cm="1">
        <f t="array" ref="CJ64">_xlfn.IFS(CJ$3&lt;=YEAR($B$2),SUMPRODUCT(($E$4:$E$79=$E64)*($Z$2:$CG$2=CJ$3)*($Z$2:$CG$2&lt;CK$3)*$Z$4:$CG$79),CJ$3&lt;YEAR($X64),0,CJ$3=YEAR($X64),DATEDIF($X64,DATE(CJ$3,12,31),"m")*$Y64,AND(CJ$3&gt;YEAR($X64),CJ$3-YEAR($X64)&lt;20),$Y64*12,CJ$3-YEAR($X64)=20,DATEDIF(DATE(YEAR($X64),1,1),$X64,"m")*$Y64,CJ$3-YEAR($X64)&gt;20,0)</f>
        <v>0</v>
      </c>
      <c r="CK64" s="202" cm="1">
        <f t="array" ref="CK64">_xlfn.IFS(CK$3&lt;=YEAR($B$2),SUMPRODUCT(($E$4:$E$79=$E64)*($Z$2:$CG$2=CK$3)*($Z$2:$CG$2&lt;CL$3)*$Z$4:$CG$79),CK$3&lt;YEAR($X64),0,CK$3=YEAR($X64),DATEDIF($X64,DATE(CK$3,12,31),"m")*$Y64,AND(CK$3&gt;YEAR($X64),CK$3-YEAR($X64)&lt;20),$Y64*12,CK$3-YEAR($X64)=20,DATEDIF(DATE(YEAR($X64),1,1),$X64,"m")*$Y64,CK$3-YEAR($X64)&gt;20,0)</f>
        <v>0</v>
      </c>
      <c r="CL64" s="202" cm="1">
        <f t="array" ref="CL64">_xlfn.IFS(CL$3&lt;=YEAR($B$2),SUMPRODUCT(($E$4:$E$79=$E64)*($Z$2:$CG$2=CL$3)*($Z$2:$CG$2&lt;CM$3)*$Z$4:$CG$79),CL$3&lt;YEAR($X64),0,CL$3=YEAR($X64),DATEDIF($X64,DATE(CL$3,12,31),"m")*$Y64,AND(CL$3&gt;YEAR($X64),CL$3-YEAR($X64)&lt;20),$Y64*12,CL$3-YEAR($X64)=20,DATEDIF(DATE(YEAR($X64),1,1),$X64,"m")*$Y64,CL$3-YEAR($X64)&gt;20,0)</f>
        <v>0</v>
      </c>
      <c r="CM64" s="202" cm="1">
        <f t="array" ref="CM64">_xlfn.IFS(CM$3&lt;=YEAR($B$2),SUMPRODUCT(($E$4:$E$79=$E64)*($Z$2:$CG$2=CM$3)*($Z$2:$CG$2&lt;CN$3)*$Z$4:$CG$79),CM$3&lt;YEAR($X64),0,CM$3=YEAR($X64),DATEDIF($X64,DATE(CM$3,12,31),"m")*$Y64,AND(CM$3&gt;YEAR($X64),CM$3-YEAR($X64)&lt;20),$Y64*12,CM$3-YEAR($X64)=20,DATEDIF(DATE(YEAR($X64),1,1),$X64,"m")*$Y64,CM$3-YEAR($X64)&gt;20,0)</f>
        <v>8802.58</v>
      </c>
      <c r="CN64" s="202" cm="1">
        <f t="array" ref="CN64">_xlfn.IFS(CN$3&lt;=YEAR($B$2),SUMPRODUCT(($E$4:$E$79=$E64)*($Z$2:$CG$2=CN$3)*($Z$2:$CG$2&lt;CO$3)*$Z$4:$CG$79),CN$3&lt;YEAR($X64),0,CN$3=YEAR($X64),DATEDIF($X64,DATE(CN$3,12,31),"m")*$Y64,AND(CN$3&gt;YEAR($X64),CN$3-YEAR($X64)&lt;20),$Y64*12,CN$3-YEAR($X64)=20,DATEDIF(DATE(YEAR($X64),1,1),$X64,"m")*$Y64,CN$3-YEAR($X64)&gt;20,0)</f>
        <v>11704.5</v>
      </c>
      <c r="CO64" s="202" cm="1">
        <f t="array" ref="CO64">_xlfn.IFS(CO$3&lt;=YEAR($B$2),SUMPRODUCT(($E$4:$E$79=$E64)*($Z$2:$CG$2=CO$3)*($Z$2:$CG$2&lt;CP$3)*$Z$4:$CG$79),CO$3&lt;YEAR($X64),0,CO$3=YEAR($X64),DATEDIF($X64,DATE(CO$3,12,31),"m")*$Y64,AND(CO$3&gt;YEAR($X64),CO$3-YEAR($X64)&lt;20),$Y64*12,CO$3-YEAR($X64)=20,DATEDIF(DATE(YEAR($X64),1,1),$X64,"m")*$Y64,CO$3-YEAR($X64)&gt;20,0)</f>
        <v>11704.5</v>
      </c>
      <c r="CP64" s="202" cm="1">
        <f t="array" ref="CP64">_xlfn.IFS(CP$3&lt;=YEAR($B$2),SUMPRODUCT(($E$4:$E$79=$E64)*($Z$2:$CG$2=CP$3)*($Z$2:$CG$2&lt;CQ$3)*$Z$4:$CG$79),CP$3&lt;YEAR($X64),0,CP$3=YEAR($X64),DATEDIF($X64,DATE(CP$3,12,31),"m")*$Y64,AND(CP$3&gt;YEAR($X64),CP$3-YEAR($X64)&lt;20),$Y64*12,CP$3-YEAR($X64)=20,DATEDIF(DATE(YEAR($X64),1,1),$X64,"m")*$Y64,CP$3-YEAR($X64)&gt;20,0)</f>
        <v>11704.5</v>
      </c>
      <c r="CQ64" s="202" cm="1">
        <f t="array" ref="CQ64">_xlfn.IFS(CQ$3&lt;=YEAR($B$2),SUMPRODUCT(($E$4:$E$79=$E64)*($Z$2:$CG$2=CQ$3)*($Z$2:$CG$2&lt;CR$3)*$Z$4:$CG$79),CQ$3&lt;YEAR($X64),0,CQ$3=YEAR($X64),DATEDIF($X64,DATE(CQ$3,12,31),"m")*$Y64,AND(CQ$3&gt;YEAR($X64),CQ$3-YEAR($X64)&lt;20),$Y64*12,CQ$3-YEAR($X64)=20,DATEDIF(DATE(YEAR($X64),1,1),$X64,"m")*$Y64,CQ$3-YEAR($X64)&gt;20,0)</f>
        <v>11704.5</v>
      </c>
      <c r="CR64" s="202" cm="1">
        <f t="array" ref="CR64">_xlfn.IFS(CR$3&lt;=YEAR($B$2),SUMPRODUCT(($E$4:$E$79=$E64)*($Z$2:$CG$2=CR$3)*($Z$2:$CG$2&lt;CS$3)*$Z$4:$CG$79),CR$3&lt;YEAR($X64),0,CR$3=YEAR($X64),DATEDIF($X64,DATE(CR$3,12,31),"m")*$Y64,AND(CR$3&gt;YEAR($X64),CR$3-YEAR($X64)&lt;20),$Y64*12,CR$3-YEAR($X64)=20,DATEDIF(DATE(YEAR($X64),1,1),$X64,"m")*$Y64,CR$3-YEAR($X64)&gt;20,0)</f>
        <v>11704.5</v>
      </c>
      <c r="CS64" s="202" cm="1">
        <f t="array" ref="CS64">_xlfn.IFS(CS$3&lt;=YEAR($B$2),SUMPRODUCT(($E$4:$E$79=$E64)*($Z$2:$CG$2=CS$3)*($Z$2:$CG$2&lt;CT$3)*$Z$4:$CG$79),CS$3&lt;YEAR($X64),0,CS$3=YEAR($X64),DATEDIF($X64,DATE(CS$3,12,31),"m")*$Y64,AND(CS$3&gt;YEAR($X64),CS$3-YEAR($X64)&lt;20),$Y64*12,CS$3-YEAR($X64)=20,DATEDIF(DATE(YEAR($X64),1,1),$X64,"m")*$Y64,CS$3-YEAR($X64)&gt;20,0)</f>
        <v>11704.5</v>
      </c>
      <c r="CT64" s="202" cm="1">
        <f t="array" ref="CT64">_xlfn.IFS(CT$3&lt;=YEAR($B$2),SUMPRODUCT(($E$4:$E$79=$E64)*($Z$2:$CG$2=CT$3)*($Z$2:$CG$2&lt;CU$3)*$Z$4:$CG$79),CT$3&lt;YEAR($X64),0,CT$3=YEAR($X64),DATEDIF($X64,DATE(CT$3,12,31),"m")*$Y64,AND(CT$3&gt;YEAR($X64),CT$3-YEAR($X64)&lt;20),$Y64*12,CT$3-YEAR($X64)=20,DATEDIF(DATE(YEAR($X64),1,1),$X64,"m")*$Y64,CT$3-YEAR($X64)&gt;20,0)</f>
        <v>11704.5</v>
      </c>
      <c r="CU64" s="202" cm="1">
        <f t="array" ref="CU64">_xlfn.IFS(CU$3&lt;=YEAR($B$2),SUMPRODUCT(($E$4:$E$79=$E64)*($Z$2:$CG$2=CU$3)*($Z$2:$CG$2&lt;CV$3)*$Z$4:$CG$79),CU$3&lt;YEAR($X64),0,CU$3=YEAR($X64),DATEDIF($X64,DATE(CU$3,12,31),"m")*$Y64,AND(CU$3&gt;YEAR($X64),CU$3-YEAR($X64)&lt;20),$Y64*12,CU$3-YEAR($X64)=20,DATEDIF(DATE(YEAR($X64),1,1),$X64,"m")*$Y64,CU$3-YEAR($X64)&gt;20,0)</f>
        <v>11704.5</v>
      </c>
      <c r="CV64" s="202" cm="1">
        <f t="array" ref="CV64">_xlfn.IFS(CV$3&lt;=YEAR($B$2),SUMPRODUCT(($E$4:$E$79=$E64)*($Z$2:$CG$2=CV$3)*($Z$2:$CG$2&lt;CW$3)*$Z$4:$CG$79),CV$3&lt;YEAR($X64),0,CV$3=YEAR($X64),DATEDIF($X64,DATE(CV$3,12,31),"m")*$Y64,AND(CV$3&gt;YEAR($X64),CV$3-YEAR($X64)&lt;20),$Y64*12,CV$3-YEAR($X64)=20,DATEDIF(DATE(YEAR($X64),1,1),$X64,"m")*$Y64,CV$3-YEAR($X64)&gt;20,0)</f>
        <v>11704.5</v>
      </c>
      <c r="CW64" s="202" cm="1">
        <f t="array" ref="CW64">_xlfn.IFS(CW$3&lt;=YEAR($B$2),SUMPRODUCT(($E$4:$E$79=$E64)*($Z$2:$CG$2=CW$3)*($Z$2:$CG$2&lt;CX$3)*$Z$4:$CG$79),CW$3&lt;YEAR($X64),0,CW$3=YEAR($X64),DATEDIF($X64,DATE(CW$3,12,31),"m")*$Y64,AND(CW$3&gt;YEAR($X64),CW$3-YEAR($X64)&lt;20),$Y64*12,CW$3-YEAR($X64)=20,DATEDIF(DATE(YEAR($X64),1,1),$X64,"m")*$Y64,CW$3-YEAR($X64)&gt;20,0)</f>
        <v>11704.5</v>
      </c>
      <c r="CX64" s="202" cm="1">
        <f t="array" ref="CX64">_xlfn.IFS(CX$3&lt;=YEAR($B$2),SUMPRODUCT(($E$4:$E$79=$E64)*($Z$2:$CG$2=CX$3)*($Z$2:$CG$2&lt;CY$3)*$Z$4:$CG$79),CX$3&lt;YEAR($X64),0,CX$3=YEAR($X64),DATEDIF($X64,DATE(CX$3,12,31),"m")*$Y64,AND(CX$3&gt;YEAR($X64),CX$3-YEAR($X64)&lt;20),$Y64*12,CX$3-YEAR($X64)=20,DATEDIF(DATE(YEAR($X64),1,1),$X64,"m")*$Y64,CX$3-YEAR($X64)&gt;20,0)</f>
        <v>11704.5</v>
      </c>
      <c r="CY64" s="202" cm="1">
        <f t="array" ref="CY64">_xlfn.IFS(CY$3&lt;=YEAR($B$2),SUMPRODUCT(($E$4:$E$79=$E64)*($Z$2:$CG$2=CY$3)*($Z$2:$CG$2&lt;CZ$3)*$Z$4:$CG$79),CY$3&lt;YEAR($X64),0,CY$3=YEAR($X64),DATEDIF($X64,DATE(CY$3,12,31),"m")*$Y64,AND(CY$3&gt;YEAR($X64),CY$3-YEAR($X64)&lt;20),$Y64*12,CY$3-YEAR($X64)=20,DATEDIF(DATE(YEAR($X64),1,1),$X64,"m")*$Y64,CY$3-YEAR($X64)&gt;20,0)</f>
        <v>11704.5</v>
      </c>
      <c r="CZ64" s="202" cm="1">
        <f t="array" ref="CZ64">_xlfn.IFS(CZ$3&lt;=YEAR($B$2),SUMPRODUCT(($E$4:$E$79=$E64)*($Z$2:$CG$2=CZ$3)*($Z$2:$CG$2&lt;DA$3)*$Z$4:$CG$79),CZ$3&lt;YEAR($X64),0,CZ$3=YEAR($X64),DATEDIF($X64,DATE(CZ$3,12,31),"m")*$Y64,AND(CZ$3&gt;YEAR($X64),CZ$3-YEAR($X64)&lt;20),$Y64*12,CZ$3-YEAR($X64)=20,DATEDIF(DATE(YEAR($X64),1,1),$X64,"m")*$Y64,CZ$3-YEAR($X64)&gt;20,0)</f>
        <v>11704.5</v>
      </c>
      <c r="DA64" s="202" cm="1">
        <f t="array" ref="DA64">_xlfn.IFS(DA$3&lt;=YEAR($B$2),SUMPRODUCT(($E$4:$E$79=$E64)*($Z$2:$CG$2=DA$3)*($Z$2:$CG$2&lt;DB$3)*$Z$4:$CG$79),DA$3&lt;YEAR($X64),0,DA$3=YEAR($X64),DATEDIF($X64,DATE(DA$3,12,31),"m")*$Y64,AND(DA$3&gt;YEAR($X64),DA$3-YEAR($X64)&lt;20),$Y64*12,DA$3-YEAR($X64)=20,DATEDIF(DATE(YEAR($X64),1,1),$X64,"m")*$Y64,DA$3-YEAR($X64)&gt;20,0)</f>
        <v>11704.5</v>
      </c>
      <c r="DB64" s="202" cm="1">
        <f t="array" ref="DB64">_xlfn.IFS(DB$3&lt;=YEAR($B$2),SUMPRODUCT(($E$4:$E$79=$E64)*($Z$2:$CG$2=DB$3)*($Z$2:$CG$2&lt;DC$3)*$Z$4:$CG$79),DB$3&lt;YEAR($X64),0,DB$3=YEAR($X64),DATEDIF($X64,DATE(DB$3,12,31),"m")*$Y64,AND(DB$3&gt;YEAR($X64),DB$3-YEAR($X64)&lt;20),$Y64*12,DB$3-YEAR($X64)=20,DATEDIF(DATE(YEAR($X64),1,1),$X64,"m")*$Y64,DB$3-YEAR($X64)&gt;20,0)</f>
        <v>11704.5</v>
      </c>
      <c r="DC64" s="202" cm="1">
        <f t="array" ref="DC64">_xlfn.IFS(DC$3&lt;=YEAR($B$2),SUMPRODUCT(($E$4:$E$79=$E64)*($Z$2:$CG$2=DC$3)*($Z$2:$CG$2&lt;DD$3)*$Z$4:$CG$79),DC$3&lt;YEAR($X64),0,DC$3=YEAR($X64),DATEDIF($X64,DATE(DC$3,12,31),"m")*$Y64,AND(DC$3&gt;YEAR($X64),DC$3-YEAR($X64)&lt;20),$Y64*12,DC$3-YEAR($X64)=20,DATEDIF(DATE(YEAR($X64),1,1),$X64,"m")*$Y64,DC$3-YEAR($X64)&gt;20,0)</f>
        <v>11704.5</v>
      </c>
      <c r="DD64" s="202" cm="1">
        <f t="array" ref="DD64">_xlfn.IFS(DD$3&lt;=YEAR($B$2),SUMPRODUCT(($E$4:$E$79=$E64)*($Z$2:$CG$2=DD$3)*($Z$2:$CG$2&lt;DE$3)*$Z$4:$CG$79),DD$3&lt;YEAR($X64),0,DD$3=YEAR($X64),DATEDIF($X64,DATE(DD$3,12,31),"m")*$Y64,AND(DD$3&gt;YEAR($X64),DD$3-YEAR($X64)&lt;20),$Y64*12,DD$3-YEAR($X64)=20,DATEDIF(DATE(YEAR($X64),1,1),$X64,"m")*$Y64,DD$3-YEAR($X64)&gt;20,0)</f>
        <v>11704.5</v>
      </c>
      <c r="DE64" s="202" cm="1">
        <f t="array" ref="DE64">_xlfn.IFS(DE$3&lt;=YEAR($B$2),SUMPRODUCT(($E$4:$E$79=$E64)*($Z$2:$CG$2=DE$3)*($Z$2:$CG$2&lt;DF$3)*$Z$4:$CG$79),DE$3&lt;YEAR($X64),0,DE$3=YEAR($X64),DATEDIF($X64,DATE(DE$3,12,31),"m")*$Y64,AND(DE$3&gt;YEAR($X64),DE$3-YEAR($X64)&lt;20),$Y64*12,DE$3-YEAR($X64)=20,DATEDIF(DATE(YEAR($X64),1,1),$X64,"m")*$Y64,DE$3-YEAR($X64)&gt;20,0)</f>
        <v>11704.5</v>
      </c>
      <c r="DF64" s="202" cm="1">
        <f t="array" ref="DF64">_xlfn.IFS(DF$3&lt;=YEAR($B$2),SUMPRODUCT(($E$4:$E$79=$E64)*($Z$2:$CG$2=DF$3)*($Z$2:$CG$2&lt;DG$3)*$Z$4:$CG$79),DF$3&lt;YEAR($X64),0,DF$3=YEAR($X64),DATEDIF($X64,DATE(DF$3,12,31),"m")*$Y64,AND(DF$3&gt;YEAR($X64),DF$3-YEAR($X64)&lt;20),$Y64*12,DF$3-YEAR($X64)=20,DATEDIF(DATE(YEAR($X64),1,1),$X64,"m")*$Y64,DF$3-YEAR($X64)&gt;20,0)</f>
        <v>11704.5</v>
      </c>
      <c r="DG64" s="202" cm="1">
        <f t="array" ref="DG64">_xlfn.IFS(DG$3&lt;=YEAR($B$2),SUMPRODUCT(($E$4:$E$79=$E64)*($Z$2:$CG$2=DG$3)*($Z$2:$CG$2&lt;DH$3)*$Z$4:$CG$79),DG$3&lt;YEAR($X64),0,DG$3=YEAR($X64),DATEDIF($X64,DATE(DG$3,12,31),"m")*$Y64,AND(DG$3&gt;YEAR($X64),DG$3-YEAR($X64)&lt;20),$Y64*12,DG$3-YEAR($X64)=20,DATEDIF(DATE(YEAR($X64),1,1),$X64,"m")*$Y64,DG$3-YEAR($X64)&gt;20,0)</f>
        <v>1950.75</v>
      </c>
      <c r="DH64" s="202" cm="1">
        <f t="array" ref="DH64">_xlfn.IFS(DH$3&lt;=YEAR($B$2),SUMPRODUCT(($E$4:$E$79=$E64)*($Z$2:$CG$2=DH$3)*($Z$2:$CG$2&lt;DI$3)*$Z$4:$CG$79),DH$3&lt;YEAR($X64),0,DH$3=YEAR($X64),DATEDIF($X64,DATE(DH$3,12,31),"m")*$Y64,AND(DH$3&gt;YEAR($X64),DH$3-YEAR($X64)&lt;20),$Y64*12,DH$3-YEAR($X64)=20,DATEDIF(DATE(YEAR($X64),1,1),$X64,"m")*$Y64,DH$3-YEAR($X64)&gt;20,0)</f>
        <v>0</v>
      </c>
      <c r="DI64" s="202" cm="1">
        <f t="array" ref="DI64">_xlfn.IFS(DI$3&lt;=YEAR($B$2),SUMPRODUCT(($E$4:$E$79=$E64)*($Z$2:$CG$2=DI$3)*($Z$2:$CG$2&lt;DJ$3)*$Z$4:$CG$79),DI$3&lt;YEAR($X64),0,DI$3=YEAR($X64),DATEDIF($X64,DATE(DI$3,12,31),"m")*$Y64,AND(DI$3&gt;YEAR($X64),DI$3-YEAR($X64)&lt;20),$Y64*12,DI$3-YEAR($X64)=20,DATEDIF(DATE(YEAR($X64),1,1),$X64,"m")*$Y64,DI$3-YEAR($X64)&gt;20,0)</f>
        <v>0</v>
      </c>
      <c r="DJ64" s="202" cm="1">
        <f t="array" ref="DJ64">_xlfn.IFS(DJ$3&lt;=YEAR($B$2),SUMPRODUCT(($E$4:$E$79=$E64)*($Z$2:$CG$2=DJ$3)*($Z$2:$CG$2&lt;DK$3)*$Z$4:$CG$79),DJ$3&lt;YEAR($X64),0,DJ$3=YEAR($X64),DATEDIF($X64,DATE(DJ$3,12,31),"m")*$Y64,AND(DJ$3&gt;YEAR($X64),DJ$3-YEAR($X64)&lt;20),$Y64*12,DJ$3-YEAR($X64)=20,DATEDIF(DATE(YEAR($X64),1,1),$X64,"m")*$Y64,DJ$3-YEAR($X64)&gt;20,0)</f>
        <v>0</v>
      </c>
      <c r="DK64" s="202" cm="1">
        <f t="array" ref="DK64">_xlfn.IFS(DK$3&lt;=YEAR($B$2),SUMPRODUCT(($E$4:$E$79=$E64)*($Z$2:$CG$2=DK$3)*($Z$2:$CG$2&lt;DL$3)*$Z$4:$CG$79),DK$3&lt;YEAR($X64),0,DK$3=YEAR($X64),DATEDIF($X64,DATE(DK$3,12,31),"m")*$Y64,AND(DK$3&gt;YEAR($X64),DK$3-YEAR($X64)&lt;20),$Y64*12,DK$3-YEAR($X64)=20,DATEDIF(DATE(YEAR($X64),1,1),$X64,"m")*$Y64,DK$3-YEAR($X64)&gt;20,0)</f>
        <v>0</v>
      </c>
      <c r="DL64" s="202" cm="1">
        <f t="array" ref="DL64">_xlfn.IFS(DL$3&lt;=YEAR($B$2),SUMPRODUCT(($E$4:$E$79=$E64)*($Z$2:$CG$2=DL$3)*($Z$2:$CG$2&lt;DM$3)*$Z$4:$CG$79),DL$3&lt;YEAR($X64),0,DL$3=YEAR($X64),DATEDIF($X64,DATE(DL$3,12,31),"m")*$Y64,AND(DL$3&gt;YEAR($X64),DL$3-YEAR($X64)&lt;20),$Y64*12,DL$3-YEAR($X64)=20,DATEDIF(DATE(YEAR($X64),1,1),$X64,"m")*$Y64,DL$3-YEAR($X64)&gt;20,0)</f>
        <v>0</v>
      </c>
    </row>
    <row r="65" spans="1:116">
      <c r="A65" s="155" t="str" cm="1">
        <f t="array" ref="A65">INDEX('Monthly Report July 2025'!C:C,MATCH(E65,'Monthly Report July 2025'!E:E,0),0)</f>
        <v>OCS058</v>
      </c>
      <c r="B65" s="155" t="str" cm="1">
        <f t="array" ref="B65">_xlfn.IFS(LEFT(E65,3)="PGE","PGE",LEFT(E65,2)="PP","PAC",TRUE,"IP")</f>
        <v>PAC</v>
      </c>
      <c r="C65" s="155" t="str">
        <f>IF(ISNA(MATCH(E65,'Monthly Report July 2025'!E:E,0)),"Missing","Present")</f>
        <v>Present</v>
      </c>
      <c r="D65" s="155" t="str">
        <f>IF(ISNA(MATCH(E65,'Project Operational Timelines'!C:C,0))=TRUE,"Missing","Present")</f>
        <v>Present</v>
      </c>
      <c r="E65" s="155" t="s">
        <v>173</v>
      </c>
      <c r="F65" s="155" t="str" cm="1">
        <f t="array" ref="F65">INDEX('Monthly Report July 2025'!F:F,MATCH(E65,'Monthly Report July 2025'!E:E,),0)</f>
        <v>Coker Solar</v>
      </c>
      <c r="G65" s="155" t="str" cm="1">
        <f t="array" ref="G65">_xlfn.IFS(INDEX('Monthly Report July 2025'!O:O,MATCH(E65,'Monthly Report July 2025'!E:E,0),0)="Operational","Operational",INDEX('Monthly Report July 2025'!O:O,MATCH(E65,'Monthly Report July 2025'!E:E,0),0)="Certified","Certified",TRUE,"Pre-Certified")</f>
        <v>Pre-Certified</v>
      </c>
      <c r="H65" s="155" t="str" cm="1">
        <f t="array" ref="H65">INDEX('Monthly Report July 2025'!H:H,MATCH($E65,'Monthly Report July 2025'!$E:$E,0),0)</f>
        <v>Sulus</v>
      </c>
      <c r="I65" s="155" t="str" cm="1">
        <f t="array" ref="I65">INDEX('Monthly Report July 2025'!I:I,MATCH($E65,'Monthly Report July 2025'!$E:$E,0),0)</f>
        <v>Hawthorne Renewables LLC</v>
      </c>
      <c r="J65" s="174" cm="1">
        <f t="array" ref="J65">INDEX('Monthly Report July 2025'!J:J,MATCH($E65,'Monthly Report July 2025'!$E:$E,0),0)</f>
        <v>2</v>
      </c>
      <c r="K65" s="174" t="str" cm="1">
        <f t="array" ref="K65">INDEX('Monthly Report July 2025'!K:K,MATCH($E65,'Monthly Report July 2025'!$E:$E,0),0)</f>
        <v>No</v>
      </c>
      <c r="L65" s="174" t="b" cm="1">
        <f t="array" ref="L65">INDEX('Monthly Report July 2025'!L:L,MATCH(E65,'Monthly Report July 2025'!E:E,0),0)=M65</f>
        <v>1</v>
      </c>
      <c r="M65" s="273" cm="1">
        <f t="array" ref="M65">INDEX('Monthly Report July 2025'!L:L,MATCH($E65,'Monthly Report July 2025'!$E:$E,0),0)</f>
        <v>1250</v>
      </c>
      <c r="N65" s="175" cm="1">
        <f t="array" ref="N65">INDEX('Monthly Report July 2025'!M:M,MATCH($E65,'Monthly Report July 2025'!$E:$E,0),0)</f>
        <v>44896</v>
      </c>
      <c r="O65" s="175" cm="1">
        <f t="array" ref="O65">_xlfn.IFS(G65="Operational","Operational",G65="Certified","Certified",TRUE,INDEX('Monthly Report July 2025'!O:O,MATCH(E65,'Monthly Report July 2025'!E:E,0),0))</f>
        <v>46083</v>
      </c>
      <c r="P65" s="175" t="b" cm="1">
        <f t="array" ref="P65">_xlfn.IFS(G65="Operational",O65="Operational",G65="Certified",O65="Certified",TRUE,G65="Pre-Certified")</f>
        <v>1</v>
      </c>
      <c r="Q65" s="175" t="str" cm="1">
        <f t="array" ref="Q65">IF(O65="Operational",INDEX('Monthly Report July 2025'!R:R,MATCH(E65,'Monthly Report July 2025'!E:E,0),0),"")</f>
        <v/>
      </c>
      <c r="R65" s="175" t="str" cm="1">
        <f t="array" ref="R65">INDEX('Monthly Report July 2025'!P:P,MATCH(E65,'Monthly Report July 2025'!E:E,0),0)</f>
        <v>Not Yet Certified</v>
      </c>
      <c r="S65" s="175" t="b">
        <f t="shared" si="28"/>
        <v>1</v>
      </c>
      <c r="T65" s="175" cm="1">
        <f t="array" ref="T65">INDEX('Monthly Report July 2025'!U:U,MATCH(E65,'Monthly Report July 2025'!E:E,0),0)</f>
        <v>46172</v>
      </c>
      <c r="U65" s="175" t="b">
        <f t="shared" si="6"/>
        <v>1</v>
      </c>
      <c r="V65" s="156">
        <f t="shared" si="29"/>
        <v>46083</v>
      </c>
      <c r="W65" s="156" cm="1">
        <f t="array" ref="W65">_xlfn.IFS(U65=TRUE,EDATE(O65,6),U65=FALSE,T65,O65="Operational",Q65,AND(O65="Certified",EDATE(R65,6)&gt;T65),EDATE(R65,6),TRUE,T65)</f>
        <v>46267</v>
      </c>
      <c r="X65" s="156">
        <f t="shared" si="30"/>
        <v>46328</v>
      </c>
      <c r="Y65" s="157">
        <f t="shared" si="31"/>
        <v>903.125</v>
      </c>
      <c r="Z65" s="202" cm="1">
        <f t="array" ref="Z65">_xlfn.IFS(Z$3&lt;$B$2,SUMPRODUCT(('PA Fees Actual'!$B$5:$B$882=$E65)*('PA Fees Actual'!$A$5:$A$882&gt;=Z$3)*('PA Fees Actual'!$A$5:$A$882&lt;=EOMONTH(Z$3,0))*'PA Fees Actual'!$D$5:$D$882),Z$3&gt;=EOMONTH($X65,-1)+1,$Y65,TRUE,0)</f>
        <v>0</v>
      </c>
      <c r="AA65" s="202" cm="1">
        <f t="array" ref="AA65">_xlfn.IFS(AA$3&lt;$B$2,SUMPRODUCT(('PA Fees Actual'!$B$5:$B$882=$E65)*('PA Fees Actual'!$A$5:$A$882&gt;=AA$3)*('PA Fees Actual'!$A$5:$A$882&lt;=EOMONTH(AA$3,0))*'PA Fees Actual'!$D$5:$D$882),AA$3&gt;=EOMONTH($X65,-1)+1,$Y65,TRUE,0)</f>
        <v>0</v>
      </c>
      <c r="AB65" s="202" cm="1">
        <f t="array" ref="AB65">_xlfn.IFS(AB$3&lt;$B$2,SUMPRODUCT(('PA Fees Actual'!$B$5:$B$882=$E65)*('PA Fees Actual'!$A$5:$A$882&gt;=AB$3)*('PA Fees Actual'!$A$5:$A$882&lt;=EOMONTH(AB$3,0))*'PA Fees Actual'!$D$5:$D$882),AB$3&gt;=EOMONTH($X65,-1)+1,$Y65,TRUE,0)</f>
        <v>0</v>
      </c>
      <c r="AC65" s="202" cm="1">
        <f t="array" ref="AC65">_xlfn.IFS(AC$3&lt;$B$2,SUMPRODUCT(('PA Fees Actual'!$B$5:$B$882=$E65)*('PA Fees Actual'!$A$5:$A$882&gt;=AC$3)*('PA Fees Actual'!$A$5:$A$882&lt;=EOMONTH(AC$3,0))*'PA Fees Actual'!$D$5:$D$882),AC$3&gt;=EOMONTH($X65,-1)+1,$Y65,TRUE,0)</f>
        <v>0</v>
      </c>
      <c r="AD65" s="202" cm="1">
        <f t="array" ref="AD65">_xlfn.IFS(AD$3&lt;$B$2,SUMPRODUCT(('PA Fees Actual'!$B$5:$B$882=$E65)*('PA Fees Actual'!$A$5:$A$882&gt;=AD$3)*('PA Fees Actual'!$A$5:$A$882&lt;=EOMONTH(AD$3,0))*'PA Fees Actual'!$D$5:$D$882),AD$3&gt;=EOMONTH($X65,-1)+1,$Y65,TRUE,0)</f>
        <v>0</v>
      </c>
      <c r="AE65" s="202" cm="1">
        <f t="array" ref="AE65">_xlfn.IFS(AE$3&lt;$B$2,SUMPRODUCT(('PA Fees Actual'!$B$5:$B$882=$E65)*('PA Fees Actual'!$A$5:$A$882&gt;=AE$3)*('PA Fees Actual'!$A$5:$A$882&lt;=EOMONTH(AE$3,0))*'PA Fees Actual'!$D$5:$D$882),AE$3&gt;=EOMONTH($X65,-1)+1,$Y65,TRUE,0)</f>
        <v>0</v>
      </c>
      <c r="AF65" s="202" cm="1">
        <f t="array" ref="AF65">_xlfn.IFS(AF$3&lt;$B$2,SUMPRODUCT(('PA Fees Actual'!$B$5:$B$882=$E65)*('PA Fees Actual'!$A$5:$A$882&gt;=AF$3)*('PA Fees Actual'!$A$5:$A$882&lt;=EOMONTH(AF$3,0))*'PA Fees Actual'!$D$5:$D$882),AF$3&gt;=EOMONTH($X65,-1)+1,$Y65,TRUE,0)</f>
        <v>0</v>
      </c>
      <c r="AG65" s="202" cm="1">
        <f t="array" ref="AG65">_xlfn.IFS(AG$3&lt;$B$2,SUMPRODUCT(('PA Fees Actual'!$B$5:$B$882=$E65)*('PA Fees Actual'!$A$5:$A$882&gt;=AG$3)*('PA Fees Actual'!$A$5:$A$882&lt;=EOMONTH(AG$3,0))*'PA Fees Actual'!$D$5:$D$882),AG$3&gt;=EOMONTH($X65,-1)+1,$Y65,TRUE,0)</f>
        <v>0</v>
      </c>
      <c r="AH65" s="202" cm="1">
        <f t="array" ref="AH65">_xlfn.IFS(AH$3&lt;$B$2,SUMPRODUCT(('PA Fees Actual'!$B$5:$B$882=$E65)*('PA Fees Actual'!$A$5:$A$882&gt;=AH$3)*('PA Fees Actual'!$A$5:$A$882&lt;=EOMONTH(AH$3,0))*'PA Fees Actual'!$D$5:$D$882),AH$3&gt;=EOMONTH($X65,-1)+1,$Y65,TRUE,0)</f>
        <v>0</v>
      </c>
      <c r="AI65" s="202" cm="1">
        <f t="array" ref="AI65">_xlfn.IFS(AI$3&lt;$B$2,SUMPRODUCT(('PA Fees Actual'!$B$5:$B$882=$E65)*('PA Fees Actual'!$A$5:$A$882&gt;=AI$3)*('PA Fees Actual'!$A$5:$A$882&lt;=EOMONTH(AI$3,0))*'PA Fees Actual'!$D$5:$D$882),AI$3&gt;=EOMONTH($X65,-1)+1,$Y65,TRUE,0)</f>
        <v>0</v>
      </c>
      <c r="AJ65" s="202" cm="1">
        <f t="array" ref="AJ65">_xlfn.IFS(AJ$3&lt;$B$2,SUMPRODUCT(('PA Fees Actual'!$B$5:$B$882=$E65)*('PA Fees Actual'!$A$5:$A$882&gt;=AJ$3)*('PA Fees Actual'!$A$5:$A$882&lt;=EOMONTH(AJ$3,0))*'PA Fees Actual'!$D$5:$D$882),AJ$3&gt;=EOMONTH($X65,-1)+1,$Y65,TRUE,0)</f>
        <v>0</v>
      </c>
      <c r="AK65" s="202" cm="1">
        <f t="array" ref="AK65">_xlfn.IFS(AK$3&lt;$B$2,SUMPRODUCT(('PA Fees Actual'!$B$5:$B$882=$E65)*('PA Fees Actual'!$A$5:$A$882&gt;=AK$3)*('PA Fees Actual'!$A$5:$A$882&lt;=EOMONTH(AK$3,0))*'PA Fees Actual'!$D$5:$D$882),AK$3&gt;=EOMONTH($X65,-1)+1,$Y65,TRUE,0)</f>
        <v>0</v>
      </c>
      <c r="AL65" s="202" cm="1">
        <f t="array" ref="AL65">_xlfn.IFS(AL$3&lt;$B$2,SUMPRODUCT(('PA Fees Actual'!$B$5:$B$882=$E65)*('PA Fees Actual'!$A$5:$A$882&gt;=AL$3)*('PA Fees Actual'!$A$5:$A$882&lt;=EOMONTH(AL$3,0))*'PA Fees Actual'!$D$5:$D$882),AL$3&gt;=EOMONTH($X65,-1)+1,$Y65,TRUE,0)</f>
        <v>0</v>
      </c>
      <c r="AM65" s="202" cm="1">
        <f t="array" ref="AM65">_xlfn.IFS(AM$3&lt;$B$2,SUMPRODUCT(('PA Fees Actual'!$B$5:$B$882=$E65)*('PA Fees Actual'!$A$5:$A$882&gt;=AM$3)*('PA Fees Actual'!$A$5:$A$882&lt;=EOMONTH(AM$3,0))*'PA Fees Actual'!$D$5:$D$882),AM$3&gt;=EOMONTH($X65,-1)+1,$Y65,TRUE,0)</f>
        <v>0</v>
      </c>
      <c r="AN65" s="202" cm="1">
        <f t="array" ref="AN65">_xlfn.IFS(AN$3&lt;$B$2,SUMPRODUCT(('PA Fees Actual'!$B$5:$B$882=$E65)*('PA Fees Actual'!$A$5:$A$882&gt;=AN$3)*('PA Fees Actual'!$A$5:$A$882&lt;=EOMONTH(AN$3,0))*'PA Fees Actual'!$D$5:$D$882),AN$3&gt;=EOMONTH($X65,-1)+1,$Y65,TRUE,0)</f>
        <v>0</v>
      </c>
      <c r="AO65" s="202" cm="1">
        <f t="array" ref="AO65">_xlfn.IFS(AO$3&lt;$B$2,SUMPRODUCT(('PA Fees Actual'!$B$5:$B$882=$E65)*('PA Fees Actual'!$A$5:$A$882&gt;=AO$3)*('PA Fees Actual'!$A$5:$A$882&lt;=EOMONTH(AO$3,0))*'PA Fees Actual'!$D$5:$D$882),AO$3&gt;=EOMONTH($X65,-1)+1,$Y65,TRUE,0)</f>
        <v>0</v>
      </c>
      <c r="AP65" s="202" cm="1">
        <f t="array" ref="AP65">_xlfn.IFS(AP$3&lt;$B$2,SUMPRODUCT(('PA Fees Actual'!$B$5:$B$882=$E65)*('PA Fees Actual'!$A$5:$A$882&gt;=AP$3)*('PA Fees Actual'!$A$5:$A$882&lt;=EOMONTH(AP$3,0))*'PA Fees Actual'!$D$5:$D$882),AP$3&gt;=EOMONTH($X65,-1)+1,$Y65,TRUE,0)</f>
        <v>0</v>
      </c>
      <c r="AQ65" s="202" cm="1">
        <f t="array" ref="AQ65">_xlfn.IFS(AQ$3&lt;$B$2,SUMPRODUCT(('PA Fees Actual'!$B$5:$B$882=$E65)*('PA Fees Actual'!$A$5:$A$882&gt;=AQ$3)*('PA Fees Actual'!$A$5:$A$882&lt;=EOMONTH(AQ$3,0))*'PA Fees Actual'!$D$5:$D$882),AQ$3&gt;=EOMONTH($X65,-1)+1,$Y65,TRUE,0)</f>
        <v>0</v>
      </c>
      <c r="AR65" s="202" cm="1">
        <f t="array" ref="AR65">_xlfn.IFS(AR$3&lt;$B$2,SUMPRODUCT(('PA Fees Actual'!$B$5:$B$882=$E65)*('PA Fees Actual'!$A$5:$A$882&gt;=AR$3)*('PA Fees Actual'!$A$5:$A$882&lt;=EOMONTH(AR$3,0))*'PA Fees Actual'!$D$5:$D$882),AR$3&gt;=EOMONTH($X65,-1)+1,$Y65,TRUE,0)</f>
        <v>0</v>
      </c>
      <c r="AS65" s="202" cm="1">
        <f t="array" ref="AS65">_xlfn.IFS(AS$3&lt;$B$2,SUMPRODUCT(('PA Fees Actual'!$B$5:$B$882=$E65)*('PA Fees Actual'!$A$5:$A$882&gt;=AS$3)*('PA Fees Actual'!$A$5:$A$882&lt;=EOMONTH(AS$3,0))*'PA Fees Actual'!$D$5:$D$882),AS$3&gt;=EOMONTH($X65,-1)+1,$Y65,TRUE,0)</f>
        <v>0</v>
      </c>
      <c r="AT65" s="202" cm="1">
        <f t="array" ref="AT65">_xlfn.IFS(AT$3&lt;$B$2,SUMPRODUCT(('PA Fees Actual'!$B$5:$B$882=$E65)*('PA Fees Actual'!$A$5:$A$882&gt;=AT$3)*('PA Fees Actual'!$A$5:$A$882&lt;=EOMONTH(AT$3,0))*'PA Fees Actual'!$D$5:$D$882),AT$3&gt;=EOMONTH($X65,-1)+1,$Y65,TRUE,0)</f>
        <v>0</v>
      </c>
      <c r="AU65" s="202" cm="1">
        <f t="array" ref="AU65">_xlfn.IFS(AU$3&lt;$B$2,SUMPRODUCT(('PA Fees Actual'!$B$5:$B$882=$E65)*('PA Fees Actual'!$A$5:$A$882&gt;=AU$3)*('PA Fees Actual'!$A$5:$A$882&lt;=EOMONTH(AU$3,0))*'PA Fees Actual'!$D$5:$D$882),AU$3&gt;=EOMONTH($X65,-1)+1,$Y65,TRUE,0)</f>
        <v>0</v>
      </c>
      <c r="AV65" s="202" cm="1">
        <f t="array" ref="AV65">_xlfn.IFS(AV$3&lt;$B$2,SUMPRODUCT(('PA Fees Actual'!$B$5:$B$882=$E65)*('PA Fees Actual'!$A$5:$A$882&gt;=AV$3)*('PA Fees Actual'!$A$5:$A$882&lt;=EOMONTH(AV$3,0))*'PA Fees Actual'!$D$5:$D$882),AV$3&gt;=EOMONTH($X65,-1)+1,$Y65,TRUE,0)</f>
        <v>0</v>
      </c>
      <c r="AW65" s="202" cm="1">
        <f t="array" ref="AW65">_xlfn.IFS(AW$3&lt;$B$2,SUMPRODUCT(('PA Fees Actual'!$B$5:$B$882=$E65)*('PA Fees Actual'!$A$5:$A$882&gt;=AW$3)*('PA Fees Actual'!$A$5:$A$882&lt;=EOMONTH(AW$3,0))*'PA Fees Actual'!$D$5:$D$882),AW$3&gt;=EOMONTH($X65,-1)+1,$Y65,TRUE,0)</f>
        <v>0</v>
      </c>
      <c r="AX65" s="202" cm="1">
        <f t="array" ref="AX65">_xlfn.IFS(AX$3&lt;$B$2,SUMPRODUCT(('PA Fees Actual'!$B$5:$B$882=$E65)*('PA Fees Actual'!$A$5:$A$882&gt;=AX$3)*('PA Fees Actual'!$A$5:$A$882&lt;=EOMONTH(AX$3,0))*'PA Fees Actual'!$D$5:$D$882),AX$3&gt;=EOMONTH($X65,-1)+1,$Y65,TRUE,0)</f>
        <v>0</v>
      </c>
      <c r="AY65" s="202" cm="1">
        <f t="array" ref="AY65">_xlfn.IFS(AY$3&lt;$B$2,SUMPRODUCT(('PA Fees Actual'!$B$5:$B$882=$E65)*('PA Fees Actual'!$A$5:$A$882&gt;=AY$3)*('PA Fees Actual'!$A$5:$A$882&lt;=EOMONTH(AY$3,0))*'PA Fees Actual'!$D$5:$D$882),AY$3&gt;=EOMONTH($X65,-1)+1,$Y65,TRUE,0)</f>
        <v>0</v>
      </c>
      <c r="AZ65" s="202" cm="1">
        <f t="array" ref="AZ65">_xlfn.IFS(AZ$3&lt;$B$2,SUMPRODUCT(('PA Fees Actual'!$B$5:$B$882=$E65)*('PA Fees Actual'!$A$5:$A$882&gt;=AZ$3)*('PA Fees Actual'!$A$5:$A$882&lt;=EOMONTH(AZ$3,0))*'PA Fees Actual'!$D$5:$D$882),AZ$3&gt;=EOMONTH($X65,-1)+1,$Y65,TRUE,0)</f>
        <v>0</v>
      </c>
      <c r="BA65" s="202" cm="1">
        <f t="array" ref="BA65">_xlfn.IFS(BA$3&lt;$B$2,SUMPRODUCT(('PA Fees Actual'!$B$5:$B$882=$E65)*('PA Fees Actual'!$A$5:$A$882&gt;=BA$3)*('PA Fees Actual'!$A$5:$A$882&lt;=EOMONTH(BA$3,0))*'PA Fees Actual'!$D$5:$D$882),BA$3&gt;=EOMONTH($X65,-1)+1,$Y65,TRUE,0)</f>
        <v>0</v>
      </c>
      <c r="BB65" s="202" cm="1">
        <f t="array" ref="BB65">_xlfn.IFS(BB$3&lt;$B$2,SUMPRODUCT(('PA Fees Actual'!$B$5:$B$882=$E65)*('PA Fees Actual'!$A$5:$A$882&gt;=BB$3)*('PA Fees Actual'!$A$5:$A$882&lt;=EOMONTH(BB$3,0))*'PA Fees Actual'!$D$5:$D$882),BB$3&gt;=EOMONTH($X65,-1)+1,$Y65,TRUE,0)</f>
        <v>0</v>
      </c>
      <c r="BC65" s="202" cm="1">
        <f t="array" ref="BC65">_xlfn.IFS(BC$3&lt;$B$2,SUMPRODUCT(('PA Fees Actual'!$B$5:$B$882=$E65)*('PA Fees Actual'!$A$5:$A$882&gt;=BC$3)*('PA Fees Actual'!$A$5:$A$882&lt;=EOMONTH(BC$3,0))*'PA Fees Actual'!$D$5:$D$882),BC$3&gt;=EOMONTH($X65,-1)+1,$Y65,TRUE,0)</f>
        <v>0</v>
      </c>
      <c r="BD65" s="202" cm="1">
        <f t="array" ref="BD65">_xlfn.IFS(BD$3&lt;$B$2,SUMPRODUCT(('PA Fees Actual'!$B$5:$B$882=$E65)*('PA Fees Actual'!$A$5:$A$882&gt;=BD$3)*('PA Fees Actual'!$A$5:$A$882&lt;=EOMONTH(BD$3,0))*'PA Fees Actual'!$D$5:$D$882),BD$3&gt;=EOMONTH($X65,-1)+1,$Y65,TRUE,0)</f>
        <v>0</v>
      </c>
      <c r="BE65" s="202" cm="1">
        <f t="array" ref="BE65">_xlfn.IFS(BE$3&lt;$B$2,SUMPRODUCT(('PA Fees Actual'!$B$5:$B$882=$E65)*('PA Fees Actual'!$A$5:$A$882&gt;=BE$3)*('PA Fees Actual'!$A$5:$A$882&lt;=EOMONTH(BE$3,0))*'PA Fees Actual'!$D$5:$D$882),BE$3&gt;=EOMONTH($X65,-1)+1,$Y65,TRUE,0)</f>
        <v>0</v>
      </c>
      <c r="BF65" s="202" cm="1">
        <f t="array" ref="BF65">_xlfn.IFS(BF$3&lt;$B$2,SUMPRODUCT(('PA Fees Actual'!$B$5:$B$882=$E65)*('PA Fees Actual'!$A$5:$A$882&gt;=BF$3)*('PA Fees Actual'!$A$5:$A$882&lt;=EOMONTH(BF$3,0))*'PA Fees Actual'!$D$5:$D$882),BF$3&gt;=EOMONTH($X65,-1)+1,$Y65,TRUE,0)</f>
        <v>0</v>
      </c>
      <c r="BG65" s="202" cm="1">
        <f t="array" ref="BG65">_xlfn.IFS(BG$3&lt;$B$2,SUMPRODUCT(('PA Fees Actual'!$B$5:$B$882=$E65)*('PA Fees Actual'!$A$5:$A$882&gt;=BG$3)*('PA Fees Actual'!$A$5:$A$882&lt;=EOMONTH(BG$3,0))*'PA Fees Actual'!$D$5:$D$882),BG$3&gt;=EOMONTH($X65,-1)+1,$Y65,TRUE,0)</f>
        <v>0</v>
      </c>
      <c r="BH65" s="202" cm="1">
        <f t="array" ref="BH65">_xlfn.IFS(BH$3&lt;$B$2,SUMPRODUCT(('PA Fees Actual'!$B$5:$B$882=$E65)*('PA Fees Actual'!$A$5:$A$882&gt;=BH$3)*('PA Fees Actual'!$A$5:$A$882&lt;=EOMONTH(BH$3,0))*'PA Fees Actual'!$D$5:$D$882),BH$3&gt;=EOMONTH($X65,-1)+1,$Y65,TRUE,0)</f>
        <v>0</v>
      </c>
      <c r="BI65" s="202" cm="1">
        <f t="array" ref="BI65">_xlfn.IFS(BI$3&lt;$B$2,SUMPRODUCT(('PA Fees Actual'!$B$5:$B$882=$E65)*('PA Fees Actual'!$A$5:$A$882&gt;=BI$3)*('PA Fees Actual'!$A$5:$A$882&lt;=EOMONTH(BI$3,0))*'PA Fees Actual'!$D$5:$D$882),BI$3&gt;=EOMONTH($X65,-1)+1,$Y65,TRUE,0)</f>
        <v>0</v>
      </c>
      <c r="BJ65" s="202" cm="1">
        <f t="array" ref="BJ65">_xlfn.IFS(BJ$3&lt;$B$2,SUMPRODUCT(('PA Fees Actual'!$B$5:$B$882=$E65)*('PA Fees Actual'!$A$5:$A$882&gt;=BJ$3)*('PA Fees Actual'!$A$5:$A$882&lt;=EOMONTH(BJ$3,0))*'PA Fees Actual'!$D$5:$D$882),BJ$3&gt;=EOMONTH($X65,-1)+1,$Y65,TRUE,0)</f>
        <v>0</v>
      </c>
      <c r="BK65" s="202" cm="1">
        <f t="array" ref="BK65">_xlfn.IFS(BK$3&lt;$B$2,SUMPRODUCT(('PA Fees Actual'!$B$5:$B$882=$E65)*('PA Fees Actual'!$A$5:$A$882&gt;=BK$3)*('PA Fees Actual'!$A$5:$A$882&lt;=EOMONTH(BK$3,0))*'PA Fees Actual'!$D$5:$D$882),BK$3&gt;=EOMONTH($X65,-1)+1,$Y65,TRUE,0)</f>
        <v>0</v>
      </c>
      <c r="BL65" s="202" cm="1">
        <f t="array" ref="BL65">_xlfn.IFS(BL$3&lt;$B$2,SUMPRODUCT(('PA Fees Actual'!$B$5:$B$882=$E65)*('PA Fees Actual'!$A$5:$A$882&gt;=BL$3)*('PA Fees Actual'!$A$5:$A$882&lt;=EOMONTH(BL$3,0))*'PA Fees Actual'!$D$5:$D$882),BL$3&gt;=EOMONTH($X65,-1)+1,$Y65,TRUE,0)</f>
        <v>0</v>
      </c>
      <c r="BM65" s="202" cm="1">
        <f t="array" ref="BM65">_xlfn.IFS(BM$3&lt;$B$2,SUMPRODUCT(('PA Fees Actual'!$B$5:$B$882=$E65)*('PA Fees Actual'!$A$5:$A$882&gt;=BM$3)*('PA Fees Actual'!$A$5:$A$882&lt;=EOMONTH(BM$3,0))*'PA Fees Actual'!$D$5:$D$882),BM$3&gt;=EOMONTH($X65,-1)+1,$Y65,TRUE,0)</f>
        <v>0</v>
      </c>
      <c r="BN65" s="202" cm="1">
        <f t="array" ref="BN65">_xlfn.IFS(BN$3&lt;$B$2,SUMPRODUCT(('PA Fees Actual'!$B$5:$B$882=$E65)*('PA Fees Actual'!$A$5:$A$882&gt;=BN$3)*('PA Fees Actual'!$A$5:$A$882&lt;=EOMONTH(BN$3,0))*'PA Fees Actual'!$D$5:$D$882),BN$3&gt;=EOMONTH($X65,-1)+1,$Y65,TRUE,0)</f>
        <v>0</v>
      </c>
      <c r="BO65" s="202" cm="1">
        <f t="array" ref="BO65">_xlfn.IFS(BO$3&lt;$B$2,SUMPRODUCT(('PA Fees Actual'!$B$5:$B$882=$E65)*('PA Fees Actual'!$A$5:$A$882&gt;=BO$3)*('PA Fees Actual'!$A$5:$A$882&lt;=EOMONTH(BO$3,0))*'PA Fees Actual'!$D$5:$D$882),BO$3&gt;=EOMONTH($X65,-1)+1,$Y65,TRUE,0)</f>
        <v>0</v>
      </c>
      <c r="BP65" s="202" cm="1">
        <f t="array" ref="BP65">_xlfn.IFS(BP$3&lt;$B$2,SUMPRODUCT(('PA Fees Actual'!$B$5:$B$882=$E65)*('PA Fees Actual'!$A$5:$A$882&gt;=BP$3)*('PA Fees Actual'!$A$5:$A$882&lt;=EOMONTH(BP$3,0))*'PA Fees Actual'!$D$5:$D$882),BP$3&gt;=EOMONTH($X65,-1)+1,$Y65,TRUE,0)</f>
        <v>0</v>
      </c>
      <c r="BQ65" s="202" cm="1">
        <f t="array" ref="BQ65">_xlfn.IFS(BQ$3&lt;$B$2,SUMPRODUCT(('PA Fees Actual'!$B$5:$B$882=$E65)*('PA Fees Actual'!$A$5:$A$882&gt;=BQ$3)*('PA Fees Actual'!$A$5:$A$882&lt;=EOMONTH(BQ$3,0))*'PA Fees Actual'!$D$5:$D$882),BQ$3&gt;=EOMONTH($X65,-1)+1,$Y65,TRUE,0)</f>
        <v>0</v>
      </c>
      <c r="BR65" s="202" cm="1">
        <f t="array" ref="BR65">_xlfn.IFS(BR$3&lt;$B$2,SUMPRODUCT(('PA Fees Actual'!$B$5:$B$882=$E65)*('PA Fees Actual'!$A$5:$A$882&gt;=BR$3)*('PA Fees Actual'!$A$5:$A$882&lt;=EOMONTH(BR$3,0))*'PA Fees Actual'!$D$5:$D$882),BR$3&gt;=EOMONTH($X65,-1)+1,$Y65,TRUE,0)</f>
        <v>0</v>
      </c>
      <c r="BS65" s="202" cm="1">
        <f t="array" ref="BS65">_xlfn.IFS(BS$3&lt;$B$2,SUMPRODUCT(('PA Fees Actual'!$B$5:$B$882=$E65)*('PA Fees Actual'!$A$5:$A$882&gt;=BS$3)*('PA Fees Actual'!$A$5:$A$882&lt;=EOMONTH(BS$3,0))*'PA Fees Actual'!$D$5:$D$882),BS$3&gt;=EOMONTH($X65,-1)+1,$Y65,TRUE,0)</f>
        <v>0</v>
      </c>
      <c r="BT65" s="202" cm="1">
        <f t="array" ref="BT65">_xlfn.IFS(BT$3&lt;$B$2,SUMPRODUCT(('PA Fees Actual'!$B$5:$B$882=$E65)*('PA Fees Actual'!$A$5:$A$882&gt;=BT$3)*('PA Fees Actual'!$A$5:$A$882&lt;=EOMONTH(BT$3,0))*'PA Fees Actual'!$D$5:$D$882),BT$3&gt;=EOMONTH($X65,-1)+1,$Y65,TRUE,0)</f>
        <v>0</v>
      </c>
      <c r="BU65" s="202" cm="1">
        <f t="array" ref="BU65">_xlfn.IFS(BU$3&lt;$B$2,SUMPRODUCT(('PA Fees Actual'!$B$5:$B$882=$E65)*('PA Fees Actual'!$A$5:$A$882&gt;=BU$3)*('PA Fees Actual'!$A$5:$A$882&lt;=EOMONTH(BU$3,0))*'PA Fees Actual'!$D$5:$D$882),BU$3&gt;=EOMONTH($X65,-1)+1,$Y65,TRUE,0)</f>
        <v>0</v>
      </c>
      <c r="BV65" s="202" cm="1">
        <f t="array" ref="BV65">_xlfn.IFS(BV$3&lt;$B$2,SUMPRODUCT(('PA Fees Actual'!$B$5:$B$882=$E65)*('PA Fees Actual'!$A$5:$A$882&gt;=BV$3)*('PA Fees Actual'!$A$5:$A$882&lt;=EOMONTH(BV$3,0))*'PA Fees Actual'!$D$5:$D$882),BV$3&gt;=EOMONTH($X65,-1)+1,$Y65,TRUE,0)</f>
        <v>0</v>
      </c>
      <c r="BW65" s="202" cm="1">
        <f t="array" ref="BW65">_xlfn.IFS(BW$3&lt;$B$2,SUMPRODUCT(('PA Fees Actual'!$B$5:$B$882=$E65)*('PA Fees Actual'!$A$5:$A$882&gt;=BW$3)*('PA Fees Actual'!$A$5:$A$882&lt;=EOMONTH(BW$3,0))*'PA Fees Actual'!$D$5:$D$882),BW$3&gt;=EOMONTH($X65,-1)+1,$Y65,TRUE,0)</f>
        <v>0</v>
      </c>
      <c r="BX65" s="202" cm="1">
        <f t="array" ref="BX65">_xlfn.IFS(BX$3&lt;$B$2,SUMPRODUCT(('PA Fees Actual'!$B$5:$B$882=$E65)*('PA Fees Actual'!$A$5:$A$882&gt;=BX$3)*('PA Fees Actual'!$A$5:$A$882&lt;=EOMONTH(BX$3,0))*'PA Fees Actual'!$D$5:$D$882),BX$3&gt;=EOMONTH($X65,-1)+1,$Y65,TRUE,0)</f>
        <v>0</v>
      </c>
      <c r="BY65" s="202" cm="1">
        <f t="array" ref="BY65">_xlfn.IFS(BY$3&lt;$B$2,SUMPRODUCT(('PA Fees Actual'!$B$5:$B$882=$E65)*('PA Fees Actual'!$A$5:$A$882&gt;=BY$3)*('PA Fees Actual'!$A$5:$A$882&lt;=EOMONTH(BY$3,0))*'PA Fees Actual'!$D$5:$D$882),BY$3&gt;=EOMONTH($X65,-1)+1,$Y65,TRUE,0)</f>
        <v>0</v>
      </c>
      <c r="BZ65" s="202" cm="1">
        <f t="array" ref="BZ65">_xlfn.IFS(BZ$3&lt;$B$2,SUMPRODUCT(('PA Fees Actual'!$B$5:$B$882=$E65)*('PA Fees Actual'!$A$5:$A$882&gt;=BZ$3)*('PA Fees Actual'!$A$5:$A$882&lt;=EOMONTH(BZ$3,0))*'PA Fees Actual'!$D$5:$D$882),BZ$3&gt;=EOMONTH($X65,-1)+1,$Y65,TRUE,0)</f>
        <v>0</v>
      </c>
      <c r="CA65" s="202" cm="1">
        <f t="array" ref="CA65">_xlfn.IFS(CA$3&lt;$B$2,SUMPRODUCT(('PA Fees Actual'!$B$5:$B$882=$E65)*('PA Fees Actual'!$A$5:$A$882&gt;=CA$3)*('PA Fees Actual'!$A$5:$A$882&lt;=EOMONTH(CA$3,0))*'PA Fees Actual'!$D$5:$D$882),CA$3&gt;=EOMONTH($X65,-1)+1,$Y65,TRUE,0)</f>
        <v>0</v>
      </c>
      <c r="CB65" s="202" cm="1">
        <f t="array" ref="CB65">_xlfn.IFS(CB$3&lt;$B$2,SUMPRODUCT(('PA Fees Actual'!$B$5:$B$749=$E65)*('PA Fees Actual'!$A$5:$A$749&gt;=CB$3)*('PA Fees Actual'!$A$5:$A$749&lt;=EOMONTH(CB$3,0))*'PA Fees Actual'!$D$5:$D$749),CB$3&gt;=EOMONTH($X65,-1)+1,$Y65,TRUE,0)</f>
        <v>0</v>
      </c>
      <c r="CC65" s="202" cm="1">
        <f t="array" ref="CC65">_xlfn.IFS(CC$3&lt;$B$2,SUMPRODUCT(('PA Fees Actual'!$B$5:$B$749=$E65)*('PA Fees Actual'!$A$5:$A$749&gt;=CC$3)*('PA Fees Actual'!$A$5:$A$749&lt;=EOMONTH(CC$3,0))*'PA Fees Actual'!$D$5:$D$749),CC$3&gt;=EOMONTH($X65,-1)+1,$Y65,TRUE,0)</f>
        <v>0</v>
      </c>
      <c r="CD65" s="202" cm="1">
        <f t="array" ref="CD65">_xlfn.IFS(CD$3&lt;$B$2,SUMPRODUCT(('PA Fees Actual'!$B$5:$B$749=$E65)*('PA Fees Actual'!$A$5:$A$749&gt;=CD$3)*('PA Fees Actual'!$A$5:$A$749&lt;=EOMONTH(CD$3,0))*'PA Fees Actual'!$D$5:$D$749),CD$3&gt;=EOMONTH($X65,-1)+1,$Y65,TRUE,0)</f>
        <v>0</v>
      </c>
      <c r="CE65" s="202" cm="1">
        <f t="array" ref="CE65">_xlfn.IFS(CE$3&lt;$B$2,SUMPRODUCT(('PA Fees Actual'!$B$5:$B$749=$E65)*('PA Fees Actual'!$A$5:$A$749&gt;=CE$3)*('PA Fees Actual'!$A$5:$A$749&lt;=EOMONTH(CE$3,0))*'PA Fees Actual'!$D$5:$D$749),CE$3&gt;=EOMONTH($X65,-1)+1,$Y65,TRUE,0)</f>
        <v>0</v>
      </c>
      <c r="CF65" s="202" cm="1">
        <f t="array" ref="CF65">_xlfn.IFS(CF$3&lt;$B$2,SUMPRODUCT(('PA Fees Actual'!$B$5:$B$749=$E65)*('PA Fees Actual'!$A$5:$A$749&gt;=CF$3)*('PA Fees Actual'!$A$5:$A$749&lt;=EOMONTH(CF$3,0))*'PA Fees Actual'!$D$5:$D$749),CF$3&gt;=EOMONTH($X65,-1)+1,$Y65,TRUE,0)</f>
        <v>0</v>
      </c>
      <c r="CG65" s="202" cm="1">
        <f t="array" ref="CG65">_xlfn.IFS(CG$3&lt;$B$2,SUMPRODUCT(('PA Fees Actual'!$B$5:$B$749=$E65)*('PA Fees Actual'!$A$5:$A$749&gt;=CG$3)*('PA Fees Actual'!$A$5:$A$749&lt;=EOMONTH(CG$3,0))*'PA Fees Actual'!$D$5:$D$749),CG$3&gt;=EOMONTH($X65,-1)+1,$Y65,TRUE,0)</f>
        <v>0</v>
      </c>
      <c r="CI65" s="202" cm="1">
        <f t="array" ref="CI65">_xlfn.IFS(CI$3&lt;=YEAR($B$2),SUMPRODUCT(($E$4:$E$79=$E65)*($Z$2:$CG$2=CI$3)*($Z$2:$CG$2&lt;CJ$3)*$Z$4:$CG$79),CI$3&lt;YEAR($X65),0,CI$3=YEAR($X65),DATEDIF($X65,DATE(CI$3,12,31),"m")*$Y65,AND(CI$3&gt;YEAR($X65),CI$3-YEAR($X65)&lt;20),$Y65*12,CI$3-YEAR($X65)=20,DATEDIF(DATE(YEAR($X65),1,1),$X65,"m")*$Y65,CI$3-YEAR($X65)&gt;20,0)</f>
        <v>0</v>
      </c>
      <c r="CJ65" s="202" cm="1">
        <f t="array" ref="CJ65">_xlfn.IFS(CJ$3&lt;=YEAR($B$2),SUMPRODUCT(($E$4:$E$79=$E65)*($Z$2:$CG$2=CJ$3)*($Z$2:$CG$2&lt;CK$3)*$Z$4:$CG$79),CJ$3&lt;YEAR($X65),0,CJ$3=YEAR($X65),DATEDIF($X65,DATE(CJ$3,12,31),"m")*$Y65,AND(CJ$3&gt;YEAR($X65),CJ$3-YEAR($X65)&lt;20),$Y65*12,CJ$3-YEAR($X65)=20,DATEDIF(DATE(YEAR($X65),1,1),$X65,"m")*$Y65,CJ$3-YEAR($X65)&gt;20,0)</f>
        <v>0</v>
      </c>
      <c r="CK65" s="202" cm="1">
        <f t="array" ref="CK65">_xlfn.IFS(CK$3&lt;=YEAR($B$2),SUMPRODUCT(($E$4:$E$79=$E65)*($Z$2:$CG$2=CK$3)*($Z$2:$CG$2&lt;CL$3)*$Z$4:$CG$79),CK$3&lt;YEAR($X65),0,CK$3=YEAR($X65),DATEDIF($X65,DATE(CK$3,12,31),"m")*$Y65,AND(CK$3&gt;YEAR($X65),CK$3-YEAR($X65)&lt;20),$Y65*12,CK$3-YEAR($X65)=20,DATEDIF(DATE(YEAR($X65),1,1),$X65,"m")*$Y65,CK$3-YEAR($X65)&gt;20,0)</f>
        <v>0</v>
      </c>
      <c r="CL65" s="202" cm="1">
        <f t="array" ref="CL65">_xlfn.IFS(CL$3&lt;=YEAR($B$2),SUMPRODUCT(($E$4:$E$79=$E65)*($Z$2:$CG$2=CL$3)*($Z$2:$CG$2&lt;CM$3)*$Z$4:$CG$79),CL$3&lt;YEAR($X65),0,CL$3=YEAR($X65),DATEDIF($X65,DATE(CL$3,12,31),"m")*$Y65,AND(CL$3&gt;YEAR($X65),CL$3-YEAR($X65)&lt;20),$Y65*12,CL$3-YEAR($X65)=20,DATEDIF(DATE(YEAR($X65),1,1),$X65,"m")*$Y65,CL$3-YEAR($X65)&gt;20,0)</f>
        <v>0</v>
      </c>
      <c r="CM65" s="202" cm="1">
        <f t="array" ref="CM65">_xlfn.IFS(CM$3&lt;=YEAR($B$2),SUMPRODUCT(($E$4:$E$79=$E65)*($Z$2:$CG$2=CM$3)*($Z$2:$CG$2&lt;CN$3)*$Z$4:$CG$79),CM$3&lt;YEAR($X65),0,CM$3=YEAR($X65),DATEDIF($X65,DATE(CM$3,12,31),"m")*$Y65,AND(CM$3&gt;YEAR($X65),CM$3-YEAR($X65)&lt;20),$Y65*12,CM$3-YEAR($X65)=20,DATEDIF(DATE(YEAR($X65),1,1),$X65,"m")*$Y65,CM$3-YEAR($X65)&gt;20,0)</f>
        <v>0</v>
      </c>
      <c r="CN65" s="202" cm="1">
        <f t="array" ref="CN65">_xlfn.IFS(CN$3&lt;=YEAR($B$2),SUMPRODUCT(($E$4:$E$79=$E65)*($Z$2:$CG$2=CN$3)*($Z$2:$CG$2&lt;CO$3)*$Z$4:$CG$79),CN$3&lt;YEAR($X65),0,CN$3=YEAR($X65),DATEDIF($X65,DATE(CN$3,12,31),"m")*$Y65,AND(CN$3&gt;YEAR($X65),CN$3-YEAR($X65)&lt;20),$Y65*12,CN$3-YEAR($X65)=20,DATEDIF(DATE(YEAR($X65),1,1),$X65,"m")*$Y65,CN$3-YEAR($X65)&gt;20,0)</f>
        <v>903.125</v>
      </c>
      <c r="CO65" s="202" cm="1">
        <f t="array" ref="CO65">_xlfn.IFS(CO$3&lt;=YEAR($B$2),SUMPRODUCT(($E$4:$E$79=$E65)*($Z$2:$CG$2=CO$3)*($Z$2:$CG$2&lt;CP$3)*$Z$4:$CG$79),CO$3&lt;YEAR($X65),0,CO$3=YEAR($X65),DATEDIF($X65,DATE(CO$3,12,31),"m")*$Y65,AND(CO$3&gt;YEAR($X65),CO$3-YEAR($X65)&lt;20),$Y65*12,CO$3-YEAR($X65)=20,DATEDIF(DATE(YEAR($X65),1,1),$X65,"m")*$Y65,CO$3-YEAR($X65)&gt;20,0)</f>
        <v>10837.5</v>
      </c>
      <c r="CP65" s="202" cm="1">
        <f t="array" ref="CP65">_xlfn.IFS(CP$3&lt;=YEAR($B$2),SUMPRODUCT(($E$4:$E$79=$E65)*($Z$2:$CG$2=CP$3)*($Z$2:$CG$2&lt;CQ$3)*$Z$4:$CG$79),CP$3&lt;YEAR($X65),0,CP$3=YEAR($X65),DATEDIF($X65,DATE(CP$3,12,31),"m")*$Y65,AND(CP$3&gt;YEAR($X65),CP$3-YEAR($X65)&lt;20),$Y65*12,CP$3-YEAR($X65)=20,DATEDIF(DATE(YEAR($X65),1,1),$X65,"m")*$Y65,CP$3-YEAR($X65)&gt;20,0)</f>
        <v>10837.5</v>
      </c>
      <c r="CQ65" s="202" cm="1">
        <f t="array" ref="CQ65">_xlfn.IFS(CQ$3&lt;=YEAR($B$2),SUMPRODUCT(($E$4:$E$79=$E65)*($Z$2:$CG$2=CQ$3)*($Z$2:$CG$2&lt;CR$3)*$Z$4:$CG$79),CQ$3&lt;YEAR($X65),0,CQ$3=YEAR($X65),DATEDIF($X65,DATE(CQ$3,12,31),"m")*$Y65,AND(CQ$3&gt;YEAR($X65),CQ$3-YEAR($X65)&lt;20),$Y65*12,CQ$3-YEAR($X65)=20,DATEDIF(DATE(YEAR($X65),1,1),$X65,"m")*$Y65,CQ$3-YEAR($X65)&gt;20,0)</f>
        <v>10837.5</v>
      </c>
      <c r="CR65" s="202" cm="1">
        <f t="array" ref="CR65">_xlfn.IFS(CR$3&lt;=YEAR($B$2),SUMPRODUCT(($E$4:$E$79=$E65)*($Z$2:$CG$2=CR$3)*($Z$2:$CG$2&lt;CS$3)*$Z$4:$CG$79),CR$3&lt;YEAR($X65),0,CR$3=YEAR($X65),DATEDIF($X65,DATE(CR$3,12,31),"m")*$Y65,AND(CR$3&gt;YEAR($X65),CR$3-YEAR($X65)&lt;20),$Y65*12,CR$3-YEAR($X65)=20,DATEDIF(DATE(YEAR($X65),1,1),$X65,"m")*$Y65,CR$3-YEAR($X65)&gt;20,0)</f>
        <v>10837.5</v>
      </c>
      <c r="CS65" s="202" cm="1">
        <f t="array" ref="CS65">_xlfn.IFS(CS$3&lt;=YEAR($B$2),SUMPRODUCT(($E$4:$E$79=$E65)*($Z$2:$CG$2=CS$3)*($Z$2:$CG$2&lt;CT$3)*$Z$4:$CG$79),CS$3&lt;YEAR($X65),0,CS$3=YEAR($X65),DATEDIF($X65,DATE(CS$3,12,31),"m")*$Y65,AND(CS$3&gt;YEAR($X65),CS$3-YEAR($X65)&lt;20),$Y65*12,CS$3-YEAR($X65)=20,DATEDIF(DATE(YEAR($X65),1,1),$X65,"m")*$Y65,CS$3-YEAR($X65)&gt;20,0)</f>
        <v>10837.5</v>
      </c>
      <c r="CT65" s="202" cm="1">
        <f t="array" ref="CT65">_xlfn.IFS(CT$3&lt;=YEAR($B$2),SUMPRODUCT(($E$4:$E$79=$E65)*($Z$2:$CG$2=CT$3)*($Z$2:$CG$2&lt;CU$3)*$Z$4:$CG$79),CT$3&lt;YEAR($X65),0,CT$3=YEAR($X65),DATEDIF($X65,DATE(CT$3,12,31),"m")*$Y65,AND(CT$3&gt;YEAR($X65),CT$3-YEAR($X65)&lt;20),$Y65*12,CT$3-YEAR($X65)=20,DATEDIF(DATE(YEAR($X65),1,1),$X65,"m")*$Y65,CT$3-YEAR($X65)&gt;20,0)</f>
        <v>10837.5</v>
      </c>
      <c r="CU65" s="202" cm="1">
        <f t="array" ref="CU65">_xlfn.IFS(CU$3&lt;=YEAR($B$2),SUMPRODUCT(($E$4:$E$79=$E65)*($Z$2:$CG$2=CU$3)*($Z$2:$CG$2&lt;CV$3)*$Z$4:$CG$79),CU$3&lt;YEAR($X65),0,CU$3=YEAR($X65),DATEDIF($X65,DATE(CU$3,12,31),"m")*$Y65,AND(CU$3&gt;YEAR($X65),CU$3-YEAR($X65)&lt;20),$Y65*12,CU$3-YEAR($X65)=20,DATEDIF(DATE(YEAR($X65),1,1),$X65,"m")*$Y65,CU$3-YEAR($X65)&gt;20,0)</f>
        <v>10837.5</v>
      </c>
      <c r="CV65" s="202" cm="1">
        <f t="array" ref="CV65">_xlfn.IFS(CV$3&lt;=YEAR($B$2),SUMPRODUCT(($E$4:$E$79=$E65)*($Z$2:$CG$2=CV$3)*($Z$2:$CG$2&lt;CW$3)*$Z$4:$CG$79),CV$3&lt;YEAR($X65),0,CV$3=YEAR($X65),DATEDIF($X65,DATE(CV$3,12,31),"m")*$Y65,AND(CV$3&gt;YEAR($X65),CV$3-YEAR($X65)&lt;20),$Y65*12,CV$3-YEAR($X65)=20,DATEDIF(DATE(YEAR($X65),1,1),$X65,"m")*$Y65,CV$3-YEAR($X65)&gt;20,0)</f>
        <v>10837.5</v>
      </c>
      <c r="CW65" s="202" cm="1">
        <f t="array" ref="CW65">_xlfn.IFS(CW$3&lt;=YEAR($B$2),SUMPRODUCT(($E$4:$E$79=$E65)*($Z$2:$CG$2=CW$3)*($Z$2:$CG$2&lt;CX$3)*$Z$4:$CG$79),CW$3&lt;YEAR($X65),0,CW$3=YEAR($X65),DATEDIF($X65,DATE(CW$3,12,31),"m")*$Y65,AND(CW$3&gt;YEAR($X65),CW$3-YEAR($X65)&lt;20),$Y65*12,CW$3-YEAR($X65)=20,DATEDIF(DATE(YEAR($X65),1,1),$X65,"m")*$Y65,CW$3-YEAR($X65)&gt;20,0)</f>
        <v>10837.5</v>
      </c>
      <c r="CX65" s="202" cm="1">
        <f t="array" ref="CX65">_xlfn.IFS(CX$3&lt;=YEAR($B$2),SUMPRODUCT(($E$4:$E$79=$E65)*($Z$2:$CG$2=CX$3)*($Z$2:$CG$2&lt;CY$3)*$Z$4:$CG$79),CX$3&lt;YEAR($X65),0,CX$3=YEAR($X65),DATEDIF($X65,DATE(CX$3,12,31),"m")*$Y65,AND(CX$3&gt;YEAR($X65),CX$3-YEAR($X65)&lt;20),$Y65*12,CX$3-YEAR($X65)=20,DATEDIF(DATE(YEAR($X65),1,1),$X65,"m")*$Y65,CX$3-YEAR($X65)&gt;20,0)</f>
        <v>10837.5</v>
      </c>
      <c r="CY65" s="202" cm="1">
        <f t="array" ref="CY65">_xlfn.IFS(CY$3&lt;=YEAR($B$2),SUMPRODUCT(($E$4:$E$79=$E65)*($Z$2:$CG$2=CY$3)*($Z$2:$CG$2&lt;CZ$3)*$Z$4:$CG$79),CY$3&lt;YEAR($X65),0,CY$3=YEAR($X65),DATEDIF($X65,DATE(CY$3,12,31),"m")*$Y65,AND(CY$3&gt;YEAR($X65),CY$3-YEAR($X65)&lt;20),$Y65*12,CY$3-YEAR($X65)=20,DATEDIF(DATE(YEAR($X65),1,1),$X65,"m")*$Y65,CY$3-YEAR($X65)&gt;20,0)</f>
        <v>10837.5</v>
      </c>
      <c r="CZ65" s="202" cm="1">
        <f t="array" ref="CZ65">_xlfn.IFS(CZ$3&lt;=YEAR($B$2),SUMPRODUCT(($E$4:$E$79=$E65)*($Z$2:$CG$2=CZ$3)*($Z$2:$CG$2&lt;DA$3)*$Z$4:$CG$79),CZ$3&lt;YEAR($X65),0,CZ$3=YEAR($X65),DATEDIF($X65,DATE(CZ$3,12,31),"m")*$Y65,AND(CZ$3&gt;YEAR($X65),CZ$3-YEAR($X65)&lt;20),$Y65*12,CZ$3-YEAR($X65)=20,DATEDIF(DATE(YEAR($X65),1,1),$X65,"m")*$Y65,CZ$3-YEAR($X65)&gt;20,0)</f>
        <v>10837.5</v>
      </c>
      <c r="DA65" s="202" cm="1">
        <f t="array" ref="DA65">_xlfn.IFS(DA$3&lt;=YEAR($B$2),SUMPRODUCT(($E$4:$E$79=$E65)*($Z$2:$CG$2=DA$3)*($Z$2:$CG$2&lt;DB$3)*$Z$4:$CG$79),DA$3&lt;YEAR($X65),0,DA$3=YEAR($X65),DATEDIF($X65,DATE(DA$3,12,31),"m")*$Y65,AND(DA$3&gt;YEAR($X65),DA$3-YEAR($X65)&lt;20),$Y65*12,DA$3-YEAR($X65)=20,DATEDIF(DATE(YEAR($X65),1,1),$X65,"m")*$Y65,DA$3-YEAR($X65)&gt;20,0)</f>
        <v>10837.5</v>
      </c>
      <c r="DB65" s="202" cm="1">
        <f t="array" ref="DB65">_xlfn.IFS(DB$3&lt;=YEAR($B$2),SUMPRODUCT(($E$4:$E$79=$E65)*($Z$2:$CG$2=DB$3)*($Z$2:$CG$2&lt;DC$3)*$Z$4:$CG$79),DB$3&lt;YEAR($X65),0,DB$3=YEAR($X65),DATEDIF($X65,DATE(DB$3,12,31),"m")*$Y65,AND(DB$3&gt;YEAR($X65),DB$3-YEAR($X65)&lt;20),$Y65*12,DB$3-YEAR($X65)=20,DATEDIF(DATE(YEAR($X65),1,1),$X65,"m")*$Y65,DB$3-YEAR($X65)&gt;20,0)</f>
        <v>10837.5</v>
      </c>
      <c r="DC65" s="202" cm="1">
        <f t="array" ref="DC65">_xlfn.IFS(DC$3&lt;=YEAR($B$2),SUMPRODUCT(($E$4:$E$79=$E65)*($Z$2:$CG$2=DC$3)*($Z$2:$CG$2&lt;DD$3)*$Z$4:$CG$79),DC$3&lt;YEAR($X65),0,DC$3=YEAR($X65),DATEDIF($X65,DATE(DC$3,12,31),"m")*$Y65,AND(DC$3&gt;YEAR($X65),DC$3-YEAR($X65)&lt;20),$Y65*12,DC$3-YEAR($X65)=20,DATEDIF(DATE(YEAR($X65),1,1),$X65,"m")*$Y65,DC$3-YEAR($X65)&gt;20,0)</f>
        <v>10837.5</v>
      </c>
      <c r="DD65" s="202" cm="1">
        <f t="array" ref="DD65">_xlfn.IFS(DD$3&lt;=YEAR($B$2),SUMPRODUCT(($E$4:$E$79=$E65)*($Z$2:$CG$2=DD$3)*($Z$2:$CG$2&lt;DE$3)*$Z$4:$CG$79),DD$3&lt;YEAR($X65),0,DD$3=YEAR($X65),DATEDIF($X65,DATE(DD$3,12,31),"m")*$Y65,AND(DD$3&gt;YEAR($X65),DD$3-YEAR($X65)&lt;20),$Y65*12,DD$3-YEAR($X65)=20,DATEDIF(DATE(YEAR($X65),1,1),$X65,"m")*$Y65,DD$3-YEAR($X65)&gt;20,0)</f>
        <v>10837.5</v>
      </c>
      <c r="DE65" s="202" cm="1">
        <f t="array" ref="DE65">_xlfn.IFS(DE$3&lt;=YEAR($B$2),SUMPRODUCT(($E$4:$E$79=$E65)*($Z$2:$CG$2=DE$3)*($Z$2:$CG$2&lt;DF$3)*$Z$4:$CG$79),DE$3&lt;YEAR($X65),0,DE$3=YEAR($X65),DATEDIF($X65,DATE(DE$3,12,31),"m")*$Y65,AND(DE$3&gt;YEAR($X65),DE$3-YEAR($X65)&lt;20),$Y65*12,DE$3-YEAR($X65)=20,DATEDIF(DATE(YEAR($X65),1,1),$X65,"m")*$Y65,DE$3-YEAR($X65)&gt;20,0)</f>
        <v>10837.5</v>
      </c>
      <c r="DF65" s="202" cm="1">
        <f t="array" ref="DF65">_xlfn.IFS(DF$3&lt;=YEAR($B$2),SUMPRODUCT(($E$4:$E$79=$E65)*($Z$2:$CG$2=DF$3)*($Z$2:$CG$2&lt;DG$3)*$Z$4:$CG$79),DF$3&lt;YEAR($X65),0,DF$3=YEAR($X65),DATEDIF($X65,DATE(DF$3,12,31),"m")*$Y65,AND(DF$3&gt;YEAR($X65),DF$3-YEAR($X65)&lt;20),$Y65*12,DF$3-YEAR($X65)=20,DATEDIF(DATE(YEAR($X65),1,1),$X65,"m")*$Y65,DF$3-YEAR($X65)&gt;20,0)</f>
        <v>10837.5</v>
      </c>
      <c r="DG65" s="202" cm="1">
        <f t="array" ref="DG65">_xlfn.IFS(DG$3&lt;=YEAR($B$2),SUMPRODUCT(($E$4:$E$79=$E65)*($Z$2:$CG$2=DG$3)*($Z$2:$CG$2&lt;DH$3)*$Z$4:$CG$79),DG$3&lt;YEAR($X65),0,DG$3=YEAR($X65),DATEDIF($X65,DATE(DG$3,12,31),"m")*$Y65,AND(DG$3&gt;YEAR($X65),DG$3-YEAR($X65)&lt;20),$Y65*12,DG$3-YEAR($X65)=20,DATEDIF(DATE(YEAR($X65),1,1),$X65,"m")*$Y65,DG$3-YEAR($X65)&gt;20,0)</f>
        <v>10837.5</v>
      </c>
      <c r="DH65" s="202" cm="1">
        <f t="array" ref="DH65">_xlfn.IFS(DH$3&lt;=YEAR($B$2),SUMPRODUCT(($E$4:$E$79=$E65)*($Z$2:$CG$2=DH$3)*($Z$2:$CG$2&lt;DI$3)*$Z$4:$CG$79),DH$3&lt;YEAR($X65),0,DH$3=YEAR($X65),DATEDIF($X65,DATE(DH$3,12,31),"m")*$Y65,AND(DH$3&gt;YEAR($X65),DH$3-YEAR($X65)&lt;20),$Y65*12,DH$3-YEAR($X65)=20,DATEDIF(DATE(YEAR($X65),1,1),$X65,"m")*$Y65,DH$3-YEAR($X65)&gt;20,0)</f>
        <v>9031.25</v>
      </c>
      <c r="DI65" s="202" cm="1">
        <f t="array" ref="DI65">_xlfn.IFS(DI$3&lt;=YEAR($B$2),SUMPRODUCT(($E$4:$E$79=$E65)*($Z$2:$CG$2=DI$3)*($Z$2:$CG$2&lt;DJ$3)*$Z$4:$CG$79),DI$3&lt;YEAR($X65),0,DI$3=YEAR($X65),DATEDIF($X65,DATE(DI$3,12,31),"m")*$Y65,AND(DI$3&gt;YEAR($X65),DI$3-YEAR($X65)&lt;20),$Y65*12,DI$3-YEAR($X65)=20,DATEDIF(DATE(YEAR($X65),1,1),$X65,"m")*$Y65,DI$3-YEAR($X65)&gt;20,0)</f>
        <v>0</v>
      </c>
      <c r="DJ65" s="202" cm="1">
        <f t="array" ref="DJ65">_xlfn.IFS(DJ$3&lt;=YEAR($B$2),SUMPRODUCT(($E$4:$E$79=$E65)*($Z$2:$CG$2=DJ$3)*($Z$2:$CG$2&lt;DK$3)*$Z$4:$CG$79),DJ$3&lt;YEAR($X65),0,DJ$3=YEAR($X65),DATEDIF($X65,DATE(DJ$3,12,31),"m")*$Y65,AND(DJ$3&gt;YEAR($X65),DJ$3-YEAR($X65)&lt;20),$Y65*12,DJ$3-YEAR($X65)=20,DATEDIF(DATE(YEAR($X65),1,1),$X65,"m")*$Y65,DJ$3-YEAR($X65)&gt;20,0)</f>
        <v>0</v>
      </c>
      <c r="DK65" s="202" cm="1">
        <f t="array" ref="DK65">_xlfn.IFS(DK$3&lt;=YEAR($B$2),SUMPRODUCT(($E$4:$E$79=$E65)*($Z$2:$CG$2=DK$3)*($Z$2:$CG$2&lt;DL$3)*$Z$4:$CG$79),DK$3&lt;YEAR($X65),0,DK$3=YEAR($X65),DATEDIF($X65,DATE(DK$3,12,31),"m")*$Y65,AND(DK$3&gt;YEAR($X65),DK$3-YEAR($X65)&lt;20),$Y65*12,DK$3-YEAR($X65)=20,DATEDIF(DATE(YEAR($X65),1,1),$X65,"m")*$Y65,DK$3-YEAR($X65)&gt;20,0)</f>
        <v>0</v>
      </c>
      <c r="DL65" s="202" cm="1">
        <f t="array" ref="DL65">_xlfn.IFS(DL$3&lt;=YEAR($B$2),SUMPRODUCT(($E$4:$E$79=$E65)*($Z$2:$CG$2=DL$3)*($Z$2:$CG$2&lt;DM$3)*$Z$4:$CG$79),DL$3&lt;YEAR($X65),0,DL$3=YEAR($X65),DATEDIF($X65,DATE(DL$3,12,31),"m")*$Y65,AND(DL$3&gt;YEAR($X65),DL$3-YEAR($X65)&lt;20),$Y65*12,DL$3-YEAR($X65)=20,DATEDIF(DATE(YEAR($X65),1,1),$X65,"m")*$Y65,DL$3-YEAR($X65)&gt;20,0)</f>
        <v>0</v>
      </c>
    </row>
    <row r="66" spans="1:116">
      <c r="A66" s="155" t="str" cm="1">
        <f t="array" ref="A66">INDEX('Monthly Report July 2025'!C:C,MATCH(E66,'Monthly Report July 2025'!E:E,0),0)</f>
        <v xml:space="preserve">CSQ0001 </v>
      </c>
      <c r="B66" s="155" t="str" cm="1">
        <f t="array" ref="B66">_xlfn.IFS(LEFT(E66,3)="PGE","PGE",LEFT(E66,2)="PP","PAC",TRUE,"IP")</f>
        <v>PGE</v>
      </c>
      <c r="C66" s="155" t="str">
        <f>IF(ISNA(MATCH(E66,'Monthly Report July 2025'!E:E,0)),"Missing","Present")</f>
        <v>Present</v>
      </c>
      <c r="D66" s="155" t="str">
        <f>IF(ISNA(MATCH(E66,'Project Operational Timelines'!C:C,0))=TRUE,"Missing","Present")</f>
        <v>Present</v>
      </c>
      <c r="E66" s="155" t="s">
        <v>174</v>
      </c>
      <c r="F66" s="155" t="str" cm="1">
        <f t="array" ref="F66">INDEX('Monthly Report July 2025'!F:F,MATCH(E66,'Monthly Report July 2025'!E:E,),0)</f>
        <v>Sheridan Solar</v>
      </c>
      <c r="G66" s="155" t="str" cm="1">
        <f t="array" ref="G66">_xlfn.IFS(INDEX('Monthly Report July 2025'!O:O,MATCH(E66,'Monthly Report July 2025'!E:E,0),0)="Operational","Operational",INDEX('Monthly Report July 2025'!O:O,MATCH(E66,'Monthly Report July 2025'!E:E,0),0)="Certified","Certified",TRUE,"Pre-Certified")</f>
        <v>Operational</v>
      </c>
      <c r="H66" s="155" t="str" cm="1">
        <f t="array" ref="H66">INDEX('Monthly Report July 2025'!H:H,MATCH($E66,'Monthly Report July 2025'!$E:$E,0),0)</f>
        <v>Pacific Northwest Solar LLC</v>
      </c>
      <c r="I66" s="155" t="str" cm="1">
        <f t="array" ref="I66">INDEX('Monthly Report July 2025'!I:I,MATCH($E66,'Monthly Report July 2025'!$E:$E,0),0)</f>
        <v>SolRiver Capital</v>
      </c>
      <c r="J66" s="174" cm="1">
        <f t="array" ref="J66">INDEX('Monthly Report July 2025'!J:J,MATCH($E66,'Monthly Report July 2025'!$E:$E,0),0)</f>
        <v>2</v>
      </c>
      <c r="K66" s="174" t="str" cm="1">
        <f t="array" ref="K66">INDEX('Monthly Report July 2025'!K:K,MATCH($E66,'Monthly Report July 2025'!$E:$E,0),0)</f>
        <v>No</v>
      </c>
      <c r="L66" s="174" t="b" cm="1">
        <f t="array" ref="L66">INDEX('Monthly Report July 2025'!L:L,MATCH(E66,'Monthly Report July 2025'!E:E,0),0)=M66</f>
        <v>1</v>
      </c>
      <c r="M66" s="273" cm="1">
        <f t="array" ref="M66">INDEX('Monthly Report July 2025'!L:L,MATCH($E66,'Monthly Report July 2025'!$E:$E,0),0)</f>
        <v>3000</v>
      </c>
      <c r="N66" s="175" cm="1">
        <f t="array" ref="N66">INDEX('Monthly Report July 2025'!M:M,MATCH($E66,'Monthly Report July 2025'!$E:$E,0),0)</f>
        <v>44706</v>
      </c>
      <c r="O66" s="175" t="str" cm="1">
        <f t="array" ref="O66">_xlfn.IFS(G66="Operational","Operational",G66="Certified","Certified",TRUE,INDEX('Monthly Report July 2025'!O:O,MATCH(E66,'Monthly Report July 2025'!E:E,0),0))</f>
        <v>Operational</v>
      </c>
      <c r="P66" s="175" t="b" cm="1">
        <f t="array" ref="P66">_xlfn.IFS(G66="Operational",O66="Operational",G66="Certified",O66="Certified",TRUE,G66="Pre-Certified")</f>
        <v>1</v>
      </c>
      <c r="Q66" s="175" cm="1">
        <f t="array" ref="Q66">IF(O66="Operational",INDEX('Monthly Report July 2025'!R:R,MATCH(E66,'Monthly Report July 2025'!E:E,0),0),"")</f>
        <v>45474</v>
      </c>
      <c r="R66" s="175" cm="1">
        <f t="array" ref="R66">INDEX('Monthly Report July 2025'!P:P,MATCH(E66,'Monthly Report July 2025'!E:E,0),0)</f>
        <v>45468</v>
      </c>
      <c r="S66" s="175" t="b">
        <f t="shared" si="28"/>
        <v>1</v>
      </c>
      <c r="T66" s="175" cm="1">
        <f t="array" ref="T66">INDEX('Monthly Report July 2025'!U:U,MATCH(E66,'Monthly Report July 2025'!E:E,0),0)</f>
        <v>45290</v>
      </c>
      <c r="U66" s="175" t="str">
        <f t="shared" si="6"/>
        <v>IGNORE</v>
      </c>
      <c r="V66" s="156">
        <f t="shared" si="29"/>
        <v>45468</v>
      </c>
      <c r="W66" s="156" cm="1">
        <f t="array" ref="W66">_xlfn.IFS(U66=TRUE,EDATE(O66,6),U66=FALSE,T66,O66="Operational",Q66,AND(O66="Certified",EDATE(R66,6)&gt;T66),EDATE(R66,6),TRUE,T66)</f>
        <v>45474</v>
      </c>
      <c r="X66" s="156">
        <f t="shared" ref="X66:X79" si="33">IFERROR(EDATE(W66,2),EDATE(O66,8))</f>
        <v>45536</v>
      </c>
      <c r="Y66" s="157">
        <f t="shared" si="31"/>
        <v>2167.5</v>
      </c>
      <c r="Z66" s="202" cm="1">
        <f t="array" ref="Z66">_xlfn.IFS(Z$3&lt;$B$2,SUMPRODUCT(('PA Fees Actual'!$B$5:$B$882=$E66)*('PA Fees Actual'!$A$5:$A$882&gt;=Z$3)*('PA Fees Actual'!$A$5:$A$882&lt;=EOMONTH(Z$3,0))*'PA Fees Actual'!$D$5:$D$882),Z$3&gt;=EOMONTH($X66,-1)+1,$Y66,TRUE,0)</f>
        <v>0</v>
      </c>
      <c r="AA66" s="202" cm="1">
        <f t="array" ref="AA66">_xlfn.IFS(AA$3&lt;$B$2,SUMPRODUCT(('PA Fees Actual'!$B$5:$B$882=$E66)*('PA Fees Actual'!$A$5:$A$882&gt;=AA$3)*('PA Fees Actual'!$A$5:$A$882&lt;=EOMONTH(AA$3,0))*'PA Fees Actual'!$D$5:$D$882),AA$3&gt;=EOMONTH($X66,-1)+1,$Y66,TRUE,0)</f>
        <v>0</v>
      </c>
      <c r="AB66" s="202" cm="1">
        <f t="array" ref="AB66">_xlfn.IFS(AB$3&lt;$B$2,SUMPRODUCT(('PA Fees Actual'!$B$5:$B$882=$E66)*('PA Fees Actual'!$A$5:$A$882&gt;=AB$3)*('PA Fees Actual'!$A$5:$A$882&lt;=EOMONTH(AB$3,0))*'PA Fees Actual'!$D$5:$D$882),AB$3&gt;=EOMONTH($X66,-1)+1,$Y66,TRUE,0)</f>
        <v>0</v>
      </c>
      <c r="AC66" s="202" cm="1">
        <f t="array" ref="AC66">_xlfn.IFS(AC$3&lt;$B$2,SUMPRODUCT(('PA Fees Actual'!$B$5:$B$882=$E66)*('PA Fees Actual'!$A$5:$A$882&gt;=AC$3)*('PA Fees Actual'!$A$5:$A$882&lt;=EOMONTH(AC$3,0))*'PA Fees Actual'!$D$5:$D$882),AC$3&gt;=EOMONTH($X66,-1)+1,$Y66,TRUE,0)</f>
        <v>0</v>
      </c>
      <c r="AD66" s="202" cm="1">
        <f t="array" ref="AD66">_xlfn.IFS(AD$3&lt;$B$2,SUMPRODUCT(('PA Fees Actual'!$B$5:$B$882=$E66)*('PA Fees Actual'!$A$5:$A$882&gt;=AD$3)*('PA Fees Actual'!$A$5:$A$882&lt;=EOMONTH(AD$3,0))*'PA Fees Actual'!$D$5:$D$882),AD$3&gt;=EOMONTH($X66,-1)+1,$Y66,TRUE,0)</f>
        <v>0</v>
      </c>
      <c r="AE66" s="202" cm="1">
        <f t="array" ref="AE66">_xlfn.IFS(AE$3&lt;$B$2,SUMPRODUCT(('PA Fees Actual'!$B$5:$B$882=$E66)*('PA Fees Actual'!$A$5:$A$882&gt;=AE$3)*('PA Fees Actual'!$A$5:$A$882&lt;=EOMONTH(AE$3,0))*'PA Fees Actual'!$D$5:$D$882),AE$3&gt;=EOMONTH($X66,-1)+1,$Y66,TRUE,0)</f>
        <v>0</v>
      </c>
      <c r="AF66" s="202" cm="1">
        <f t="array" ref="AF66">_xlfn.IFS(AF$3&lt;$B$2,SUMPRODUCT(('PA Fees Actual'!$B$5:$B$882=$E66)*('PA Fees Actual'!$A$5:$A$882&gt;=AF$3)*('PA Fees Actual'!$A$5:$A$882&lt;=EOMONTH(AF$3,0))*'PA Fees Actual'!$D$5:$D$882),AF$3&gt;=EOMONTH($X66,-1)+1,$Y66,TRUE,0)</f>
        <v>0</v>
      </c>
      <c r="AG66" s="202" cm="1">
        <f t="array" ref="AG66">_xlfn.IFS(AG$3&lt;$B$2,SUMPRODUCT(('PA Fees Actual'!$B$5:$B$882=$E66)*('PA Fees Actual'!$A$5:$A$882&gt;=AG$3)*('PA Fees Actual'!$A$5:$A$882&lt;=EOMONTH(AG$3,0))*'PA Fees Actual'!$D$5:$D$882),AG$3&gt;=EOMONTH($X66,-1)+1,$Y66,TRUE,0)</f>
        <v>0</v>
      </c>
      <c r="AH66" s="202" cm="1">
        <f t="array" ref="AH66">_xlfn.IFS(AH$3&lt;$B$2,SUMPRODUCT(('PA Fees Actual'!$B$5:$B$882=$E66)*('PA Fees Actual'!$A$5:$A$882&gt;=AH$3)*('PA Fees Actual'!$A$5:$A$882&lt;=EOMONTH(AH$3,0))*'PA Fees Actual'!$D$5:$D$882),AH$3&gt;=EOMONTH($X66,-1)+1,$Y66,TRUE,0)</f>
        <v>0</v>
      </c>
      <c r="AI66" s="202" cm="1">
        <f t="array" ref="AI66">_xlfn.IFS(AI$3&lt;$B$2,SUMPRODUCT(('PA Fees Actual'!$B$5:$B$882=$E66)*('PA Fees Actual'!$A$5:$A$882&gt;=AI$3)*('PA Fees Actual'!$A$5:$A$882&lt;=EOMONTH(AI$3,0))*'PA Fees Actual'!$D$5:$D$882),AI$3&gt;=EOMONTH($X66,-1)+1,$Y66,TRUE,0)</f>
        <v>0</v>
      </c>
      <c r="AJ66" s="202" cm="1">
        <f t="array" ref="AJ66">_xlfn.IFS(AJ$3&lt;$B$2,SUMPRODUCT(('PA Fees Actual'!$B$5:$B$882=$E66)*('PA Fees Actual'!$A$5:$A$882&gt;=AJ$3)*('PA Fees Actual'!$A$5:$A$882&lt;=EOMONTH(AJ$3,0))*'PA Fees Actual'!$D$5:$D$882),AJ$3&gt;=EOMONTH($X66,-1)+1,$Y66,TRUE,0)</f>
        <v>0</v>
      </c>
      <c r="AK66" s="202" cm="1">
        <f t="array" ref="AK66">_xlfn.IFS(AK$3&lt;$B$2,SUMPRODUCT(('PA Fees Actual'!$B$5:$B$882=$E66)*('PA Fees Actual'!$A$5:$A$882&gt;=AK$3)*('PA Fees Actual'!$A$5:$A$882&lt;=EOMONTH(AK$3,0))*'PA Fees Actual'!$D$5:$D$882),AK$3&gt;=EOMONTH($X66,-1)+1,$Y66,TRUE,0)</f>
        <v>0</v>
      </c>
      <c r="AL66" s="202" cm="1">
        <f t="array" ref="AL66">_xlfn.IFS(AL$3&lt;$B$2,SUMPRODUCT(('PA Fees Actual'!$B$5:$B$882=$E66)*('PA Fees Actual'!$A$5:$A$882&gt;=AL$3)*('PA Fees Actual'!$A$5:$A$882&lt;=EOMONTH(AL$3,0))*'PA Fees Actual'!$D$5:$D$882),AL$3&gt;=EOMONTH($X66,-1)+1,$Y66,TRUE,0)</f>
        <v>0</v>
      </c>
      <c r="AM66" s="202" cm="1">
        <f t="array" ref="AM66">_xlfn.IFS(AM$3&lt;$B$2,SUMPRODUCT(('PA Fees Actual'!$B$5:$B$882=$E66)*('PA Fees Actual'!$A$5:$A$882&gt;=AM$3)*('PA Fees Actual'!$A$5:$A$882&lt;=EOMONTH(AM$3,0))*'PA Fees Actual'!$D$5:$D$882),AM$3&gt;=EOMONTH($X66,-1)+1,$Y66,TRUE,0)</f>
        <v>0</v>
      </c>
      <c r="AN66" s="202" cm="1">
        <f t="array" ref="AN66">_xlfn.IFS(AN$3&lt;$B$2,SUMPRODUCT(('PA Fees Actual'!$B$5:$B$882=$E66)*('PA Fees Actual'!$A$5:$A$882&gt;=AN$3)*('PA Fees Actual'!$A$5:$A$882&lt;=EOMONTH(AN$3,0))*'PA Fees Actual'!$D$5:$D$882),AN$3&gt;=EOMONTH($X66,-1)+1,$Y66,TRUE,0)</f>
        <v>0</v>
      </c>
      <c r="AO66" s="202" cm="1">
        <f t="array" ref="AO66">_xlfn.IFS(AO$3&lt;$B$2,SUMPRODUCT(('PA Fees Actual'!$B$5:$B$882=$E66)*('PA Fees Actual'!$A$5:$A$882&gt;=AO$3)*('PA Fees Actual'!$A$5:$A$882&lt;=EOMONTH(AO$3,0))*'PA Fees Actual'!$D$5:$D$882),AO$3&gt;=EOMONTH($X66,-1)+1,$Y66,TRUE,0)</f>
        <v>0</v>
      </c>
      <c r="AP66" s="202" cm="1">
        <f t="array" ref="AP66">_xlfn.IFS(AP$3&lt;$B$2,SUMPRODUCT(('PA Fees Actual'!$B$5:$B$882=$E66)*('PA Fees Actual'!$A$5:$A$882&gt;=AP$3)*('PA Fees Actual'!$A$5:$A$882&lt;=EOMONTH(AP$3,0))*'PA Fees Actual'!$D$5:$D$882),AP$3&gt;=EOMONTH($X66,-1)+1,$Y66,TRUE,0)</f>
        <v>0</v>
      </c>
      <c r="AQ66" s="202" cm="1">
        <f t="array" ref="AQ66">_xlfn.IFS(AQ$3&lt;$B$2,SUMPRODUCT(('PA Fees Actual'!$B$5:$B$882=$E66)*('PA Fees Actual'!$A$5:$A$882&gt;=AQ$3)*('PA Fees Actual'!$A$5:$A$882&lt;=EOMONTH(AQ$3,0))*'PA Fees Actual'!$D$5:$D$882),AQ$3&gt;=EOMONTH($X66,-1)+1,$Y66,TRUE,0)</f>
        <v>0</v>
      </c>
      <c r="AR66" s="202" cm="1">
        <f t="array" ref="AR66">_xlfn.IFS(AR$3&lt;$B$2,SUMPRODUCT(('PA Fees Actual'!$B$5:$B$882=$E66)*('PA Fees Actual'!$A$5:$A$882&gt;=AR$3)*('PA Fees Actual'!$A$5:$A$882&lt;=EOMONTH(AR$3,0))*'PA Fees Actual'!$D$5:$D$882),AR$3&gt;=EOMONTH($X66,-1)+1,$Y66,TRUE,0)</f>
        <v>0</v>
      </c>
      <c r="AS66" s="202" cm="1">
        <f t="array" ref="AS66">_xlfn.IFS(AS$3&lt;$B$2,SUMPRODUCT(('PA Fees Actual'!$B$5:$B$882=$E66)*('PA Fees Actual'!$A$5:$A$882&gt;=AS$3)*('PA Fees Actual'!$A$5:$A$882&lt;=EOMONTH(AS$3,0))*'PA Fees Actual'!$D$5:$D$882),AS$3&gt;=EOMONTH($X66,-1)+1,$Y66,TRUE,0)</f>
        <v>0</v>
      </c>
      <c r="AT66" s="202" cm="1">
        <f t="array" ref="AT66">_xlfn.IFS(AT$3&lt;$B$2,SUMPRODUCT(('PA Fees Actual'!$B$5:$B$882=$E66)*('PA Fees Actual'!$A$5:$A$882&gt;=AT$3)*('PA Fees Actual'!$A$5:$A$882&lt;=EOMONTH(AT$3,0))*'PA Fees Actual'!$D$5:$D$882),AT$3&gt;=EOMONTH($X66,-1)+1,$Y66,TRUE,0)</f>
        <v>0</v>
      </c>
      <c r="AU66" s="202" cm="1">
        <f t="array" ref="AU66">_xlfn.IFS(AU$3&lt;$B$2,SUMPRODUCT(('PA Fees Actual'!$B$5:$B$882=$E66)*('PA Fees Actual'!$A$5:$A$882&gt;=AU$3)*('PA Fees Actual'!$A$5:$A$882&lt;=EOMONTH(AU$3,0))*'PA Fees Actual'!$D$5:$D$882),AU$3&gt;=EOMONTH($X66,-1)+1,$Y66,TRUE,0)</f>
        <v>0</v>
      </c>
      <c r="AV66" s="202" cm="1">
        <f t="array" ref="AV66">_xlfn.IFS(AV$3&lt;$B$2,SUMPRODUCT(('PA Fees Actual'!$B$5:$B$882=$E66)*('PA Fees Actual'!$A$5:$A$882&gt;=AV$3)*('PA Fees Actual'!$A$5:$A$882&lt;=EOMONTH(AV$3,0))*'PA Fees Actual'!$D$5:$D$882),AV$3&gt;=EOMONTH($X66,-1)+1,$Y66,TRUE,0)</f>
        <v>0</v>
      </c>
      <c r="AW66" s="202" cm="1">
        <f t="array" ref="AW66">_xlfn.IFS(AW$3&lt;$B$2,SUMPRODUCT(('PA Fees Actual'!$B$5:$B$882=$E66)*('PA Fees Actual'!$A$5:$A$882&gt;=AW$3)*('PA Fees Actual'!$A$5:$A$882&lt;=EOMONTH(AW$3,0))*'PA Fees Actual'!$D$5:$D$882),AW$3&gt;=EOMONTH($X66,-1)+1,$Y66,TRUE,0)</f>
        <v>0</v>
      </c>
      <c r="AX66" s="202" cm="1">
        <f t="array" ref="AX66">_xlfn.IFS(AX$3&lt;$B$2,SUMPRODUCT(('PA Fees Actual'!$B$5:$B$882=$E66)*('PA Fees Actual'!$A$5:$A$882&gt;=AX$3)*('PA Fees Actual'!$A$5:$A$882&lt;=EOMONTH(AX$3,0))*'PA Fees Actual'!$D$5:$D$882),AX$3&gt;=EOMONTH($X66,-1)+1,$Y66,TRUE,0)</f>
        <v>0</v>
      </c>
      <c r="AY66" s="202" cm="1">
        <f t="array" ref="AY66">_xlfn.IFS(AY$3&lt;$B$2,SUMPRODUCT(('PA Fees Actual'!$B$5:$B$882=$E66)*('PA Fees Actual'!$A$5:$A$882&gt;=AY$3)*('PA Fees Actual'!$A$5:$A$882&lt;=EOMONTH(AY$3,0))*'PA Fees Actual'!$D$5:$D$882),AY$3&gt;=EOMONTH($X66,-1)+1,$Y66,TRUE,0)</f>
        <v>0</v>
      </c>
      <c r="AZ66" s="202" cm="1">
        <f t="array" ref="AZ66">_xlfn.IFS(AZ$3&lt;$B$2,SUMPRODUCT(('PA Fees Actual'!$B$5:$B$882=$E66)*('PA Fees Actual'!$A$5:$A$882&gt;=AZ$3)*('PA Fees Actual'!$A$5:$A$882&lt;=EOMONTH(AZ$3,0))*'PA Fees Actual'!$D$5:$D$882),AZ$3&gt;=EOMONTH($X66,-1)+1,$Y66,TRUE,0)</f>
        <v>0</v>
      </c>
      <c r="BA66" s="202" cm="1">
        <f t="array" ref="BA66">_xlfn.IFS(BA$3&lt;$B$2,SUMPRODUCT(('PA Fees Actual'!$B$5:$B$882=$E66)*('PA Fees Actual'!$A$5:$A$882&gt;=BA$3)*('PA Fees Actual'!$A$5:$A$882&lt;=EOMONTH(BA$3,0))*'PA Fees Actual'!$D$5:$D$882),BA$3&gt;=EOMONTH($X66,-1)+1,$Y66,TRUE,0)</f>
        <v>0</v>
      </c>
      <c r="BB66" s="202" cm="1">
        <f t="array" ref="BB66">_xlfn.IFS(BB$3&lt;$B$2,SUMPRODUCT(('PA Fees Actual'!$B$5:$B$882=$E66)*('PA Fees Actual'!$A$5:$A$882&gt;=BB$3)*('PA Fees Actual'!$A$5:$A$882&lt;=EOMONTH(BB$3,0))*'PA Fees Actual'!$D$5:$D$882),BB$3&gt;=EOMONTH($X66,-1)+1,$Y66,TRUE,0)</f>
        <v>0</v>
      </c>
      <c r="BC66" s="202" cm="1">
        <f t="array" ref="BC66">_xlfn.IFS(BC$3&lt;$B$2,SUMPRODUCT(('PA Fees Actual'!$B$5:$B$882=$E66)*('PA Fees Actual'!$A$5:$A$882&gt;=BC$3)*('PA Fees Actual'!$A$5:$A$882&lt;=EOMONTH(BC$3,0))*'PA Fees Actual'!$D$5:$D$882),BC$3&gt;=EOMONTH($X66,-1)+1,$Y66,TRUE,0)</f>
        <v>0</v>
      </c>
      <c r="BD66" s="202" cm="1">
        <f t="array" ref="BD66">_xlfn.IFS(BD$3&lt;$B$2,SUMPRODUCT(('PA Fees Actual'!$B$5:$B$882=$E66)*('PA Fees Actual'!$A$5:$A$882&gt;=BD$3)*('PA Fees Actual'!$A$5:$A$882&lt;=EOMONTH(BD$3,0))*'PA Fees Actual'!$D$5:$D$882),BD$3&gt;=EOMONTH($X66,-1)+1,$Y66,TRUE,0)</f>
        <v>0</v>
      </c>
      <c r="BE66" s="202" cm="1">
        <f t="array" ref="BE66">_xlfn.IFS(BE$3&lt;$B$2,SUMPRODUCT(('PA Fees Actual'!$B$5:$B$882=$E66)*('PA Fees Actual'!$A$5:$A$882&gt;=BE$3)*('PA Fees Actual'!$A$5:$A$882&lt;=EOMONTH(BE$3,0))*'PA Fees Actual'!$D$5:$D$882),BE$3&gt;=EOMONTH($X66,-1)+1,$Y66,TRUE,0)</f>
        <v>0</v>
      </c>
      <c r="BF66" s="202" cm="1">
        <f t="array" ref="BF66">_xlfn.IFS(BF$3&lt;$B$2,SUMPRODUCT(('PA Fees Actual'!$B$5:$B$882=$E66)*('PA Fees Actual'!$A$5:$A$882&gt;=BF$3)*('PA Fees Actual'!$A$5:$A$882&lt;=EOMONTH(BF$3,0))*'PA Fees Actual'!$D$5:$D$882),BF$3&gt;=EOMONTH($X66,-1)+1,$Y66,TRUE,0)</f>
        <v>0</v>
      </c>
      <c r="BG66" s="202" cm="1">
        <f t="array" ref="BG66">_xlfn.IFS(BG$3&lt;$B$2,SUMPRODUCT(('PA Fees Actual'!$B$5:$B$882=$E66)*('PA Fees Actual'!$A$5:$A$882&gt;=BG$3)*('PA Fees Actual'!$A$5:$A$882&lt;=EOMONTH(BG$3,0))*'PA Fees Actual'!$D$5:$D$882),BG$3&gt;=EOMONTH($X66,-1)+1,$Y66,TRUE,0)</f>
        <v>0</v>
      </c>
      <c r="BH66" s="202" cm="1">
        <f t="array" ref="BH66">_xlfn.IFS(BH$3&lt;$B$2,SUMPRODUCT(('PA Fees Actual'!$B$5:$B$882=$E66)*('PA Fees Actual'!$A$5:$A$882&gt;=BH$3)*('PA Fees Actual'!$A$5:$A$882&lt;=EOMONTH(BH$3,0))*'PA Fees Actual'!$D$5:$D$882),BH$3&gt;=EOMONTH($X66,-1)+1,$Y66,TRUE,0)</f>
        <v>0</v>
      </c>
      <c r="BI66" s="202" cm="1">
        <f t="array" ref="BI66">_xlfn.IFS(BI$3&lt;$B$2,SUMPRODUCT(('PA Fees Actual'!$B$5:$B$882=$E66)*('PA Fees Actual'!$A$5:$A$882&gt;=BI$3)*('PA Fees Actual'!$A$5:$A$882&lt;=EOMONTH(BI$3,0))*'PA Fees Actual'!$D$5:$D$882),BI$3&gt;=EOMONTH($X66,-1)+1,$Y66,TRUE,0)</f>
        <v>0</v>
      </c>
      <c r="BJ66" s="202" cm="1">
        <f t="array" ref="BJ66">_xlfn.IFS(BJ$3&lt;$B$2,SUMPRODUCT(('PA Fees Actual'!$B$5:$B$882=$E66)*('PA Fees Actual'!$A$5:$A$882&gt;=BJ$3)*('PA Fees Actual'!$A$5:$A$882&lt;=EOMONTH(BJ$3,0))*'PA Fees Actual'!$D$5:$D$882),BJ$3&gt;=EOMONTH($X66,-1)+1,$Y66,TRUE,0)</f>
        <v>0</v>
      </c>
      <c r="BK66" s="202" cm="1">
        <f t="array" ref="BK66">_xlfn.IFS(BK$3&lt;$B$2,SUMPRODUCT(('PA Fees Actual'!$B$5:$B$882=$E66)*('PA Fees Actual'!$A$5:$A$882&gt;=BK$3)*('PA Fees Actual'!$A$5:$A$882&lt;=EOMONTH(BK$3,0))*'PA Fees Actual'!$D$5:$D$882),BK$3&gt;=EOMONTH($X66,-1)+1,$Y66,TRUE,0)</f>
        <v>0</v>
      </c>
      <c r="BL66" s="202" cm="1">
        <f t="array" ref="BL66">_xlfn.IFS(BL$3&lt;$B$2,SUMPRODUCT(('PA Fees Actual'!$B$5:$B$882=$E66)*('PA Fees Actual'!$A$5:$A$882&gt;=BL$3)*('PA Fees Actual'!$A$5:$A$882&lt;=EOMONTH(BL$3,0))*'PA Fees Actual'!$D$5:$D$882),BL$3&gt;=EOMONTH($X66,-1)+1,$Y66,TRUE,0)</f>
        <v>0</v>
      </c>
      <c r="BM66" s="202" cm="1">
        <f t="array" ref="BM66">_xlfn.IFS(BM$3&lt;$B$2,SUMPRODUCT(('PA Fees Actual'!$B$5:$B$882=$E66)*('PA Fees Actual'!$A$5:$A$882&gt;=BM$3)*('PA Fees Actual'!$A$5:$A$882&lt;=EOMONTH(BM$3,0))*'PA Fees Actual'!$D$5:$D$882),BM$3&gt;=EOMONTH($X66,-1)+1,$Y66,TRUE,0)</f>
        <v>0</v>
      </c>
      <c r="BN66" s="202" cm="1">
        <f t="array" ref="BN66">_xlfn.IFS(BN$3&lt;$B$2,SUMPRODUCT(('PA Fees Actual'!$B$5:$B$882=$E66)*('PA Fees Actual'!$A$5:$A$882&gt;=BN$3)*('PA Fees Actual'!$A$5:$A$882&lt;=EOMONTH(BN$3,0))*'PA Fees Actual'!$D$5:$D$882),BN$3&gt;=EOMONTH($X66,-1)+1,$Y66,TRUE,0)</f>
        <v>0</v>
      </c>
      <c r="BO66" s="202" cm="1">
        <f t="array" ref="BO66">_xlfn.IFS(BO$3&lt;$B$2,SUMPRODUCT(('PA Fees Actual'!$B$5:$B$882=$E66)*('PA Fees Actual'!$A$5:$A$882&gt;=BO$3)*('PA Fees Actual'!$A$5:$A$882&lt;=EOMONTH(BO$3,0))*'PA Fees Actual'!$D$5:$D$882),BO$3&gt;=EOMONTH($X66,-1)+1,$Y66,TRUE,0)</f>
        <v>0</v>
      </c>
      <c r="BP66" s="202" cm="1">
        <f t="array" ref="BP66">_xlfn.IFS(BP$3&lt;$B$2,SUMPRODUCT(('PA Fees Actual'!$B$5:$B$882=$E66)*('PA Fees Actual'!$A$5:$A$882&gt;=BP$3)*('PA Fees Actual'!$A$5:$A$882&lt;=EOMONTH(BP$3,0))*'PA Fees Actual'!$D$5:$D$882),BP$3&gt;=EOMONTH($X66,-1)+1,$Y66,TRUE,0)</f>
        <v>0</v>
      </c>
      <c r="BQ66" s="202" cm="1">
        <f t="array" ref="BQ66">_xlfn.IFS(BQ$3&lt;$B$2,SUMPRODUCT(('PA Fees Actual'!$B$5:$B$882=$E66)*('PA Fees Actual'!$A$5:$A$882&gt;=BQ$3)*('PA Fees Actual'!$A$5:$A$882&lt;=EOMONTH(BQ$3,0))*'PA Fees Actual'!$D$5:$D$882),BQ$3&gt;=EOMONTH($X66,-1)+1,$Y66,TRUE,0)</f>
        <v>0</v>
      </c>
      <c r="BR66" s="202" cm="1">
        <f t="array" ref="BR66">_xlfn.IFS(BR$3&lt;$B$2,SUMPRODUCT(('PA Fees Actual'!$B$5:$B$882=$E66)*('PA Fees Actual'!$A$5:$A$882&gt;=BR$3)*('PA Fees Actual'!$A$5:$A$882&lt;=EOMONTH(BR$3,0))*'PA Fees Actual'!$D$5:$D$882),BR$3&gt;=EOMONTH($X66,-1)+1,$Y66,TRUE,0)</f>
        <v>0</v>
      </c>
      <c r="BS66" s="202" cm="1">
        <f t="array" ref="BS66">_xlfn.IFS(BS$3&lt;$B$2,SUMPRODUCT(('PA Fees Actual'!$B$5:$B$882=$E66)*('PA Fees Actual'!$A$5:$A$882&gt;=BS$3)*('PA Fees Actual'!$A$5:$A$882&lt;=EOMONTH(BS$3,0))*'PA Fees Actual'!$D$5:$D$882),BS$3&gt;=EOMONTH($X66,-1)+1,$Y66,TRUE,0)</f>
        <v>0</v>
      </c>
      <c r="BT66" s="202" cm="1">
        <f t="array" ref="BT66">_xlfn.IFS(BT$3&lt;$B$2,SUMPRODUCT(('PA Fees Actual'!$B$5:$B$882=$E66)*('PA Fees Actual'!$A$5:$A$882&gt;=BT$3)*('PA Fees Actual'!$A$5:$A$882&lt;=EOMONTH(BT$3,0))*'PA Fees Actual'!$D$5:$D$882),BT$3&gt;=EOMONTH($X66,-1)+1,$Y66,TRUE,0)</f>
        <v>1981.95</v>
      </c>
      <c r="BU66" s="202" cm="1">
        <f t="array" ref="BU66">_xlfn.IFS(BU$3&lt;$B$2,SUMPRODUCT(('PA Fees Actual'!$B$5:$B$882=$E66)*('PA Fees Actual'!$A$5:$A$882&gt;=BU$3)*('PA Fees Actual'!$A$5:$A$882&lt;=EOMONTH(BU$3,0))*'PA Fees Actual'!$D$5:$D$882),BU$3&gt;=EOMONTH($X66,-1)+1,$Y66,TRUE,0)</f>
        <v>16</v>
      </c>
      <c r="BV66" s="202" cm="1">
        <f t="array" ref="BV66">_xlfn.IFS(BV$3&lt;$B$2,SUMPRODUCT(('PA Fees Actual'!$B$5:$B$882=$E66)*('PA Fees Actual'!$A$5:$A$882&gt;=BV$3)*('PA Fees Actual'!$A$5:$A$882&lt;=EOMONTH(BV$3,0))*'PA Fees Actual'!$D$5:$D$882),BV$3&gt;=EOMONTH($X66,-1)+1,$Y66,TRUE,0)</f>
        <v>-69.930000000000007</v>
      </c>
      <c r="BW66" s="202" cm="1">
        <f t="array" ref="BW66">_xlfn.IFS(BW$3&lt;$B$2,SUMPRODUCT(('PA Fees Actual'!$B$5:$B$882=$E66)*('PA Fees Actual'!$A$5:$A$882&gt;=BW$3)*('PA Fees Actual'!$A$5:$A$882&lt;=EOMONTH(BW$3,0))*'PA Fees Actual'!$D$5:$D$882),BW$3&gt;=EOMONTH($X66,-1)+1,$Y66,TRUE,0)</f>
        <v>0</v>
      </c>
      <c r="BX66" s="202" cm="1">
        <f t="array" ref="BX66">_xlfn.IFS(BX$3&lt;$B$2,SUMPRODUCT(('PA Fees Actual'!$B$5:$B$882=$E66)*('PA Fees Actual'!$A$5:$A$882&gt;=BX$3)*('PA Fees Actual'!$A$5:$A$882&lt;=EOMONTH(BX$3,0))*'PA Fees Actual'!$D$5:$D$882),BX$3&gt;=EOMONTH($X66,-1)+1,$Y66,TRUE,0)</f>
        <v>350.14</v>
      </c>
      <c r="BY66" s="202" cm="1">
        <f t="array" ref="BY66">_xlfn.IFS(BY$3&lt;$B$2,SUMPRODUCT(('PA Fees Actual'!$B$5:$B$882=$E66)*('PA Fees Actual'!$A$5:$A$882&gt;=BY$3)*('PA Fees Actual'!$A$5:$A$882&lt;=EOMONTH(BY$3,0))*'PA Fees Actual'!$D$5:$D$882),BY$3&gt;=EOMONTH($X66,-1)+1,$Y66,TRUE,0)</f>
        <v>14942.09</v>
      </c>
      <c r="BZ66" s="202" cm="1">
        <f t="array" ref="BZ66">_xlfn.IFS(BZ$3&lt;$B$2,SUMPRODUCT(('PA Fees Actual'!$B$5:$B$882=$E66)*('PA Fees Actual'!$A$5:$A$882&gt;=BZ$3)*('PA Fees Actual'!$A$5:$A$882&lt;=EOMONTH(BZ$3,0))*'PA Fees Actual'!$D$5:$D$882),BZ$3&gt;=EOMONTH($X66,-1)+1,$Y66,TRUE,0)</f>
        <v>1980.29</v>
      </c>
      <c r="CA66" s="202" cm="1">
        <f t="array" ref="CA66">_xlfn.IFS(CA$3&lt;$B$2,SUMPRODUCT(('PA Fees Actual'!$B$5:$B$882=$E66)*('PA Fees Actual'!$A$5:$A$882&gt;=CA$3)*('PA Fees Actual'!$A$5:$A$882&lt;=EOMONTH(CA$3,0))*'PA Fees Actual'!$D$5:$D$882),CA$3&gt;=EOMONTH($X66,-1)+1,$Y66,TRUE,0)</f>
        <v>1966.7</v>
      </c>
      <c r="CB66" s="202" cm="1">
        <f t="array" ref="CB66">_xlfn.IFS(CB$3&lt;$B$2,SUMPRODUCT(('PA Fees Actual'!$B$5:$B$882=$E66)*('PA Fees Actual'!$A$5:$A$882&gt;=CB$3)*('PA Fees Actual'!$A$5:$A$882&lt;=EOMONTH(CB$3,0))*'PA Fees Actual'!$D$5:$D$882),CB$3&gt;=EOMONTH($X66,-1)+1,$Y66,TRUE,0)</f>
        <v>2167.5</v>
      </c>
      <c r="CC66" s="202" cm="1">
        <f t="array" ref="CC66">_xlfn.IFS(CC$3&lt;$B$2,SUMPRODUCT(('PA Fees Actual'!$B$5:$B$882=$E66)*('PA Fees Actual'!$A$5:$A$882&gt;=CC$3)*('PA Fees Actual'!$A$5:$A$882&lt;=EOMONTH(CC$3,0))*'PA Fees Actual'!$D$5:$D$882),CC$3&gt;=EOMONTH($X66,-1)+1,$Y66,TRUE,0)</f>
        <v>2167.5</v>
      </c>
      <c r="CD66" s="202" cm="1">
        <f t="array" ref="CD66">_xlfn.IFS(CD$3&lt;$B$2,SUMPRODUCT(('PA Fees Actual'!$B$5:$B$882=$E66)*('PA Fees Actual'!$A$5:$A$882&gt;=CD$3)*('PA Fees Actual'!$A$5:$A$882&lt;=EOMONTH(CD$3,0))*'PA Fees Actual'!$D$5:$D$882),CD$3&gt;=EOMONTH($X66,-1)+1,$Y66,TRUE,0)</f>
        <v>2167.5</v>
      </c>
      <c r="CE66" s="202" cm="1">
        <f t="array" ref="CE66">_xlfn.IFS(CE$3&lt;$B$2,SUMPRODUCT(('PA Fees Actual'!$B$5:$B$882=$E66)*('PA Fees Actual'!$A$5:$A$882&gt;=CE$3)*('PA Fees Actual'!$A$5:$A$882&lt;=EOMONTH(CE$3,0))*'PA Fees Actual'!$D$5:$D$882),CE$3&gt;=EOMONTH($X66,-1)+1,$Y66,TRUE,0)</f>
        <v>2167.5</v>
      </c>
      <c r="CF66" s="202" cm="1">
        <f t="array" ref="CF66">_xlfn.IFS(CF$3&lt;$B$2,SUMPRODUCT(('PA Fees Actual'!$B$5:$B$882=$E66)*('PA Fees Actual'!$A$5:$A$882&gt;=CF$3)*('PA Fees Actual'!$A$5:$A$882&lt;=EOMONTH(CF$3,0))*'PA Fees Actual'!$D$5:$D$882),CF$3&gt;=EOMONTH($X66,-1)+1,$Y66,TRUE,0)</f>
        <v>2167.5</v>
      </c>
      <c r="CG66" s="202" cm="1">
        <f t="array" ref="CG66">_xlfn.IFS(CG$3&lt;$B$2,SUMPRODUCT(('PA Fees Actual'!$B$5:$B$882=$E66)*('PA Fees Actual'!$A$5:$A$882&gt;=CG$3)*('PA Fees Actual'!$A$5:$A$882&lt;=EOMONTH(CG$3,0))*'PA Fees Actual'!$D$5:$D$882),CG$3&gt;=EOMONTH($X66,-1)+1,$Y66,TRUE,0)</f>
        <v>2167.5</v>
      </c>
      <c r="CI66" s="202" cm="1">
        <f t="array" ref="CI66">_xlfn.IFS(CI$3&lt;=YEAR($B$2),SUMPRODUCT(($E$4:$E$79=$E66)*($Z$2:$CG$2=CI$3)*($Z$2:$CG$2&lt;CJ$3)*$Z$4:$CG$79),CI$3&lt;YEAR($X66),0,CI$3=YEAR($X66),DATEDIF($X66,DATE(CI$3,12,31),"m")*$Y66,AND(CI$3&gt;YEAR($X66),CI$3-YEAR($X66)&lt;20),$Y66*12,CI$3-YEAR($X66)=20,DATEDIF(DATE(YEAR($X66),1,1),$X66,"m")*$Y66,CI$3-YEAR($X66)&gt;20,0)</f>
        <v>0</v>
      </c>
      <c r="CJ66" s="202" cm="1">
        <f t="array" ref="CJ66">_xlfn.IFS(CJ$3&lt;=YEAR($B$2),SUMPRODUCT(($E$4:$E$79=$E66)*($Z$2:$CG$2=CJ$3)*($Z$2:$CG$2&lt;CK$3)*$Z$4:$CG$79),CJ$3&lt;YEAR($X66),0,CJ$3=YEAR($X66),DATEDIF($X66,DATE(CJ$3,12,31),"m")*$Y66,AND(CJ$3&gt;YEAR($X66),CJ$3-YEAR($X66)&lt;20),$Y66*12,CJ$3-YEAR($X66)=20,DATEDIF(DATE(YEAR($X66),1,1),$X66,"m")*$Y66,CJ$3-YEAR($X66)&gt;20,0)</f>
        <v>0</v>
      </c>
      <c r="CK66" s="202" cm="1">
        <f t="array" ref="CK66">_xlfn.IFS(CK$3&lt;=YEAR($B$2),SUMPRODUCT(($E$4:$E$79=$E66)*($Z$2:$CG$2=CK$3)*($Z$2:$CG$2&lt;CL$3)*$Z$4:$CG$79),CK$3&lt;YEAR($X66),0,CK$3=YEAR($X66),DATEDIF($X66,DATE(CK$3,12,31),"m")*$Y66,AND(CK$3&gt;YEAR($X66),CK$3-YEAR($X66)&lt;20),$Y66*12,CK$3-YEAR($X66)=20,DATEDIF(DATE(YEAR($X66),1,1),$X66,"m")*$Y66,CK$3-YEAR($X66)&gt;20,0)</f>
        <v>0</v>
      </c>
      <c r="CL66" s="202" cm="1">
        <f t="array" ref="CL66">_xlfn.IFS(CL$3&lt;=YEAR($B$2),SUMPRODUCT(($E$4:$E$79=$E66)*($Z$2:$CG$2=CL$3)*($Z$2:$CG$2&lt;CM$3)*$Z$4:$CG$79),CL$3&lt;YEAR($X66),0,CL$3=YEAR($X66),DATEDIF($X66,DATE(CL$3,12,31),"m")*$Y66,AND(CL$3&gt;YEAR($X66),CL$3-YEAR($X66)&lt;20),$Y66*12,CL$3-YEAR($X66)=20,DATEDIF(DATE(YEAR($X66),1,1),$X66,"m")*$Y66,CL$3-YEAR($X66)&gt;20,0)</f>
        <v>1997.95</v>
      </c>
      <c r="CM66" s="202" cm="1">
        <f t="array" ref="CM66">_xlfn.IFS(CM$3&lt;=YEAR($B$2),SUMPRODUCT(($E$4:$E$79=$E66)*($Z$2:$CG$2=CM$3)*($Z$2:$CG$2&lt;CN$3)*$Z$4:$CG$79),CM$3&lt;YEAR($X66),0,CM$3=YEAR($X66),DATEDIF($X66,DATE(CM$3,12,31),"m")*$Y66,AND(CM$3&gt;YEAR($X66),CM$3-YEAR($X66)&lt;20),$Y66*12,CM$3-YEAR($X66)=20,DATEDIF(DATE(YEAR($X66),1,1),$X66,"m")*$Y66,CM$3-YEAR($X66)&gt;20,0)</f>
        <v>32174.29</v>
      </c>
      <c r="CN66" s="202" cm="1">
        <f t="array" ref="CN66">_xlfn.IFS(CN$3&lt;=YEAR($B$2),SUMPRODUCT(($E$4:$E$79=$E66)*($Z$2:$CG$2=CN$3)*($Z$2:$CG$2&lt;CO$3)*$Z$4:$CG$79),CN$3&lt;YEAR($X66),0,CN$3=YEAR($X66),DATEDIF($X66,DATE(CN$3,12,31),"m")*$Y66,AND(CN$3&gt;YEAR($X66),CN$3-YEAR($X66)&lt;20),$Y66*12,CN$3-YEAR($X66)=20,DATEDIF(DATE(YEAR($X66),1,1),$X66,"m")*$Y66,CN$3-YEAR($X66)&gt;20,0)</f>
        <v>26010</v>
      </c>
      <c r="CO66" s="202" cm="1">
        <f t="array" ref="CO66">_xlfn.IFS(CO$3&lt;=YEAR($B$2),SUMPRODUCT(($E$4:$E$79=$E66)*($Z$2:$CG$2=CO$3)*($Z$2:$CG$2&lt;CP$3)*$Z$4:$CG$79),CO$3&lt;YEAR($X66),0,CO$3=YEAR($X66),DATEDIF($X66,DATE(CO$3,12,31),"m")*$Y66,AND(CO$3&gt;YEAR($X66),CO$3-YEAR($X66)&lt;20),$Y66*12,CO$3-YEAR($X66)=20,DATEDIF(DATE(YEAR($X66),1,1),$X66,"m")*$Y66,CO$3-YEAR($X66)&gt;20,0)</f>
        <v>26010</v>
      </c>
      <c r="CP66" s="202" cm="1">
        <f t="array" ref="CP66">_xlfn.IFS(CP$3&lt;=YEAR($B$2),SUMPRODUCT(($E$4:$E$79=$E66)*($Z$2:$CG$2=CP$3)*($Z$2:$CG$2&lt;CQ$3)*$Z$4:$CG$79),CP$3&lt;YEAR($X66),0,CP$3=YEAR($X66),DATEDIF($X66,DATE(CP$3,12,31),"m")*$Y66,AND(CP$3&gt;YEAR($X66),CP$3-YEAR($X66)&lt;20),$Y66*12,CP$3-YEAR($X66)=20,DATEDIF(DATE(YEAR($X66),1,1),$X66,"m")*$Y66,CP$3-YEAR($X66)&gt;20,0)</f>
        <v>26010</v>
      </c>
      <c r="CQ66" s="202" cm="1">
        <f t="array" ref="CQ66">_xlfn.IFS(CQ$3&lt;=YEAR($B$2),SUMPRODUCT(($E$4:$E$79=$E66)*($Z$2:$CG$2=CQ$3)*($Z$2:$CG$2&lt;CR$3)*$Z$4:$CG$79),CQ$3&lt;YEAR($X66),0,CQ$3=YEAR($X66),DATEDIF($X66,DATE(CQ$3,12,31),"m")*$Y66,AND(CQ$3&gt;YEAR($X66),CQ$3-YEAR($X66)&lt;20),$Y66*12,CQ$3-YEAR($X66)=20,DATEDIF(DATE(YEAR($X66),1,1),$X66,"m")*$Y66,CQ$3-YEAR($X66)&gt;20,0)</f>
        <v>26010</v>
      </c>
      <c r="CR66" s="202" cm="1">
        <f t="array" ref="CR66">_xlfn.IFS(CR$3&lt;=YEAR($B$2),SUMPRODUCT(($E$4:$E$79=$E66)*($Z$2:$CG$2=CR$3)*($Z$2:$CG$2&lt;CS$3)*$Z$4:$CG$79),CR$3&lt;YEAR($X66),0,CR$3=YEAR($X66),DATEDIF($X66,DATE(CR$3,12,31),"m")*$Y66,AND(CR$3&gt;YEAR($X66),CR$3-YEAR($X66)&lt;20),$Y66*12,CR$3-YEAR($X66)=20,DATEDIF(DATE(YEAR($X66),1,1),$X66,"m")*$Y66,CR$3-YEAR($X66)&gt;20,0)</f>
        <v>26010</v>
      </c>
      <c r="CS66" s="202" cm="1">
        <f t="array" ref="CS66">_xlfn.IFS(CS$3&lt;=YEAR($B$2),SUMPRODUCT(($E$4:$E$79=$E66)*($Z$2:$CG$2=CS$3)*($Z$2:$CG$2&lt;CT$3)*$Z$4:$CG$79),CS$3&lt;YEAR($X66),0,CS$3=YEAR($X66),DATEDIF($X66,DATE(CS$3,12,31),"m")*$Y66,AND(CS$3&gt;YEAR($X66),CS$3-YEAR($X66)&lt;20),$Y66*12,CS$3-YEAR($X66)=20,DATEDIF(DATE(YEAR($X66),1,1),$X66,"m")*$Y66,CS$3-YEAR($X66)&gt;20,0)</f>
        <v>26010</v>
      </c>
      <c r="CT66" s="202" cm="1">
        <f t="array" ref="CT66">_xlfn.IFS(CT$3&lt;=YEAR($B$2),SUMPRODUCT(($E$4:$E$79=$E66)*($Z$2:$CG$2=CT$3)*($Z$2:$CG$2&lt;CU$3)*$Z$4:$CG$79),CT$3&lt;YEAR($X66),0,CT$3=YEAR($X66),DATEDIF($X66,DATE(CT$3,12,31),"m")*$Y66,AND(CT$3&gt;YEAR($X66),CT$3-YEAR($X66)&lt;20),$Y66*12,CT$3-YEAR($X66)=20,DATEDIF(DATE(YEAR($X66),1,1),$X66,"m")*$Y66,CT$3-YEAR($X66)&gt;20,0)</f>
        <v>26010</v>
      </c>
      <c r="CU66" s="202" cm="1">
        <f t="array" ref="CU66">_xlfn.IFS(CU$3&lt;=YEAR($B$2),SUMPRODUCT(($E$4:$E$79=$E66)*($Z$2:$CG$2=CU$3)*($Z$2:$CG$2&lt;CV$3)*$Z$4:$CG$79),CU$3&lt;YEAR($X66),0,CU$3=YEAR($X66),DATEDIF($X66,DATE(CU$3,12,31),"m")*$Y66,AND(CU$3&gt;YEAR($X66),CU$3-YEAR($X66)&lt;20),$Y66*12,CU$3-YEAR($X66)=20,DATEDIF(DATE(YEAR($X66),1,1),$X66,"m")*$Y66,CU$3-YEAR($X66)&gt;20,0)</f>
        <v>26010</v>
      </c>
      <c r="CV66" s="202" cm="1">
        <f t="array" ref="CV66">_xlfn.IFS(CV$3&lt;=YEAR($B$2),SUMPRODUCT(($E$4:$E$79=$E66)*($Z$2:$CG$2=CV$3)*($Z$2:$CG$2&lt;CW$3)*$Z$4:$CG$79),CV$3&lt;YEAR($X66),0,CV$3=YEAR($X66),DATEDIF($X66,DATE(CV$3,12,31),"m")*$Y66,AND(CV$3&gt;YEAR($X66),CV$3-YEAR($X66)&lt;20),$Y66*12,CV$3-YEAR($X66)=20,DATEDIF(DATE(YEAR($X66),1,1),$X66,"m")*$Y66,CV$3-YEAR($X66)&gt;20,0)</f>
        <v>26010</v>
      </c>
      <c r="CW66" s="202" cm="1">
        <f t="array" ref="CW66">_xlfn.IFS(CW$3&lt;=YEAR($B$2),SUMPRODUCT(($E$4:$E$79=$E66)*($Z$2:$CG$2=CW$3)*($Z$2:$CG$2&lt;CX$3)*$Z$4:$CG$79),CW$3&lt;YEAR($X66),0,CW$3=YEAR($X66),DATEDIF($X66,DATE(CW$3,12,31),"m")*$Y66,AND(CW$3&gt;YEAR($X66),CW$3-YEAR($X66)&lt;20),$Y66*12,CW$3-YEAR($X66)=20,DATEDIF(DATE(YEAR($X66),1,1),$X66,"m")*$Y66,CW$3-YEAR($X66)&gt;20,0)</f>
        <v>26010</v>
      </c>
      <c r="CX66" s="202" cm="1">
        <f t="array" ref="CX66">_xlfn.IFS(CX$3&lt;=YEAR($B$2),SUMPRODUCT(($E$4:$E$79=$E66)*($Z$2:$CG$2=CX$3)*($Z$2:$CG$2&lt;CY$3)*$Z$4:$CG$79),CX$3&lt;YEAR($X66),0,CX$3=YEAR($X66),DATEDIF($X66,DATE(CX$3,12,31),"m")*$Y66,AND(CX$3&gt;YEAR($X66),CX$3-YEAR($X66)&lt;20),$Y66*12,CX$3-YEAR($X66)=20,DATEDIF(DATE(YEAR($X66),1,1),$X66,"m")*$Y66,CX$3-YEAR($X66)&gt;20,0)</f>
        <v>26010</v>
      </c>
      <c r="CY66" s="202" cm="1">
        <f t="array" ref="CY66">_xlfn.IFS(CY$3&lt;=YEAR($B$2),SUMPRODUCT(($E$4:$E$79=$E66)*($Z$2:$CG$2=CY$3)*($Z$2:$CG$2&lt;CZ$3)*$Z$4:$CG$79),CY$3&lt;YEAR($X66),0,CY$3=YEAR($X66),DATEDIF($X66,DATE(CY$3,12,31),"m")*$Y66,AND(CY$3&gt;YEAR($X66),CY$3-YEAR($X66)&lt;20),$Y66*12,CY$3-YEAR($X66)=20,DATEDIF(DATE(YEAR($X66),1,1),$X66,"m")*$Y66,CY$3-YEAR($X66)&gt;20,0)</f>
        <v>26010</v>
      </c>
      <c r="CZ66" s="202" cm="1">
        <f t="array" ref="CZ66">_xlfn.IFS(CZ$3&lt;=YEAR($B$2),SUMPRODUCT(($E$4:$E$79=$E66)*($Z$2:$CG$2=CZ$3)*($Z$2:$CG$2&lt;DA$3)*$Z$4:$CG$79),CZ$3&lt;YEAR($X66),0,CZ$3=YEAR($X66),DATEDIF($X66,DATE(CZ$3,12,31),"m")*$Y66,AND(CZ$3&gt;YEAR($X66),CZ$3-YEAR($X66)&lt;20),$Y66*12,CZ$3-YEAR($X66)=20,DATEDIF(DATE(YEAR($X66),1,1),$X66,"m")*$Y66,CZ$3-YEAR($X66)&gt;20,0)</f>
        <v>26010</v>
      </c>
      <c r="DA66" s="202" cm="1">
        <f t="array" ref="DA66">_xlfn.IFS(DA$3&lt;=YEAR($B$2),SUMPRODUCT(($E$4:$E$79=$E66)*($Z$2:$CG$2=DA$3)*($Z$2:$CG$2&lt;DB$3)*$Z$4:$CG$79),DA$3&lt;YEAR($X66),0,DA$3=YEAR($X66),DATEDIF($X66,DATE(DA$3,12,31),"m")*$Y66,AND(DA$3&gt;YEAR($X66),DA$3-YEAR($X66)&lt;20),$Y66*12,DA$3-YEAR($X66)=20,DATEDIF(DATE(YEAR($X66),1,1),$X66,"m")*$Y66,DA$3-YEAR($X66)&gt;20,0)</f>
        <v>26010</v>
      </c>
      <c r="DB66" s="202" cm="1">
        <f t="array" ref="DB66">_xlfn.IFS(DB$3&lt;=YEAR($B$2),SUMPRODUCT(($E$4:$E$79=$E66)*($Z$2:$CG$2=DB$3)*($Z$2:$CG$2&lt;DC$3)*$Z$4:$CG$79),DB$3&lt;YEAR($X66),0,DB$3=YEAR($X66),DATEDIF($X66,DATE(DB$3,12,31),"m")*$Y66,AND(DB$3&gt;YEAR($X66),DB$3-YEAR($X66)&lt;20),$Y66*12,DB$3-YEAR($X66)=20,DATEDIF(DATE(YEAR($X66),1,1),$X66,"m")*$Y66,DB$3-YEAR($X66)&gt;20,0)</f>
        <v>26010</v>
      </c>
      <c r="DC66" s="202" cm="1">
        <f t="array" ref="DC66">_xlfn.IFS(DC$3&lt;=YEAR($B$2),SUMPRODUCT(($E$4:$E$79=$E66)*($Z$2:$CG$2=DC$3)*($Z$2:$CG$2&lt;DD$3)*$Z$4:$CG$79),DC$3&lt;YEAR($X66),0,DC$3=YEAR($X66),DATEDIF($X66,DATE(DC$3,12,31),"m")*$Y66,AND(DC$3&gt;YEAR($X66),DC$3-YEAR($X66)&lt;20),$Y66*12,DC$3-YEAR($X66)=20,DATEDIF(DATE(YEAR($X66),1,1),$X66,"m")*$Y66,DC$3-YEAR($X66)&gt;20,0)</f>
        <v>26010</v>
      </c>
      <c r="DD66" s="202" cm="1">
        <f t="array" ref="DD66">_xlfn.IFS(DD$3&lt;=YEAR($B$2),SUMPRODUCT(($E$4:$E$79=$E66)*($Z$2:$CG$2=DD$3)*($Z$2:$CG$2&lt;DE$3)*$Z$4:$CG$79),DD$3&lt;YEAR($X66),0,DD$3=YEAR($X66),DATEDIF($X66,DATE(DD$3,12,31),"m")*$Y66,AND(DD$3&gt;YEAR($X66),DD$3-YEAR($X66)&lt;20),$Y66*12,DD$3-YEAR($X66)=20,DATEDIF(DATE(YEAR($X66),1,1),$X66,"m")*$Y66,DD$3-YEAR($X66)&gt;20,0)</f>
        <v>26010</v>
      </c>
      <c r="DE66" s="202" cm="1">
        <f t="array" ref="DE66">_xlfn.IFS(DE$3&lt;=YEAR($B$2),SUMPRODUCT(($E$4:$E$79=$E66)*($Z$2:$CG$2=DE$3)*($Z$2:$CG$2&lt;DF$3)*$Z$4:$CG$79),DE$3&lt;YEAR($X66),0,DE$3=YEAR($X66),DATEDIF($X66,DATE(DE$3,12,31),"m")*$Y66,AND(DE$3&gt;YEAR($X66),DE$3-YEAR($X66)&lt;20),$Y66*12,DE$3-YEAR($X66)=20,DATEDIF(DATE(YEAR($X66),1,1),$X66,"m")*$Y66,DE$3-YEAR($X66)&gt;20,0)</f>
        <v>26010</v>
      </c>
      <c r="DF66" s="202" cm="1">
        <f t="array" ref="DF66">_xlfn.IFS(DF$3&lt;=YEAR($B$2),SUMPRODUCT(($E$4:$E$79=$E66)*($Z$2:$CG$2=DF$3)*($Z$2:$CG$2&lt;DG$3)*$Z$4:$CG$79),DF$3&lt;YEAR($X66),0,DF$3=YEAR($X66),DATEDIF($X66,DATE(DF$3,12,31),"m")*$Y66,AND(DF$3&gt;YEAR($X66),DF$3-YEAR($X66)&lt;20),$Y66*12,DF$3-YEAR($X66)=20,DATEDIF(DATE(YEAR($X66),1,1),$X66,"m")*$Y66,DF$3-YEAR($X66)&gt;20,0)</f>
        <v>17340</v>
      </c>
      <c r="DG66" s="202" cm="1">
        <f t="array" ref="DG66">_xlfn.IFS(DG$3&lt;=YEAR($B$2),SUMPRODUCT(($E$4:$E$79=$E66)*($Z$2:$CG$2=DG$3)*($Z$2:$CG$2&lt;DH$3)*$Z$4:$CG$79),DG$3&lt;YEAR($X66),0,DG$3=YEAR($X66),DATEDIF($X66,DATE(DG$3,12,31),"m")*$Y66,AND(DG$3&gt;YEAR($X66),DG$3-YEAR($X66)&lt;20),$Y66*12,DG$3-YEAR($X66)=20,DATEDIF(DATE(YEAR($X66),1,1),$X66,"m")*$Y66,DG$3-YEAR($X66)&gt;20,0)</f>
        <v>0</v>
      </c>
      <c r="DH66" s="202" cm="1">
        <f t="array" ref="DH66">_xlfn.IFS(DH$3&lt;=YEAR($B$2),SUMPRODUCT(($E$4:$E$79=$E66)*($Z$2:$CG$2=DH$3)*($Z$2:$CG$2&lt;DI$3)*$Z$4:$CG$79),DH$3&lt;YEAR($X66),0,DH$3=YEAR($X66),DATEDIF($X66,DATE(DH$3,12,31),"m")*$Y66,AND(DH$3&gt;YEAR($X66),DH$3-YEAR($X66)&lt;20),$Y66*12,DH$3-YEAR($X66)=20,DATEDIF(DATE(YEAR($X66),1,1),$X66,"m")*$Y66,DH$3-YEAR($X66)&gt;20,0)</f>
        <v>0</v>
      </c>
      <c r="DI66" s="202" cm="1">
        <f t="array" ref="DI66">_xlfn.IFS(DI$3&lt;=YEAR($B$2),SUMPRODUCT(($E$4:$E$79=$E66)*($Z$2:$CG$2=DI$3)*($Z$2:$CG$2&lt;DJ$3)*$Z$4:$CG$79),DI$3&lt;YEAR($X66),0,DI$3=YEAR($X66),DATEDIF($X66,DATE(DI$3,12,31),"m")*$Y66,AND(DI$3&gt;YEAR($X66),DI$3-YEAR($X66)&lt;20),$Y66*12,DI$3-YEAR($X66)=20,DATEDIF(DATE(YEAR($X66),1,1),$X66,"m")*$Y66,DI$3-YEAR($X66)&gt;20,0)</f>
        <v>0</v>
      </c>
      <c r="DJ66" s="202" cm="1">
        <f t="array" ref="DJ66">_xlfn.IFS(DJ$3&lt;=YEAR($B$2),SUMPRODUCT(($E$4:$E$79=$E66)*($Z$2:$CG$2=DJ$3)*($Z$2:$CG$2&lt;DK$3)*$Z$4:$CG$79),DJ$3&lt;YEAR($X66),0,DJ$3=YEAR($X66),DATEDIF($X66,DATE(DJ$3,12,31),"m")*$Y66,AND(DJ$3&gt;YEAR($X66),DJ$3-YEAR($X66)&lt;20),$Y66*12,DJ$3-YEAR($X66)=20,DATEDIF(DATE(YEAR($X66),1,1),$X66,"m")*$Y66,DJ$3-YEAR($X66)&gt;20,0)</f>
        <v>0</v>
      </c>
      <c r="DK66" s="202" cm="1">
        <f t="array" ref="DK66">_xlfn.IFS(DK$3&lt;=YEAR($B$2),SUMPRODUCT(($E$4:$E$79=$E66)*($Z$2:$CG$2=DK$3)*($Z$2:$CG$2&lt;DL$3)*$Z$4:$CG$79),DK$3&lt;YEAR($X66),0,DK$3=YEAR($X66),DATEDIF($X66,DATE(DK$3,12,31),"m")*$Y66,AND(DK$3&gt;YEAR($X66),DK$3-YEAR($X66)&lt;20),$Y66*12,DK$3-YEAR($X66)=20,DATEDIF(DATE(YEAR($X66),1,1),$X66,"m")*$Y66,DK$3-YEAR($X66)&gt;20,0)</f>
        <v>0</v>
      </c>
      <c r="DL66" s="202" cm="1">
        <f t="array" ref="DL66">_xlfn.IFS(DL$3&lt;=YEAR($B$2),SUMPRODUCT(($E$4:$E$79=$E66)*($Z$2:$CG$2=DL$3)*($Z$2:$CG$2&lt;DM$3)*$Z$4:$CG$79),DL$3&lt;YEAR($X66),0,DL$3=YEAR($X66),DATEDIF($X66,DATE(DL$3,12,31),"m")*$Y66,AND(DL$3&gt;YEAR($X66),DL$3-YEAR($X66)&lt;20),$Y66*12,DL$3-YEAR($X66)=20,DATEDIF(DATE(YEAR($X66),1,1),$X66,"m")*$Y66,DL$3-YEAR($X66)&gt;20,0)</f>
        <v>0</v>
      </c>
    </row>
    <row r="67" spans="1:116">
      <c r="A67" s="155" t="str" cm="1">
        <f t="array" ref="A67">INDEX('Monthly Report July 2025'!C:C,MATCH(E67,'Monthly Report July 2025'!E:E,0),0)</f>
        <v>OCS071</v>
      </c>
      <c r="B67" s="155" t="str" cm="1">
        <f t="array" ref="B67">_xlfn.IFS(LEFT(E67,3)="PGE","PGE",LEFT(E67,2)="PP","PAC",TRUE,"IP")</f>
        <v>PAC</v>
      </c>
      <c r="C67" s="155" t="str">
        <f>IF(ISNA(MATCH(E67,'Monthly Report July 2025'!E:E,0)),"Missing","Present")</f>
        <v>Present</v>
      </c>
      <c r="D67" s="155" t="str">
        <f>IF(ISNA(MATCH(E67,'Project Operational Timelines'!C:C,0))=TRUE,"Missing","Present")</f>
        <v>Present</v>
      </c>
      <c r="E67" s="155" t="s">
        <v>175</v>
      </c>
      <c r="F67" s="155" t="str" cm="1">
        <f t="array" ref="F67">INDEX('Monthly Report July 2025'!F:F,MATCH(E67,'Monthly Report July 2025'!E:E,),0)</f>
        <v>Almon Solar</v>
      </c>
      <c r="G67" s="155" t="str" cm="1">
        <f t="array" ref="G67">_xlfn.IFS(INDEX('Monthly Report July 2025'!O:O,MATCH(E67,'Monthly Report July 2025'!E:E,0),0)="Operational","Operational",INDEX('Monthly Report July 2025'!O:O,MATCH(E67,'Monthly Report July 2025'!E:E,0),0)="Certified","Certified",TRUE,"Pre-Certified")</f>
        <v>Pre-Certified</v>
      </c>
      <c r="H67" s="155" t="str" cm="1">
        <f t="array" ref="H67">INDEX('Monthly Report July 2025'!H:H,MATCH($E67,'Monthly Report July 2025'!$E:$E,0),0)</f>
        <v>Hawthorne Renewables LLC</v>
      </c>
      <c r="I67" s="155" t="str" cm="1">
        <f t="array" ref="I67">INDEX('Monthly Report July 2025'!I:I,MATCH($E67,'Monthly Report July 2025'!$E:$E,0),0)</f>
        <v>Evergreen</v>
      </c>
      <c r="J67" s="174" cm="1">
        <f t="array" ref="J67">INDEX('Monthly Report July 2025'!J:J,MATCH($E67,'Monthly Report July 2025'!$E:$E,0),0)</f>
        <v>2</v>
      </c>
      <c r="K67" s="174" t="str" cm="1">
        <f t="array" ref="K67">INDEX('Monthly Report July 2025'!K:K,MATCH($E67,'Monthly Report July 2025'!$E:$E,0),0)</f>
        <v>Yes</v>
      </c>
      <c r="L67" s="174" t="b" cm="1">
        <f t="array" ref="L67">INDEX('Monthly Report July 2025'!L:L,MATCH(E67,'Monthly Report July 2025'!E:E,0),0)=M67</f>
        <v>1</v>
      </c>
      <c r="M67" s="273" cm="1">
        <f t="array" ref="M67">INDEX('Monthly Report July 2025'!L:L,MATCH($E67,'Monthly Report July 2025'!$E:$E,0),0)</f>
        <v>1375</v>
      </c>
      <c r="N67" s="175" cm="1">
        <f t="array" ref="N67">INDEX('Monthly Report July 2025'!M:M,MATCH($E67,'Monthly Report July 2025'!$E:$E,0),0)</f>
        <v>45604</v>
      </c>
      <c r="O67" s="175" cm="1">
        <f t="array" ref="O67">_xlfn.IFS(G67="Operational","Operational",G67="Certified","Certified",TRUE,INDEX('Monthly Report July 2025'!O:O,MATCH(E67,'Monthly Report July 2025'!E:E,0),0))</f>
        <v>46150</v>
      </c>
      <c r="Q67" s="175" t="str" cm="1">
        <f t="array" ref="Q67">IF(O67="Operational",INDEX('Monthly Report July 2025'!R:R,MATCH(E67,'Monthly Report July 2025'!E:E,0),0),"")</f>
        <v/>
      </c>
      <c r="R67" s="175" t="str" cm="1">
        <f t="array" ref="R67">INDEX('Monthly Report July 2025'!P:P,MATCH(E67,'Monthly Report July 2025'!E:E,0),0)</f>
        <v>Not Yet Certified</v>
      </c>
      <c r="T67" s="175" cm="1">
        <f t="array" ref="T67">INDEX('Monthly Report July 2025'!U:U,MATCH(E67,'Monthly Report July 2025'!E:E,0),0)</f>
        <v>46107</v>
      </c>
      <c r="U67" s="175" t="b">
        <f t="shared" si="6"/>
        <v>1</v>
      </c>
      <c r="V67" s="156">
        <f t="shared" si="29"/>
        <v>46150</v>
      </c>
      <c r="W67" s="156" cm="1">
        <f t="array" ref="W67">_xlfn.IFS(U67=TRUE,EDATE(O67,6),U67=FALSE,T67,O67="Operational",Q67,AND(O67="Certified",EDATE(R67,6)&gt;T67),EDATE(R67,6),TRUE,T67)</f>
        <v>46334</v>
      </c>
      <c r="X67" s="156">
        <f t="shared" si="33"/>
        <v>46395</v>
      </c>
      <c r="Y67" s="157">
        <f t="shared" si="31"/>
        <v>525.9375</v>
      </c>
      <c r="Z67" s="202" cm="1">
        <f t="array" ref="Z67">_xlfn.IFS(Z$3&lt;$B$2,SUMPRODUCT(('PA Fees Actual'!$B$5:$B$882=$E67)*('PA Fees Actual'!$A$5:$A$882&gt;=Z$3)*('PA Fees Actual'!$A$5:$A$882&lt;=EOMONTH(Z$3,0))*'PA Fees Actual'!$D$5:$D$882),Z$3&gt;=EOMONTH($X67,-1)+1,$Y67,TRUE,0)</f>
        <v>0</v>
      </c>
      <c r="AA67" s="202" cm="1">
        <f t="array" ref="AA67">_xlfn.IFS(AA$3&lt;$B$2,SUMPRODUCT(('PA Fees Actual'!$B$5:$B$882=$E67)*('PA Fees Actual'!$A$5:$A$882&gt;=AA$3)*('PA Fees Actual'!$A$5:$A$882&lt;=EOMONTH(AA$3,0))*'PA Fees Actual'!$D$5:$D$882),AA$3&gt;=EOMONTH($X67,-1)+1,$Y67,TRUE,0)</f>
        <v>0</v>
      </c>
      <c r="AB67" s="202" cm="1">
        <f t="array" ref="AB67">_xlfn.IFS(AB$3&lt;$B$2,SUMPRODUCT(('PA Fees Actual'!$B$5:$B$882=$E67)*('PA Fees Actual'!$A$5:$A$882&gt;=AB$3)*('PA Fees Actual'!$A$5:$A$882&lt;=EOMONTH(AB$3,0))*'PA Fees Actual'!$D$5:$D$882),AB$3&gt;=EOMONTH($X67,-1)+1,$Y67,TRUE,0)</f>
        <v>0</v>
      </c>
      <c r="AC67" s="202" cm="1">
        <f t="array" ref="AC67">_xlfn.IFS(AC$3&lt;$B$2,SUMPRODUCT(('PA Fees Actual'!$B$5:$B$882=$E67)*('PA Fees Actual'!$A$5:$A$882&gt;=AC$3)*('PA Fees Actual'!$A$5:$A$882&lt;=EOMONTH(AC$3,0))*'PA Fees Actual'!$D$5:$D$882),AC$3&gt;=EOMONTH($X67,-1)+1,$Y67,TRUE,0)</f>
        <v>0</v>
      </c>
      <c r="AD67" s="202" cm="1">
        <f t="array" ref="AD67">_xlfn.IFS(AD$3&lt;$B$2,SUMPRODUCT(('PA Fees Actual'!$B$5:$B$882=$E67)*('PA Fees Actual'!$A$5:$A$882&gt;=AD$3)*('PA Fees Actual'!$A$5:$A$882&lt;=EOMONTH(AD$3,0))*'PA Fees Actual'!$D$5:$D$882),AD$3&gt;=EOMONTH($X67,-1)+1,$Y67,TRUE,0)</f>
        <v>0</v>
      </c>
      <c r="AE67" s="202" cm="1">
        <f t="array" ref="AE67">_xlfn.IFS(AE$3&lt;$B$2,SUMPRODUCT(('PA Fees Actual'!$B$5:$B$882=$E67)*('PA Fees Actual'!$A$5:$A$882&gt;=AE$3)*('PA Fees Actual'!$A$5:$A$882&lt;=EOMONTH(AE$3,0))*'PA Fees Actual'!$D$5:$D$882),AE$3&gt;=EOMONTH($X67,-1)+1,$Y67,TRUE,0)</f>
        <v>0</v>
      </c>
      <c r="AF67" s="202" cm="1">
        <f t="array" ref="AF67">_xlfn.IFS(AF$3&lt;$B$2,SUMPRODUCT(('PA Fees Actual'!$B$5:$B$882=$E67)*('PA Fees Actual'!$A$5:$A$882&gt;=AF$3)*('PA Fees Actual'!$A$5:$A$882&lt;=EOMONTH(AF$3,0))*'PA Fees Actual'!$D$5:$D$882),AF$3&gt;=EOMONTH($X67,-1)+1,$Y67,TRUE,0)</f>
        <v>0</v>
      </c>
      <c r="AG67" s="202" cm="1">
        <f t="array" ref="AG67">_xlfn.IFS(AG$3&lt;$B$2,SUMPRODUCT(('PA Fees Actual'!$B$5:$B$882=$E67)*('PA Fees Actual'!$A$5:$A$882&gt;=AG$3)*('PA Fees Actual'!$A$5:$A$882&lt;=EOMONTH(AG$3,0))*'PA Fees Actual'!$D$5:$D$882),AG$3&gt;=EOMONTH($X67,-1)+1,$Y67,TRUE,0)</f>
        <v>0</v>
      </c>
      <c r="AH67" s="202" cm="1">
        <f t="array" ref="AH67">_xlfn.IFS(AH$3&lt;$B$2,SUMPRODUCT(('PA Fees Actual'!$B$5:$B$882=$E67)*('PA Fees Actual'!$A$5:$A$882&gt;=AH$3)*('PA Fees Actual'!$A$5:$A$882&lt;=EOMONTH(AH$3,0))*'PA Fees Actual'!$D$5:$D$882),AH$3&gt;=EOMONTH($X67,-1)+1,$Y67,TRUE,0)</f>
        <v>0</v>
      </c>
      <c r="AI67" s="202" cm="1">
        <f t="array" ref="AI67">_xlfn.IFS(AI$3&lt;$B$2,SUMPRODUCT(('PA Fees Actual'!$B$5:$B$882=$E67)*('PA Fees Actual'!$A$5:$A$882&gt;=AI$3)*('PA Fees Actual'!$A$5:$A$882&lt;=EOMONTH(AI$3,0))*'PA Fees Actual'!$D$5:$D$882),AI$3&gt;=EOMONTH($X67,-1)+1,$Y67,TRUE,0)</f>
        <v>0</v>
      </c>
      <c r="AJ67" s="202" cm="1">
        <f t="array" ref="AJ67">_xlfn.IFS(AJ$3&lt;$B$2,SUMPRODUCT(('PA Fees Actual'!$B$5:$B$882=$E67)*('PA Fees Actual'!$A$5:$A$882&gt;=AJ$3)*('PA Fees Actual'!$A$5:$A$882&lt;=EOMONTH(AJ$3,0))*'PA Fees Actual'!$D$5:$D$882),AJ$3&gt;=EOMONTH($X67,-1)+1,$Y67,TRUE,0)</f>
        <v>0</v>
      </c>
      <c r="AK67" s="202" cm="1">
        <f t="array" ref="AK67">_xlfn.IFS(AK$3&lt;$B$2,SUMPRODUCT(('PA Fees Actual'!$B$5:$B$882=$E67)*('PA Fees Actual'!$A$5:$A$882&gt;=AK$3)*('PA Fees Actual'!$A$5:$A$882&lt;=EOMONTH(AK$3,0))*'PA Fees Actual'!$D$5:$D$882),AK$3&gt;=EOMONTH($X67,-1)+1,$Y67,TRUE,0)</f>
        <v>0</v>
      </c>
      <c r="AL67" s="202" cm="1">
        <f t="array" ref="AL67">_xlfn.IFS(AL$3&lt;$B$2,SUMPRODUCT(('PA Fees Actual'!$B$5:$B$882=$E67)*('PA Fees Actual'!$A$5:$A$882&gt;=AL$3)*('PA Fees Actual'!$A$5:$A$882&lt;=EOMONTH(AL$3,0))*'PA Fees Actual'!$D$5:$D$882),AL$3&gt;=EOMONTH($X67,-1)+1,$Y67,TRUE,0)</f>
        <v>0</v>
      </c>
      <c r="AM67" s="202" cm="1">
        <f t="array" ref="AM67">_xlfn.IFS(AM$3&lt;$B$2,SUMPRODUCT(('PA Fees Actual'!$B$5:$B$882=$E67)*('PA Fees Actual'!$A$5:$A$882&gt;=AM$3)*('PA Fees Actual'!$A$5:$A$882&lt;=EOMONTH(AM$3,0))*'PA Fees Actual'!$D$5:$D$882),AM$3&gt;=EOMONTH($X67,-1)+1,$Y67,TRUE,0)</f>
        <v>0</v>
      </c>
      <c r="AN67" s="202" cm="1">
        <f t="array" ref="AN67">_xlfn.IFS(AN$3&lt;$B$2,SUMPRODUCT(('PA Fees Actual'!$B$5:$B$882=$E67)*('PA Fees Actual'!$A$5:$A$882&gt;=AN$3)*('PA Fees Actual'!$A$5:$A$882&lt;=EOMONTH(AN$3,0))*'PA Fees Actual'!$D$5:$D$882),AN$3&gt;=EOMONTH($X67,-1)+1,$Y67,TRUE,0)</f>
        <v>0</v>
      </c>
      <c r="AO67" s="202" cm="1">
        <f t="array" ref="AO67">_xlfn.IFS(AO$3&lt;$B$2,SUMPRODUCT(('PA Fees Actual'!$B$5:$B$882=$E67)*('PA Fees Actual'!$A$5:$A$882&gt;=AO$3)*('PA Fees Actual'!$A$5:$A$882&lt;=EOMONTH(AO$3,0))*'PA Fees Actual'!$D$5:$D$882),AO$3&gt;=EOMONTH($X67,-1)+1,$Y67,TRUE,0)</f>
        <v>0</v>
      </c>
      <c r="AP67" s="202" cm="1">
        <f t="array" ref="AP67">_xlfn.IFS(AP$3&lt;$B$2,SUMPRODUCT(('PA Fees Actual'!$B$5:$B$882=$E67)*('PA Fees Actual'!$A$5:$A$882&gt;=AP$3)*('PA Fees Actual'!$A$5:$A$882&lt;=EOMONTH(AP$3,0))*'PA Fees Actual'!$D$5:$D$882),AP$3&gt;=EOMONTH($X67,-1)+1,$Y67,TRUE,0)</f>
        <v>0</v>
      </c>
      <c r="AQ67" s="202" cm="1">
        <f t="array" ref="AQ67">_xlfn.IFS(AQ$3&lt;$B$2,SUMPRODUCT(('PA Fees Actual'!$B$5:$B$882=$E67)*('PA Fees Actual'!$A$5:$A$882&gt;=AQ$3)*('PA Fees Actual'!$A$5:$A$882&lt;=EOMONTH(AQ$3,0))*'PA Fees Actual'!$D$5:$D$882),AQ$3&gt;=EOMONTH($X67,-1)+1,$Y67,TRUE,0)</f>
        <v>0</v>
      </c>
      <c r="AR67" s="202" cm="1">
        <f t="array" ref="AR67">_xlfn.IFS(AR$3&lt;$B$2,SUMPRODUCT(('PA Fees Actual'!$B$5:$B$882=$E67)*('PA Fees Actual'!$A$5:$A$882&gt;=AR$3)*('PA Fees Actual'!$A$5:$A$882&lt;=EOMONTH(AR$3,0))*'PA Fees Actual'!$D$5:$D$882),AR$3&gt;=EOMONTH($X67,-1)+1,$Y67,TRUE,0)</f>
        <v>0</v>
      </c>
      <c r="AS67" s="202" cm="1">
        <f t="array" ref="AS67">_xlfn.IFS(AS$3&lt;$B$2,SUMPRODUCT(('PA Fees Actual'!$B$5:$B$882=$E67)*('PA Fees Actual'!$A$5:$A$882&gt;=AS$3)*('PA Fees Actual'!$A$5:$A$882&lt;=EOMONTH(AS$3,0))*'PA Fees Actual'!$D$5:$D$882),AS$3&gt;=EOMONTH($X67,-1)+1,$Y67,TRUE,0)</f>
        <v>0</v>
      </c>
      <c r="AT67" s="202" cm="1">
        <f t="array" ref="AT67">_xlfn.IFS(AT$3&lt;$B$2,SUMPRODUCT(('PA Fees Actual'!$B$5:$B$882=$E67)*('PA Fees Actual'!$A$5:$A$882&gt;=AT$3)*('PA Fees Actual'!$A$5:$A$882&lt;=EOMONTH(AT$3,0))*'PA Fees Actual'!$D$5:$D$882),AT$3&gt;=EOMONTH($X67,-1)+1,$Y67,TRUE,0)</f>
        <v>0</v>
      </c>
      <c r="AU67" s="202" cm="1">
        <f t="array" ref="AU67">_xlfn.IFS(AU$3&lt;$B$2,SUMPRODUCT(('PA Fees Actual'!$B$5:$B$882=$E67)*('PA Fees Actual'!$A$5:$A$882&gt;=AU$3)*('PA Fees Actual'!$A$5:$A$882&lt;=EOMONTH(AU$3,0))*'PA Fees Actual'!$D$5:$D$882),AU$3&gt;=EOMONTH($X67,-1)+1,$Y67,TRUE,0)</f>
        <v>0</v>
      </c>
      <c r="AV67" s="202" cm="1">
        <f t="array" ref="AV67">_xlfn.IFS(AV$3&lt;$B$2,SUMPRODUCT(('PA Fees Actual'!$B$5:$B$882=$E67)*('PA Fees Actual'!$A$5:$A$882&gt;=AV$3)*('PA Fees Actual'!$A$5:$A$882&lt;=EOMONTH(AV$3,0))*'PA Fees Actual'!$D$5:$D$882),AV$3&gt;=EOMONTH($X67,-1)+1,$Y67,TRUE,0)</f>
        <v>0</v>
      </c>
      <c r="AW67" s="202" cm="1">
        <f t="array" ref="AW67">_xlfn.IFS(AW$3&lt;$B$2,SUMPRODUCT(('PA Fees Actual'!$B$5:$B$882=$E67)*('PA Fees Actual'!$A$5:$A$882&gt;=AW$3)*('PA Fees Actual'!$A$5:$A$882&lt;=EOMONTH(AW$3,0))*'PA Fees Actual'!$D$5:$D$882),AW$3&gt;=EOMONTH($X67,-1)+1,$Y67,TRUE,0)</f>
        <v>0</v>
      </c>
      <c r="AX67" s="202" cm="1">
        <f t="array" ref="AX67">_xlfn.IFS(AX$3&lt;$B$2,SUMPRODUCT(('PA Fees Actual'!$B$5:$B$882=$E67)*('PA Fees Actual'!$A$5:$A$882&gt;=AX$3)*('PA Fees Actual'!$A$5:$A$882&lt;=EOMONTH(AX$3,0))*'PA Fees Actual'!$D$5:$D$882),AX$3&gt;=EOMONTH($X67,-1)+1,$Y67,TRUE,0)</f>
        <v>0</v>
      </c>
      <c r="AY67" s="202" cm="1">
        <f t="array" ref="AY67">_xlfn.IFS(AY$3&lt;$B$2,SUMPRODUCT(('PA Fees Actual'!$B$5:$B$882=$E67)*('PA Fees Actual'!$A$5:$A$882&gt;=AY$3)*('PA Fees Actual'!$A$5:$A$882&lt;=EOMONTH(AY$3,0))*'PA Fees Actual'!$D$5:$D$882),AY$3&gt;=EOMONTH($X67,-1)+1,$Y67,TRUE,0)</f>
        <v>0</v>
      </c>
      <c r="AZ67" s="202" cm="1">
        <f t="array" ref="AZ67">_xlfn.IFS(AZ$3&lt;$B$2,SUMPRODUCT(('PA Fees Actual'!$B$5:$B$882=$E67)*('PA Fees Actual'!$A$5:$A$882&gt;=AZ$3)*('PA Fees Actual'!$A$5:$A$882&lt;=EOMONTH(AZ$3,0))*'PA Fees Actual'!$D$5:$D$882),AZ$3&gt;=EOMONTH($X67,-1)+1,$Y67,TRUE,0)</f>
        <v>0</v>
      </c>
      <c r="BA67" s="202" cm="1">
        <f t="array" ref="BA67">_xlfn.IFS(BA$3&lt;$B$2,SUMPRODUCT(('PA Fees Actual'!$B$5:$B$882=$E67)*('PA Fees Actual'!$A$5:$A$882&gt;=BA$3)*('PA Fees Actual'!$A$5:$A$882&lt;=EOMONTH(BA$3,0))*'PA Fees Actual'!$D$5:$D$882),BA$3&gt;=EOMONTH($X67,-1)+1,$Y67,TRUE,0)</f>
        <v>0</v>
      </c>
      <c r="BB67" s="202" cm="1">
        <f t="array" ref="BB67">_xlfn.IFS(BB$3&lt;$B$2,SUMPRODUCT(('PA Fees Actual'!$B$5:$B$882=$E67)*('PA Fees Actual'!$A$5:$A$882&gt;=BB$3)*('PA Fees Actual'!$A$5:$A$882&lt;=EOMONTH(BB$3,0))*'PA Fees Actual'!$D$5:$D$882),BB$3&gt;=EOMONTH($X67,-1)+1,$Y67,TRUE,0)</f>
        <v>0</v>
      </c>
      <c r="BC67" s="202" cm="1">
        <f t="array" ref="BC67">_xlfn.IFS(BC$3&lt;$B$2,SUMPRODUCT(('PA Fees Actual'!$B$5:$B$882=$E67)*('PA Fees Actual'!$A$5:$A$882&gt;=BC$3)*('PA Fees Actual'!$A$5:$A$882&lt;=EOMONTH(BC$3,0))*'PA Fees Actual'!$D$5:$D$882),BC$3&gt;=EOMONTH($X67,-1)+1,$Y67,TRUE,0)</f>
        <v>0</v>
      </c>
      <c r="BD67" s="202" cm="1">
        <f t="array" ref="BD67">_xlfn.IFS(BD$3&lt;$B$2,SUMPRODUCT(('PA Fees Actual'!$B$5:$B$882=$E67)*('PA Fees Actual'!$A$5:$A$882&gt;=BD$3)*('PA Fees Actual'!$A$5:$A$882&lt;=EOMONTH(BD$3,0))*'PA Fees Actual'!$D$5:$D$882),BD$3&gt;=EOMONTH($X67,-1)+1,$Y67,TRUE,0)</f>
        <v>0</v>
      </c>
      <c r="BE67" s="202" cm="1">
        <f t="array" ref="BE67">_xlfn.IFS(BE$3&lt;$B$2,SUMPRODUCT(('PA Fees Actual'!$B$5:$B$882=$E67)*('PA Fees Actual'!$A$5:$A$882&gt;=BE$3)*('PA Fees Actual'!$A$5:$A$882&lt;=EOMONTH(BE$3,0))*'PA Fees Actual'!$D$5:$D$882),BE$3&gt;=EOMONTH($X67,-1)+1,$Y67,TRUE,0)</f>
        <v>0</v>
      </c>
      <c r="BF67" s="202" cm="1">
        <f t="array" ref="BF67">_xlfn.IFS(BF$3&lt;$B$2,SUMPRODUCT(('PA Fees Actual'!$B$5:$B$882=$E67)*('PA Fees Actual'!$A$5:$A$882&gt;=BF$3)*('PA Fees Actual'!$A$5:$A$882&lt;=EOMONTH(BF$3,0))*'PA Fees Actual'!$D$5:$D$882),BF$3&gt;=EOMONTH($X67,-1)+1,$Y67,TRUE,0)</f>
        <v>0</v>
      </c>
      <c r="BG67" s="202" cm="1">
        <f t="array" ref="BG67">_xlfn.IFS(BG$3&lt;$B$2,SUMPRODUCT(('PA Fees Actual'!$B$5:$B$882=$E67)*('PA Fees Actual'!$A$5:$A$882&gt;=BG$3)*('PA Fees Actual'!$A$5:$A$882&lt;=EOMONTH(BG$3,0))*'PA Fees Actual'!$D$5:$D$882),BG$3&gt;=EOMONTH($X67,-1)+1,$Y67,TRUE,0)</f>
        <v>0</v>
      </c>
      <c r="BH67" s="202" cm="1">
        <f t="array" ref="BH67">_xlfn.IFS(BH$3&lt;$B$2,SUMPRODUCT(('PA Fees Actual'!$B$5:$B$882=$E67)*('PA Fees Actual'!$A$5:$A$882&gt;=BH$3)*('PA Fees Actual'!$A$5:$A$882&lt;=EOMONTH(BH$3,0))*'PA Fees Actual'!$D$5:$D$882),BH$3&gt;=EOMONTH($X67,-1)+1,$Y67,TRUE,0)</f>
        <v>0</v>
      </c>
      <c r="BI67" s="202" cm="1">
        <f t="array" ref="BI67">_xlfn.IFS(BI$3&lt;$B$2,SUMPRODUCT(('PA Fees Actual'!$B$5:$B$882=$E67)*('PA Fees Actual'!$A$5:$A$882&gt;=BI$3)*('PA Fees Actual'!$A$5:$A$882&lt;=EOMONTH(BI$3,0))*'PA Fees Actual'!$D$5:$D$882),BI$3&gt;=EOMONTH($X67,-1)+1,$Y67,TRUE,0)</f>
        <v>0</v>
      </c>
      <c r="BJ67" s="202" cm="1">
        <f t="array" ref="BJ67">_xlfn.IFS(BJ$3&lt;$B$2,SUMPRODUCT(('PA Fees Actual'!$B$5:$B$882=$E67)*('PA Fees Actual'!$A$5:$A$882&gt;=BJ$3)*('PA Fees Actual'!$A$5:$A$882&lt;=EOMONTH(BJ$3,0))*'PA Fees Actual'!$D$5:$D$882),BJ$3&gt;=EOMONTH($X67,-1)+1,$Y67,TRUE,0)</f>
        <v>0</v>
      </c>
      <c r="BK67" s="202" cm="1">
        <f t="array" ref="BK67">_xlfn.IFS(BK$3&lt;$B$2,SUMPRODUCT(('PA Fees Actual'!$B$5:$B$882=$E67)*('PA Fees Actual'!$A$5:$A$882&gt;=BK$3)*('PA Fees Actual'!$A$5:$A$882&lt;=EOMONTH(BK$3,0))*'PA Fees Actual'!$D$5:$D$882),BK$3&gt;=EOMONTH($X67,-1)+1,$Y67,TRUE,0)</f>
        <v>0</v>
      </c>
      <c r="BL67" s="202" cm="1">
        <f t="array" ref="BL67">_xlfn.IFS(BL$3&lt;$B$2,SUMPRODUCT(('PA Fees Actual'!$B$5:$B$882=$E67)*('PA Fees Actual'!$A$5:$A$882&gt;=BL$3)*('PA Fees Actual'!$A$5:$A$882&lt;=EOMONTH(BL$3,0))*'PA Fees Actual'!$D$5:$D$882),BL$3&gt;=EOMONTH($X67,-1)+1,$Y67,TRUE,0)</f>
        <v>0</v>
      </c>
      <c r="BM67" s="202" cm="1">
        <f t="array" ref="BM67">_xlfn.IFS(BM$3&lt;$B$2,SUMPRODUCT(('PA Fees Actual'!$B$5:$B$882=$E67)*('PA Fees Actual'!$A$5:$A$882&gt;=BM$3)*('PA Fees Actual'!$A$5:$A$882&lt;=EOMONTH(BM$3,0))*'PA Fees Actual'!$D$5:$D$882),BM$3&gt;=EOMONTH($X67,-1)+1,$Y67,TRUE,0)</f>
        <v>0</v>
      </c>
      <c r="BN67" s="202" cm="1">
        <f t="array" ref="BN67">_xlfn.IFS(BN$3&lt;$B$2,SUMPRODUCT(('PA Fees Actual'!$B$5:$B$882=$E67)*('PA Fees Actual'!$A$5:$A$882&gt;=BN$3)*('PA Fees Actual'!$A$5:$A$882&lt;=EOMONTH(BN$3,0))*'PA Fees Actual'!$D$5:$D$882),BN$3&gt;=EOMONTH($X67,-1)+1,$Y67,TRUE,0)</f>
        <v>0</v>
      </c>
      <c r="BO67" s="202" cm="1">
        <f t="array" ref="BO67">_xlfn.IFS(BO$3&lt;$B$2,SUMPRODUCT(('PA Fees Actual'!$B$5:$B$882=$E67)*('PA Fees Actual'!$A$5:$A$882&gt;=BO$3)*('PA Fees Actual'!$A$5:$A$882&lt;=EOMONTH(BO$3,0))*'PA Fees Actual'!$D$5:$D$882),BO$3&gt;=EOMONTH($X67,-1)+1,$Y67,TRUE,0)</f>
        <v>0</v>
      </c>
      <c r="BP67" s="202" cm="1">
        <f t="array" ref="BP67">_xlfn.IFS(BP$3&lt;$B$2,SUMPRODUCT(('PA Fees Actual'!$B$5:$B$882=$E67)*('PA Fees Actual'!$A$5:$A$882&gt;=BP$3)*('PA Fees Actual'!$A$5:$A$882&lt;=EOMONTH(BP$3,0))*'PA Fees Actual'!$D$5:$D$882),BP$3&gt;=EOMONTH($X67,-1)+1,$Y67,TRUE,0)</f>
        <v>0</v>
      </c>
      <c r="BQ67" s="202" cm="1">
        <f t="array" ref="BQ67">_xlfn.IFS(BQ$3&lt;$B$2,SUMPRODUCT(('PA Fees Actual'!$B$5:$B$882=$E67)*('PA Fees Actual'!$A$5:$A$882&gt;=BQ$3)*('PA Fees Actual'!$A$5:$A$882&lt;=EOMONTH(BQ$3,0))*'PA Fees Actual'!$D$5:$D$882),BQ$3&gt;=EOMONTH($X67,-1)+1,$Y67,TRUE,0)</f>
        <v>0</v>
      </c>
      <c r="BR67" s="202" cm="1">
        <f t="array" ref="BR67">_xlfn.IFS(BR$3&lt;$B$2,SUMPRODUCT(('PA Fees Actual'!$B$5:$B$882=$E67)*('PA Fees Actual'!$A$5:$A$882&gt;=BR$3)*('PA Fees Actual'!$A$5:$A$882&lt;=EOMONTH(BR$3,0))*'PA Fees Actual'!$D$5:$D$882),BR$3&gt;=EOMONTH($X67,-1)+1,$Y67,TRUE,0)</f>
        <v>0</v>
      </c>
      <c r="BS67" s="202" cm="1">
        <f t="array" ref="BS67">_xlfn.IFS(BS$3&lt;$B$2,SUMPRODUCT(('PA Fees Actual'!$B$5:$B$882=$E67)*('PA Fees Actual'!$A$5:$A$882&gt;=BS$3)*('PA Fees Actual'!$A$5:$A$882&lt;=EOMONTH(BS$3,0))*'PA Fees Actual'!$D$5:$D$882),BS$3&gt;=EOMONTH($X67,-1)+1,$Y67,TRUE,0)</f>
        <v>0</v>
      </c>
      <c r="BT67" s="202" cm="1">
        <f t="array" ref="BT67">_xlfn.IFS(BT$3&lt;$B$2,SUMPRODUCT(('PA Fees Actual'!$B$5:$B$882=$E67)*('PA Fees Actual'!$A$5:$A$882&gt;=BT$3)*('PA Fees Actual'!$A$5:$A$882&lt;=EOMONTH(BT$3,0))*'PA Fees Actual'!$D$5:$D$882),BT$3&gt;=EOMONTH($X67,-1)+1,$Y67,TRUE,0)</f>
        <v>0</v>
      </c>
      <c r="BU67" s="202" cm="1">
        <f t="array" ref="BU67">_xlfn.IFS(BU$3&lt;$B$2,SUMPRODUCT(('PA Fees Actual'!$B$5:$B$882=$E67)*('PA Fees Actual'!$A$5:$A$882&gt;=BU$3)*('PA Fees Actual'!$A$5:$A$882&lt;=EOMONTH(BU$3,0))*'PA Fees Actual'!$D$5:$D$882),BU$3&gt;=EOMONTH($X67,-1)+1,$Y67,TRUE,0)</f>
        <v>0</v>
      </c>
      <c r="BV67" s="202" cm="1">
        <f t="array" ref="BV67">_xlfn.IFS(BV$3&lt;$B$2,SUMPRODUCT(('PA Fees Actual'!$B$5:$B$882=$E67)*('PA Fees Actual'!$A$5:$A$882&gt;=BV$3)*('PA Fees Actual'!$A$5:$A$882&lt;=EOMONTH(BV$3,0))*'PA Fees Actual'!$D$5:$D$882),BV$3&gt;=EOMONTH($X67,-1)+1,$Y67,TRUE,0)</f>
        <v>0</v>
      </c>
      <c r="BW67" s="202" cm="1">
        <f t="array" ref="BW67">_xlfn.IFS(BW$3&lt;$B$2,SUMPRODUCT(('PA Fees Actual'!$B$5:$B$882=$E67)*('PA Fees Actual'!$A$5:$A$882&gt;=BW$3)*('PA Fees Actual'!$A$5:$A$882&lt;=EOMONTH(BW$3,0))*'PA Fees Actual'!$D$5:$D$882),BW$3&gt;=EOMONTH($X67,-1)+1,$Y67,TRUE,0)</f>
        <v>0</v>
      </c>
      <c r="BX67" s="202" cm="1">
        <f t="array" ref="BX67">_xlfn.IFS(BX$3&lt;$B$2,SUMPRODUCT(('PA Fees Actual'!$B$5:$B$882=$E67)*('PA Fees Actual'!$A$5:$A$882&gt;=BX$3)*('PA Fees Actual'!$A$5:$A$882&lt;=EOMONTH(BX$3,0))*'PA Fees Actual'!$D$5:$D$882),BX$3&gt;=EOMONTH($X67,-1)+1,$Y67,TRUE,0)</f>
        <v>0</v>
      </c>
      <c r="BY67" s="202" cm="1">
        <f t="array" ref="BY67">_xlfn.IFS(BY$3&lt;$B$2,SUMPRODUCT(('PA Fees Actual'!$B$5:$B$882=$E67)*('PA Fees Actual'!$A$5:$A$882&gt;=BY$3)*('PA Fees Actual'!$A$5:$A$882&lt;=EOMONTH(BY$3,0))*'PA Fees Actual'!$D$5:$D$882),BY$3&gt;=EOMONTH($X67,-1)+1,$Y67,TRUE,0)</f>
        <v>0</v>
      </c>
      <c r="BZ67" s="202" cm="1">
        <f t="array" ref="BZ67">_xlfn.IFS(BZ$3&lt;$B$2,SUMPRODUCT(('PA Fees Actual'!$B$5:$B$882=$E67)*('PA Fees Actual'!$A$5:$A$882&gt;=BZ$3)*('PA Fees Actual'!$A$5:$A$882&lt;=EOMONTH(BZ$3,0))*'PA Fees Actual'!$D$5:$D$882),BZ$3&gt;=EOMONTH($X67,-1)+1,$Y67,TRUE,0)</f>
        <v>0</v>
      </c>
      <c r="CA67" s="202" cm="1">
        <f t="array" ref="CA67">_xlfn.IFS(CA$3&lt;$B$2,SUMPRODUCT(('PA Fees Actual'!$B$5:$B$882=$E67)*('PA Fees Actual'!$A$5:$A$882&gt;=CA$3)*('PA Fees Actual'!$A$5:$A$882&lt;=EOMONTH(CA$3,0))*'PA Fees Actual'!$D$5:$D$882),CA$3&gt;=EOMONTH($X67,-1)+1,$Y67,TRUE,0)</f>
        <v>0</v>
      </c>
      <c r="CB67" s="202" cm="1">
        <f t="array" ref="CB67">_xlfn.IFS(CB$3&lt;$B$2,SUMPRODUCT(('PA Fees Actual'!$B$5:$B$749=$E67)*('PA Fees Actual'!$A$5:$A$749&gt;=CB$3)*('PA Fees Actual'!$A$5:$A$749&lt;=EOMONTH(CB$3,0))*'PA Fees Actual'!$D$5:$D$749),CB$3&gt;=EOMONTH($X67,-1)+1,$Y67,TRUE,0)</f>
        <v>0</v>
      </c>
      <c r="CC67" s="202" cm="1">
        <f t="array" ref="CC67">_xlfn.IFS(CC$3&lt;$B$2,SUMPRODUCT(('PA Fees Actual'!$B$5:$B$749=$E67)*('PA Fees Actual'!$A$5:$A$749&gt;=CC$3)*('PA Fees Actual'!$A$5:$A$749&lt;=EOMONTH(CC$3,0))*'PA Fees Actual'!$D$5:$D$749),CC$3&gt;=EOMONTH($X67,-1)+1,$Y67,TRUE,0)</f>
        <v>0</v>
      </c>
      <c r="CD67" s="202" cm="1">
        <f t="array" ref="CD67">_xlfn.IFS(CD$3&lt;$B$2,SUMPRODUCT(('PA Fees Actual'!$B$5:$B$749=$E67)*('PA Fees Actual'!$A$5:$A$749&gt;=CD$3)*('PA Fees Actual'!$A$5:$A$749&lt;=EOMONTH(CD$3,0))*'PA Fees Actual'!$D$5:$D$749),CD$3&gt;=EOMONTH($X67,-1)+1,$Y67,TRUE,0)</f>
        <v>0</v>
      </c>
      <c r="CE67" s="202" cm="1">
        <f t="array" ref="CE67">_xlfn.IFS(CE$3&lt;$B$2,SUMPRODUCT(('PA Fees Actual'!$B$5:$B$749=$E67)*('PA Fees Actual'!$A$5:$A$749&gt;=CE$3)*('PA Fees Actual'!$A$5:$A$749&lt;=EOMONTH(CE$3,0))*'PA Fees Actual'!$D$5:$D$749),CE$3&gt;=EOMONTH($X67,-1)+1,$Y67,TRUE,0)</f>
        <v>0</v>
      </c>
      <c r="CF67" s="202" cm="1">
        <f t="array" ref="CF67">_xlfn.IFS(CF$3&lt;$B$2,SUMPRODUCT(('PA Fees Actual'!$B$5:$B$749=$E67)*('PA Fees Actual'!$A$5:$A$749&gt;=CF$3)*('PA Fees Actual'!$A$5:$A$749&lt;=EOMONTH(CF$3,0))*'PA Fees Actual'!$D$5:$D$749),CF$3&gt;=EOMONTH($X67,-1)+1,$Y67,TRUE,0)</f>
        <v>0</v>
      </c>
      <c r="CG67" s="202" cm="1">
        <f t="array" ref="CG67">_xlfn.IFS(CG$3&lt;$B$2,SUMPRODUCT(('PA Fees Actual'!$B$5:$B$749=$E67)*('PA Fees Actual'!$A$5:$A$749&gt;=CG$3)*('PA Fees Actual'!$A$5:$A$749&lt;=EOMONTH(CG$3,0))*'PA Fees Actual'!$D$5:$D$749),CG$3&gt;=EOMONTH($X67,-1)+1,$Y67,TRUE,0)</f>
        <v>0</v>
      </c>
      <c r="CI67" s="202" cm="1">
        <f t="array" ref="CI67">_xlfn.IFS(CI$3&lt;=YEAR($B$2),SUMPRODUCT(($E$4:$E$79=$E67)*($Z$2:$CG$2=CI$3)*($Z$2:$CG$2&lt;CJ$3)*$Z$4:$CG$79),CI$3&lt;YEAR($X67),0,CI$3=YEAR($X67),DATEDIF($X67,DATE(CI$3,12,31),"m")*$Y67,AND(CI$3&gt;YEAR($X67),CI$3-YEAR($X67)&lt;20),$Y67*12,CI$3-YEAR($X67)=20,DATEDIF(DATE(YEAR($X67),1,1),$X67,"m")*$Y67,CI$3-YEAR($X67)&gt;20,0)</f>
        <v>0</v>
      </c>
      <c r="CJ67" s="202" cm="1">
        <f t="array" ref="CJ67">_xlfn.IFS(CJ$3&lt;=YEAR($B$2),SUMPRODUCT(($E$4:$E$79=$E67)*($Z$2:$CG$2=CJ$3)*($Z$2:$CG$2&lt;CK$3)*$Z$4:$CG$79),CJ$3&lt;YEAR($X67),0,CJ$3=YEAR($X67),DATEDIF($X67,DATE(CJ$3,12,31),"m")*$Y67,AND(CJ$3&gt;YEAR($X67),CJ$3-YEAR($X67)&lt;20),$Y67*12,CJ$3-YEAR($X67)=20,DATEDIF(DATE(YEAR($X67),1,1),$X67,"m")*$Y67,CJ$3-YEAR($X67)&gt;20,0)</f>
        <v>0</v>
      </c>
      <c r="CK67" s="202" cm="1">
        <f t="array" ref="CK67">_xlfn.IFS(CK$3&lt;=YEAR($B$2),SUMPRODUCT(($E$4:$E$79=$E67)*($Z$2:$CG$2=CK$3)*($Z$2:$CG$2&lt;CL$3)*$Z$4:$CG$79),CK$3&lt;YEAR($X67),0,CK$3=YEAR($X67),DATEDIF($X67,DATE(CK$3,12,31),"m")*$Y67,AND(CK$3&gt;YEAR($X67),CK$3-YEAR($X67)&lt;20),$Y67*12,CK$3-YEAR($X67)=20,DATEDIF(DATE(YEAR($X67),1,1),$X67,"m")*$Y67,CK$3-YEAR($X67)&gt;20,0)</f>
        <v>0</v>
      </c>
      <c r="CL67" s="202" cm="1">
        <f t="array" ref="CL67">_xlfn.IFS(CL$3&lt;=YEAR($B$2),SUMPRODUCT(($E$4:$E$79=$E67)*($Z$2:$CG$2=CL$3)*($Z$2:$CG$2&lt;CM$3)*$Z$4:$CG$79),CL$3&lt;YEAR($X67),0,CL$3=YEAR($X67),DATEDIF($X67,DATE(CL$3,12,31),"m")*$Y67,AND(CL$3&gt;YEAR($X67),CL$3-YEAR($X67)&lt;20),$Y67*12,CL$3-YEAR($X67)=20,DATEDIF(DATE(YEAR($X67),1,1),$X67,"m")*$Y67,CL$3-YEAR($X67)&gt;20,0)</f>
        <v>0</v>
      </c>
      <c r="CM67" s="202" cm="1">
        <f t="array" ref="CM67">_xlfn.IFS(CM$3&lt;=YEAR($B$2),SUMPRODUCT(($E$4:$E$79=$E67)*($Z$2:$CG$2=CM$3)*($Z$2:$CG$2&lt;CN$3)*$Z$4:$CG$79),CM$3&lt;YEAR($X67),0,CM$3=YEAR($X67),DATEDIF($X67,DATE(CM$3,12,31),"m")*$Y67,AND(CM$3&gt;YEAR($X67),CM$3-YEAR($X67)&lt;20),$Y67*12,CM$3-YEAR($X67)=20,DATEDIF(DATE(YEAR($X67),1,1),$X67,"m")*$Y67,CM$3-YEAR($X67)&gt;20,0)</f>
        <v>0</v>
      </c>
      <c r="CN67" s="202" cm="1">
        <f t="array" ref="CN67">_xlfn.IFS(CN$3&lt;=YEAR($B$2),SUMPRODUCT(($E$4:$E$79=$E67)*($Z$2:$CG$2=CN$3)*($Z$2:$CG$2&lt;CO$3)*$Z$4:$CG$79),CN$3&lt;YEAR($X67),0,CN$3=YEAR($X67),DATEDIF($X67,DATE(CN$3,12,31),"m")*$Y67,AND(CN$3&gt;YEAR($X67),CN$3-YEAR($X67)&lt;20),$Y67*12,CN$3-YEAR($X67)=20,DATEDIF(DATE(YEAR($X67),1,1),$X67,"m")*$Y67,CN$3-YEAR($X67)&gt;20,0)</f>
        <v>0</v>
      </c>
      <c r="CO67" s="202" cm="1">
        <f t="array" ref="CO67">_xlfn.IFS(CO$3&lt;=YEAR($B$2),SUMPRODUCT(($E$4:$E$79=$E67)*($Z$2:$CG$2=CO$3)*($Z$2:$CG$2&lt;CP$3)*$Z$4:$CG$79),CO$3&lt;YEAR($X67),0,CO$3=YEAR($X67),DATEDIF($X67,DATE(CO$3,12,31),"m")*$Y67,AND(CO$3&gt;YEAR($X67),CO$3-YEAR($X67)&lt;20),$Y67*12,CO$3-YEAR($X67)=20,DATEDIF(DATE(YEAR($X67),1,1),$X67,"m")*$Y67,CO$3-YEAR($X67)&gt;20,0)</f>
        <v>5785.3125</v>
      </c>
      <c r="CP67" s="202" cm="1">
        <f t="array" ref="CP67">_xlfn.IFS(CP$3&lt;=YEAR($B$2),SUMPRODUCT(($E$4:$E$79=$E67)*($Z$2:$CG$2=CP$3)*($Z$2:$CG$2&lt;CQ$3)*$Z$4:$CG$79),CP$3&lt;YEAR($X67),0,CP$3=YEAR($X67),DATEDIF($X67,DATE(CP$3,12,31),"m")*$Y67,AND(CP$3&gt;YEAR($X67),CP$3-YEAR($X67)&lt;20),$Y67*12,CP$3-YEAR($X67)=20,DATEDIF(DATE(YEAR($X67),1,1),$X67,"m")*$Y67,CP$3-YEAR($X67)&gt;20,0)</f>
        <v>6311.25</v>
      </c>
      <c r="CQ67" s="202" cm="1">
        <f t="array" ref="CQ67">_xlfn.IFS(CQ$3&lt;=YEAR($B$2),SUMPRODUCT(($E$4:$E$79=$E67)*($Z$2:$CG$2=CQ$3)*($Z$2:$CG$2&lt;CR$3)*$Z$4:$CG$79),CQ$3&lt;YEAR($X67),0,CQ$3=YEAR($X67),DATEDIF($X67,DATE(CQ$3,12,31),"m")*$Y67,AND(CQ$3&gt;YEAR($X67),CQ$3-YEAR($X67)&lt;20),$Y67*12,CQ$3-YEAR($X67)=20,DATEDIF(DATE(YEAR($X67),1,1),$X67,"m")*$Y67,CQ$3-YEAR($X67)&gt;20,0)</f>
        <v>6311.25</v>
      </c>
      <c r="CR67" s="202" cm="1">
        <f t="array" ref="CR67">_xlfn.IFS(CR$3&lt;=YEAR($B$2),SUMPRODUCT(($E$4:$E$79=$E67)*($Z$2:$CG$2=CR$3)*($Z$2:$CG$2&lt;CS$3)*$Z$4:$CG$79),CR$3&lt;YEAR($X67),0,CR$3=YEAR($X67),DATEDIF($X67,DATE(CR$3,12,31),"m")*$Y67,AND(CR$3&gt;YEAR($X67),CR$3-YEAR($X67)&lt;20),$Y67*12,CR$3-YEAR($X67)=20,DATEDIF(DATE(YEAR($X67),1,1),$X67,"m")*$Y67,CR$3-YEAR($X67)&gt;20,0)</f>
        <v>6311.25</v>
      </c>
      <c r="CS67" s="202" cm="1">
        <f t="array" ref="CS67">_xlfn.IFS(CS$3&lt;=YEAR($B$2),SUMPRODUCT(($E$4:$E$79=$E67)*($Z$2:$CG$2=CS$3)*($Z$2:$CG$2&lt;CT$3)*$Z$4:$CG$79),CS$3&lt;YEAR($X67),0,CS$3=YEAR($X67),DATEDIF($X67,DATE(CS$3,12,31),"m")*$Y67,AND(CS$3&gt;YEAR($X67),CS$3-YEAR($X67)&lt;20),$Y67*12,CS$3-YEAR($X67)=20,DATEDIF(DATE(YEAR($X67),1,1),$X67,"m")*$Y67,CS$3-YEAR($X67)&gt;20,0)</f>
        <v>6311.25</v>
      </c>
      <c r="CT67" s="202" cm="1">
        <f t="array" ref="CT67">_xlfn.IFS(CT$3&lt;=YEAR($B$2),SUMPRODUCT(($E$4:$E$79=$E67)*($Z$2:$CG$2=CT$3)*($Z$2:$CG$2&lt;CU$3)*$Z$4:$CG$79),CT$3&lt;YEAR($X67),0,CT$3=YEAR($X67),DATEDIF($X67,DATE(CT$3,12,31),"m")*$Y67,AND(CT$3&gt;YEAR($X67),CT$3-YEAR($X67)&lt;20),$Y67*12,CT$3-YEAR($X67)=20,DATEDIF(DATE(YEAR($X67),1,1),$X67,"m")*$Y67,CT$3-YEAR($X67)&gt;20,0)</f>
        <v>6311.25</v>
      </c>
      <c r="CU67" s="202" cm="1">
        <f t="array" ref="CU67">_xlfn.IFS(CU$3&lt;=YEAR($B$2),SUMPRODUCT(($E$4:$E$79=$E67)*($Z$2:$CG$2=CU$3)*($Z$2:$CG$2&lt;CV$3)*$Z$4:$CG$79),CU$3&lt;YEAR($X67),0,CU$3=YEAR($X67),DATEDIF($X67,DATE(CU$3,12,31),"m")*$Y67,AND(CU$3&gt;YEAR($X67),CU$3-YEAR($X67)&lt;20),$Y67*12,CU$3-YEAR($X67)=20,DATEDIF(DATE(YEAR($X67),1,1),$X67,"m")*$Y67,CU$3-YEAR($X67)&gt;20,0)</f>
        <v>6311.25</v>
      </c>
      <c r="CV67" s="202" cm="1">
        <f t="array" ref="CV67">_xlfn.IFS(CV$3&lt;=YEAR($B$2),SUMPRODUCT(($E$4:$E$79=$E67)*($Z$2:$CG$2=CV$3)*($Z$2:$CG$2&lt;CW$3)*$Z$4:$CG$79),CV$3&lt;YEAR($X67),0,CV$3=YEAR($X67),DATEDIF($X67,DATE(CV$3,12,31),"m")*$Y67,AND(CV$3&gt;YEAR($X67),CV$3-YEAR($X67)&lt;20),$Y67*12,CV$3-YEAR($X67)=20,DATEDIF(DATE(YEAR($X67),1,1),$X67,"m")*$Y67,CV$3-YEAR($X67)&gt;20,0)</f>
        <v>6311.25</v>
      </c>
      <c r="CW67" s="202" cm="1">
        <f t="array" ref="CW67">_xlfn.IFS(CW$3&lt;=YEAR($B$2),SUMPRODUCT(($E$4:$E$79=$E67)*($Z$2:$CG$2=CW$3)*($Z$2:$CG$2&lt;CX$3)*$Z$4:$CG$79),CW$3&lt;YEAR($X67),0,CW$3=YEAR($X67),DATEDIF($X67,DATE(CW$3,12,31),"m")*$Y67,AND(CW$3&gt;YEAR($X67),CW$3-YEAR($X67)&lt;20),$Y67*12,CW$3-YEAR($X67)=20,DATEDIF(DATE(YEAR($X67),1,1),$X67,"m")*$Y67,CW$3-YEAR($X67)&gt;20,0)</f>
        <v>6311.25</v>
      </c>
      <c r="CX67" s="202" cm="1">
        <f t="array" ref="CX67">_xlfn.IFS(CX$3&lt;=YEAR($B$2),SUMPRODUCT(($E$4:$E$79=$E67)*($Z$2:$CG$2=CX$3)*($Z$2:$CG$2&lt;CY$3)*$Z$4:$CG$79),CX$3&lt;YEAR($X67),0,CX$3=YEAR($X67),DATEDIF($X67,DATE(CX$3,12,31),"m")*$Y67,AND(CX$3&gt;YEAR($X67),CX$3-YEAR($X67)&lt;20),$Y67*12,CX$3-YEAR($X67)=20,DATEDIF(DATE(YEAR($X67),1,1),$X67,"m")*$Y67,CX$3-YEAR($X67)&gt;20,0)</f>
        <v>6311.25</v>
      </c>
      <c r="CY67" s="202" cm="1">
        <f t="array" ref="CY67">_xlfn.IFS(CY$3&lt;=YEAR($B$2),SUMPRODUCT(($E$4:$E$79=$E67)*($Z$2:$CG$2=CY$3)*($Z$2:$CG$2&lt;CZ$3)*$Z$4:$CG$79),CY$3&lt;YEAR($X67),0,CY$3=YEAR($X67),DATEDIF($X67,DATE(CY$3,12,31),"m")*$Y67,AND(CY$3&gt;YEAR($X67),CY$3-YEAR($X67)&lt;20),$Y67*12,CY$3-YEAR($X67)=20,DATEDIF(DATE(YEAR($X67),1,1),$X67,"m")*$Y67,CY$3-YEAR($X67)&gt;20,0)</f>
        <v>6311.25</v>
      </c>
      <c r="CZ67" s="202" cm="1">
        <f t="array" ref="CZ67">_xlfn.IFS(CZ$3&lt;=YEAR($B$2),SUMPRODUCT(($E$4:$E$79=$E67)*($Z$2:$CG$2=CZ$3)*($Z$2:$CG$2&lt;DA$3)*$Z$4:$CG$79),CZ$3&lt;YEAR($X67),0,CZ$3=YEAR($X67),DATEDIF($X67,DATE(CZ$3,12,31),"m")*$Y67,AND(CZ$3&gt;YEAR($X67),CZ$3-YEAR($X67)&lt;20),$Y67*12,CZ$3-YEAR($X67)=20,DATEDIF(DATE(YEAR($X67),1,1),$X67,"m")*$Y67,CZ$3-YEAR($X67)&gt;20,0)</f>
        <v>6311.25</v>
      </c>
      <c r="DA67" s="202" cm="1">
        <f t="array" ref="DA67">_xlfn.IFS(DA$3&lt;=YEAR($B$2),SUMPRODUCT(($E$4:$E$79=$E67)*($Z$2:$CG$2=DA$3)*($Z$2:$CG$2&lt;DB$3)*$Z$4:$CG$79),DA$3&lt;YEAR($X67),0,DA$3=YEAR($X67),DATEDIF($X67,DATE(DA$3,12,31),"m")*$Y67,AND(DA$3&gt;YEAR($X67),DA$3-YEAR($X67)&lt;20),$Y67*12,DA$3-YEAR($X67)=20,DATEDIF(DATE(YEAR($X67),1,1),$X67,"m")*$Y67,DA$3-YEAR($X67)&gt;20,0)</f>
        <v>6311.25</v>
      </c>
      <c r="DB67" s="202" cm="1">
        <f t="array" ref="DB67">_xlfn.IFS(DB$3&lt;=YEAR($B$2),SUMPRODUCT(($E$4:$E$79=$E67)*($Z$2:$CG$2=DB$3)*($Z$2:$CG$2&lt;DC$3)*$Z$4:$CG$79),DB$3&lt;YEAR($X67),0,DB$3=YEAR($X67),DATEDIF($X67,DATE(DB$3,12,31),"m")*$Y67,AND(DB$3&gt;YEAR($X67),DB$3-YEAR($X67)&lt;20),$Y67*12,DB$3-YEAR($X67)=20,DATEDIF(DATE(YEAR($X67),1,1),$X67,"m")*$Y67,DB$3-YEAR($X67)&gt;20,0)</f>
        <v>6311.25</v>
      </c>
      <c r="DC67" s="202" cm="1">
        <f t="array" ref="DC67">_xlfn.IFS(DC$3&lt;=YEAR($B$2),SUMPRODUCT(($E$4:$E$79=$E67)*($Z$2:$CG$2=DC$3)*($Z$2:$CG$2&lt;DD$3)*$Z$4:$CG$79),DC$3&lt;YEAR($X67),0,DC$3=YEAR($X67),DATEDIF($X67,DATE(DC$3,12,31),"m")*$Y67,AND(DC$3&gt;YEAR($X67),DC$3-YEAR($X67)&lt;20),$Y67*12,DC$3-YEAR($X67)=20,DATEDIF(DATE(YEAR($X67),1,1),$X67,"m")*$Y67,DC$3-YEAR($X67)&gt;20,0)</f>
        <v>6311.25</v>
      </c>
      <c r="DD67" s="202" cm="1">
        <f t="array" ref="DD67">_xlfn.IFS(DD$3&lt;=YEAR($B$2),SUMPRODUCT(($E$4:$E$79=$E67)*($Z$2:$CG$2=DD$3)*($Z$2:$CG$2&lt;DE$3)*$Z$4:$CG$79),DD$3&lt;YEAR($X67),0,DD$3=YEAR($X67),DATEDIF($X67,DATE(DD$3,12,31),"m")*$Y67,AND(DD$3&gt;YEAR($X67),DD$3-YEAR($X67)&lt;20),$Y67*12,DD$3-YEAR($X67)=20,DATEDIF(DATE(YEAR($X67),1,1),$X67,"m")*$Y67,DD$3-YEAR($X67)&gt;20,0)</f>
        <v>6311.25</v>
      </c>
      <c r="DE67" s="202" cm="1">
        <f t="array" ref="DE67">_xlfn.IFS(DE$3&lt;=YEAR($B$2),SUMPRODUCT(($E$4:$E$79=$E67)*($Z$2:$CG$2=DE$3)*($Z$2:$CG$2&lt;DF$3)*$Z$4:$CG$79),DE$3&lt;YEAR($X67),0,DE$3=YEAR($X67),DATEDIF($X67,DATE(DE$3,12,31),"m")*$Y67,AND(DE$3&gt;YEAR($X67),DE$3-YEAR($X67)&lt;20),$Y67*12,DE$3-YEAR($X67)=20,DATEDIF(DATE(YEAR($X67),1,1),$X67,"m")*$Y67,DE$3-YEAR($X67)&gt;20,0)</f>
        <v>6311.25</v>
      </c>
      <c r="DF67" s="202" cm="1">
        <f t="array" ref="DF67">_xlfn.IFS(DF$3&lt;=YEAR($B$2),SUMPRODUCT(($E$4:$E$79=$E67)*($Z$2:$CG$2=DF$3)*($Z$2:$CG$2&lt;DG$3)*$Z$4:$CG$79),DF$3&lt;YEAR($X67),0,DF$3=YEAR($X67),DATEDIF($X67,DATE(DF$3,12,31),"m")*$Y67,AND(DF$3&gt;YEAR($X67),DF$3-YEAR($X67)&lt;20),$Y67*12,DF$3-YEAR($X67)=20,DATEDIF(DATE(YEAR($X67),1,1),$X67,"m")*$Y67,DF$3-YEAR($X67)&gt;20,0)</f>
        <v>6311.25</v>
      </c>
      <c r="DG67" s="202" cm="1">
        <f t="array" ref="DG67">_xlfn.IFS(DG$3&lt;=YEAR($B$2),SUMPRODUCT(($E$4:$E$79=$E67)*($Z$2:$CG$2=DG$3)*($Z$2:$CG$2&lt;DH$3)*$Z$4:$CG$79),DG$3&lt;YEAR($X67),0,DG$3=YEAR($X67),DATEDIF($X67,DATE(DG$3,12,31),"m")*$Y67,AND(DG$3&gt;YEAR($X67),DG$3-YEAR($X67)&lt;20),$Y67*12,DG$3-YEAR($X67)=20,DATEDIF(DATE(YEAR($X67),1,1),$X67,"m")*$Y67,DG$3-YEAR($X67)&gt;20,0)</f>
        <v>6311.25</v>
      </c>
      <c r="DH67" s="202" cm="1">
        <f t="array" ref="DH67">_xlfn.IFS(DH$3&lt;=YEAR($B$2),SUMPRODUCT(($E$4:$E$79=$E67)*($Z$2:$CG$2=DH$3)*($Z$2:$CG$2&lt;DI$3)*$Z$4:$CG$79),DH$3&lt;YEAR($X67),0,DH$3=YEAR($X67),DATEDIF($X67,DATE(DH$3,12,31),"m")*$Y67,AND(DH$3&gt;YEAR($X67),DH$3-YEAR($X67)&lt;20),$Y67*12,DH$3-YEAR($X67)=20,DATEDIF(DATE(YEAR($X67),1,1),$X67,"m")*$Y67,DH$3-YEAR($X67)&gt;20,0)</f>
        <v>6311.25</v>
      </c>
      <c r="DI67" s="202" cm="1">
        <f t="array" ref="DI67">_xlfn.IFS(DI$3&lt;=YEAR($B$2),SUMPRODUCT(($E$4:$E$79=$E67)*($Z$2:$CG$2=DI$3)*($Z$2:$CG$2&lt;DJ$3)*$Z$4:$CG$79),DI$3&lt;YEAR($X67),0,DI$3=YEAR($X67),DATEDIF($X67,DATE(DI$3,12,31),"m")*$Y67,AND(DI$3&gt;YEAR($X67),DI$3-YEAR($X67)&lt;20),$Y67*12,DI$3-YEAR($X67)=20,DATEDIF(DATE(YEAR($X67),1,1),$X67,"m")*$Y67,DI$3-YEAR($X67)&gt;20,0)</f>
        <v>0</v>
      </c>
      <c r="DJ67" s="202" cm="1">
        <f t="array" ref="DJ67">_xlfn.IFS(DJ$3&lt;=YEAR($B$2),SUMPRODUCT(($E$4:$E$79=$E67)*($Z$2:$CG$2=DJ$3)*($Z$2:$CG$2&lt;DK$3)*$Z$4:$CG$79),DJ$3&lt;YEAR($X67),0,DJ$3=YEAR($X67),DATEDIF($X67,DATE(DJ$3,12,31),"m")*$Y67,AND(DJ$3&gt;YEAR($X67),DJ$3-YEAR($X67)&lt;20),$Y67*12,DJ$3-YEAR($X67)=20,DATEDIF(DATE(YEAR($X67),1,1),$X67,"m")*$Y67,DJ$3-YEAR($X67)&gt;20,0)</f>
        <v>0</v>
      </c>
      <c r="DK67" s="202" cm="1">
        <f t="array" ref="DK67">_xlfn.IFS(DK$3&lt;=YEAR($B$2),SUMPRODUCT(($E$4:$E$79=$E67)*($Z$2:$CG$2=DK$3)*($Z$2:$CG$2&lt;DL$3)*$Z$4:$CG$79),DK$3&lt;YEAR($X67),0,DK$3=YEAR($X67),DATEDIF($X67,DATE(DK$3,12,31),"m")*$Y67,AND(DK$3&gt;YEAR($X67),DK$3-YEAR($X67)&lt;20),$Y67*12,DK$3-YEAR($X67)=20,DATEDIF(DATE(YEAR($X67),1,1),$X67,"m")*$Y67,DK$3-YEAR($X67)&gt;20,0)</f>
        <v>0</v>
      </c>
      <c r="DL67" s="202" cm="1">
        <f t="array" ref="DL67">_xlfn.IFS(DL$3&lt;=YEAR($B$2),SUMPRODUCT(($E$4:$E$79=$E67)*($Z$2:$CG$2=DL$3)*($Z$2:$CG$2&lt;DM$3)*$Z$4:$CG$79),DL$3&lt;YEAR($X67),0,DL$3=YEAR($X67),DATEDIF($X67,DATE(DL$3,12,31),"m")*$Y67,AND(DL$3&gt;YEAR($X67),DL$3-YEAR($X67)&lt;20),$Y67*12,DL$3-YEAR($X67)=20,DATEDIF(DATE(YEAR($X67),1,1),$X67,"m")*$Y67,DL$3-YEAR($X67)&gt;20,0)</f>
        <v>0</v>
      </c>
    </row>
    <row r="68" spans="1:116">
      <c r="A68" s="155" t="str" cm="1">
        <f t="array" ref="A68">INDEX('Monthly Report July 2025'!C:C,MATCH(E68,'Monthly Report July 2025'!E:E,0),0)</f>
        <v>OCS101</v>
      </c>
      <c r="B68" s="155" t="str" cm="1">
        <f t="array" ref="B68">_xlfn.IFS(LEFT(E68,3)="PGE","PGE",LEFT(E68,2)="PP","PAC",TRUE,"IP")</f>
        <v>PAC</v>
      </c>
      <c r="C68" s="155" t="str">
        <f>IF(ISNA(MATCH(E68,'Monthly Report July 2025'!E:E,0)),"Missing","Present")</f>
        <v>Present</v>
      </c>
      <c r="D68" s="155" t="str">
        <f>IF(ISNA(MATCH(E68,'Project Operational Timelines'!C:C,0))=TRUE,"Missing","Present")</f>
        <v>Present</v>
      </c>
      <c r="E68" s="155" t="s">
        <v>176</v>
      </c>
      <c r="F68" s="155" t="str" cm="1">
        <f t="array" ref="F68">INDEX('Monthly Report July 2025'!F:F,MATCH(E68,'Monthly Report July 2025'!E:E,),0)</f>
        <v>Bunker Hill</v>
      </c>
      <c r="G68" s="155" t="str" cm="1">
        <f t="array" ref="G68">_xlfn.IFS(INDEX('Monthly Report July 2025'!O:O,MATCH(E68,'Monthly Report July 2025'!E:E,0),0)="Operational","Operational",INDEX('Monthly Report July 2025'!O:O,MATCH(E68,'Monthly Report July 2025'!E:E,0),0)="Certified","Certified",TRUE,"Pre-Certified")</f>
        <v>Pre-Certified</v>
      </c>
      <c r="H68" s="155" t="str" cm="1">
        <f t="array" ref="H68">INDEX('Monthly Report July 2025'!H:H,MATCH($E68,'Monthly Report July 2025'!$E:$E,0),0)</f>
        <v>SolaRay Farms, Inc</v>
      </c>
      <c r="I68" s="155" t="str" cm="1">
        <f t="array" ref="I68">INDEX('Monthly Report July 2025'!I:I,MATCH($E68,'Monthly Report July 2025'!$E:$E,0),0)</f>
        <v>SolaRay Farms, Inc</v>
      </c>
      <c r="J68" s="174" cm="1">
        <f t="array" ref="J68">INDEX('Monthly Report July 2025'!J:J,MATCH($E68,'Monthly Report July 2025'!$E:$E,0),0)</f>
        <v>2</v>
      </c>
      <c r="K68" s="174" t="str" cm="1">
        <f t="array" ref="K68">INDEX('Monthly Report July 2025'!K:K,MATCH($E68,'Monthly Report July 2025'!$E:$E,0),0)</f>
        <v>Yes</v>
      </c>
      <c r="L68" s="174" t="b" cm="1">
        <f t="array" ref="L68">INDEX('Monthly Report July 2025'!L:L,MATCH(E68,'Monthly Report July 2025'!E:E,0),0)=M68</f>
        <v>1</v>
      </c>
      <c r="M68" s="273" cm="1">
        <f t="array" ref="M68">INDEX('Monthly Report July 2025'!L:L,MATCH($E68,'Monthly Report July 2025'!$E:$E,0),0)</f>
        <v>332</v>
      </c>
      <c r="N68" s="175" cm="1">
        <f t="array" ref="N68">INDEX('Monthly Report July 2025'!M:M,MATCH($E68,'Monthly Report July 2025'!$E:$E,0),0)</f>
        <v>45733</v>
      </c>
      <c r="O68" s="175" cm="1">
        <f t="array" ref="O68">_xlfn.IFS(G68="Operational","Operational",G68="Certified","Certified",TRUE,INDEX('Monthly Report July 2025'!O:O,MATCH(E68,'Monthly Report July 2025'!E:E,0),0))</f>
        <v>46282</v>
      </c>
      <c r="Q68" s="175" t="str" cm="1">
        <f t="array" ref="Q68">IF(O68="Operational",INDEX('Monthly Report July 2025'!R:R,MATCH(E68,'Monthly Report July 2025'!E:E,0),0),"")</f>
        <v/>
      </c>
      <c r="R68" s="175" t="str" cm="1">
        <f t="array" ref="R68">INDEX('Monthly Report July 2025'!P:P,MATCH(E68,'Monthly Report July 2025'!E:E,0),0)</f>
        <v>Not Yet Certified</v>
      </c>
      <c r="T68" s="175" t="str" cm="1">
        <f t="array" ref="T68">INDEX('Monthly Report July 2025'!U:U,MATCH(E68,'Monthly Report July 2025'!E:E,0),0)</f>
        <v>Data Not Available</v>
      </c>
      <c r="U68" s="175" t="b">
        <f t="shared" ref="U68:U83" si="34">IF(OR(O68="Operational",O68="Certified"),"IGNORE",EDATE(O68,6)&gt;T68)</f>
        <v>0</v>
      </c>
      <c r="V68" s="156">
        <f t="shared" si="29"/>
        <v>46282</v>
      </c>
      <c r="W68" s="156" t="str" cm="1">
        <f t="array" ref="W68">_xlfn.IFS(U68=TRUE,EDATE(O68,6),U68=FALSE,T68,O68="Operational",Q68,AND(O68="Certified",EDATE(R68,6)&gt;T68),EDATE(R68,6),TRUE,T68)</f>
        <v>Data Not Available</v>
      </c>
      <c r="X68" s="156">
        <f t="shared" si="33"/>
        <v>46524</v>
      </c>
      <c r="Y68" s="157">
        <f t="shared" ref="Y68:Y83" si="35">IF(K68="No",M68*0.85*0.85,M68*0.85*0.45)</f>
        <v>126.99</v>
      </c>
      <c r="Z68" s="202" cm="1">
        <f t="array" ref="Z68">_xlfn.IFS(Z$3&lt;$B$2,SUMPRODUCT(('PA Fees Actual'!$B$5:$B$882=$E68)*('PA Fees Actual'!$A$5:$A$882&gt;=Z$3)*('PA Fees Actual'!$A$5:$A$882&lt;=EOMONTH(Z$3,0))*'PA Fees Actual'!$D$5:$D$882),Z$3&gt;=EOMONTH($X68,-1)+1,$Y68,TRUE,0)</f>
        <v>0</v>
      </c>
      <c r="AA68" s="202" cm="1">
        <f t="array" ref="AA68">_xlfn.IFS(AA$3&lt;$B$2,SUMPRODUCT(('PA Fees Actual'!$B$5:$B$882=$E68)*('PA Fees Actual'!$A$5:$A$882&gt;=AA$3)*('PA Fees Actual'!$A$5:$A$882&lt;=EOMONTH(AA$3,0))*'PA Fees Actual'!$D$5:$D$882),AA$3&gt;=EOMONTH($X68,-1)+1,$Y68,TRUE,0)</f>
        <v>0</v>
      </c>
      <c r="AB68" s="202" cm="1">
        <f t="array" ref="AB68">_xlfn.IFS(AB$3&lt;$B$2,SUMPRODUCT(('PA Fees Actual'!$B$5:$B$882=$E68)*('PA Fees Actual'!$A$5:$A$882&gt;=AB$3)*('PA Fees Actual'!$A$5:$A$882&lt;=EOMONTH(AB$3,0))*'PA Fees Actual'!$D$5:$D$882),AB$3&gt;=EOMONTH($X68,-1)+1,$Y68,TRUE,0)</f>
        <v>0</v>
      </c>
      <c r="AC68" s="202" cm="1">
        <f t="array" ref="AC68">_xlfn.IFS(AC$3&lt;$B$2,SUMPRODUCT(('PA Fees Actual'!$B$5:$B$882=$E68)*('PA Fees Actual'!$A$5:$A$882&gt;=AC$3)*('PA Fees Actual'!$A$5:$A$882&lt;=EOMONTH(AC$3,0))*'PA Fees Actual'!$D$5:$D$882),AC$3&gt;=EOMONTH($X68,-1)+1,$Y68,TRUE,0)</f>
        <v>0</v>
      </c>
      <c r="AD68" s="202" cm="1">
        <f t="array" ref="AD68">_xlfn.IFS(AD$3&lt;$B$2,SUMPRODUCT(('PA Fees Actual'!$B$5:$B$882=$E68)*('PA Fees Actual'!$A$5:$A$882&gt;=AD$3)*('PA Fees Actual'!$A$5:$A$882&lt;=EOMONTH(AD$3,0))*'PA Fees Actual'!$D$5:$D$882),AD$3&gt;=EOMONTH($X68,-1)+1,$Y68,TRUE,0)</f>
        <v>0</v>
      </c>
      <c r="AE68" s="202" cm="1">
        <f t="array" ref="AE68">_xlfn.IFS(AE$3&lt;$B$2,SUMPRODUCT(('PA Fees Actual'!$B$5:$B$882=$E68)*('PA Fees Actual'!$A$5:$A$882&gt;=AE$3)*('PA Fees Actual'!$A$5:$A$882&lt;=EOMONTH(AE$3,0))*'PA Fees Actual'!$D$5:$D$882),AE$3&gt;=EOMONTH($X68,-1)+1,$Y68,TRUE,0)</f>
        <v>0</v>
      </c>
      <c r="AF68" s="202" cm="1">
        <f t="array" ref="AF68">_xlfn.IFS(AF$3&lt;$B$2,SUMPRODUCT(('PA Fees Actual'!$B$5:$B$882=$E68)*('PA Fees Actual'!$A$5:$A$882&gt;=AF$3)*('PA Fees Actual'!$A$5:$A$882&lt;=EOMONTH(AF$3,0))*'PA Fees Actual'!$D$5:$D$882),AF$3&gt;=EOMONTH($X68,-1)+1,$Y68,TRUE,0)</f>
        <v>0</v>
      </c>
      <c r="AG68" s="202" cm="1">
        <f t="array" ref="AG68">_xlfn.IFS(AG$3&lt;$B$2,SUMPRODUCT(('PA Fees Actual'!$B$5:$B$882=$E68)*('PA Fees Actual'!$A$5:$A$882&gt;=AG$3)*('PA Fees Actual'!$A$5:$A$882&lt;=EOMONTH(AG$3,0))*'PA Fees Actual'!$D$5:$D$882),AG$3&gt;=EOMONTH($X68,-1)+1,$Y68,TRUE,0)</f>
        <v>0</v>
      </c>
      <c r="AH68" s="202" cm="1">
        <f t="array" ref="AH68">_xlfn.IFS(AH$3&lt;$B$2,SUMPRODUCT(('PA Fees Actual'!$B$5:$B$882=$E68)*('PA Fees Actual'!$A$5:$A$882&gt;=AH$3)*('PA Fees Actual'!$A$5:$A$882&lt;=EOMONTH(AH$3,0))*'PA Fees Actual'!$D$5:$D$882),AH$3&gt;=EOMONTH($X68,-1)+1,$Y68,TRUE,0)</f>
        <v>0</v>
      </c>
      <c r="AI68" s="202" cm="1">
        <f t="array" ref="AI68">_xlfn.IFS(AI$3&lt;$B$2,SUMPRODUCT(('PA Fees Actual'!$B$5:$B$882=$E68)*('PA Fees Actual'!$A$5:$A$882&gt;=AI$3)*('PA Fees Actual'!$A$5:$A$882&lt;=EOMONTH(AI$3,0))*'PA Fees Actual'!$D$5:$D$882),AI$3&gt;=EOMONTH($X68,-1)+1,$Y68,TRUE,0)</f>
        <v>0</v>
      </c>
      <c r="AJ68" s="202" cm="1">
        <f t="array" ref="AJ68">_xlfn.IFS(AJ$3&lt;$B$2,SUMPRODUCT(('PA Fees Actual'!$B$5:$B$882=$E68)*('PA Fees Actual'!$A$5:$A$882&gt;=AJ$3)*('PA Fees Actual'!$A$5:$A$882&lt;=EOMONTH(AJ$3,0))*'PA Fees Actual'!$D$5:$D$882),AJ$3&gt;=EOMONTH($X68,-1)+1,$Y68,TRUE,0)</f>
        <v>0</v>
      </c>
      <c r="AK68" s="202" cm="1">
        <f t="array" ref="AK68">_xlfn.IFS(AK$3&lt;$B$2,SUMPRODUCT(('PA Fees Actual'!$B$5:$B$882=$E68)*('PA Fees Actual'!$A$5:$A$882&gt;=AK$3)*('PA Fees Actual'!$A$5:$A$882&lt;=EOMONTH(AK$3,0))*'PA Fees Actual'!$D$5:$D$882),AK$3&gt;=EOMONTH($X68,-1)+1,$Y68,TRUE,0)</f>
        <v>0</v>
      </c>
      <c r="AL68" s="202" cm="1">
        <f t="array" ref="AL68">_xlfn.IFS(AL$3&lt;$B$2,SUMPRODUCT(('PA Fees Actual'!$B$5:$B$882=$E68)*('PA Fees Actual'!$A$5:$A$882&gt;=AL$3)*('PA Fees Actual'!$A$5:$A$882&lt;=EOMONTH(AL$3,0))*'PA Fees Actual'!$D$5:$D$882),AL$3&gt;=EOMONTH($X68,-1)+1,$Y68,TRUE,0)</f>
        <v>0</v>
      </c>
      <c r="AM68" s="202" cm="1">
        <f t="array" ref="AM68">_xlfn.IFS(AM$3&lt;$B$2,SUMPRODUCT(('PA Fees Actual'!$B$5:$B$882=$E68)*('PA Fees Actual'!$A$5:$A$882&gt;=AM$3)*('PA Fees Actual'!$A$5:$A$882&lt;=EOMONTH(AM$3,0))*'PA Fees Actual'!$D$5:$D$882),AM$3&gt;=EOMONTH($X68,-1)+1,$Y68,TRUE,0)</f>
        <v>0</v>
      </c>
      <c r="AN68" s="202" cm="1">
        <f t="array" ref="AN68">_xlfn.IFS(AN$3&lt;$B$2,SUMPRODUCT(('PA Fees Actual'!$B$5:$B$882=$E68)*('PA Fees Actual'!$A$5:$A$882&gt;=AN$3)*('PA Fees Actual'!$A$5:$A$882&lt;=EOMONTH(AN$3,0))*'PA Fees Actual'!$D$5:$D$882),AN$3&gt;=EOMONTH($X68,-1)+1,$Y68,TRUE,0)</f>
        <v>0</v>
      </c>
      <c r="AO68" s="202" cm="1">
        <f t="array" ref="AO68">_xlfn.IFS(AO$3&lt;$B$2,SUMPRODUCT(('PA Fees Actual'!$B$5:$B$882=$E68)*('PA Fees Actual'!$A$5:$A$882&gt;=AO$3)*('PA Fees Actual'!$A$5:$A$882&lt;=EOMONTH(AO$3,0))*'PA Fees Actual'!$D$5:$D$882),AO$3&gt;=EOMONTH($X68,-1)+1,$Y68,TRUE,0)</f>
        <v>0</v>
      </c>
      <c r="AP68" s="202" cm="1">
        <f t="array" ref="AP68">_xlfn.IFS(AP$3&lt;$B$2,SUMPRODUCT(('PA Fees Actual'!$B$5:$B$882=$E68)*('PA Fees Actual'!$A$5:$A$882&gt;=AP$3)*('PA Fees Actual'!$A$5:$A$882&lt;=EOMONTH(AP$3,0))*'PA Fees Actual'!$D$5:$D$882),AP$3&gt;=EOMONTH($X68,-1)+1,$Y68,TRUE,0)</f>
        <v>0</v>
      </c>
      <c r="AQ68" s="202" cm="1">
        <f t="array" ref="AQ68">_xlfn.IFS(AQ$3&lt;$B$2,SUMPRODUCT(('PA Fees Actual'!$B$5:$B$882=$E68)*('PA Fees Actual'!$A$5:$A$882&gt;=AQ$3)*('PA Fees Actual'!$A$5:$A$882&lt;=EOMONTH(AQ$3,0))*'PA Fees Actual'!$D$5:$D$882),AQ$3&gt;=EOMONTH($X68,-1)+1,$Y68,TRUE,0)</f>
        <v>0</v>
      </c>
      <c r="AR68" s="202" cm="1">
        <f t="array" ref="AR68">_xlfn.IFS(AR$3&lt;$B$2,SUMPRODUCT(('PA Fees Actual'!$B$5:$B$882=$E68)*('PA Fees Actual'!$A$5:$A$882&gt;=AR$3)*('PA Fees Actual'!$A$5:$A$882&lt;=EOMONTH(AR$3,0))*'PA Fees Actual'!$D$5:$D$882),AR$3&gt;=EOMONTH($X68,-1)+1,$Y68,TRUE,0)</f>
        <v>0</v>
      </c>
      <c r="AS68" s="202" cm="1">
        <f t="array" ref="AS68">_xlfn.IFS(AS$3&lt;$B$2,SUMPRODUCT(('PA Fees Actual'!$B$5:$B$882=$E68)*('PA Fees Actual'!$A$5:$A$882&gt;=AS$3)*('PA Fees Actual'!$A$5:$A$882&lt;=EOMONTH(AS$3,0))*'PA Fees Actual'!$D$5:$D$882),AS$3&gt;=EOMONTH($X68,-1)+1,$Y68,TRUE,0)</f>
        <v>0</v>
      </c>
      <c r="AT68" s="202" cm="1">
        <f t="array" ref="AT68">_xlfn.IFS(AT$3&lt;$B$2,SUMPRODUCT(('PA Fees Actual'!$B$5:$B$882=$E68)*('PA Fees Actual'!$A$5:$A$882&gt;=AT$3)*('PA Fees Actual'!$A$5:$A$882&lt;=EOMONTH(AT$3,0))*'PA Fees Actual'!$D$5:$D$882),AT$3&gt;=EOMONTH($X68,-1)+1,$Y68,TRUE,0)</f>
        <v>0</v>
      </c>
      <c r="AU68" s="202" cm="1">
        <f t="array" ref="AU68">_xlfn.IFS(AU$3&lt;$B$2,SUMPRODUCT(('PA Fees Actual'!$B$5:$B$882=$E68)*('PA Fees Actual'!$A$5:$A$882&gt;=AU$3)*('PA Fees Actual'!$A$5:$A$882&lt;=EOMONTH(AU$3,0))*'PA Fees Actual'!$D$5:$D$882),AU$3&gt;=EOMONTH($X68,-1)+1,$Y68,TRUE,0)</f>
        <v>0</v>
      </c>
      <c r="AV68" s="202" cm="1">
        <f t="array" ref="AV68">_xlfn.IFS(AV$3&lt;$B$2,SUMPRODUCT(('PA Fees Actual'!$B$5:$B$882=$E68)*('PA Fees Actual'!$A$5:$A$882&gt;=AV$3)*('PA Fees Actual'!$A$5:$A$882&lt;=EOMONTH(AV$3,0))*'PA Fees Actual'!$D$5:$D$882),AV$3&gt;=EOMONTH($X68,-1)+1,$Y68,TRUE,0)</f>
        <v>0</v>
      </c>
      <c r="AW68" s="202" cm="1">
        <f t="array" ref="AW68">_xlfn.IFS(AW$3&lt;$B$2,SUMPRODUCT(('PA Fees Actual'!$B$5:$B$882=$E68)*('PA Fees Actual'!$A$5:$A$882&gt;=AW$3)*('PA Fees Actual'!$A$5:$A$882&lt;=EOMONTH(AW$3,0))*'PA Fees Actual'!$D$5:$D$882),AW$3&gt;=EOMONTH($X68,-1)+1,$Y68,TRUE,0)</f>
        <v>0</v>
      </c>
      <c r="AX68" s="202" cm="1">
        <f t="array" ref="AX68">_xlfn.IFS(AX$3&lt;$B$2,SUMPRODUCT(('PA Fees Actual'!$B$5:$B$882=$E68)*('PA Fees Actual'!$A$5:$A$882&gt;=AX$3)*('PA Fees Actual'!$A$5:$A$882&lt;=EOMONTH(AX$3,0))*'PA Fees Actual'!$D$5:$D$882),AX$3&gt;=EOMONTH($X68,-1)+1,$Y68,TRUE,0)</f>
        <v>0</v>
      </c>
      <c r="AY68" s="202" cm="1">
        <f t="array" ref="AY68">_xlfn.IFS(AY$3&lt;$B$2,SUMPRODUCT(('PA Fees Actual'!$B$5:$B$882=$E68)*('PA Fees Actual'!$A$5:$A$882&gt;=AY$3)*('PA Fees Actual'!$A$5:$A$882&lt;=EOMONTH(AY$3,0))*'PA Fees Actual'!$D$5:$D$882),AY$3&gt;=EOMONTH($X68,-1)+1,$Y68,TRUE,0)</f>
        <v>0</v>
      </c>
      <c r="AZ68" s="202" cm="1">
        <f t="array" ref="AZ68">_xlfn.IFS(AZ$3&lt;$B$2,SUMPRODUCT(('PA Fees Actual'!$B$5:$B$882=$E68)*('PA Fees Actual'!$A$5:$A$882&gt;=AZ$3)*('PA Fees Actual'!$A$5:$A$882&lt;=EOMONTH(AZ$3,0))*'PA Fees Actual'!$D$5:$D$882),AZ$3&gt;=EOMONTH($X68,-1)+1,$Y68,TRUE,0)</f>
        <v>0</v>
      </c>
      <c r="BA68" s="202" cm="1">
        <f t="array" ref="BA68">_xlfn.IFS(BA$3&lt;$B$2,SUMPRODUCT(('PA Fees Actual'!$B$5:$B$882=$E68)*('PA Fees Actual'!$A$5:$A$882&gt;=BA$3)*('PA Fees Actual'!$A$5:$A$882&lt;=EOMONTH(BA$3,0))*'PA Fees Actual'!$D$5:$D$882),BA$3&gt;=EOMONTH($X68,-1)+1,$Y68,TRUE,0)</f>
        <v>0</v>
      </c>
      <c r="BB68" s="202" cm="1">
        <f t="array" ref="BB68">_xlfn.IFS(BB$3&lt;$B$2,SUMPRODUCT(('PA Fees Actual'!$B$5:$B$882=$E68)*('PA Fees Actual'!$A$5:$A$882&gt;=BB$3)*('PA Fees Actual'!$A$5:$A$882&lt;=EOMONTH(BB$3,0))*'PA Fees Actual'!$D$5:$D$882),BB$3&gt;=EOMONTH($X68,-1)+1,$Y68,TRUE,0)</f>
        <v>0</v>
      </c>
      <c r="BC68" s="202" cm="1">
        <f t="array" ref="BC68">_xlfn.IFS(BC$3&lt;$B$2,SUMPRODUCT(('PA Fees Actual'!$B$5:$B$882=$E68)*('PA Fees Actual'!$A$5:$A$882&gt;=BC$3)*('PA Fees Actual'!$A$5:$A$882&lt;=EOMONTH(BC$3,0))*'PA Fees Actual'!$D$5:$D$882),BC$3&gt;=EOMONTH($X68,-1)+1,$Y68,TRUE,0)</f>
        <v>0</v>
      </c>
      <c r="BD68" s="202" cm="1">
        <f t="array" ref="BD68">_xlfn.IFS(BD$3&lt;$B$2,SUMPRODUCT(('PA Fees Actual'!$B$5:$B$882=$E68)*('PA Fees Actual'!$A$5:$A$882&gt;=BD$3)*('PA Fees Actual'!$A$5:$A$882&lt;=EOMONTH(BD$3,0))*'PA Fees Actual'!$D$5:$D$882),BD$3&gt;=EOMONTH($X68,-1)+1,$Y68,TRUE,0)</f>
        <v>0</v>
      </c>
      <c r="BE68" s="202" cm="1">
        <f t="array" ref="BE68">_xlfn.IFS(BE$3&lt;$B$2,SUMPRODUCT(('PA Fees Actual'!$B$5:$B$882=$E68)*('PA Fees Actual'!$A$5:$A$882&gt;=BE$3)*('PA Fees Actual'!$A$5:$A$882&lt;=EOMONTH(BE$3,0))*'PA Fees Actual'!$D$5:$D$882),BE$3&gt;=EOMONTH($X68,-1)+1,$Y68,TRUE,0)</f>
        <v>0</v>
      </c>
      <c r="BF68" s="202" cm="1">
        <f t="array" ref="BF68">_xlfn.IFS(BF$3&lt;$B$2,SUMPRODUCT(('PA Fees Actual'!$B$5:$B$882=$E68)*('PA Fees Actual'!$A$5:$A$882&gt;=BF$3)*('PA Fees Actual'!$A$5:$A$882&lt;=EOMONTH(BF$3,0))*'PA Fees Actual'!$D$5:$D$882),BF$3&gt;=EOMONTH($X68,-1)+1,$Y68,TRUE,0)</f>
        <v>0</v>
      </c>
      <c r="BG68" s="202" cm="1">
        <f t="array" ref="BG68">_xlfn.IFS(BG$3&lt;$B$2,SUMPRODUCT(('PA Fees Actual'!$B$5:$B$882=$E68)*('PA Fees Actual'!$A$5:$A$882&gt;=BG$3)*('PA Fees Actual'!$A$5:$A$882&lt;=EOMONTH(BG$3,0))*'PA Fees Actual'!$D$5:$D$882),BG$3&gt;=EOMONTH($X68,-1)+1,$Y68,TRUE,0)</f>
        <v>0</v>
      </c>
      <c r="BH68" s="202" cm="1">
        <f t="array" ref="BH68">_xlfn.IFS(BH$3&lt;$B$2,SUMPRODUCT(('PA Fees Actual'!$B$5:$B$882=$E68)*('PA Fees Actual'!$A$5:$A$882&gt;=BH$3)*('PA Fees Actual'!$A$5:$A$882&lt;=EOMONTH(BH$3,0))*'PA Fees Actual'!$D$5:$D$882),BH$3&gt;=EOMONTH($X68,-1)+1,$Y68,TRUE,0)</f>
        <v>0</v>
      </c>
      <c r="BI68" s="202" cm="1">
        <f t="array" ref="BI68">_xlfn.IFS(BI$3&lt;$B$2,SUMPRODUCT(('PA Fees Actual'!$B$5:$B$882=$E68)*('PA Fees Actual'!$A$5:$A$882&gt;=BI$3)*('PA Fees Actual'!$A$5:$A$882&lt;=EOMONTH(BI$3,0))*'PA Fees Actual'!$D$5:$D$882),BI$3&gt;=EOMONTH($X68,-1)+1,$Y68,TRUE,0)</f>
        <v>0</v>
      </c>
      <c r="BJ68" s="202" cm="1">
        <f t="array" ref="BJ68">_xlfn.IFS(BJ$3&lt;$B$2,SUMPRODUCT(('PA Fees Actual'!$B$5:$B$882=$E68)*('PA Fees Actual'!$A$5:$A$882&gt;=BJ$3)*('PA Fees Actual'!$A$5:$A$882&lt;=EOMONTH(BJ$3,0))*'PA Fees Actual'!$D$5:$D$882),BJ$3&gt;=EOMONTH($X68,-1)+1,$Y68,TRUE,0)</f>
        <v>0</v>
      </c>
      <c r="BK68" s="202" cm="1">
        <f t="array" ref="BK68">_xlfn.IFS(BK$3&lt;$B$2,SUMPRODUCT(('PA Fees Actual'!$B$5:$B$882=$E68)*('PA Fees Actual'!$A$5:$A$882&gt;=BK$3)*('PA Fees Actual'!$A$5:$A$882&lt;=EOMONTH(BK$3,0))*'PA Fees Actual'!$D$5:$D$882),BK$3&gt;=EOMONTH($X68,-1)+1,$Y68,TRUE,0)</f>
        <v>0</v>
      </c>
      <c r="BL68" s="202" cm="1">
        <f t="array" ref="BL68">_xlfn.IFS(BL$3&lt;$B$2,SUMPRODUCT(('PA Fees Actual'!$B$5:$B$882=$E68)*('PA Fees Actual'!$A$5:$A$882&gt;=BL$3)*('PA Fees Actual'!$A$5:$A$882&lt;=EOMONTH(BL$3,0))*'PA Fees Actual'!$D$5:$D$882),BL$3&gt;=EOMONTH($X68,-1)+1,$Y68,TRUE,0)</f>
        <v>0</v>
      </c>
      <c r="BM68" s="202" cm="1">
        <f t="array" ref="BM68">_xlfn.IFS(BM$3&lt;$B$2,SUMPRODUCT(('PA Fees Actual'!$B$5:$B$882=$E68)*('PA Fees Actual'!$A$5:$A$882&gt;=BM$3)*('PA Fees Actual'!$A$5:$A$882&lt;=EOMONTH(BM$3,0))*'PA Fees Actual'!$D$5:$D$882),BM$3&gt;=EOMONTH($X68,-1)+1,$Y68,TRUE,0)</f>
        <v>0</v>
      </c>
      <c r="BN68" s="202" cm="1">
        <f t="array" ref="BN68">_xlfn.IFS(BN$3&lt;$B$2,SUMPRODUCT(('PA Fees Actual'!$B$5:$B$882=$E68)*('PA Fees Actual'!$A$5:$A$882&gt;=BN$3)*('PA Fees Actual'!$A$5:$A$882&lt;=EOMONTH(BN$3,0))*'PA Fees Actual'!$D$5:$D$882),BN$3&gt;=EOMONTH($X68,-1)+1,$Y68,TRUE,0)</f>
        <v>0</v>
      </c>
      <c r="BO68" s="202" cm="1">
        <f t="array" ref="BO68">_xlfn.IFS(BO$3&lt;$B$2,SUMPRODUCT(('PA Fees Actual'!$B$5:$B$882=$E68)*('PA Fees Actual'!$A$5:$A$882&gt;=BO$3)*('PA Fees Actual'!$A$5:$A$882&lt;=EOMONTH(BO$3,0))*'PA Fees Actual'!$D$5:$D$882),BO$3&gt;=EOMONTH($X68,-1)+1,$Y68,TRUE,0)</f>
        <v>0</v>
      </c>
      <c r="BP68" s="202" cm="1">
        <f t="array" ref="BP68">_xlfn.IFS(BP$3&lt;$B$2,SUMPRODUCT(('PA Fees Actual'!$B$5:$B$882=$E68)*('PA Fees Actual'!$A$5:$A$882&gt;=BP$3)*('PA Fees Actual'!$A$5:$A$882&lt;=EOMONTH(BP$3,0))*'PA Fees Actual'!$D$5:$D$882),BP$3&gt;=EOMONTH($X68,-1)+1,$Y68,TRUE,0)</f>
        <v>0</v>
      </c>
      <c r="BQ68" s="202" cm="1">
        <f t="array" ref="BQ68">_xlfn.IFS(BQ$3&lt;$B$2,SUMPRODUCT(('PA Fees Actual'!$B$5:$B$882=$E68)*('PA Fees Actual'!$A$5:$A$882&gt;=BQ$3)*('PA Fees Actual'!$A$5:$A$882&lt;=EOMONTH(BQ$3,0))*'PA Fees Actual'!$D$5:$D$882),BQ$3&gt;=EOMONTH($X68,-1)+1,$Y68,TRUE,0)</f>
        <v>0</v>
      </c>
      <c r="BR68" s="202" cm="1">
        <f t="array" ref="BR68">_xlfn.IFS(BR$3&lt;$B$2,SUMPRODUCT(('PA Fees Actual'!$B$5:$B$882=$E68)*('PA Fees Actual'!$A$5:$A$882&gt;=BR$3)*('PA Fees Actual'!$A$5:$A$882&lt;=EOMONTH(BR$3,0))*'PA Fees Actual'!$D$5:$D$882),BR$3&gt;=EOMONTH($X68,-1)+1,$Y68,TRUE,0)</f>
        <v>0</v>
      </c>
      <c r="BS68" s="202" cm="1">
        <f t="array" ref="BS68">_xlfn.IFS(BS$3&lt;$B$2,SUMPRODUCT(('PA Fees Actual'!$B$5:$B$882=$E68)*('PA Fees Actual'!$A$5:$A$882&gt;=BS$3)*('PA Fees Actual'!$A$5:$A$882&lt;=EOMONTH(BS$3,0))*'PA Fees Actual'!$D$5:$D$882),BS$3&gt;=EOMONTH($X68,-1)+1,$Y68,TRUE,0)</f>
        <v>0</v>
      </c>
      <c r="BT68" s="202" cm="1">
        <f t="array" ref="BT68">_xlfn.IFS(BT$3&lt;$B$2,SUMPRODUCT(('PA Fees Actual'!$B$5:$B$882=$E68)*('PA Fees Actual'!$A$5:$A$882&gt;=BT$3)*('PA Fees Actual'!$A$5:$A$882&lt;=EOMONTH(BT$3,0))*'PA Fees Actual'!$D$5:$D$882),BT$3&gt;=EOMONTH($X68,-1)+1,$Y68,TRUE,0)</f>
        <v>0</v>
      </c>
      <c r="BU68" s="202" cm="1">
        <f t="array" ref="BU68">_xlfn.IFS(BU$3&lt;$B$2,SUMPRODUCT(('PA Fees Actual'!$B$5:$B$882=$E68)*('PA Fees Actual'!$A$5:$A$882&gt;=BU$3)*('PA Fees Actual'!$A$5:$A$882&lt;=EOMONTH(BU$3,0))*'PA Fees Actual'!$D$5:$D$882),BU$3&gt;=EOMONTH($X68,-1)+1,$Y68,TRUE,0)</f>
        <v>0</v>
      </c>
      <c r="BV68" s="202" cm="1">
        <f t="array" ref="BV68">_xlfn.IFS(BV$3&lt;$B$2,SUMPRODUCT(('PA Fees Actual'!$B$5:$B$882=$E68)*('PA Fees Actual'!$A$5:$A$882&gt;=BV$3)*('PA Fees Actual'!$A$5:$A$882&lt;=EOMONTH(BV$3,0))*'PA Fees Actual'!$D$5:$D$882),BV$3&gt;=EOMONTH($X68,-1)+1,$Y68,TRUE,0)</f>
        <v>0</v>
      </c>
      <c r="BW68" s="202" cm="1">
        <f t="array" ref="BW68">_xlfn.IFS(BW$3&lt;$B$2,SUMPRODUCT(('PA Fees Actual'!$B$5:$B$882=$E68)*('PA Fees Actual'!$A$5:$A$882&gt;=BW$3)*('PA Fees Actual'!$A$5:$A$882&lt;=EOMONTH(BW$3,0))*'PA Fees Actual'!$D$5:$D$882),BW$3&gt;=EOMONTH($X68,-1)+1,$Y68,TRUE,0)</f>
        <v>0</v>
      </c>
      <c r="BX68" s="202" cm="1">
        <f t="array" ref="BX68">_xlfn.IFS(BX$3&lt;$B$2,SUMPRODUCT(('PA Fees Actual'!$B$5:$B$882=$E68)*('PA Fees Actual'!$A$5:$A$882&gt;=BX$3)*('PA Fees Actual'!$A$5:$A$882&lt;=EOMONTH(BX$3,0))*'PA Fees Actual'!$D$5:$D$882),BX$3&gt;=EOMONTH($X68,-1)+1,$Y68,TRUE,0)</f>
        <v>0</v>
      </c>
      <c r="BY68" s="202" cm="1">
        <f t="array" ref="BY68">_xlfn.IFS(BY$3&lt;$B$2,SUMPRODUCT(('PA Fees Actual'!$B$5:$B$882=$E68)*('PA Fees Actual'!$A$5:$A$882&gt;=BY$3)*('PA Fees Actual'!$A$5:$A$882&lt;=EOMONTH(BY$3,0))*'PA Fees Actual'!$D$5:$D$882),BY$3&gt;=EOMONTH($X68,-1)+1,$Y68,TRUE,0)</f>
        <v>0</v>
      </c>
      <c r="BZ68" s="202" cm="1">
        <f t="array" ref="BZ68">_xlfn.IFS(BZ$3&lt;$B$2,SUMPRODUCT(('PA Fees Actual'!$B$5:$B$882=$E68)*('PA Fees Actual'!$A$5:$A$882&gt;=BZ$3)*('PA Fees Actual'!$A$5:$A$882&lt;=EOMONTH(BZ$3,0))*'PA Fees Actual'!$D$5:$D$882),BZ$3&gt;=EOMONTH($X68,-1)+1,$Y68,TRUE,0)</f>
        <v>0</v>
      </c>
      <c r="CA68" s="202" cm="1">
        <f t="array" ref="CA68">_xlfn.IFS(CA$3&lt;$B$2,SUMPRODUCT(('PA Fees Actual'!$B$5:$B$882=$E68)*('PA Fees Actual'!$A$5:$A$882&gt;=CA$3)*('PA Fees Actual'!$A$5:$A$882&lt;=EOMONTH(CA$3,0))*'PA Fees Actual'!$D$5:$D$882),CA$3&gt;=EOMONTH($X68,-1)+1,$Y68,TRUE,0)</f>
        <v>0</v>
      </c>
      <c r="CB68" s="202" cm="1">
        <f t="array" ref="CB68">_xlfn.IFS(CB$3&lt;$B$2,SUMPRODUCT(('PA Fees Actual'!$B$5:$B$749=$E68)*('PA Fees Actual'!$A$5:$A$749&gt;=CB$3)*('PA Fees Actual'!$A$5:$A$749&lt;=EOMONTH(CB$3,0))*'PA Fees Actual'!$D$5:$D$749),CB$3&gt;=EOMONTH($X68,-1)+1,$Y68,TRUE,0)</f>
        <v>0</v>
      </c>
      <c r="CC68" s="202" cm="1">
        <f t="array" ref="CC68">_xlfn.IFS(CC$3&lt;$B$2,SUMPRODUCT(('PA Fees Actual'!$B$5:$B$749=$E68)*('PA Fees Actual'!$A$5:$A$749&gt;=CC$3)*('PA Fees Actual'!$A$5:$A$749&lt;=EOMONTH(CC$3,0))*'PA Fees Actual'!$D$5:$D$749),CC$3&gt;=EOMONTH($X68,-1)+1,$Y68,TRUE,0)</f>
        <v>0</v>
      </c>
      <c r="CD68" s="202" cm="1">
        <f t="array" ref="CD68">_xlfn.IFS(CD$3&lt;$B$2,SUMPRODUCT(('PA Fees Actual'!$B$5:$B$749=$E68)*('PA Fees Actual'!$A$5:$A$749&gt;=CD$3)*('PA Fees Actual'!$A$5:$A$749&lt;=EOMONTH(CD$3,0))*'PA Fees Actual'!$D$5:$D$749),CD$3&gt;=EOMONTH($X68,-1)+1,$Y68,TRUE,0)</f>
        <v>0</v>
      </c>
      <c r="CE68" s="202" cm="1">
        <f t="array" ref="CE68">_xlfn.IFS(CE$3&lt;$B$2,SUMPRODUCT(('PA Fees Actual'!$B$5:$B$749=$E68)*('PA Fees Actual'!$A$5:$A$749&gt;=CE$3)*('PA Fees Actual'!$A$5:$A$749&lt;=EOMONTH(CE$3,0))*'PA Fees Actual'!$D$5:$D$749),CE$3&gt;=EOMONTH($X68,-1)+1,$Y68,TRUE,0)</f>
        <v>0</v>
      </c>
      <c r="CF68" s="202" cm="1">
        <f t="array" ref="CF68">_xlfn.IFS(CF$3&lt;$B$2,SUMPRODUCT(('PA Fees Actual'!$B$5:$B$749=$E68)*('PA Fees Actual'!$A$5:$A$749&gt;=CF$3)*('PA Fees Actual'!$A$5:$A$749&lt;=EOMONTH(CF$3,0))*'PA Fees Actual'!$D$5:$D$749),CF$3&gt;=EOMONTH($X68,-1)+1,$Y68,TRUE,0)</f>
        <v>0</v>
      </c>
      <c r="CG68" s="202" cm="1">
        <f t="array" ref="CG68">_xlfn.IFS(CG$3&lt;$B$2,SUMPRODUCT(('PA Fees Actual'!$B$5:$B$749=$E68)*('PA Fees Actual'!$A$5:$A$749&gt;=CG$3)*('PA Fees Actual'!$A$5:$A$749&lt;=EOMONTH(CG$3,0))*'PA Fees Actual'!$D$5:$D$749),CG$3&gt;=EOMONTH($X68,-1)+1,$Y68,TRUE,0)</f>
        <v>0</v>
      </c>
      <c r="CI68" s="202" cm="1">
        <f t="array" ref="CI68">_xlfn.IFS(CI$3&lt;=YEAR($B$2),SUMPRODUCT(($E$4:$E$79=$E68)*($Z$2:$CG$2=CI$3)*($Z$2:$CG$2&lt;CJ$3)*$Z$4:$CG$79),CI$3&lt;YEAR($X68),0,CI$3=YEAR($X68),DATEDIF($X68,DATE(CI$3,12,31),"m")*$Y68,AND(CI$3&gt;YEAR($X68),CI$3-YEAR($X68)&lt;20),$Y68*12,CI$3-YEAR($X68)=20,DATEDIF(DATE(YEAR($X68),1,1),$X68,"m")*$Y68,CI$3-YEAR($X68)&gt;20,0)</f>
        <v>0</v>
      </c>
      <c r="CJ68" s="202" cm="1">
        <f t="array" ref="CJ68">_xlfn.IFS(CJ$3&lt;=YEAR($B$2),SUMPRODUCT(($E$4:$E$79=$E68)*($Z$2:$CG$2=CJ$3)*($Z$2:$CG$2&lt;CK$3)*$Z$4:$CG$79),CJ$3&lt;YEAR($X68),0,CJ$3=YEAR($X68),DATEDIF($X68,DATE(CJ$3,12,31),"m")*$Y68,AND(CJ$3&gt;YEAR($X68),CJ$3-YEAR($X68)&lt;20),$Y68*12,CJ$3-YEAR($X68)=20,DATEDIF(DATE(YEAR($X68),1,1),$X68,"m")*$Y68,CJ$3-YEAR($X68)&gt;20,0)</f>
        <v>0</v>
      </c>
      <c r="CK68" s="202" cm="1">
        <f t="array" ref="CK68">_xlfn.IFS(CK$3&lt;=YEAR($B$2),SUMPRODUCT(($E$4:$E$79=$E68)*($Z$2:$CG$2=CK$3)*($Z$2:$CG$2&lt;CL$3)*$Z$4:$CG$79),CK$3&lt;YEAR($X68),0,CK$3=YEAR($X68),DATEDIF($X68,DATE(CK$3,12,31),"m")*$Y68,AND(CK$3&gt;YEAR($X68),CK$3-YEAR($X68)&lt;20),$Y68*12,CK$3-YEAR($X68)=20,DATEDIF(DATE(YEAR($X68),1,1),$X68,"m")*$Y68,CK$3-YEAR($X68)&gt;20,0)</f>
        <v>0</v>
      </c>
      <c r="CL68" s="202" cm="1">
        <f t="array" ref="CL68">_xlfn.IFS(CL$3&lt;=YEAR($B$2),SUMPRODUCT(($E$4:$E$79=$E68)*($Z$2:$CG$2=CL$3)*($Z$2:$CG$2&lt;CM$3)*$Z$4:$CG$79),CL$3&lt;YEAR($X68),0,CL$3=YEAR($X68),DATEDIF($X68,DATE(CL$3,12,31),"m")*$Y68,AND(CL$3&gt;YEAR($X68),CL$3-YEAR($X68)&lt;20),$Y68*12,CL$3-YEAR($X68)=20,DATEDIF(DATE(YEAR($X68),1,1),$X68,"m")*$Y68,CL$3-YEAR($X68)&gt;20,0)</f>
        <v>0</v>
      </c>
      <c r="CM68" s="202" cm="1">
        <f t="array" ref="CM68">_xlfn.IFS(CM$3&lt;=YEAR($B$2),SUMPRODUCT(($E$4:$E$79=$E68)*($Z$2:$CG$2=CM$3)*($Z$2:$CG$2&lt;CN$3)*$Z$4:$CG$79),CM$3&lt;YEAR($X68),0,CM$3=YEAR($X68),DATEDIF($X68,DATE(CM$3,12,31),"m")*$Y68,AND(CM$3&gt;YEAR($X68),CM$3-YEAR($X68)&lt;20),$Y68*12,CM$3-YEAR($X68)=20,DATEDIF(DATE(YEAR($X68),1,1),$X68,"m")*$Y68,CM$3-YEAR($X68)&gt;20,0)</f>
        <v>0</v>
      </c>
      <c r="CN68" s="202" cm="1">
        <f t="array" ref="CN68">_xlfn.IFS(CN$3&lt;=YEAR($B$2),SUMPRODUCT(($E$4:$E$79=$E68)*($Z$2:$CG$2=CN$3)*($Z$2:$CG$2&lt;CO$3)*$Z$4:$CG$79),CN$3&lt;YEAR($X68),0,CN$3=YEAR($X68),DATEDIF($X68,DATE(CN$3,12,31),"m")*$Y68,AND(CN$3&gt;YEAR($X68),CN$3-YEAR($X68)&lt;20),$Y68*12,CN$3-YEAR($X68)=20,DATEDIF(DATE(YEAR($X68),1,1),$X68,"m")*$Y68,CN$3-YEAR($X68)&gt;20,0)</f>
        <v>0</v>
      </c>
      <c r="CO68" s="202" cm="1">
        <f t="array" ref="CO68">_xlfn.IFS(CO$3&lt;=YEAR($B$2),SUMPRODUCT(($E$4:$E$79=$E68)*($Z$2:$CG$2=CO$3)*($Z$2:$CG$2&lt;CP$3)*$Z$4:$CG$79),CO$3&lt;YEAR($X68),0,CO$3=YEAR($X68),DATEDIF($X68,DATE(CO$3,12,31),"m")*$Y68,AND(CO$3&gt;YEAR($X68),CO$3-YEAR($X68)&lt;20),$Y68*12,CO$3-YEAR($X68)=20,DATEDIF(DATE(YEAR($X68),1,1),$X68,"m")*$Y68,CO$3-YEAR($X68)&gt;20,0)</f>
        <v>888.93</v>
      </c>
      <c r="CP68" s="202" cm="1">
        <f t="array" ref="CP68">_xlfn.IFS(CP$3&lt;=YEAR($B$2),SUMPRODUCT(($E$4:$E$79=$E68)*($Z$2:$CG$2=CP$3)*($Z$2:$CG$2&lt;CQ$3)*$Z$4:$CG$79),CP$3&lt;YEAR($X68),0,CP$3=YEAR($X68),DATEDIF($X68,DATE(CP$3,12,31),"m")*$Y68,AND(CP$3&gt;YEAR($X68),CP$3-YEAR($X68)&lt;20),$Y68*12,CP$3-YEAR($X68)=20,DATEDIF(DATE(YEAR($X68),1,1),$X68,"m")*$Y68,CP$3-YEAR($X68)&gt;20,0)</f>
        <v>1523.8799999999999</v>
      </c>
      <c r="CQ68" s="202" cm="1">
        <f t="array" ref="CQ68">_xlfn.IFS(CQ$3&lt;=YEAR($B$2),SUMPRODUCT(($E$4:$E$79=$E68)*($Z$2:$CG$2=CQ$3)*($Z$2:$CG$2&lt;CR$3)*$Z$4:$CG$79),CQ$3&lt;YEAR($X68),0,CQ$3=YEAR($X68),DATEDIF($X68,DATE(CQ$3,12,31),"m")*$Y68,AND(CQ$3&gt;YEAR($X68),CQ$3-YEAR($X68)&lt;20),$Y68*12,CQ$3-YEAR($X68)=20,DATEDIF(DATE(YEAR($X68),1,1),$X68,"m")*$Y68,CQ$3-YEAR($X68)&gt;20,0)</f>
        <v>1523.8799999999999</v>
      </c>
      <c r="CR68" s="202" cm="1">
        <f t="array" ref="CR68">_xlfn.IFS(CR$3&lt;=YEAR($B$2),SUMPRODUCT(($E$4:$E$79=$E68)*($Z$2:$CG$2=CR$3)*($Z$2:$CG$2&lt;CS$3)*$Z$4:$CG$79),CR$3&lt;YEAR($X68),0,CR$3=YEAR($X68),DATEDIF($X68,DATE(CR$3,12,31),"m")*$Y68,AND(CR$3&gt;YEAR($X68),CR$3-YEAR($X68)&lt;20),$Y68*12,CR$3-YEAR($X68)=20,DATEDIF(DATE(YEAR($X68),1,1),$X68,"m")*$Y68,CR$3-YEAR($X68)&gt;20,0)</f>
        <v>1523.8799999999999</v>
      </c>
      <c r="CS68" s="202" cm="1">
        <f t="array" ref="CS68">_xlfn.IFS(CS$3&lt;=YEAR($B$2),SUMPRODUCT(($E$4:$E$79=$E68)*($Z$2:$CG$2=CS$3)*($Z$2:$CG$2&lt;CT$3)*$Z$4:$CG$79),CS$3&lt;YEAR($X68),0,CS$3=YEAR($X68),DATEDIF($X68,DATE(CS$3,12,31),"m")*$Y68,AND(CS$3&gt;YEAR($X68),CS$3-YEAR($X68)&lt;20),$Y68*12,CS$3-YEAR($X68)=20,DATEDIF(DATE(YEAR($X68),1,1),$X68,"m")*$Y68,CS$3-YEAR($X68)&gt;20,0)</f>
        <v>1523.8799999999999</v>
      </c>
      <c r="CT68" s="202" cm="1">
        <f t="array" ref="CT68">_xlfn.IFS(CT$3&lt;=YEAR($B$2),SUMPRODUCT(($E$4:$E$79=$E68)*($Z$2:$CG$2=CT$3)*($Z$2:$CG$2&lt;CU$3)*$Z$4:$CG$79),CT$3&lt;YEAR($X68),0,CT$3=YEAR($X68),DATEDIF($X68,DATE(CT$3,12,31),"m")*$Y68,AND(CT$3&gt;YEAR($X68),CT$3-YEAR($X68)&lt;20),$Y68*12,CT$3-YEAR($X68)=20,DATEDIF(DATE(YEAR($X68),1,1),$X68,"m")*$Y68,CT$3-YEAR($X68)&gt;20,0)</f>
        <v>1523.8799999999999</v>
      </c>
      <c r="CU68" s="202" cm="1">
        <f t="array" ref="CU68">_xlfn.IFS(CU$3&lt;=YEAR($B$2),SUMPRODUCT(($E$4:$E$79=$E68)*($Z$2:$CG$2=CU$3)*($Z$2:$CG$2&lt;CV$3)*$Z$4:$CG$79),CU$3&lt;YEAR($X68),0,CU$3=YEAR($X68),DATEDIF($X68,DATE(CU$3,12,31),"m")*$Y68,AND(CU$3&gt;YEAR($X68),CU$3-YEAR($X68)&lt;20),$Y68*12,CU$3-YEAR($X68)=20,DATEDIF(DATE(YEAR($X68),1,1),$X68,"m")*$Y68,CU$3-YEAR($X68)&gt;20,0)</f>
        <v>1523.8799999999999</v>
      </c>
      <c r="CV68" s="202" cm="1">
        <f t="array" ref="CV68">_xlfn.IFS(CV$3&lt;=YEAR($B$2),SUMPRODUCT(($E$4:$E$79=$E68)*($Z$2:$CG$2=CV$3)*($Z$2:$CG$2&lt;CW$3)*$Z$4:$CG$79),CV$3&lt;YEAR($X68),0,CV$3=YEAR($X68),DATEDIF($X68,DATE(CV$3,12,31),"m")*$Y68,AND(CV$3&gt;YEAR($X68),CV$3-YEAR($X68)&lt;20),$Y68*12,CV$3-YEAR($X68)=20,DATEDIF(DATE(YEAR($X68),1,1),$X68,"m")*$Y68,CV$3-YEAR($X68)&gt;20,0)</f>
        <v>1523.8799999999999</v>
      </c>
      <c r="CW68" s="202" cm="1">
        <f t="array" ref="CW68">_xlfn.IFS(CW$3&lt;=YEAR($B$2),SUMPRODUCT(($E$4:$E$79=$E68)*($Z$2:$CG$2=CW$3)*($Z$2:$CG$2&lt;CX$3)*$Z$4:$CG$79),CW$3&lt;YEAR($X68),0,CW$3=YEAR($X68),DATEDIF($X68,DATE(CW$3,12,31),"m")*$Y68,AND(CW$3&gt;YEAR($X68),CW$3-YEAR($X68)&lt;20),$Y68*12,CW$3-YEAR($X68)=20,DATEDIF(DATE(YEAR($X68),1,1),$X68,"m")*$Y68,CW$3-YEAR($X68)&gt;20,0)</f>
        <v>1523.8799999999999</v>
      </c>
      <c r="CX68" s="202" cm="1">
        <f t="array" ref="CX68">_xlfn.IFS(CX$3&lt;=YEAR($B$2),SUMPRODUCT(($E$4:$E$79=$E68)*($Z$2:$CG$2=CX$3)*($Z$2:$CG$2&lt;CY$3)*$Z$4:$CG$79),CX$3&lt;YEAR($X68),0,CX$3=YEAR($X68),DATEDIF($X68,DATE(CX$3,12,31),"m")*$Y68,AND(CX$3&gt;YEAR($X68),CX$3-YEAR($X68)&lt;20),$Y68*12,CX$3-YEAR($X68)=20,DATEDIF(DATE(YEAR($X68),1,1),$X68,"m")*$Y68,CX$3-YEAR($X68)&gt;20,0)</f>
        <v>1523.8799999999999</v>
      </c>
      <c r="CY68" s="202" cm="1">
        <f t="array" ref="CY68">_xlfn.IFS(CY$3&lt;=YEAR($B$2),SUMPRODUCT(($E$4:$E$79=$E68)*($Z$2:$CG$2=CY$3)*($Z$2:$CG$2&lt;CZ$3)*$Z$4:$CG$79),CY$3&lt;YEAR($X68),0,CY$3=YEAR($X68),DATEDIF($X68,DATE(CY$3,12,31),"m")*$Y68,AND(CY$3&gt;YEAR($X68),CY$3-YEAR($X68)&lt;20),$Y68*12,CY$3-YEAR($X68)=20,DATEDIF(DATE(YEAR($X68),1,1),$X68,"m")*$Y68,CY$3-YEAR($X68)&gt;20,0)</f>
        <v>1523.8799999999999</v>
      </c>
      <c r="CZ68" s="202" cm="1">
        <f t="array" ref="CZ68">_xlfn.IFS(CZ$3&lt;=YEAR($B$2),SUMPRODUCT(($E$4:$E$79=$E68)*($Z$2:$CG$2=CZ$3)*($Z$2:$CG$2&lt;DA$3)*$Z$4:$CG$79),CZ$3&lt;YEAR($X68),0,CZ$3=YEAR($X68),DATEDIF($X68,DATE(CZ$3,12,31),"m")*$Y68,AND(CZ$3&gt;YEAR($X68),CZ$3-YEAR($X68)&lt;20),$Y68*12,CZ$3-YEAR($X68)=20,DATEDIF(DATE(YEAR($X68),1,1),$X68,"m")*$Y68,CZ$3-YEAR($X68)&gt;20,0)</f>
        <v>1523.8799999999999</v>
      </c>
      <c r="DA68" s="202" cm="1">
        <f t="array" ref="DA68">_xlfn.IFS(DA$3&lt;=YEAR($B$2),SUMPRODUCT(($E$4:$E$79=$E68)*($Z$2:$CG$2=DA$3)*($Z$2:$CG$2&lt;DB$3)*$Z$4:$CG$79),DA$3&lt;YEAR($X68),0,DA$3=YEAR($X68),DATEDIF($X68,DATE(DA$3,12,31),"m")*$Y68,AND(DA$3&gt;YEAR($X68),DA$3-YEAR($X68)&lt;20),$Y68*12,DA$3-YEAR($X68)=20,DATEDIF(DATE(YEAR($X68),1,1),$X68,"m")*$Y68,DA$3-YEAR($X68)&gt;20,0)</f>
        <v>1523.8799999999999</v>
      </c>
      <c r="DB68" s="202" cm="1">
        <f t="array" ref="DB68">_xlfn.IFS(DB$3&lt;=YEAR($B$2),SUMPRODUCT(($E$4:$E$79=$E68)*($Z$2:$CG$2=DB$3)*($Z$2:$CG$2&lt;DC$3)*$Z$4:$CG$79),DB$3&lt;YEAR($X68),0,DB$3=YEAR($X68),DATEDIF($X68,DATE(DB$3,12,31),"m")*$Y68,AND(DB$3&gt;YEAR($X68),DB$3-YEAR($X68)&lt;20),$Y68*12,DB$3-YEAR($X68)=20,DATEDIF(DATE(YEAR($X68),1,1),$X68,"m")*$Y68,DB$3-YEAR($X68)&gt;20,0)</f>
        <v>1523.8799999999999</v>
      </c>
      <c r="DC68" s="202" cm="1">
        <f t="array" ref="DC68">_xlfn.IFS(DC$3&lt;=YEAR($B$2),SUMPRODUCT(($E$4:$E$79=$E68)*($Z$2:$CG$2=DC$3)*($Z$2:$CG$2&lt;DD$3)*$Z$4:$CG$79),DC$3&lt;YEAR($X68),0,DC$3=YEAR($X68),DATEDIF($X68,DATE(DC$3,12,31),"m")*$Y68,AND(DC$3&gt;YEAR($X68),DC$3-YEAR($X68)&lt;20),$Y68*12,DC$3-YEAR($X68)=20,DATEDIF(DATE(YEAR($X68),1,1),$X68,"m")*$Y68,DC$3-YEAR($X68)&gt;20,0)</f>
        <v>1523.8799999999999</v>
      </c>
      <c r="DD68" s="202" cm="1">
        <f t="array" ref="DD68">_xlfn.IFS(DD$3&lt;=YEAR($B$2),SUMPRODUCT(($E$4:$E$79=$E68)*($Z$2:$CG$2=DD$3)*($Z$2:$CG$2&lt;DE$3)*$Z$4:$CG$79),DD$3&lt;YEAR($X68),0,DD$3=YEAR($X68),DATEDIF($X68,DATE(DD$3,12,31),"m")*$Y68,AND(DD$3&gt;YEAR($X68),DD$3-YEAR($X68)&lt;20),$Y68*12,DD$3-YEAR($X68)=20,DATEDIF(DATE(YEAR($X68),1,1),$X68,"m")*$Y68,DD$3-YEAR($X68)&gt;20,0)</f>
        <v>1523.8799999999999</v>
      </c>
      <c r="DE68" s="202" cm="1">
        <f t="array" ref="DE68">_xlfn.IFS(DE$3&lt;=YEAR($B$2),SUMPRODUCT(($E$4:$E$79=$E68)*($Z$2:$CG$2=DE$3)*($Z$2:$CG$2&lt;DF$3)*$Z$4:$CG$79),DE$3&lt;YEAR($X68),0,DE$3=YEAR($X68),DATEDIF($X68,DATE(DE$3,12,31),"m")*$Y68,AND(DE$3&gt;YEAR($X68),DE$3-YEAR($X68)&lt;20),$Y68*12,DE$3-YEAR($X68)=20,DATEDIF(DATE(YEAR($X68),1,1),$X68,"m")*$Y68,DE$3-YEAR($X68)&gt;20,0)</f>
        <v>1523.8799999999999</v>
      </c>
      <c r="DF68" s="202" cm="1">
        <f t="array" ref="DF68">_xlfn.IFS(DF$3&lt;=YEAR($B$2),SUMPRODUCT(($E$4:$E$79=$E68)*($Z$2:$CG$2=DF$3)*($Z$2:$CG$2&lt;DG$3)*$Z$4:$CG$79),DF$3&lt;YEAR($X68),0,DF$3=YEAR($X68),DATEDIF($X68,DATE(DF$3,12,31),"m")*$Y68,AND(DF$3&gt;YEAR($X68),DF$3-YEAR($X68)&lt;20),$Y68*12,DF$3-YEAR($X68)=20,DATEDIF(DATE(YEAR($X68),1,1),$X68,"m")*$Y68,DF$3-YEAR($X68)&gt;20,0)</f>
        <v>1523.8799999999999</v>
      </c>
      <c r="DG68" s="202" cm="1">
        <f t="array" ref="DG68">_xlfn.IFS(DG$3&lt;=YEAR($B$2),SUMPRODUCT(($E$4:$E$79=$E68)*($Z$2:$CG$2=DG$3)*($Z$2:$CG$2&lt;DH$3)*$Z$4:$CG$79),DG$3&lt;YEAR($X68),0,DG$3=YEAR($X68),DATEDIF($X68,DATE(DG$3,12,31),"m")*$Y68,AND(DG$3&gt;YEAR($X68),DG$3-YEAR($X68)&lt;20),$Y68*12,DG$3-YEAR($X68)=20,DATEDIF(DATE(YEAR($X68),1,1),$X68,"m")*$Y68,DG$3-YEAR($X68)&gt;20,0)</f>
        <v>1523.8799999999999</v>
      </c>
      <c r="DH68" s="202" cm="1">
        <f t="array" ref="DH68">_xlfn.IFS(DH$3&lt;=YEAR($B$2),SUMPRODUCT(($E$4:$E$79=$E68)*($Z$2:$CG$2=DH$3)*($Z$2:$CG$2&lt;DI$3)*$Z$4:$CG$79),DH$3&lt;YEAR($X68),0,DH$3=YEAR($X68),DATEDIF($X68,DATE(DH$3,12,31),"m")*$Y68,AND(DH$3&gt;YEAR($X68),DH$3-YEAR($X68)&lt;20),$Y68*12,DH$3-YEAR($X68)=20,DATEDIF(DATE(YEAR($X68),1,1),$X68,"m")*$Y68,DH$3-YEAR($X68)&gt;20,0)</f>
        <v>1523.8799999999999</v>
      </c>
      <c r="DI68" s="202" cm="1">
        <f t="array" ref="DI68">_xlfn.IFS(DI$3&lt;=YEAR($B$2),SUMPRODUCT(($E$4:$E$79=$E68)*($Z$2:$CG$2=DI$3)*($Z$2:$CG$2&lt;DJ$3)*$Z$4:$CG$79),DI$3&lt;YEAR($X68),0,DI$3=YEAR($X68),DATEDIF($X68,DATE(DI$3,12,31),"m")*$Y68,AND(DI$3&gt;YEAR($X68),DI$3-YEAR($X68)&lt;20),$Y68*12,DI$3-YEAR($X68)=20,DATEDIF(DATE(YEAR($X68),1,1),$X68,"m")*$Y68,DI$3-YEAR($X68)&gt;20,0)</f>
        <v>507.96</v>
      </c>
      <c r="DJ68" s="202" cm="1">
        <f t="array" ref="DJ68">_xlfn.IFS(DJ$3&lt;=YEAR($B$2),SUMPRODUCT(($E$4:$E$79=$E68)*($Z$2:$CG$2=DJ$3)*($Z$2:$CG$2&lt;DK$3)*$Z$4:$CG$79),DJ$3&lt;YEAR($X68),0,DJ$3=YEAR($X68),DATEDIF($X68,DATE(DJ$3,12,31),"m")*$Y68,AND(DJ$3&gt;YEAR($X68),DJ$3-YEAR($X68)&lt;20),$Y68*12,DJ$3-YEAR($X68)=20,DATEDIF(DATE(YEAR($X68),1,1),$X68,"m")*$Y68,DJ$3-YEAR($X68)&gt;20,0)</f>
        <v>0</v>
      </c>
      <c r="DK68" s="202" cm="1">
        <f t="array" ref="DK68">_xlfn.IFS(DK$3&lt;=YEAR($B$2),SUMPRODUCT(($E$4:$E$79=$E68)*($Z$2:$CG$2=DK$3)*($Z$2:$CG$2&lt;DL$3)*$Z$4:$CG$79),DK$3&lt;YEAR($X68),0,DK$3=YEAR($X68),DATEDIF($X68,DATE(DK$3,12,31),"m")*$Y68,AND(DK$3&gt;YEAR($X68),DK$3-YEAR($X68)&lt;20),$Y68*12,DK$3-YEAR($X68)=20,DATEDIF(DATE(YEAR($X68),1,1),$X68,"m")*$Y68,DK$3-YEAR($X68)&gt;20,0)</f>
        <v>0</v>
      </c>
      <c r="DL68" s="202" cm="1">
        <f t="array" ref="DL68">_xlfn.IFS(DL$3&lt;=YEAR($B$2),SUMPRODUCT(($E$4:$E$79=$E68)*($Z$2:$CG$2=DL$3)*($Z$2:$CG$2&lt;DM$3)*$Z$4:$CG$79),DL$3&lt;YEAR($X68),0,DL$3=YEAR($X68),DATEDIF($X68,DATE(DL$3,12,31),"m")*$Y68,AND(DL$3&gt;YEAR($X68),DL$3-YEAR($X68)&lt;20),$Y68*12,DL$3-YEAR($X68)=20,DATEDIF(DATE(YEAR($X68),1,1),$X68,"m")*$Y68,DL$3-YEAR($X68)&gt;20,0)</f>
        <v>0</v>
      </c>
    </row>
    <row r="69" spans="1:116">
      <c r="A69" s="155" t="str" cm="1">
        <f t="array" ref="A69">INDEX('Monthly Report July 2025'!C:C,MATCH(E69,'Monthly Report July 2025'!E:E,0),0)</f>
        <v>OCS067</v>
      </c>
      <c r="B69" s="155" t="str" cm="1">
        <f t="array" ref="B69">_xlfn.IFS(LEFT(E69,3)="PGE","PGE",LEFT(E69,2)="PP","PAC",TRUE,"IP")</f>
        <v>PAC</v>
      </c>
      <c r="C69" s="155" t="str">
        <f>IF(ISNA(MATCH(E69,'Monthly Report July 2025'!E:E,0)),"Missing","Present")</f>
        <v>Present</v>
      </c>
      <c r="D69" s="155" t="str">
        <f>IF(ISNA(MATCH(E69,'Project Operational Timelines'!C:C,0))=TRUE,"Missing","Present")</f>
        <v>Present</v>
      </c>
      <c r="E69" s="155" t="s">
        <v>177</v>
      </c>
      <c r="F69" s="155" t="str" cm="1">
        <f t="array" ref="F69">INDEX('Monthly Report July 2025'!F:F,MATCH(E69,'Monthly Report July 2025'!E:E,),0)</f>
        <v>Colfax Solar</v>
      </c>
      <c r="G69" s="155" t="str" cm="1">
        <f t="array" ref="G69">_xlfn.IFS(INDEX('Monthly Report July 2025'!O:O,MATCH(E69,'Monthly Report July 2025'!E:E,0),0)="Operational","Operational",INDEX('Monthly Report July 2025'!O:O,MATCH(E69,'Monthly Report July 2025'!E:E,0),0)="Certified","Certified",TRUE,"Pre-Certified")</f>
        <v>Pre-Certified</v>
      </c>
      <c r="H69" s="155" t="str" cm="1">
        <f t="array" ref="H69">INDEX('Monthly Report July 2025'!H:H,MATCH($E69,'Monthly Report July 2025'!$E:$E,0),0)</f>
        <v>Hawthorne Renewables LLC</v>
      </c>
      <c r="I69" s="155" t="str" cm="1">
        <f t="array" ref="I69">INDEX('Monthly Report July 2025'!I:I,MATCH($E69,'Monthly Report July 2025'!$E:$E,0),0)</f>
        <v>Hawthorne Renewables LLC</v>
      </c>
      <c r="J69" s="174" cm="1">
        <f t="array" ref="J69">INDEX('Monthly Report July 2025'!J:J,MATCH($E69,'Monthly Report July 2025'!$E:$E,0),0)</f>
        <v>2</v>
      </c>
      <c r="K69" s="174" t="str" cm="1">
        <f t="array" ref="K69">INDEX('Monthly Report July 2025'!K:K,MATCH($E69,'Monthly Report July 2025'!$E:$E,0),0)</f>
        <v>No</v>
      </c>
      <c r="L69" s="174" t="b" cm="1">
        <f t="array" ref="L69">INDEX('Monthly Report July 2025'!L:L,MATCH(E69,'Monthly Report July 2025'!E:E,0),0)=M69</f>
        <v>1</v>
      </c>
      <c r="M69" s="273" cm="1">
        <f t="array" ref="M69">INDEX('Monthly Report July 2025'!L:L,MATCH($E69,'Monthly Report July 2025'!$E:$E,0),0)</f>
        <v>1000</v>
      </c>
      <c r="N69" s="175" cm="1">
        <f t="array" ref="N69">INDEX('Monthly Report July 2025'!M:M,MATCH($E69,'Monthly Report July 2025'!$E:$E,0),0)</f>
        <v>45619</v>
      </c>
      <c r="O69" s="175" cm="1">
        <f t="array" ref="O69">_xlfn.IFS(G69="Operational","Operational",G69="Certified","Certified",TRUE,INDEX('Monthly Report July 2025'!O:O,MATCH(E69,'Monthly Report July 2025'!E:E,0),0))</f>
        <v>46165</v>
      </c>
      <c r="Q69" s="175" t="str" cm="1">
        <f t="array" ref="Q69">IF(O69="Operational",INDEX('Monthly Report July 2025'!R:R,MATCH(E69,'Monthly Report July 2025'!E:E,0),0),"")</f>
        <v/>
      </c>
      <c r="R69" s="175" t="str" cm="1">
        <f t="array" ref="R69">INDEX('Monthly Report July 2025'!P:P,MATCH(E69,'Monthly Report July 2025'!E:E,0),0)</f>
        <v>Not Yet Certified</v>
      </c>
      <c r="T69" s="175" cm="1">
        <f t="array" ref="T69">INDEX('Monthly Report July 2025'!U:U,MATCH(E69,'Monthly Report July 2025'!E:E,0),0)</f>
        <v>46119</v>
      </c>
      <c r="U69" s="175" t="b">
        <f t="shared" si="34"/>
        <v>1</v>
      </c>
      <c r="V69" s="156">
        <f t="shared" si="29"/>
        <v>46165</v>
      </c>
      <c r="W69" s="156" cm="1">
        <f t="array" ref="W69">_xlfn.IFS(U69=TRUE,EDATE(O69,6),U69=FALSE,T69,O69="Operational",Q69,AND(O69="Certified",EDATE(R69,6)&gt;T69),EDATE(R69,6),TRUE,T69)</f>
        <v>46349</v>
      </c>
      <c r="X69" s="156">
        <f t="shared" si="33"/>
        <v>46410</v>
      </c>
      <c r="Y69" s="157">
        <f t="shared" si="35"/>
        <v>722.5</v>
      </c>
      <c r="Z69" s="202" cm="1">
        <f t="array" ref="Z69">_xlfn.IFS(Z$3&lt;$B$2,SUMPRODUCT(('PA Fees Actual'!$B$5:$B$882=$E69)*('PA Fees Actual'!$A$5:$A$882&gt;=Z$3)*('PA Fees Actual'!$A$5:$A$882&lt;=EOMONTH(Z$3,0))*'PA Fees Actual'!$D$5:$D$882),Z$3&gt;=EOMONTH($X69,-1)+1,$Y69,TRUE,0)</f>
        <v>0</v>
      </c>
      <c r="AA69" s="202" cm="1">
        <f t="array" ref="AA69">_xlfn.IFS(AA$3&lt;$B$2,SUMPRODUCT(('PA Fees Actual'!$B$5:$B$882=$E69)*('PA Fees Actual'!$A$5:$A$882&gt;=AA$3)*('PA Fees Actual'!$A$5:$A$882&lt;=EOMONTH(AA$3,0))*'PA Fees Actual'!$D$5:$D$882),AA$3&gt;=EOMONTH($X69,-1)+1,$Y69,TRUE,0)</f>
        <v>0</v>
      </c>
      <c r="AB69" s="202" cm="1">
        <f t="array" ref="AB69">_xlfn.IFS(AB$3&lt;$B$2,SUMPRODUCT(('PA Fees Actual'!$B$5:$B$882=$E69)*('PA Fees Actual'!$A$5:$A$882&gt;=AB$3)*('PA Fees Actual'!$A$5:$A$882&lt;=EOMONTH(AB$3,0))*'PA Fees Actual'!$D$5:$D$882),AB$3&gt;=EOMONTH($X69,-1)+1,$Y69,TRUE,0)</f>
        <v>0</v>
      </c>
      <c r="AC69" s="202" cm="1">
        <f t="array" ref="AC69">_xlfn.IFS(AC$3&lt;$B$2,SUMPRODUCT(('PA Fees Actual'!$B$5:$B$882=$E69)*('PA Fees Actual'!$A$5:$A$882&gt;=AC$3)*('PA Fees Actual'!$A$5:$A$882&lt;=EOMONTH(AC$3,0))*'PA Fees Actual'!$D$5:$D$882),AC$3&gt;=EOMONTH($X69,-1)+1,$Y69,TRUE,0)</f>
        <v>0</v>
      </c>
      <c r="AD69" s="202" cm="1">
        <f t="array" ref="AD69">_xlfn.IFS(AD$3&lt;$B$2,SUMPRODUCT(('PA Fees Actual'!$B$5:$B$882=$E69)*('PA Fees Actual'!$A$5:$A$882&gt;=AD$3)*('PA Fees Actual'!$A$5:$A$882&lt;=EOMONTH(AD$3,0))*'PA Fees Actual'!$D$5:$D$882),AD$3&gt;=EOMONTH($X69,-1)+1,$Y69,TRUE,0)</f>
        <v>0</v>
      </c>
      <c r="AE69" s="202" cm="1">
        <f t="array" ref="AE69">_xlfn.IFS(AE$3&lt;$B$2,SUMPRODUCT(('PA Fees Actual'!$B$5:$B$882=$E69)*('PA Fees Actual'!$A$5:$A$882&gt;=AE$3)*('PA Fees Actual'!$A$5:$A$882&lt;=EOMONTH(AE$3,0))*'PA Fees Actual'!$D$5:$D$882),AE$3&gt;=EOMONTH($X69,-1)+1,$Y69,TRUE,0)</f>
        <v>0</v>
      </c>
      <c r="AF69" s="202" cm="1">
        <f t="array" ref="AF69">_xlfn.IFS(AF$3&lt;$B$2,SUMPRODUCT(('PA Fees Actual'!$B$5:$B$882=$E69)*('PA Fees Actual'!$A$5:$A$882&gt;=AF$3)*('PA Fees Actual'!$A$5:$A$882&lt;=EOMONTH(AF$3,0))*'PA Fees Actual'!$D$5:$D$882),AF$3&gt;=EOMONTH($X69,-1)+1,$Y69,TRUE,0)</f>
        <v>0</v>
      </c>
      <c r="AG69" s="202" cm="1">
        <f t="array" ref="AG69">_xlfn.IFS(AG$3&lt;$B$2,SUMPRODUCT(('PA Fees Actual'!$B$5:$B$882=$E69)*('PA Fees Actual'!$A$5:$A$882&gt;=AG$3)*('PA Fees Actual'!$A$5:$A$882&lt;=EOMONTH(AG$3,0))*'PA Fees Actual'!$D$5:$D$882),AG$3&gt;=EOMONTH($X69,-1)+1,$Y69,TRUE,0)</f>
        <v>0</v>
      </c>
      <c r="AH69" s="202" cm="1">
        <f t="array" ref="AH69">_xlfn.IFS(AH$3&lt;$B$2,SUMPRODUCT(('PA Fees Actual'!$B$5:$B$882=$E69)*('PA Fees Actual'!$A$5:$A$882&gt;=AH$3)*('PA Fees Actual'!$A$5:$A$882&lt;=EOMONTH(AH$3,0))*'PA Fees Actual'!$D$5:$D$882),AH$3&gt;=EOMONTH($X69,-1)+1,$Y69,TRUE,0)</f>
        <v>0</v>
      </c>
      <c r="AI69" s="202" cm="1">
        <f t="array" ref="AI69">_xlfn.IFS(AI$3&lt;$B$2,SUMPRODUCT(('PA Fees Actual'!$B$5:$B$882=$E69)*('PA Fees Actual'!$A$5:$A$882&gt;=AI$3)*('PA Fees Actual'!$A$5:$A$882&lt;=EOMONTH(AI$3,0))*'PA Fees Actual'!$D$5:$D$882),AI$3&gt;=EOMONTH($X69,-1)+1,$Y69,TRUE,0)</f>
        <v>0</v>
      </c>
      <c r="AJ69" s="202" cm="1">
        <f t="array" ref="AJ69">_xlfn.IFS(AJ$3&lt;$B$2,SUMPRODUCT(('PA Fees Actual'!$B$5:$B$882=$E69)*('PA Fees Actual'!$A$5:$A$882&gt;=AJ$3)*('PA Fees Actual'!$A$5:$A$882&lt;=EOMONTH(AJ$3,0))*'PA Fees Actual'!$D$5:$D$882),AJ$3&gt;=EOMONTH($X69,-1)+1,$Y69,TRUE,0)</f>
        <v>0</v>
      </c>
      <c r="AK69" s="202" cm="1">
        <f t="array" ref="AK69">_xlfn.IFS(AK$3&lt;$B$2,SUMPRODUCT(('PA Fees Actual'!$B$5:$B$882=$E69)*('PA Fees Actual'!$A$5:$A$882&gt;=AK$3)*('PA Fees Actual'!$A$5:$A$882&lt;=EOMONTH(AK$3,0))*'PA Fees Actual'!$D$5:$D$882),AK$3&gt;=EOMONTH($X69,-1)+1,$Y69,TRUE,0)</f>
        <v>0</v>
      </c>
      <c r="AL69" s="202" cm="1">
        <f t="array" ref="AL69">_xlfn.IFS(AL$3&lt;$B$2,SUMPRODUCT(('PA Fees Actual'!$B$5:$B$882=$E69)*('PA Fees Actual'!$A$5:$A$882&gt;=AL$3)*('PA Fees Actual'!$A$5:$A$882&lt;=EOMONTH(AL$3,0))*'PA Fees Actual'!$D$5:$D$882),AL$3&gt;=EOMONTH($X69,-1)+1,$Y69,TRUE,0)</f>
        <v>0</v>
      </c>
      <c r="AM69" s="202" cm="1">
        <f t="array" ref="AM69">_xlfn.IFS(AM$3&lt;$B$2,SUMPRODUCT(('PA Fees Actual'!$B$5:$B$882=$E69)*('PA Fees Actual'!$A$5:$A$882&gt;=AM$3)*('PA Fees Actual'!$A$5:$A$882&lt;=EOMONTH(AM$3,0))*'PA Fees Actual'!$D$5:$D$882),AM$3&gt;=EOMONTH($X69,-1)+1,$Y69,TRUE,0)</f>
        <v>0</v>
      </c>
      <c r="AN69" s="202" cm="1">
        <f t="array" ref="AN69">_xlfn.IFS(AN$3&lt;$B$2,SUMPRODUCT(('PA Fees Actual'!$B$5:$B$882=$E69)*('PA Fees Actual'!$A$5:$A$882&gt;=AN$3)*('PA Fees Actual'!$A$5:$A$882&lt;=EOMONTH(AN$3,0))*'PA Fees Actual'!$D$5:$D$882),AN$3&gt;=EOMONTH($X69,-1)+1,$Y69,TRUE,0)</f>
        <v>0</v>
      </c>
      <c r="AO69" s="202" cm="1">
        <f t="array" ref="AO69">_xlfn.IFS(AO$3&lt;$B$2,SUMPRODUCT(('PA Fees Actual'!$B$5:$B$882=$E69)*('PA Fees Actual'!$A$5:$A$882&gt;=AO$3)*('PA Fees Actual'!$A$5:$A$882&lt;=EOMONTH(AO$3,0))*'PA Fees Actual'!$D$5:$D$882),AO$3&gt;=EOMONTH($X69,-1)+1,$Y69,TRUE,0)</f>
        <v>0</v>
      </c>
      <c r="AP69" s="202" cm="1">
        <f t="array" ref="AP69">_xlfn.IFS(AP$3&lt;$B$2,SUMPRODUCT(('PA Fees Actual'!$B$5:$B$882=$E69)*('PA Fees Actual'!$A$5:$A$882&gt;=AP$3)*('PA Fees Actual'!$A$5:$A$882&lt;=EOMONTH(AP$3,0))*'PA Fees Actual'!$D$5:$D$882),AP$3&gt;=EOMONTH($X69,-1)+1,$Y69,TRUE,0)</f>
        <v>0</v>
      </c>
      <c r="AQ69" s="202" cm="1">
        <f t="array" ref="AQ69">_xlfn.IFS(AQ$3&lt;$B$2,SUMPRODUCT(('PA Fees Actual'!$B$5:$B$882=$E69)*('PA Fees Actual'!$A$5:$A$882&gt;=AQ$3)*('PA Fees Actual'!$A$5:$A$882&lt;=EOMONTH(AQ$3,0))*'PA Fees Actual'!$D$5:$D$882),AQ$3&gt;=EOMONTH($X69,-1)+1,$Y69,TRUE,0)</f>
        <v>0</v>
      </c>
      <c r="AR69" s="202" cm="1">
        <f t="array" ref="AR69">_xlfn.IFS(AR$3&lt;$B$2,SUMPRODUCT(('PA Fees Actual'!$B$5:$B$882=$E69)*('PA Fees Actual'!$A$5:$A$882&gt;=AR$3)*('PA Fees Actual'!$A$5:$A$882&lt;=EOMONTH(AR$3,0))*'PA Fees Actual'!$D$5:$D$882),AR$3&gt;=EOMONTH($X69,-1)+1,$Y69,TRUE,0)</f>
        <v>0</v>
      </c>
      <c r="AS69" s="202" cm="1">
        <f t="array" ref="AS69">_xlfn.IFS(AS$3&lt;$B$2,SUMPRODUCT(('PA Fees Actual'!$B$5:$B$882=$E69)*('PA Fees Actual'!$A$5:$A$882&gt;=AS$3)*('PA Fees Actual'!$A$5:$A$882&lt;=EOMONTH(AS$3,0))*'PA Fees Actual'!$D$5:$D$882),AS$3&gt;=EOMONTH($X69,-1)+1,$Y69,TRUE,0)</f>
        <v>0</v>
      </c>
      <c r="AT69" s="202" cm="1">
        <f t="array" ref="AT69">_xlfn.IFS(AT$3&lt;$B$2,SUMPRODUCT(('PA Fees Actual'!$B$5:$B$882=$E69)*('PA Fees Actual'!$A$5:$A$882&gt;=AT$3)*('PA Fees Actual'!$A$5:$A$882&lt;=EOMONTH(AT$3,0))*'PA Fees Actual'!$D$5:$D$882),AT$3&gt;=EOMONTH($X69,-1)+1,$Y69,TRUE,0)</f>
        <v>0</v>
      </c>
      <c r="AU69" s="202" cm="1">
        <f t="array" ref="AU69">_xlfn.IFS(AU$3&lt;$B$2,SUMPRODUCT(('PA Fees Actual'!$B$5:$B$882=$E69)*('PA Fees Actual'!$A$5:$A$882&gt;=AU$3)*('PA Fees Actual'!$A$5:$A$882&lt;=EOMONTH(AU$3,0))*'PA Fees Actual'!$D$5:$D$882),AU$3&gt;=EOMONTH($X69,-1)+1,$Y69,TRUE,0)</f>
        <v>0</v>
      </c>
      <c r="AV69" s="202" cm="1">
        <f t="array" ref="AV69">_xlfn.IFS(AV$3&lt;$B$2,SUMPRODUCT(('PA Fees Actual'!$B$5:$B$882=$E69)*('PA Fees Actual'!$A$5:$A$882&gt;=AV$3)*('PA Fees Actual'!$A$5:$A$882&lt;=EOMONTH(AV$3,0))*'PA Fees Actual'!$D$5:$D$882),AV$3&gt;=EOMONTH($X69,-1)+1,$Y69,TRUE,0)</f>
        <v>0</v>
      </c>
      <c r="AW69" s="202" cm="1">
        <f t="array" ref="AW69">_xlfn.IFS(AW$3&lt;$B$2,SUMPRODUCT(('PA Fees Actual'!$B$5:$B$882=$E69)*('PA Fees Actual'!$A$5:$A$882&gt;=AW$3)*('PA Fees Actual'!$A$5:$A$882&lt;=EOMONTH(AW$3,0))*'PA Fees Actual'!$D$5:$D$882),AW$3&gt;=EOMONTH($X69,-1)+1,$Y69,TRUE,0)</f>
        <v>0</v>
      </c>
      <c r="AX69" s="202" cm="1">
        <f t="array" ref="AX69">_xlfn.IFS(AX$3&lt;$B$2,SUMPRODUCT(('PA Fees Actual'!$B$5:$B$882=$E69)*('PA Fees Actual'!$A$5:$A$882&gt;=AX$3)*('PA Fees Actual'!$A$5:$A$882&lt;=EOMONTH(AX$3,0))*'PA Fees Actual'!$D$5:$D$882),AX$3&gt;=EOMONTH($X69,-1)+1,$Y69,TRUE,0)</f>
        <v>0</v>
      </c>
      <c r="AY69" s="202" cm="1">
        <f t="array" ref="AY69">_xlfn.IFS(AY$3&lt;$B$2,SUMPRODUCT(('PA Fees Actual'!$B$5:$B$882=$E69)*('PA Fees Actual'!$A$5:$A$882&gt;=AY$3)*('PA Fees Actual'!$A$5:$A$882&lt;=EOMONTH(AY$3,0))*'PA Fees Actual'!$D$5:$D$882),AY$3&gt;=EOMONTH($X69,-1)+1,$Y69,TRUE,0)</f>
        <v>0</v>
      </c>
      <c r="AZ69" s="202" cm="1">
        <f t="array" ref="AZ69">_xlfn.IFS(AZ$3&lt;$B$2,SUMPRODUCT(('PA Fees Actual'!$B$5:$B$882=$E69)*('PA Fees Actual'!$A$5:$A$882&gt;=AZ$3)*('PA Fees Actual'!$A$5:$A$882&lt;=EOMONTH(AZ$3,0))*'PA Fees Actual'!$D$5:$D$882),AZ$3&gt;=EOMONTH($X69,-1)+1,$Y69,TRUE,0)</f>
        <v>0</v>
      </c>
      <c r="BA69" s="202" cm="1">
        <f t="array" ref="BA69">_xlfn.IFS(BA$3&lt;$B$2,SUMPRODUCT(('PA Fees Actual'!$B$5:$B$882=$E69)*('PA Fees Actual'!$A$5:$A$882&gt;=BA$3)*('PA Fees Actual'!$A$5:$A$882&lt;=EOMONTH(BA$3,0))*'PA Fees Actual'!$D$5:$D$882),BA$3&gt;=EOMONTH($X69,-1)+1,$Y69,TRUE,0)</f>
        <v>0</v>
      </c>
      <c r="BB69" s="202" cm="1">
        <f t="array" ref="BB69">_xlfn.IFS(BB$3&lt;$B$2,SUMPRODUCT(('PA Fees Actual'!$B$5:$B$882=$E69)*('PA Fees Actual'!$A$5:$A$882&gt;=BB$3)*('PA Fees Actual'!$A$5:$A$882&lt;=EOMONTH(BB$3,0))*'PA Fees Actual'!$D$5:$D$882),BB$3&gt;=EOMONTH($X69,-1)+1,$Y69,TRUE,0)</f>
        <v>0</v>
      </c>
      <c r="BC69" s="202" cm="1">
        <f t="array" ref="BC69">_xlfn.IFS(BC$3&lt;$B$2,SUMPRODUCT(('PA Fees Actual'!$B$5:$B$882=$E69)*('PA Fees Actual'!$A$5:$A$882&gt;=BC$3)*('PA Fees Actual'!$A$5:$A$882&lt;=EOMONTH(BC$3,0))*'PA Fees Actual'!$D$5:$D$882),BC$3&gt;=EOMONTH($X69,-1)+1,$Y69,TRUE,0)</f>
        <v>0</v>
      </c>
      <c r="BD69" s="202" cm="1">
        <f t="array" ref="BD69">_xlfn.IFS(BD$3&lt;$B$2,SUMPRODUCT(('PA Fees Actual'!$B$5:$B$882=$E69)*('PA Fees Actual'!$A$5:$A$882&gt;=BD$3)*('PA Fees Actual'!$A$5:$A$882&lt;=EOMONTH(BD$3,0))*'PA Fees Actual'!$D$5:$D$882),BD$3&gt;=EOMONTH($X69,-1)+1,$Y69,TRUE,0)</f>
        <v>0</v>
      </c>
      <c r="BE69" s="202" cm="1">
        <f t="array" ref="BE69">_xlfn.IFS(BE$3&lt;$B$2,SUMPRODUCT(('PA Fees Actual'!$B$5:$B$882=$E69)*('PA Fees Actual'!$A$5:$A$882&gt;=BE$3)*('PA Fees Actual'!$A$5:$A$882&lt;=EOMONTH(BE$3,0))*'PA Fees Actual'!$D$5:$D$882),BE$3&gt;=EOMONTH($X69,-1)+1,$Y69,TRUE,0)</f>
        <v>0</v>
      </c>
      <c r="BF69" s="202" cm="1">
        <f t="array" ref="BF69">_xlfn.IFS(BF$3&lt;$B$2,SUMPRODUCT(('PA Fees Actual'!$B$5:$B$882=$E69)*('PA Fees Actual'!$A$5:$A$882&gt;=BF$3)*('PA Fees Actual'!$A$5:$A$882&lt;=EOMONTH(BF$3,0))*'PA Fees Actual'!$D$5:$D$882),BF$3&gt;=EOMONTH($X69,-1)+1,$Y69,TRUE,0)</f>
        <v>0</v>
      </c>
      <c r="BG69" s="202" cm="1">
        <f t="array" ref="BG69">_xlfn.IFS(BG$3&lt;$B$2,SUMPRODUCT(('PA Fees Actual'!$B$5:$B$882=$E69)*('PA Fees Actual'!$A$5:$A$882&gt;=BG$3)*('PA Fees Actual'!$A$5:$A$882&lt;=EOMONTH(BG$3,0))*'PA Fees Actual'!$D$5:$D$882),BG$3&gt;=EOMONTH($X69,-1)+1,$Y69,TRUE,0)</f>
        <v>0</v>
      </c>
      <c r="BH69" s="202" cm="1">
        <f t="array" ref="BH69">_xlfn.IFS(BH$3&lt;$B$2,SUMPRODUCT(('PA Fees Actual'!$B$5:$B$882=$E69)*('PA Fees Actual'!$A$5:$A$882&gt;=BH$3)*('PA Fees Actual'!$A$5:$A$882&lt;=EOMONTH(BH$3,0))*'PA Fees Actual'!$D$5:$D$882),BH$3&gt;=EOMONTH($X69,-1)+1,$Y69,TRUE,0)</f>
        <v>0</v>
      </c>
      <c r="BI69" s="202" cm="1">
        <f t="array" ref="BI69">_xlfn.IFS(BI$3&lt;$B$2,SUMPRODUCT(('PA Fees Actual'!$B$5:$B$882=$E69)*('PA Fees Actual'!$A$5:$A$882&gt;=BI$3)*('PA Fees Actual'!$A$5:$A$882&lt;=EOMONTH(BI$3,0))*'PA Fees Actual'!$D$5:$D$882),BI$3&gt;=EOMONTH($X69,-1)+1,$Y69,TRUE,0)</f>
        <v>0</v>
      </c>
      <c r="BJ69" s="202" cm="1">
        <f t="array" ref="BJ69">_xlfn.IFS(BJ$3&lt;$B$2,SUMPRODUCT(('PA Fees Actual'!$B$5:$B$882=$E69)*('PA Fees Actual'!$A$5:$A$882&gt;=BJ$3)*('PA Fees Actual'!$A$5:$A$882&lt;=EOMONTH(BJ$3,0))*'PA Fees Actual'!$D$5:$D$882),BJ$3&gt;=EOMONTH($X69,-1)+1,$Y69,TRUE,0)</f>
        <v>0</v>
      </c>
      <c r="BK69" s="202" cm="1">
        <f t="array" ref="BK69">_xlfn.IFS(BK$3&lt;$B$2,SUMPRODUCT(('PA Fees Actual'!$B$5:$B$882=$E69)*('PA Fees Actual'!$A$5:$A$882&gt;=BK$3)*('PA Fees Actual'!$A$5:$A$882&lt;=EOMONTH(BK$3,0))*'PA Fees Actual'!$D$5:$D$882),BK$3&gt;=EOMONTH($X69,-1)+1,$Y69,TRUE,0)</f>
        <v>0</v>
      </c>
      <c r="BL69" s="202" cm="1">
        <f t="array" ref="BL69">_xlfn.IFS(BL$3&lt;$B$2,SUMPRODUCT(('PA Fees Actual'!$B$5:$B$882=$E69)*('PA Fees Actual'!$A$5:$A$882&gt;=BL$3)*('PA Fees Actual'!$A$5:$A$882&lt;=EOMONTH(BL$3,0))*'PA Fees Actual'!$D$5:$D$882),BL$3&gt;=EOMONTH($X69,-1)+1,$Y69,TRUE,0)</f>
        <v>0</v>
      </c>
      <c r="BM69" s="202" cm="1">
        <f t="array" ref="BM69">_xlfn.IFS(BM$3&lt;$B$2,SUMPRODUCT(('PA Fees Actual'!$B$5:$B$882=$E69)*('PA Fees Actual'!$A$5:$A$882&gt;=BM$3)*('PA Fees Actual'!$A$5:$A$882&lt;=EOMONTH(BM$3,0))*'PA Fees Actual'!$D$5:$D$882),BM$3&gt;=EOMONTH($X69,-1)+1,$Y69,TRUE,0)</f>
        <v>0</v>
      </c>
      <c r="BN69" s="202" cm="1">
        <f t="array" ref="BN69">_xlfn.IFS(BN$3&lt;$B$2,SUMPRODUCT(('PA Fees Actual'!$B$5:$B$882=$E69)*('PA Fees Actual'!$A$5:$A$882&gt;=BN$3)*('PA Fees Actual'!$A$5:$A$882&lt;=EOMONTH(BN$3,0))*'PA Fees Actual'!$D$5:$D$882),BN$3&gt;=EOMONTH($X69,-1)+1,$Y69,TRUE,0)</f>
        <v>0</v>
      </c>
      <c r="BO69" s="202" cm="1">
        <f t="array" ref="BO69">_xlfn.IFS(BO$3&lt;$B$2,SUMPRODUCT(('PA Fees Actual'!$B$5:$B$882=$E69)*('PA Fees Actual'!$A$5:$A$882&gt;=BO$3)*('PA Fees Actual'!$A$5:$A$882&lt;=EOMONTH(BO$3,0))*'PA Fees Actual'!$D$5:$D$882),BO$3&gt;=EOMONTH($X69,-1)+1,$Y69,TRUE,0)</f>
        <v>0</v>
      </c>
      <c r="BP69" s="202" cm="1">
        <f t="array" ref="BP69">_xlfn.IFS(BP$3&lt;$B$2,SUMPRODUCT(('PA Fees Actual'!$B$5:$B$882=$E69)*('PA Fees Actual'!$A$5:$A$882&gt;=BP$3)*('PA Fees Actual'!$A$5:$A$882&lt;=EOMONTH(BP$3,0))*'PA Fees Actual'!$D$5:$D$882),BP$3&gt;=EOMONTH($X69,-1)+1,$Y69,TRUE,0)</f>
        <v>0</v>
      </c>
      <c r="BQ69" s="202" cm="1">
        <f t="array" ref="BQ69">_xlfn.IFS(BQ$3&lt;$B$2,SUMPRODUCT(('PA Fees Actual'!$B$5:$B$882=$E69)*('PA Fees Actual'!$A$5:$A$882&gt;=BQ$3)*('PA Fees Actual'!$A$5:$A$882&lt;=EOMONTH(BQ$3,0))*'PA Fees Actual'!$D$5:$D$882),BQ$3&gt;=EOMONTH($X69,-1)+1,$Y69,TRUE,0)</f>
        <v>0</v>
      </c>
      <c r="BR69" s="202" cm="1">
        <f t="array" ref="BR69">_xlfn.IFS(BR$3&lt;$B$2,SUMPRODUCT(('PA Fees Actual'!$B$5:$B$882=$E69)*('PA Fees Actual'!$A$5:$A$882&gt;=BR$3)*('PA Fees Actual'!$A$5:$A$882&lt;=EOMONTH(BR$3,0))*'PA Fees Actual'!$D$5:$D$882),BR$3&gt;=EOMONTH($X69,-1)+1,$Y69,TRUE,0)</f>
        <v>0</v>
      </c>
      <c r="BS69" s="202" cm="1">
        <f t="array" ref="BS69">_xlfn.IFS(BS$3&lt;$B$2,SUMPRODUCT(('PA Fees Actual'!$B$5:$B$882=$E69)*('PA Fees Actual'!$A$5:$A$882&gt;=BS$3)*('PA Fees Actual'!$A$5:$A$882&lt;=EOMONTH(BS$3,0))*'PA Fees Actual'!$D$5:$D$882),BS$3&gt;=EOMONTH($X69,-1)+1,$Y69,TRUE,0)</f>
        <v>0</v>
      </c>
      <c r="BT69" s="202" cm="1">
        <f t="array" ref="BT69">_xlfn.IFS(BT$3&lt;$B$2,SUMPRODUCT(('PA Fees Actual'!$B$5:$B$882=$E69)*('PA Fees Actual'!$A$5:$A$882&gt;=BT$3)*('PA Fees Actual'!$A$5:$A$882&lt;=EOMONTH(BT$3,0))*'PA Fees Actual'!$D$5:$D$882),BT$3&gt;=EOMONTH($X69,-1)+1,$Y69,TRUE,0)</f>
        <v>0</v>
      </c>
      <c r="BU69" s="202" cm="1">
        <f t="array" ref="BU69">_xlfn.IFS(BU$3&lt;$B$2,SUMPRODUCT(('PA Fees Actual'!$B$5:$B$882=$E69)*('PA Fees Actual'!$A$5:$A$882&gt;=BU$3)*('PA Fees Actual'!$A$5:$A$882&lt;=EOMONTH(BU$3,0))*'PA Fees Actual'!$D$5:$D$882),BU$3&gt;=EOMONTH($X69,-1)+1,$Y69,TRUE,0)</f>
        <v>0</v>
      </c>
      <c r="BV69" s="202" cm="1">
        <f t="array" ref="BV69">_xlfn.IFS(BV$3&lt;$B$2,SUMPRODUCT(('PA Fees Actual'!$B$5:$B$882=$E69)*('PA Fees Actual'!$A$5:$A$882&gt;=BV$3)*('PA Fees Actual'!$A$5:$A$882&lt;=EOMONTH(BV$3,0))*'PA Fees Actual'!$D$5:$D$882),BV$3&gt;=EOMONTH($X69,-1)+1,$Y69,TRUE,0)</f>
        <v>0</v>
      </c>
      <c r="BW69" s="202" cm="1">
        <f t="array" ref="BW69">_xlfn.IFS(BW$3&lt;$B$2,SUMPRODUCT(('PA Fees Actual'!$B$5:$B$882=$E69)*('PA Fees Actual'!$A$5:$A$882&gt;=BW$3)*('PA Fees Actual'!$A$5:$A$882&lt;=EOMONTH(BW$3,0))*'PA Fees Actual'!$D$5:$D$882),BW$3&gt;=EOMONTH($X69,-1)+1,$Y69,TRUE,0)</f>
        <v>0</v>
      </c>
      <c r="BX69" s="202" cm="1">
        <f t="array" ref="BX69">_xlfn.IFS(BX$3&lt;$B$2,SUMPRODUCT(('PA Fees Actual'!$B$5:$B$882=$E69)*('PA Fees Actual'!$A$5:$A$882&gt;=BX$3)*('PA Fees Actual'!$A$5:$A$882&lt;=EOMONTH(BX$3,0))*'PA Fees Actual'!$D$5:$D$882),BX$3&gt;=EOMONTH($X69,-1)+1,$Y69,TRUE,0)</f>
        <v>0</v>
      </c>
      <c r="BY69" s="202" cm="1">
        <f t="array" ref="BY69">_xlfn.IFS(BY$3&lt;$B$2,SUMPRODUCT(('PA Fees Actual'!$B$5:$B$882=$E69)*('PA Fees Actual'!$A$5:$A$882&gt;=BY$3)*('PA Fees Actual'!$A$5:$A$882&lt;=EOMONTH(BY$3,0))*'PA Fees Actual'!$D$5:$D$882),BY$3&gt;=EOMONTH($X69,-1)+1,$Y69,TRUE,0)</f>
        <v>0</v>
      </c>
      <c r="BZ69" s="202" cm="1">
        <f t="array" ref="BZ69">_xlfn.IFS(BZ$3&lt;$B$2,SUMPRODUCT(('PA Fees Actual'!$B$5:$B$882=$E69)*('PA Fees Actual'!$A$5:$A$882&gt;=BZ$3)*('PA Fees Actual'!$A$5:$A$882&lt;=EOMONTH(BZ$3,0))*'PA Fees Actual'!$D$5:$D$882),BZ$3&gt;=EOMONTH($X69,-1)+1,$Y69,TRUE,0)</f>
        <v>0</v>
      </c>
      <c r="CA69" s="202" cm="1">
        <f t="array" ref="CA69">_xlfn.IFS(CA$3&lt;$B$2,SUMPRODUCT(('PA Fees Actual'!$B$5:$B$882=$E69)*('PA Fees Actual'!$A$5:$A$882&gt;=CA$3)*('PA Fees Actual'!$A$5:$A$882&lt;=EOMONTH(CA$3,0))*'PA Fees Actual'!$D$5:$D$882),CA$3&gt;=EOMONTH($X69,-1)+1,$Y69,TRUE,0)</f>
        <v>0</v>
      </c>
      <c r="CB69" s="202" cm="1">
        <f t="array" ref="CB69">_xlfn.IFS(CB$3&lt;$B$2,SUMPRODUCT(('PA Fees Actual'!$B$5:$B$749=$E69)*('PA Fees Actual'!$A$5:$A$749&gt;=CB$3)*('PA Fees Actual'!$A$5:$A$749&lt;=EOMONTH(CB$3,0))*'PA Fees Actual'!$D$5:$D$749),CB$3&gt;=EOMONTH($X69,-1)+1,$Y69,TRUE,0)</f>
        <v>0</v>
      </c>
      <c r="CC69" s="202" cm="1">
        <f t="array" ref="CC69">_xlfn.IFS(CC$3&lt;$B$2,SUMPRODUCT(('PA Fees Actual'!$B$5:$B$749=$E69)*('PA Fees Actual'!$A$5:$A$749&gt;=CC$3)*('PA Fees Actual'!$A$5:$A$749&lt;=EOMONTH(CC$3,0))*'PA Fees Actual'!$D$5:$D$749),CC$3&gt;=EOMONTH($X69,-1)+1,$Y69,TRUE,0)</f>
        <v>0</v>
      </c>
      <c r="CD69" s="202" cm="1">
        <f t="array" ref="CD69">_xlfn.IFS(CD$3&lt;$B$2,SUMPRODUCT(('PA Fees Actual'!$B$5:$B$749=$E69)*('PA Fees Actual'!$A$5:$A$749&gt;=CD$3)*('PA Fees Actual'!$A$5:$A$749&lt;=EOMONTH(CD$3,0))*'PA Fees Actual'!$D$5:$D$749),CD$3&gt;=EOMONTH($X69,-1)+1,$Y69,TRUE,0)</f>
        <v>0</v>
      </c>
      <c r="CE69" s="202" cm="1">
        <f t="array" ref="CE69">_xlfn.IFS(CE$3&lt;$B$2,SUMPRODUCT(('PA Fees Actual'!$B$5:$B$749=$E69)*('PA Fees Actual'!$A$5:$A$749&gt;=CE$3)*('PA Fees Actual'!$A$5:$A$749&lt;=EOMONTH(CE$3,0))*'PA Fees Actual'!$D$5:$D$749),CE$3&gt;=EOMONTH($X69,-1)+1,$Y69,TRUE,0)</f>
        <v>0</v>
      </c>
      <c r="CF69" s="202" cm="1">
        <f t="array" ref="CF69">_xlfn.IFS(CF$3&lt;$B$2,SUMPRODUCT(('PA Fees Actual'!$B$5:$B$749=$E69)*('PA Fees Actual'!$A$5:$A$749&gt;=CF$3)*('PA Fees Actual'!$A$5:$A$749&lt;=EOMONTH(CF$3,0))*'PA Fees Actual'!$D$5:$D$749),CF$3&gt;=EOMONTH($X69,-1)+1,$Y69,TRUE,0)</f>
        <v>0</v>
      </c>
      <c r="CG69" s="202" cm="1">
        <f t="array" ref="CG69">_xlfn.IFS(CG$3&lt;$B$2,SUMPRODUCT(('PA Fees Actual'!$B$5:$B$749=$E69)*('PA Fees Actual'!$A$5:$A$749&gt;=CG$3)*('PA Fees Actual'!$A$5:$A$749&lt;=EOMONTH(CG$3,0))*'PA Fees Actual'!$D$5:$D$749),CG$3&gt;=EOMONTH($X69,-1)+1,$Y69,TRUE,0)</f>
        <v>0</v>
      </c>
      <c r="CI69" s="202" cm="1">
        <f t="array" ref="CI69">_xlfn.IFS(CI$3&lt;=YEAR($B$2),SUMPRODUCT(($E$4:$E$79=$E69)*($Z$2:$CG$2=CI$3)*($Z$2:$CG$2&lt;CJ$3)*$Z$4:$CG$79),CI$3&lt;YEAR($X69),0,CI$3=YEAR($X69),DATEDIF($X69,DATE(CI$3,12,31),"m")*$Y69,AND(CI$3&gt;YEAR($X69),CI$3-YEAR($X69)&lt;20),$Y69*12,CI$3-YEAR($X69)=20,DATEDIF(DATE(YEAR($X69),1,1),$X69,"m")*$Y69,CI$3-YEAR($X69)&gt;20,0)</f>
        <v>0</v>
      </c>
      <c r="CJ69" s="202" cm="1">
        <f t="array" ref="CJ69">_xlfn.IFS(CJ$3&lt;=YEAR($B$2),SUMPRODUCT(($E$4:$E$79=$E69)*($Z$2:$CG$2=CJ$3)*($Z$2:$CG$2&lt;CK$3)*$Z$4:$CG$79),CJ$3&lt;YEAR($X69),0,CJ$3=YEAR($X69),DATEDIF($X69,DATE(CJ$3,12,31),"m")*$Y69,AND(CJ$3&gt;YEAR($X69),CJ$3-YEAR($X69)&lt;20),$Y69*12,CJ$3-YEAR($X69)=20,DATEDIF(DATE(YEAR($X69),1,1),$X69,"m")*$Y69,CJ$3-YEAR($X69)&gt;20,0)</f>
        <v>0</v>
      </c>
      <c r="CK69" s="202" cm="1">
        <f t="array" ref="CK69">_xlfn.IFS(CK$3&lt;=YEAR($B$2),SUMPRODUCT(($E$4:$E$79=$E69)*($Z$2:$CG$2=CK$3)*($Z$2:$CG$2&lt;CL$3)*$Z$4:$CG$79),CK$3&lt;YEAR($X69),0,CK$3=YEAR($X69),DATEDIF($X69,DATE(CK$3,12,31),"m")*$Y69,AND(CK$3&gt;YEAR($X69),CK$3-YEAR($X69)&lt;20),$Y69*12,CK$3-YEAR($X69)=20,DATEDIF(DATE(YEAR($X69),1,1),$X69,"m")*$Y69,CK$3-YEAR($X69)&gt;20,0)</f>
        <v>0</v>
      </c>
      <c r="CL69" s="202" cm="1">
        <f t="array" ref="CL69">_xlfn.IFS(CL$3&lt;=YEAR($B$2),SUMPRODUCT(($E$4:$E$79=$E69)*($Z$2:$CG$2=CL$3)*($Z$2:$CG$2&lt;CM$3)*$Z$4:$CG$79),CL$3&lt;YEAR($X69),0,CL$3=YEAR($X69),DATEDIF($X69,DATE(CL$3,12,31),"m")*$Y69,AND(CL$3&gt;YEAR($X69),CL$3-YEAR($X69)&lt;20),$Y69*12,CL$3-YEAR($X69)=20,DATEDIF(DATE(YEAR($X69),1,1),$X69,"m")*$Y69,CL$3-YEAR($X69)&gt;20,0)</f>
        <v>0</v>
      </c>
      <c r="CM69" s="202" cm="1">
        <f t="array" ref="CM69">_xlfn.IFS(CM$3&lt;=YEAR($B$2),SUMPRODUCT(($E$4:$E$79=$E69)*($Z$2:$CG$2=CM$3)*($Z$2:$CG$2&lt;CN$3)*$Z$4:$CG$79),CM$3&lt;YEAR($X69),0,CM$3=YEAR($X69),DATEDIF($X69,DATE(CM$3,12,31),"m")*$Y69,AND(CM$3&gt;YEAR($X69),CM$3-YEAR($X69)&lt;20),$Y69*12,CM$3-YEAR($X69)=20,DATEDIF(DATE(YEAR($X69),1,1),$X69,"m")*$Y69,CM$3-YEAR($X69)&gt;20,0)</f>
        <v>0</v>
      </c>
      <c r="CN69" s="202" cm="1">
        <f t="array" ref="CN69">_xlfn.IFS(CN$3&lt;=YEAR($B$2),SUMPRODUCT(($E$4:$E$79=$E69)*($Z$2:$CG$2=CN$3)*($Z$2:$CG$2&lt;CO$3)*$Z$4:$CG$79),CN$3&lt;YEAR($X69),0,CN$3=YEAR($X69),DATEDIF($X69,DATE(CN$3,12,31),"m")*$Y69,AND(CN$3&gt;YEAR($X69),CN$3-YEAR($X69)&lt;20),$Y69*12,CN$3-YEAR($X69)=20,DATEDIF(DATE(YEAR($X69),1,1),$X69,"m")*$Y69,CN$3-YEAR($X69)&gt;20,0)</f>
        <v>0</v>
      </c>
      <c r="CO69" s="202" cm="1">
        <f t="array" ref="CO69">_xlfn.IFS(CO$3&lt;=YEAR($B$2),SUMPRODUCT(($E$4:$E$79=$E69)*($Z$2:$CG$2=CO$3)*($Z$2:$CG$2&lt;CP$3)*$Z$4:$CG$79),CO$3&lt;YEAR($X69),0,CO$3=YEAR($X69),DATEDIF($X69,DATE(CO$3,12,31),"m")*$Y69,AND(CO$3&gt;YEAR($X69),CO$3-YEAR($X69)&lt;20),$Y69*12,CO$3-YEAR($X69)=20,DATEDIF(DATE(YEAR($X69),1,1),$X69,"m")*$Y69,CO$3-YEAR($X69)&gt;20,0)</f>
        <v>7947.5</v>
      </c>
      <c r="CP69" s="202" cm="1">
        <f t="array" ref="CP69">_xlfn.IFS(CP$3&lt;=YEAR($B$2),SUMPRODUCT(($E$4:$E$79=$E69)*($Z$2:$CG$2=CP$3)*($Z$2:$CG$2&lt;CQ$3)*$Z$4:$CG$79),CP$3&lt;YEAR($X69),0,CP$3=YEAR($X69),DATEDIF($X69,DATE(CP$3,12,31),"m")*$Y69,AND(CP$3&gt;YEAR($X69),CP$3-YEAR($X69)&lt;20),$Y69*12,CP$3-YEAR($X69)=20,DATEDIF(DATE(YEAR($X69),1,1),$X69,"m")*$Y69,CP$3-YEAR($X69)&gt;20,0)</f>
        <v>8670</v>
      </c>
      <c r="CQ69" s="202" cm="1">
        <f t="array" ref="CQ69">_xlfn.IFS(CQ$3&lt;=YEAR($B$2),SUMPRODUCT(($E$4:$E$79=$E69)*($Z$2:$CG$2=CQ$3)*($Z$2:$CG$2&lt;CR$3)*$Z$4:$CG$79),CQ$3&lt;YEAR($X69),0,CQ$3=YEAR($X69),DATEDIF($X69,DATE(CQ$3,12,31),"m")*$Y69,AND(CQ$3&gt;YEAR($X69),CQ$3-YEAR($X69)&lt;20),$Y69*12,CQ$3-YEAR($X69)=20,DATEDIF(DATE(YEAR($X69),1,1),$X69,"m")*$Y69,CQ$3-YEAR($X69)&gt;20,0)</f>
        <v>8670</v>
      </c>
      <c r="CR69" s="202" cm="1">
        <f t="array" ref="CR69">_xlfn.IFS(CR$3&lt;=YEAR($B$2),SUMPRODUCT(($E$4:$E$79=$E69)*($Z$2:$CG$2=CR$3)*($Z$2:$CG$2&lt;CS$3)*$Z$4:$CG$79),CR$3&lt;YEAR($X69),0,CR$3=YEAR($X69),DATEDIF($X69,DATE(CR$3,12,31),"m")*$Y69,AND(CR$3&gt;YEAR($X69),CR$3-YEAR($X69)&lt;20),$Y69*12,CR$3-YEAR($X69)=20,DATEDIF(DATE(YEAR($X69),1,1),$X69,"m")*$Y69,CR$3-YEAR($X69)&gt;20,0)</f>
        <v>8670</v>
      </c>
      <c r="CS69" s="202" cm="1">
        <f t="array" ref="CS69">_xlfn.IFS(CS$3&lt;=YEAR($B$2),SUMPRODUCT(($E$4:$E$79=$E69)*($Z$2:$CG$2=CS$3)*($Z$2:$CG$2&lt;CT$3)*$Z$4:$CG$79),CS$3&lt;YEAR($X69),0,CS$3=YEAR($X69),DATEDIF($X69,DATE(CS$3,12,31),"m")*$Y69,AND(CS$3&gt;YEAR($X69),CS$3-YEAR($X69)&lt;20),$Y69*12,CS$3-YEAR($X69)=20,DATEDIF(DATE(YEAR($X69),1,1),$X69,"m")*$Y69,CS$3-YEAR($X69)&gt;20,0)</f>
        <v>8670</v>
      </c>
      <c r="CT69" s="202" cm="1">
        <f t="array" ref="CT69">_xlfn.IFS(CT$3&lt;=YEAR($B$2),SUMPRODUCT(($E$4:$E$79=$E69)*($Z$2:$CG$2=CT$3)*($Z$2:$CG$2&lt;CU$3)*$Z$4:$CG$79),CT$3&lt;YEAR($X69),0,CT$3=YEAR($X69),DATEDIF($X69,DATE(CT$3,12,31),"m")*$Y69,AND(CT$3&gt;YEAR($X69),CT$3-YEAR($X69)&lt;20),$Y69*12,CT$3-YEAR($X69)=20,DATEDIF(DATE(YEAR($X69),1,1),$X69,"m")*$Y69,CT$3-YEAR($X69)&gt;20,0)</f>
        <v>8670</v>
      </c>
      <c r="CU69" s="202" cm="1">
        <f t="array" ref="CU69">_xlfn.IFS(CU$3&lt;=YEAR($B$2),SUMPRODUCT(($E$4:$E$79=$E69)*($Z$2:$CG$2=CU$3)*($Z$2:$CG$2&lt;CV$3)*$Z$4:$CG$79),CU$3&lt;YEAR($X69),0,CU$3=YEAR($X69),DATEDIF($X69,DATE(CU$3,12,31),"m")*$Y69,AND(CU$3&gt;YEAR($X69),CU$3-YEAR($X69)&lt;20),$Y69*12,CU$3-YEAR($X69)=20,DATEDIF(DATE(YEAR($X69),1,1),$X69,"m")*$Y69,CU$3-YEAR($X69)&gt;20,0)</f>
        <v>8670</v>
      </c>
      <c r="CV69" s="202" cm="1">
        <f t="array" ref="CV69">_xlfn.IFS(CV$3&lt;=YEAR($B$2),SUMPRODUCT(($E$4:$E$79=$E69)*($Z$2:$CG$2=CV$3)*($Z$2:$CG$2&lt;CW$3)*$Z$4:$CG$79),CV$3&lt;YEAR($X69),0,CV$3=YEAR($X69),DATEDIF($X69,DATE(CV$3,12,31),"m")*$Y69,AND(CV$3&gt;YEAR($X69),CV$3-YEAR($X69)&lt;20),$Y69*12,CV$3-YEAR($X69)=20,DATEDIF(DATE(YEAR($X69),1,1),$X69,"m")*$Y69,CV$3-YEAR($X69)&gt;20,0)</f>
        <v>8670</v>
      </c>
      <c r="CW69" s="202" cm="1">
        <f t="array" ref="CW69">_xlfn.IFS(CW$3&lt;=YEAR($B$2),SUMPRODUCT(($E$4:$E$79=$E69)*($Z$2:$CG$2=CW$3)*($Z$2:$CG$2&lt;CX$3)*$Z$4:$CG$79),CW$3&lt;YEAR($X69),0,CW$3=YEAR($X69),DATEDIF($X69,DATE(CW$3,12,31),"m")*$Y69,AND(CW$3&gt;YEAR($X69),CW$3-YEAR($X69)&lt;20),$Y69*12,CW$3-YEAR($X69)=20,DATEDIF(DATE(YEAR($X69),1,1),$X69,"m")*$Y69,CW$3-YEAR($X69)&gt;20,0)</f>
        <v>8670</v>
      </c>
      <c r="CX69" s="202" cm="1">
        <f t="array" ref="CX69">_xlfn.IFS(CX$3&lt;=YEAR($B$2),SUMPRODUCT(($E$4:$E$79=$E69)*($Z$2:$CG$2=CX$3)*($Z$2:$CG$2&lt;CY$3)*$Z$4:$CG$79),CX$3&lt;YEAR($X69),0,CX$3=YEAR($X69),DATEDIF($X69,DATE(CX$3,12,31),"m")*$Y69,AND(CX$3&gt;YEAR($X69),CX$3-YEAR($X69)&lt;20),$Y69*12,CX$3-YEAR($X69)=20,DATEDIF(DATE(YEAR($X69),1,1),$X69,"m")*$Y69,CX$3-YEAR($X69)&gt;20,0)</f>
        <v>8670</v>
      </c>
      <c r="CY69" s="202" cm="1">
        <f t="array" ref="CY69">_xlfn.IFS(CY$3&lt;=YEAR($B$2),SUMPRODUCT(($E$4:$E$79=$E69)*($Z$2:$CG$2=CY$3)*($Z$2:$CG$2&lt;CZ$3)*$Z$4:$CG$79),CY$3&lt;YEAR($X69),0,CY$3=YEAR($X69),DATEDIF($X69,DATE(CY$3,12,31),"m")*$Y69,AND(CY$3&gt;YEAR($X69),CY$3-YEAR($X69)&lt;20),$Y69*12,CY$3-YEAR($X69)=20,DATEDIF(DATE(YEAR($X69),1,1),$X69,"m")*$Y69,CY$3-YEAR($X69)&gt;20,0)</f>
        <v>8670</v>
      </c>
      <c r="CZ69" s="202" cm="1">
        <f t="array" ref="CZ69">_xlfn.IFS(CZ$3&lt;=YEAR($B$2),SUMPRODUCT(($E$4:$E$79=$E69)*($Z$2:$CG$2=CZ$3)*($Z$2:$CG$2&lt;DA$3)*$Z$4:$CG$79),CZ$3&lt;YEAR($X69),0,CZ$3=YEAR($X69),DATEDIF($X69,DATE(CZ$3,12,31),"m")*$Y69,AND(CZ$3&gt;YEAR($X69),CZ$3-YEAR($X69)&lt;20),$Y69*12,CZ$3-YEAR($X69)=20,DATEDIF(DATE(YEAR($X69),1,1),$X69,"m")*$Y69,CZ$3-YEAR($X69)&gt;20,0)</f>
        <v>8670</v>
      </c>
      <c r="DA69" s="202" cm="1">
        <f t="array" ref="DA69">_xlfn.IFS(DA$3&lt;=YEAR($B$2),SUMPRODUCT(($E$4:$E$79=$E69)*($Z$2:$CG$2=DA$3)*($Z$2:$CG$2&lt;DB$3)*$Z$4:$CG$79),DA$3&lt;YEAR($X69),0,DA$3=YEAR($X69),DATEDIF($X69,DATE(DA$3,12,31),"m")*$Y69,AND(DA$3&gt;YEAR($X69),DA$3-YEAR($X69)&lt;20),$Y69*12,DA$3-YEAR($X69)=20,DATEDIF(DATE(YEAR($X69),1,1),$X69,"m")*$Y69,DA$3-YEAR($X69)&gt;20,0)</f>
        <v>8670</v>
      </c>
      <c r="DB69" s="202" cm="1">
        <f t="array" ref="DB69">_xlfn.IFS(DB$3&lt;=YEAR($B$2),SUMPRODUCT(($E$4:$E$79=$E69)*($Z$2:$CG$2=DB$3)*($Z$2:$CG$2&lt;DC$3)*$Z$4:$CG$79),DB$3&lt;YEAR($X69),0,DB$3=YEAR($X69),DATEDIF($X69,DATE(DB$3,12,31),"m")*$Y69,AND(DB$3&gt;YEAR($X69),DB$3-YEAR($X69)&lt;20),$Y69*12,DB$3-YEAR($X69)=20,DATEDIF(DATE(YEAR($X69),1,1),$X69,"m")*$Y69,DB$3-YEAR($X69)&gt;20,0)</f>
        <v>8670</v>
      </c>
      <c r="DC69" s="202" cm="1">
        <f t="array" ref="DC69">_xlfn.IFS(DC$3&lt;=YEAR($B$2),SUMPRODUCT(($E$4:$E$79=$E69)*($Z$2:$CG$2=DC$3)*($Z$2:$CG$2&lt;DD$3)*$Z$4:$CG$79),DC$3&lt;YEAR($X69),0,DC$3=YEAR($X69),DATEDIF($X69,DATE(DC$3,12,31),"m")*$Y69,AND(DC$3&gt;YEAR($X69),DC$3-YEAR($X69)&lt;20),$Y69*12,DC$3-YEAR($X69)=20,DATEDIF(DATE(YEAR($X69),1,1),$X69,"m")*$Y69,DC$3-YEAR($X69)&gt;20,0)</f>
        <v>8670</v>
      </c>
      <c r="DD69" s="202" cm="1">
        <f t="array" ref="DD69">_xlfn.IFS(DD$3&lt;=YEAR($B$2),SUMPRODUCT(($E$4:$E$79=$E69)*($Z$2:$CG$2=DD$3)*($Z$2:$CG$2&lt;DE$3)*$Z$4:$CG$79),DD$3&lt;YEAR($X69),0,DD$3=YEAR($X69),DATEDIF($X69,DATE(DD$3,12,31),"m")*$Y69,AND(DD$3&gt;YEAR($X69),DD$3-YEAR($X69)&lt;20),$Y69*12,DD$3-YEAR($X69)=20,DATEDIF(DATE(YEAR($X69),1,1),$X69,"m")*$Y69,DD$3-YEAR($X69)&gt;20,0)</f>
        <v>8670</v>
      </c>
      <c r="DE69" s="202" cm="1">
        <f t="array" ref="DE69">_xlfn.IFS(DE$3&lt;=YEAR($B$2),SUMPRODUCT(($E$4:$E$79=$E69)*($Z$2:$CG$2=DE$3)*($Z$2:$CG$2&lt;DF$3)*$Z$4:$CG$79),DE$3&lt;YEAR($X69),0,DE$3=YEAR($X69),DATEDIF($X69,DATE(DE$3,12,31),"m")*$Y69,AND(DE$3&gt;YEAR($X69),DE$3-YEAR($X69)&lt;20),$Y69*12,DE$3-YEAR($X69)=20,DATEDIF(DATE(YEAR($X69),1,1),$X69,"m")*$Y69,DE$3-YEAR($X69)&gt;20,0)</f>
        <v>8670</v>
      </c>
      <c r="DF69" s="202" cm="1">
        <f t="array" ref="DF69">_xlfn.IFS(DF$3&lt;=YEAR($B$2),SUMPRODUCT(($E$4:$E$79=$E69)*($Z$2:$CG$2=DF$3)*($Z$2:$CG$2&lt;DG$3)*$Z$4:$CG$79),DF$3&lt;YEAR($X69),0,DF$3=YEAR($X69),DATEDIF($X69,DATE(DF$3,12,31),"m")*$Y69,AND(DF$3&gt;YEAR($X69),DF$3-YEAR($X69)&lt;20),$Y69*12,DF$3-YEAR($X69)=20,DATEDIF(DATE(YEAR($X69),1,1),$X69,"m")*$Y69,DF$3-YEAR($X69)&gt;20,0)</f>
        <v>8670</v>
      </c>
      <c r="DG69" s="202" cm="1">
        <f t="array" ref="DG69">_xlfn.IFS(DG$3&lt;=YEAR($B$2),SUMPRODUCT(($E$4:$E$79=$E69)*($Z$2:$CG$2=DG$3)*($Z$2:$CG$2&lt;DH$3)*$Z$4:$CG$79),DG$3&lt;YEAR($X69),0,DG$3=YEAR($X69),DATEDIF($X69,DATE(DG$3,12,31),"m")*$Y69,AND(DG$3&gt;YEAR($X69),DG$3-YEAR($X69)&lt;20),$Y69*12,DG$3-YEAR($X69)=20,DATEDIF(DATE(YEAR($X69),1,1),$X69,"m")*$Y69,DG$3-YEAR($X69)&gt;20,0)</f>
        <v>8670</v>
      </c>
      <c r="DH69" s="202" cm="1">
        <f t="array" ref="DH69">_xlfn.IFS(DH$3&lt;=YEAR($B$2),SUMPRODUCT(($E$4:$E$79=$E69)*($Z$2:$CG$2=DH$3)*($Z$2:$CG$2&lt;DI$3)*$Z$4:$CG$79),DH$3&lt;YEAR($X69),0,DH$3=YEAR($X69),DATEDIF($X69,DATE(DH$3,12,31),"m")*$Y69,AND(DH$3&gt;YEAR($X69),DH$3-YEAR($X69)&lt;20),$Y69*12,DH$3-YEAR($X69)=20,DATEDIF(DATE(YEAR($X69),1,1),$X69,"m")*$Y69,DH$3-YEAR($X69)&gt;20,0)</f>
        <v>8670</v>
      </c>
      <c r="DI69" s="202" cm="1">
        <f t="array" ref="DI69">_xlfn.IFS(DI$3&lt;=YEAR($B$2),SUMPRODUCT(($E$4:$E$79=$E69)*($Z$2:$CG$2=DI$3)*($Z$2:$CG$2&lt;DJ$3)*$Z$4:$CG$79),DI$3&lt;YEAR($X69),0,DI$3=YEAR($X69),DATEDIF($X69,DATE(DI$3,12,31),"m")*$Y69,AND(DI$3&gt;YEAR($X69),DI$3-YEAR($X69)&lt;20),$Y69*12,DI$3-YEAR($X69)=20,DATEDIF(DATE(YEAR($X69),1,1),$X69,"m")*$Y69,DI$3-YEAR($X69)&gt;20,0)</f>
        <v>0</v>
      </c>
      <c r="DJ69" s="202" cm="1">
        <f t="array" ref="DJ69">_xlfn.IFS(DJ$3&lt;=YEAR($B$2),SUMPRODUCT(($E$4:$E$79=$E69)*($Z$2:$CG$2=DJ$3)*($Z$2:$CG$2&lt;DK$3)*$Z$4:$CG$79),DJ$3&lt;YEAR($X69),0,DJ$3=YEAR($X69),DATEDIF($X69,DATE(DJ$3,12,31),"m")*$Y69,AND(DJ$3&gt;YEAR($X69),DJ$3-YEAR($X69)&lt;20),$Y69*12,DJ$3-YEAR($X69)=20,DATEDIF(DATE(YEAR($X69),1,1),$X69,"m")*$Y69,DJ$3-YEAR($X69)&gt;20,0)</f>
        <v>0</v>
      </c>
      <c r="DK69" s="202" cm="1">
        <f t="array" ref="DK69">_xlfn.IFS(DK$3&lt;=YEAR($B$2),SUMPRODUCT(($E$4:$E$79=$E69)*($Z$2:$CG$2=DK$3)*($Z$2:$CG$2&lt;DL$3)*$Z$4:$CG$79),DK$3&lt;YEAR($X69),0,DK$3=YEAR($X69),DATEDIF($X69,DATE(DK$3,12,31),"m")*$Y69,AND(DK$3&gt;YEAR($X69),DK$3-YEAR($X69)&lt;20),$Y69*12,DK$3-YEAR($X69)=20,DATEDIF(DATE(YEAR($X69),1,1),$X69,"m")*$Y69,DK$3-YEAR($X69)&gt;20,0)</f>
        <v>0</v>
      </c>
      <c r="DL69" s="202" cm="1">
        <f t="array" ref="DL69">_xlfn.IFS(DL$3&lt;=YEAR($B$2),SUMPRODUCT(($E$4:$E$79=$E69)*($Z$2:$CG$2=DL$3)*($Z$2:$CG$2&lt;DM$3)*$Z$4:$CG$79),DL$3&lt;YEAR($X69),0,DL$3=YEAR($X69),DATEDIF($X69,DATE(DL$3,12,31),"m")*$Y69,AND(DL$3&gt;YEAR($X69),DL$3-YEAR($X69)&lt;20),$Y69*12,DL$3-YEAR($X69)=20,DATEDIF(DATE(YEAR($X69),1,1),$X69,"m")*$Y69,DL$3-YEAR($X69)&gt;20,0)</f>
        <v>0</v>
      </c>
    </row>
    <row r="70" spans="1:116">
      <c r="A70" s="155" t="str" cm="1">
        <f t="array" ref="A70">INDEX('Monthly Report July 2025'!C:C,MATCH(E70,'Monthly Report July 2025'!E:E,0),0)</f>
        <v>CSQ0014</v>
      </c>
      <c r="B70" s="155" t="str" cm="1">
        <f t="array" ref="B70">_xlfn.IFS(LEFT(E70,3)="PGE","PGE",LEFT(E70,2)="PP","PAC",TRUE,"IP")</f>
        <v>PGE</v>
      </c>
      <c r="C70" s="155" t="str">
        <f>IF(ISNA(MATCH(E70,'Monthly Report July 2025'!E:E,0)),"Missing","Present")</f>
        <v>Present</v>
      </c>
      <c r="D70" s="155" t="str">
        <f>IF(ISNA(MATCH(E70,'Project Operational Timelines'!C:C,0))=TRUE,"Missing","Present")</f>
        <v>Present</v>
      </c>
      <c r="E70" s="155" t="s">
        <v>178</v>
      </c>
      <c r="F70" s="155" t="str" cm="1">
        <f t="array" ref="F70">INDEX('Monthly Report July 2025'!F:F,MATCH(E70,'Monthly Report July 2025'!E:E,),0)</f>
        <v>CP Sheridan</v>
      </c>
      <c r="G70" s="155" t="str" cm="1">
        <f t="array" ref="G70">_xlfn.IFS(INDEX('Monthly Report July 2025'!O:O,MATCH(E70,'Monthly Report July 2025'!E:E,0),0)="Operational","Operational",INDEX('Monthly Report July 2025'!O:O,MATCH(E70,'Monthly Report July 2025'!E:E,0),0)="Certified","Certified",TRUE,"Pre-Certified")</f>
        <v>Pre-Certified</v>
      </c>
      <c r="H70" s="155" t="str" cm="1">
        <f t="array" ref="H70">INDEX('Monthly Report July 2025'!H:H,MATCH($E70,'Monthly Report July 2025'!$E:$E,0),0)</f>
        <v>ClearPath</v>
      </c>
      <c r="I70" s="155" t="str" cm="1">
        <f t="array" ref="I70">INDEX('Monthly Report July 2025'!I:I,MATCH($E70,'Monthly Report July 2025'!$E:$E,0),0)</f>
        <v>ClearPath</v>
      </c>
      <c r="J70" s="174" cm="1">
        <f t="array" ref="J70">INDEX('Monthly Report July 2025'!J:J,MATCH($E70,'Monthly Report July 2025'!$E:$E,0),0)</f>
        <v>2</v>
      </c>
      <c r="K70" s="174" t="str" cm="1">
        <f t="array" ref="K70">INDEX('Monthly Report July 2025'!K:K,MATCH($E70,'Monthly Report July 2025'!$E:$E,0),0)</f>
        <v>Yes</v>
      </c>
      <c r="L70" s="174" t="b" cm="1">
        <f t="array" ref="L70">INDEX('Monthly Report July 2025'!L:L,MATCH(E70,'Monthly Report July 2025'!E:E,0),0)=M70</f>
        <v>1</v>
      </c>
      <c r="M70" s="273" cm="1">
        <f t="array" ref="M70">INDEX('Monthly Report July 2025'!L:L,MATCH($E70,'Monthly Report July 2025'!$E:$E,0),0)</f>
        <v>2800</v>
      </c>
      <c r="N70" s="175" cm="1">
        <f t="array" ref="N70">INDEX('Monthly Report July 2025'!M:M,MATCH($E70,'Monthly Report July 2025'!$E:$E,0),0)</f>
        <v>45443</v>
      </c>
      <c r="O70" s="175" cm="1">
        <f t="array" ref="O70">_xlfn.IFS(G70="Operational","Operational",G70="Certified","Certified",TRUE,INDEX('Monthly Report July 2025'!O:O,MATCH(E70,'Monthly Report July 2025'!E:E,0),0))</f>
        <v>45992</v>
      </c>
      <c r="Q70" s="175" t="str" cm="1">
        <f t="array" ref="Q70">IF(O70="Operational",INDEX('Monthly Report July 2025'!R:R,MATCH(E70,'Monthly Report July 2025'!E:E,0),0),"")</f>
        <v/>
      </c>
      <c r="R70" s="175" t="str" cm="1">
        <f t="array" ref="R70">INDEX('Monthly Report July 2025'!P:P,MATCH(E70,'Monthly Report July 2025'!E:E,0),0)</f>
        <v>Not Yet Certified</v>
      </c>
      <c r="T70" s="175" cm="1">
        <f t="array" ref="T70">INDEX('Monthly Report July 2025'!U:U,MATCH(E70,'Monthly Report July 2025'!E:E,0),0)</f>
        <v>45894</v>
      </c>
      <c r="U70" s="175" t="b">
        <f t="shared" si="34"/>
        <v>1</v>
      </c>
      <c r="V70" s="156">
        <f t="shared" si="29"/>
        <v>45992</v>
      </c>
      <c r="W70" s="156" cm="1">
        <f t="array" ref="W70">_xlfn.IFS(U70=TRUE,EDATE(O70,6),U70=FALSE,T70,O70="Operational",Q70,AND(O70="Certified",EDATE(R70,6)&gt;T70),EDATE(R70,6),TRUE,T70)</f>
        <v>46174</v>
      </c>
      <c r="X70" s="156">
        <f t="shared" si="33"/>
        <v>46235</v>
      </c>
      <c r="Y70" s="157">
        <f t="shared" si="35"/>
        <v>1071</v>
      </c>
      <c r="Z70" s="202" cm="1">
        <f t="array" ref="Z70">_xlfn.IFS(Z$3&lt;$B$2,SUMPRODUCT(('PA Fees Actual'!$B$5:$B$882=$E70)*('PA Fees Actual'!$A$5:$A$882&gt;=Z$3)*('PA Fees Actual'!$A$5:$A$882&lt;=EOMONTH(Z$3,0))*'PA Fees Actual'!$D$5:$D$882),Z$3&gt;=EOMONTH($X70,-1)+1,$Y70,TRUE,0)</f>
        <v>0</v>
      </c>
      <c r="AA70" s="202" cm="1">
        <f t="array" ref="AA70">_xlfn.IFS(AA$3&lt;$B$2,SUMPRODUCT(('PA Fees Actual'!$B$5:$B$882=$E70)*('PA Fees Actual'!$A$5:$A$882&gt;=AA$3)*('PA Fees Actual'!$A$5:$A$882&lt;=EOMONTH(AA$3,0))*'PA Fees Actual'!$D$5:$D$882),AA$3&gt;=EOMONTH($X70,-1)+1,$Y70,TRUE,0)</f>
        <v>0</v>
      </c>
      <c r="AB70" s="202" cm="1">
        <f t="array" ref="AB70">_xlfn.IFS(AB$3&lt;$B$2,SUMPRODUCT(('PA Fees Actual'!$B$5:$B$882=$E70)*('PA Fees Actual'!$A$5:$A$882&gt;=AB$3)*('PA Fees Actual'!$A$5:$A$882&lt;=EOMONTH(AB$3,0))*'PA Fees Actual'!$D$5:$D$882),AB$3&gt;=EOMONTH($X70,-1)+1,$Y70,TRUE,0)</f>
        <v>0</v>
      </c>
      <c r="AC70" s="202" cm="1">
        <f t="array" ref="AC70">_xlfn.IFS(AC$3&lt;$B$2,SUMPRODUCT(('PA Fees Actual'!$B$5:$B$882=$E70)*('PA Fees Actual'!$A$5:$A$882&gt;=AC$3)*('PA Fees Actual'!$A$5:$A$882&lt;=EOMONTH(AC$3,0))*'PA Fees Actual'!$D$5:$D$882),AC$3&gt;=EOMONTH($X70,-1)+1,$Y70,TRUE,0)</f>
        <v>0</v>
      </c>
      <c r="AD70" s="202" cm="1">
        <f t="array" ref="AD70">_xlfn.IFS(AD$3&lt;$B$2,SUMPRODUCT(('PA Fees Actual'!$B$5:$B$882=$E70)*('PA Fees Actual'!$A$5:$A$882&gt;=AD$3)*('PA Fees Actual'!$A$5:$A$882&lt;=EOMONTH(AD$3,0))*'PA Fees Actual'!$D$5:$D$882),AD$3&gt;=EOMONTH($X70,-1)+1,$Y70,TRUE,0)</f>
        <v>0</v>
      </c>
      <c r="AE70" s="202" cm="1">
        <f t="array" ref="AE70">_xlfn.IFS(AE$3&lt;$B$2,SUMPRODUCT(('PA Fees Actual'!$B$5:$B$882=$E70)*('PA Fees Actual'!$A$5:$A$882&gt;=AE$3)*('PA Fees Actual'!$A$5:$A$882&lt;=EOMONTH(AE$3,0))*'PA Fees Actual'!$D$5:$D$882),AE$3&gt;=EOMONTH($X70,-1)+1,$Y70,TRUE,0)</f>
        <v>0</v>
      </c>
      <c r="AF70" s="202" cm="1">
        <f t="array" ref="AF70">_xlfn.IFS(AF$3&lt;$B$2,SUMPRODUCT(('PA Fees Actual'!$B$5:$B$882=$E70)*('PA Fees Actual'!$A$5:$A$882&gt;=AF$3)*('PA Fees Actual'!$A$5:$A$882&lt;=EOMONTH(AF$3,0))*'PA Fees Actual'!$D$5:$D$882),AF$3&gt;=EOMONTH($X70,-1)+1,$Y70,TRUE,0)</f>
        <v>0</v>
      </c>
      <c r="AG70" s="202" cm="1">
        <f t="array" ref="AG70">_xlfn.IFS(AG$3&lt;$B$2,SUMPRODUCT(('PA Fees Actual'!$B$5:$B$882=$E70)*('PA Fees Actual'!$A$5:$A$882&gt;=AG$3)*('PA Fees Actual'!$A$5:$A$882&lt;=EOMONTH(AG$3,0))*'PA Fees Actual'!$D$5:$D$882),AG$3&gt;=EOMONTH($X70,-1)+1,$Y70,TRUE,0)</f>
        <v>0</v>
      </c>
      <c r="AH70" s="202" cm="1">
        <f t="array" ref="AH70">_xlfn.IFS(AH$3&lt;$B$2,SUMPRODUCT(('PA Fees Actual'!$B$5:$B$882=$E70)*('PA Fees Actual'!$A$5:$A$882&gt;=AH$3)*('PA Fees Actual'!$A$5:$A$882&lt;=EOMONTH(AH$3,0))*'PA Fees Actual'!$D$5:$D$882),AH$3&gt;=EOMONTH($X70,-1)+1,$Y70,TRUE,0)</f>
        <v>0</v>
      </c>
      <c r="AI70" s="202" cm="1">
        <f t="array" ref="AI70">_xlfn.IFS(AI$3&lt;$B$2,SUMPRODUCT(('PA Fees Actual'!$B$5:$B$882=$E70)*('PA Fees Actual'!$A$5:$A$882&gt;=AI$3)*('PA Fees Actual'!$A$5:$A$882&lt;=EOMONTH(AI$3,0))*'PA Fees Actual'!$D$5:$D$882),AI$3&gt;=EOMONTH($X70,-1)+1,$Y70,TRUE,0)</f>
        <v>0</v>
      </c>
      <c r="AJ70" s="202" cm="1">
        <f t="array" ref="AJ70">_xlfn.IFS(AJ$3&lt;$B$2,SUMPRODUCT(('PA Fees Actual'!$B$5:$B$882=$E70)*('PA Fees Actual'!$A$5:$A$882&gt;=AJ$3)*('PA Fees Actual'!$A$5:$A$882&lt;=EOMONTH(AJ$3,0))*'PA Fees Actual'!$D$5:$D$882),AJ$3&gt;=EOMONTH($X70,-1)+1,$Y70,TRUE,0)</f>
        <v>0</v>
      </c>
      <c r="AK70" s="202" cm="1">
        <f t="array" ref="AK70">_xlfn.IFS(AK$3&lt;$B$2,SUMPRODUCT(('PA Fees Actual'!$B$5:$B$882=$E70)*('PA Fees Actual'!$A$5:$A$882&gt;=AK$3)*('PA Fees Actual'!$A$5:$A$882&lt;=EOMONTH(AK$3,0))*'PA Fees Actual'!$D$5:$D$882),AK$3&gt;=EOMONTH($X70,-1)+1,$Y70,TRUE,0)</f>
        <v>0</v>
      </c>
      <c r="AL70" s="202" cm="1">
        <f t="array" ref="AL70">_xlfn.IFS(AL$3&lt;$B$2,SUMPRODUCT(('PA Fees Actual'!$B$5:$B$882=$E70)*('PA Fees Actual'!$A$5:$A$882&gt;=AL$3)*('PA Fees Actual'!$A$5:$A$882&lt;=EOMONTH(AL$3,0))*'PA Fees Actual'!$D$5:$D$882),AL$3&gt;=EOMONTH($X70,-1)+1,$Y70,TRUE,0)</f>
        <v>0</v>
      </c>
      <c r="AM70" s="202" cm="1">
        <f t="array" ref="AM70">_xlfn.IFS(AM$3&lt;$B$2,SUMPRODUCT(('PA Fees Actual'!$B$5:$B$882=$E70)*('PA Fees Actual'!$A$5:$A$882&gt;=AM$3)*('PA Fees Actual'!$A$5:$A$882&lt;=EOMONTH(AM$3,0))*'PA Fees Actual'!$D$5:$D$882),AM$3&gt;=EOMONTH($X70,-1)+1,$Y70,TRUE,0)</f>
        <v>0</v>
      </c>
      <c r="AN70" s="202" cm="1">
        <f t="array" ref="AN70">_xlfn.IFS(AN$3&lt;$B$2,SUMPRODUCT(('PA Fees Actual'!$B$5:$B$882=$E70)*('PA Fees Actual'!$A$5:$A$882&gt;=AN$3)*('PA Fees Actual'!$A$5:$A$882&lt;=EOMONTH(AN$3,0))*'PA Fees Actual'!$D$5:$D$882),AN$3&gt;=EOMONTH($X70,-1)+1,$Y70,TRUE,0)</f>
        <v>0</v>
      </c>
      <c r="AO70" s="202" cm="1">
        <f t="array" ref="AO70">_xlfn.IFS(AO$3&lt;$B$2,SUMPRODUCT(('PA Fees Actual'!$B$5:$B$882=$E70)*('PA Fees Actual'!$A$5:$A$882&gt;=AO$3)*('PA Fees Actual'!$A$5:$A$882&lt;=EOMONTH(AO$3,0))*'PA Fees Actual'!$D$5:$D$882),AO$3&gt;=EOMONTH($X70,-1)+1,$Y70,TRUE,0)</f>
        <v>0</v>
      </c>
      <c r="AP70" s="202" cm="1">
        <f t="array" ref="AP70">_xlfn.IFS(AP$3&lt;$B$2,SUMPRODUCT(('PA Fees Actual'!$B$5:$B$882=$E70)*('PA Fees Actual'!$A$5:$A$882&gt;=AP$3)*('PA Fees Actual'!$A$5:$A$882&lt;=EOMONTH(AP$3,0))*'PA Fees Actual'!$D$5:$D$882),AP$3&gt;=EOMONTH($X70,-1)+1,$Y70,TRUE,0)</f>
        <v>0</v>
      </c>
      <c r="AQ70" s="202" cm="1">
        <f t="array" ref="AQ70">_xlfn.IFS(AQ$3&lt;$B$2,SUMPRODUCT(('PA Fees Actual'!$B$5:$B$882=$E70)*('PA Fees Actual'!$A$5:$A$882&gt;=AQ$3)*('PA Fees Actual'!$A$5:$A$882&lt;=EOMONTH(AQ$3,0))*'PA Fees Actual'!$D$5:$D$882),AQ$3&gt;=EOMONTH($X70,-1)+1,$Y70,TRUE,0)</f>
        <v>0</v>
      </c>
      <c r="AR70" s="202" cm="1">
        <f t="array" ref="AR70">_xlfn.IFS(AR$3&lt;$B$2,SUMPRODUCT(('PA Fees Actual'!$B$5:$B$882=$E70)*('PA Fees Actual'!$A$5:$A$882&gt;=AR$3)*('PA Fees Actual'!$A$5:$A$882&lt;=EOMONTH(AR$3,0))*'PA Fees Actual'!$D$5:$D$882),AR$3&gt;=EOMONTH($X70,-1)+1,$Y70,TRUE,0)</f>
        <v>0</v>
      </c>
      <c r="AS70" s="202" cm="1">
        <f t="array" ref="AS70">_xlfn.IFS(AS$3&lt;$B$2,SUMPRODUCT(('PA Fees Actual'!$B$5:$B$882=$E70)*('PA Fees Actual'!$A$5:$A$882&gt;=AS$3)*('PA Fees Actual'!$A$5:$A$882&lt;=EOMONTH(AS$3,0))*'PA Fees Actual'!$D$5:$D$882),AS$3&gt;=EOMONTH($X70,-1)+1,$Y70,TRUE,0)</f>
        <v>0</v>
      </c>
      <c r="AT70" s="202" cm="1">
        <f t="array" ref="AT70">_xlfn.IFS(AT$3&lt;$B$2,SUMPRODUCT(('PA Fees Actual'!$B$5:$B$882=$E70)*('PA Fees Actual'!$A$5:$A$882&gt;=AT$3)*('PA Fees Actual'!$A$5:$A$882&lt;=EOMONTH(AT$3,0))*'PA Fees Actual'!$D$5:$D$882),AT$3&gt;=EOMONTH($X70,-1)+1,$Y70,TRUE,0)</f>
        <v>0</v>
      </c>
      <c r="AU70" s="202" cm="1">
        <f t="array" ref="AU70">_xlfn.IFS(AU$3&lt;$B$2,SUMPRODUCT(('PA Fees Actual'!$B$5:$B$882=$E70)*('PA Fees Actual'!$A$5:$A$882&gt;=AU$3)*('PA Fees Actual'!$A$5:$A$882&lt;=EOMONTH(AU$3,0))*'PA Fees Actual'!$D$5:$D$882),AU$3&gt;=EOMONTH($X70,-1)+1,$Y70,TRUE,0)</f>
        <v>0</v>
      </c>
      <c r="AV70" s="202" cm="1">
        <f t="array" ref="AV70">_xlfn.IFS(AV$3&lt;$B$2,SUMPRODUCT(('PA Fees Actual'!$B$5:$B$882=$E70)*('PA Fees Actual'!$A$5:$A$882&gt;=AV$3)*('PA Fees Actual'!$A$5:$A$882&lt;=EOMONTH(AV$3,0))*'PA Fees Actual'!$D$5:$D$882),AV$3&gt;=EOMONTH($X70,-1)+1,$Y70,TRUE,0)</f>
        <v>0</v>
      </c>
      <c r="AW70" s="202" cm="1">
        <f t="array" ref="AW70">_xlfn.IFS(AW$3&lt;$B$2,SUMPRODUCT(('PA Fees Actual'!$B$5:$B$882=$E70)*('PA Fees Actual'!$A$5:$A$882&gt;=AW$3)*('PA Fees Actual'!$A$5:$A$882&lt;=EOMONTH(AW$3,0))*'PA Fees Actual'!$D$5:$D$882),AW$3&gt;=EOMONTH($X70,-1)+1,$Y70,TRUE,0)</f>
        <v>0</v>
      </c>
      <c r="AX70" s="202" cm="1">
        <f t="array" ref="AX70">_xlfn.IFS(AX$3&lt;$B$2,SUMPRODUCT(('PA Fees Actual'!$B$5:$B$882=$E70)*('PA Fees Actual'!$A$5:$A$882&gt;=AX$3)*('PA Fees Actual'!$A$5:$A$882&lt;=EOMONTH(AX$3,0))*'PA Fees Actual'!$D$5:$D$882),AX$3&gt;=EOMONTH($X70,-1)+1,$Y70,TRUE,0)</f>
        <v>0</v>
      </c>
      <c r="AY70" s="202" cm="1">
        <f t="array" ref="AY70">_xlfn.IFS(AY$3&lt;$B$2,SUMPRODUCT(('PA Fees Actual'!$B$5:$B$882=$E70)*('PA Fees Actual'!$A$5:$A$882&gt;=AY$3)*('PA Fees Actual'!$A$5:$A$882&lt;=EOMONTH(AY$3,0))*'PA Fees Actual'!$D$5:$D$882),AY$3&gt;=EOMONTH($X70,-1)+1,$Y70,TRUE,0)</f>
        <v>0</v>
      </c>
      <c r="AZ70" s="202" cm="1">
        <f t="array" ref="AZ70">_xlfn.IFS(AZ$3&lt;$B$2,SUMPRODUCT(('PA Fees Actual'!$B$5:$B$882=$E70)*('PA Fees Actual'!$A$5:$A$882&gt;=AZ$3)*('PA Fees Actual'!$A$5:$A$882&lt;=EOMONTH(AZ$3,0))*'PA Fees Actual'!$D$5:$D$882),AZ$3&gt;=EOMONTH($X70,-1)+1,$Y70,TRUE,0)</f>
        <v>0</v>
      </c>
      <c r="BA70" s="202" cm="1">
        <f t="array" ref="BA70">_xlfn.IFS(BA$3&lt;$B$2,SUMPRODUCT(('PA Fees Actual'!$B$5:$B$882=$E70)*('PA Fees Actual'!$A$5:$A$882&gt;=BA$3)*('PA Fees Actual'!$A$5:$A$882&lt;=EOMONTH(BA$3,0))*'PA Fees Actual'!$D$5:$D$882),BA$3&gt;=EOMONTH($X70,-1)+1,$Y70,TRUE,0)</f>
        <v>0</v>
      </c>
      <c r="BB70" s="202" cm="1">
        <f t="array" ref="BB70">_xlfn.IFS(BB$3&lt;$B$2,SUMPRODUCT(('PA Fees Actual'!$B$5:$B$882=$E70)*('PA Fees Actual'!$A$5:$A$882&gt;=BB$3)*('PA Fees Actual'!$A$5:$A$882&lt;=EOMONTH(BB$3,0))*'PA Fees Actual'!$D$5:$D$882),BB$3&gt;=EOMONTH($X70,-1)+1,$Y70,TRUE,0)</f>
        <v>0</v>
      </c>
      <c r="BC70" s="202" cm="1">
        <f t="array" ref="BC70">_xlfn.IFS(BC$3&lt;$B$2,SUMPRODUCT(('PA Fees Actual'!$B$5:$B$882=$E70)*('PA Fees Actual'!$A$5:$A$882&gt;=BC$3)*('PA Fees Actual'!$A$5:$A$882&lt;=EOMONTH(BC$3,0))*'PA Fees Actual'!$D$5:$D$882),BC$3&gt;=EOMONTH($X70,-1)+1,$Y70,TRUE,0)</f>
        <v>0</v>
      </c>
      <c r="BD70" s="202" cm="1">
        <f t="array" ref="BD70">_xlfn.IFS(BD$3&lt;$B$2,SUMPRODUCT(('PA Fees Actual'!$B$5:$B$882=$E70)*('PA Fees Actual'!$A$5:$A$882&gt;=BD$3)*('PA Fees Actual'!$A$5:$A$882&lt;=EOMONTH(BD$3,0))*'PA Fees Actual'!$D$5:$D$882),BD$3&gt;=EOMONTH($X70,-1)+1,$Y70,TRUE,0)</f>
        <v>0</v>
      </c>
      <c r="BE70" s="202" cm="1">
        <f t="array" ref="BE70">_xlfn.IFS(BE$3&lt;$B$2,SUMPRODUCT(('PA Fees Actual'!$B$5:$B$882=$E70)*('PA Fees Actual'!$A$5:$A$882&gt;=BE$3)*('PA Fees Actual'!$A$5:$A$882&lt;=EOMONTH(BE$3,0))*'PA Fees Actual'!$D$5:$D$882),BE$3&gt;=EOMONTH($X70,-1)+1,$Y70,TRUE,0)</f>
        <v>0</v>
      </c>
      <c r="BF70" s="202" cm="1">
        <f t="array" ref="BF70">_xlfn.IFS(BF$3&lt;$B$2,SUMPRODUCT(('PA Fees Actual'!$B$5:$B$882=$E70)*('PA Fees Actual'!$A$5:$A$882&gt;=BF$3)*('PA Fees Actual'!$A$5:$A$882&lt;=EOMONTH(BF$3,0))*'PA Fees Actual'!$D$5:$D$882),BF$3&gt;=EOMONTH($X70,-1)+1,$Y70,TRUE,0)</f>
        <v>0</v>
      </c>
      <c r="BG70" s="202" cm="1">
        <f t="array" ref="BG70">_xlfn.IFS(BG$3&lt;$B$2,SUMPRODUCT(('PA Fees Actual'!$B$5:$B$882=$E70)*('PA Fees Actual'!$A$5:$A$882&gt;=BG$3)*('PA Fees Actual'!$A$5:$A$882&lt;=EOMONTH(BG$3,0))*'PA Fees Actual'!$D$5:$D$882),BG$3&gt;=EOMONTH($X70,-1)+1,$Y70,TRUE,0)</f>
        <v>0</v>
      </c>
      <c r="BH70" s="202" cm="1">
        <f t="array" ref="BH70">_xlfn.IFS(BH$3&lt;$B$2,SUMPRODUCT(('PA Fees Actual'!$B$5:$B$882=$E70)*('PA Fees Actual'!$A$5:$A$882&gt;=BH$3)*('PA Fees Actual'!$A$5:$A$882&lt;=EOMONTH(BH$3,0))*'PA Fees Actual'!$D$5:$D$882),BH$3&gt;=EOMONTH($X70,-1)+1,$Y70,TRUE,0)</f>
        <v>0</v>
      </c>
      <c r="BI70" s="202" cm="1">
        <f t="array" ref="BI70">_xlfn.IFS(BI$3&lt;$B$2,SUMPRODUCT(('PA Fees Actual'!$B$5:$B$882=$E70)*('PA Fees Actual'!$A$5:$A$882&gt;=BI$3)*('PA Fees Actual'!$A$5:$A$882&lt;=EOMONTH(BI$3,0))*'PA Fees Actual'!$D$5:$D$882),BI$3&gt;=EOMONTH($X70,-1)+1,$Y70,TRUE,0)</f>
        <v>0</v>
      </c>
      <c r="BJ70" s="202" cm="1">
        <f t="array" ref="BJ70">_xlfn.IFS(BJ$3&lt;$B$2,SUMPRODUCT(('PA Fees Actual'!$B$5:$B$882=$E70)*('PA Fees Actual'!$A$5:$A$882&gt;=BJ$3)*('PA Fees Actual'!$A$5:$A$882&lt;=EOMONTH(BJ$3,0))*'PA Fees Actual'!$D$5:$D$882),BJ$3&gt;=EOMONTH($X70,-1)+1,$Y70,TRUE,0)</f>
        <v>0</v>
      </c>
      <c r="BK70" s="202" cm="1">
        <f t="array" ref="BK70">_xlfn.IFS(BK$3&lt;$B$2,SUMPRODUCT(('PA Fees Actual'!$B$5:$B$882=$E70)*('PA Fees Actual'!$A$5:$A$882&gt;=BK$3)*('PA Fees Actual'!$A$5:$A$882&lt;=EOMONTH(BK$3,0))*'PA Fees Actual'!$D$5:$D$882),BK$3&gt;=EOMONTH($X70,-1)+1,$Y70,TRUE,0)</f>
        <v>0</v>
      </c>
      <c r="BL70" s="202" cm="1">
        <f t="array" ref="BL70">_xlfn.IFS(BL$3&lt;$B$2,SUMPRODUCT(('PA Fees Actual'!$B$5:$B$882=$E70)*('PA Fees Actual'!$A$5:$A$882&gt;=BL$3)*('PA Fees Actual'!$A$5:$A$882&lt;=EOMONTH(BL$3,0))*'PA Fees Actual'!$D$5:$D$882),BL$3&gt;=EOMONTH($X70,-1)+1,$Y70,TRUE,0)</f>
        <v>0</v>
      </c>
      <c r="BM70" s="202" cm="1">
        <f t="array" ref="BM70">_xlfn.IFS(BM$3&lt;$B$2,SUMPRODUCT(('PA Fees Actual'!$B$5:$B$882=$E70)*('PA Fees Actual'!$A$5:$A$882&gt;=BM$3)*('PA Fees Actual'!$A$5:$A$882&lt;=EOMONTH(BM$3,0))*'PA Fees Actual'!$D$5:$D$882),BM$3&gt;=EOMONTH($X70,-1)+1,$Y70,TRUE,0)</f>
        <v>0</v>
      </c>
      <c r="BN70" s="202" cm="1">
        <f t="array" ref="BN70">_xlfn.IFS(BN$3&lt;$B$2,SUMPRODUCT(('PA Fees Actual'!$B$5:$B$882=$E70)*('PA Fees Actual'!$A$5:$A$882&gt;=BN$3)*('PA Fees Actual'!$A$5:$A$882&lt;=EOMONTH(BN$3,0))*'PA Fees Actual'!$D$5:$D$882),BN$3&gt;=EOMONTH($X70,-1)+1,$Y70,TRUE,0)</f>
        <v>0</v>
      </c>
      <c r="BO70" s="202" cm="1">
        <f t="array" ref="BO70">_xlfn.IFS(BO$3&lt;$B$2,SUMPRODUCT(('PA Fees Actual'!$B$5:$B$882=$E70)*('PA Fees Actual'!$A$5:$A$882&gt;=BO$3)*('PA Fees Actual'!$A$5:$A$882&lt;=EOMONTH(BO$3,0))*'PA Fees Actual'!$D$5:$D$882),BO$3&gt;=EOMONTH($X70,-1)+1,$Y70,TRUE,0)</f>
        <v>0</v>
      </c>
      <c r="BP70" s="202" cm="1">
        <f t="array" ref="BP70">_xlfn.IFS(BP$3&lt;$B$2,SUMPRODUCT(('PA Fees Actual'!$B$5:$B$882=$E70)*('PA Fees Actual'!$A$5:$A$882&gt;=BP$3)*('PA Fees Actual'!$A$5:$A$882&lt;=EOMONTH(BP$3,0))*'PA Fees Actual'!$D$5:$D$882),BP$3&gt;=EOMONTH($X70,-1)+1,$Y70,TRUE,0)</f>
        <v>0</v>
      </c>
      <c r="BQ70" s="202" cm="1">
        <f t="array" ref="BQ70">_xlfn.IFS(BQ$3&lt;$B$2,SUMPRODUCT(('PA Fees Actual'!$B$5:$B$882=$E70)*('PA Fees Actual'!$A$5:$A$882&gt;=BQ$3)*('PA Fees Actual'!$A$5:$A$882&lt;=EOMONTH(BQ$3,0))*'PA Fees Actual'!$D$5:$D$882),BQ$3&gt;=EOMONTH($X70,-1)+1,$Y70,TRUE,0)</f>
        <v>0</v>
      </c>
      <c r="BR70" s="202" cm="1">
        <f t="array" ref="BR70">_xlfn.IFS(BR$3&lt;$B$2,SUMPRODUCT(('PA Fees Actual'!$B$5:$B$882=$E70)*('PA Fees Actual'!$A$5:$A$882&gt;=BR$3)*('PA Fees Actual'!$A$5:$A$882&lt;=EOMONTH(BR$3,0))*'PA Fees Actual'!$D$5:$D$882),BR$3&gt;=EOMONTH($X70,-1)+1,$Y70,TRUE,0)</f>
        <v>0</v>
      </c>
      <c r="BS70" s="202" cm="1">
        <f t="array" ref="BS70">_xlfn.IFS(BS$3&lt;$B$2,SUMPRODUCT(('PA Fees Actual'!$B$5:$B$882=$E70)*('PA Fees Actual'!$A$5:$A$882&gt;=BS$3)*('PA Fees Actual'!$A$5:$A$882&lt;=EOMONTH(BS$3,0))*'PA Fees Actual'!$D$5:$D$882),BS$3&gt;=EOMONTH($X70,-1)+1,$Y70,TRUE,0)</f>
        <v>0</v>
      </c>
      <c r="BT70" s="202" cm="1">
        <f t="array" ref="BT70">_xlfn.IFS(BT$3&lt;$B$2,SUMPRODUCT(('PA Fees Actual'!$B$5:$B$882=$E70)*('PA Fees Actual'!$A$5:$A$882&gt;=BT$3)*('PA Fees Actual'!$A$5:$A$882&lt;=EOMONTH(BT$3,0))*'PA Fees Actual'!$D$5:$D$882),BT$3&gt;=EOMONTH($X70,-1)+1,$Y70,TRUE,0)</f>
        <v>0</v>
      </c>
      <c r="BU70" s="202" cm="1">
        <f t="array" ref="BU70">_xlfn.IFS(BU$3&lt;$B$2,SUMPRODUCT(('PA Fees Actual'!$B$5:$B$882=$E70)*('PA Fees Actual'!$A$5:$A$882&gt;=BU$3)*('PA Fees Actual'!$A$5:$A$882&lt;=EOMONTH(BU$3,0))*'PA Fees Actual'!$D$5:$D$882),BU$3&gt;=EOMONTH($X70,-1)+1,$Y70,TRUE,0)</f>
        <v>0</v>
      </c>
      <c r="BV70" s="202" cm="1">
        <f t="array" ref="BV70">_xlfn.IFS(BV$3&lt;$B$2,SUMPRODUCT(('PA Fees Actual'!$B$5:$B$882=$E70)*('PA Fees Actual'!$A$5:$A$882&gt;=BV$3)*('PA Fees Actual'!$A$5:$A$882&lt;=EOMONTH(BV$3,0))*'PA Fees Actual'!$D$5:$D$882),BV$3&gt;=EOMONTH($X70,-1)+1,$Y70,TRUE,0)</f>
        <v>0</v>
      </c>
      <c r="BW70" s="202" cm="1">
        <f t="array" ref="BW70">_xlfn.IFS(BW$3&lt;$B$2,SUMPRODUCT(('PA Fees Actual'!$B$5:$B$882=$E70)*('PA Fees Actual'!$A$5:$A$882&gt;=BW$3)*('PA Fees Actual'!$A$5:$A$882&lt;=EOMONTH(BW$3,0))*'PA Fees Actual'!$D$5:$D$882),BW$3&gt;=EOMONTH($X70,-1)+1,$Y70,TRUE,0)</f>
        <v>0</v>
      </c>
      <c r="BX70" s="202" cm="1">
        <f t="array" ref="BX70">_xlfn.IFS(BX$3&lt;$B$2,SUMPRODUCT(('PA Fees Actual'!$B$5:$B$882=$E70)*('PA Fees Actual'!$A$5:$A$882&gt;=BX$3)*('PA Fees Actual'!$A$5:$A$882&lt;=EOMONTH(BX$3,0))*'PA Fees Actual'!$D$5:$D$882),BX$3&gt;=EOMONTH($X70,-1)+1,$Y70,TRUE,0)</f>
        <v>0</v>
      </c>
      <c r="BY70" s="202" cm="1">
        <f t="array" ref="BY70">_xlfn.IFS(BY$3&lt;$B$2,SUMPRODUCT(('PA Fees Actual'!$B$5:$B$882=$E70)*('PA Fees Actual'!$A$5:$A$882&gt;=BY$3)*('PA Fees Actual'!$A$5:$A$882&lt;=EOMONTH(BY$3,0))*'PA Fees Actual'!$D$5:$D$882),BY$3&gt;=EOMONTH($X70,-1)+1,$Y70,TRUE,0)</f>
        <v>0</v>
      </c>
      <c r="BZ70" s="202" cm="1">
        <f t="array" ref="BZ70">_xlfn.IFS(BZ$3&lt;$B$2,SUMPRODUCT(('PA Fees Actual'!$B$5:$B$882=$E70)*('PA Fees Actual'!$A$5:$A$882&gt;=BZ$3)*('PA Fees Actual'!$A$5:$A$882&lt;=EOMONTH(BZ$3,0))*'PA Fees Actual'!$D$5:$D$882),BZ$3&gt;=EOMONTH($X70,-1)+1,$Y70,TRUE,0)</f>
        <v>0</v>
      </c>
      <c r="CA70" s="202" cm="1">
        <f t="array" ref="CA70">_xlfn.IFS(CA$3&lt;$B$2,SUMPRODUCT(('PA Fees Actual'!$B$5:$B$882=$E70)*('PA Fees Actual'!$A$5:$A$882&gt;=CA$3)*('PA Fees Actual'!$A$5:$A$882&lt;=EOMONTH(CA$3,0))*'PA Fees Actual'!$D$5:$D$882),CA$3&gt;=EOMONTH($X70,-1)+1,$Y70,TRUE,0)</f>
        <v>0</v>
      </c>
      <c r="CB70" s="202" cm="1">
        <f t="array" ref="CB70">_xlfn.IFS(CB$3&lt;$B$2,SUMPRODUCT(('PA Fees Actual'!$B$5:$B$749=$E70)*('PA Fees Actual'!$A$5:$A$749&gt;=CB$3)*('PA Fees Actual'!$A$5:$A$749&lt;=EOMONTH(CB$3,0))*'PA Fees Actual'!$D$5:$D$749),CB$3&gt;=EOMONTH($X70,-1)+1,$Y70,TRUE,0)</f>
        <v>0</v>
      </c>
      <c r="CC70" s="202" cm="1">
        <f t="array" ref="CC70">_xlfn.IFS(CC$3&lt;$B$2,SUMPRODUCT(('PA Fees Actual'!$B$5:$B$749=$E70)*('PA Fees Actual'!$A$5:$A$749&gt;=CC$3)*('PA Fees Actual'!$A$5:$A$749&lt;=EOMONTH(CC$3,0))*'PA Fees Actual'!$D$5:$D$749),CC$3&gt;=EOMONTH($X70,-1)+1,$Y70,TRUE,0)</f>
        <v>0</v>
      </c>
      <c r="CD70" s="202" cm="1">
        <f t="array" ref="CD70">_xlfn.IFS(CD$3&lt;$B$2,SUMPRODUCT(('PA Fees Actual'!$B$5:$B$749=$E70)*('PA Fees Actual'!$A$5:$A$749&gt;=CD$3)*('PA Fees Actual'!$A$5:$A$749&lt;=EOMONTH(CD$3,0))*'PA Fees Actual'!$D$5:$D$749),CD$3&gt;=EOMONTH($X70,-1)+1,$Y70,TRUE,0)</f>
        <v>0</v>
      </c>
      <c r="CE70" s="202" cm="1">
        <f t="array" ref="CE70">_xlfn.IFS(CE$3&lt;$B$2,SUMPRODUCT(('PA Fees Actual'!$B$5:$B$749=$E70)*('PA Fees Actual'!$A$5:$A$749&gt;=CE$3)*('PA Fees Actual'!$A$5:$A$749&lt;=EOMONTH(CE$3,0))*'PA Fees Actual'!$D$5:$D$749),CE$3&gt;=EOMONTH($X70,-1)+1,$Y70,TRUE,0)</f>
        <v>0</v>
      </c>
      <c r="CF70" s="202" cm="1">
        <f t="array" ref="CF70">_xlfn.IFS(CF$3&lt;$B$2,SUMPRODUCT(('PA Fees Actual'!$B$5:$B$749=$E70)*('PA Fees Actual'!$A$5:$A$749&gt;=CF$3)*('PA Fees Actual'!$A$5:$A$749&lt;=EOMONTH(CF$3,0))*'PA Fees Actual'!$D$5:$D$749),CF$3&gt;=EOMONTH($X70,-1)+1,$Y70,TRUE,0)</f>
        <v>0</v>
      </c>
      <c r="CG70" s="202" cm="1">
        <f t="array" ref="CG70">_xlfn.IFS(CG$3&lt;$B$2,SUMPRODUCT(('PA Fees Actual'!$B$5:$B$749=$E70)*('PA Fees Actual'!$A$5:$A$749&gt;=CG$3)*('PA Fees Actual'!$A$5:$A$749&lt;=EOMONTH(CG$3,0))*'PA Fees Actual'!$D$5:$D$749),CG$3&gt;=EOMONTH($X70,-1)+1,$Y70,TRUE,0)</f>
        <v>0</v>
      </c>
      <c r="CI70" s="202" cm="1">
        <f t="array" ref="CI70">_xlfn.IFS(CI$3&lt;=YEAR($B$2),SUMPRODUCT(($E$4:$E$79=$E70)*($Z$2:$CG$2=CI$3)*($Z$2:$CG$2&lt;CJ$3)*$Z$4:$CG$79),CI$3&lt;YEAR($X70),0,CI$3=YEAR($X70),DATEDIF($X70,DATE(CI$3,12,31),"m")*$Y70,AND(CI$3&gt;YEAR($X70),CI$3-YEAR($X70)&lt;20),$Y70*12,CI$3-YEAR($X70)=20,DATEDIF(DATE(YEAR($X70),1,1),$X70,"m")*$Y70,CI$3-YEAR($X70)&gt;20,0)</f>
        <v>0</v>
      </c>
      <c r="CJ70" s="202" cm="1">
        <f t="array" ref="CJ70">_xlfn.IFS(CJ$3&lt;=YEAR($B$2),SUMPRODUCT(($E$4:$E$79=$E70)*($Z$2:$CG$2=CJ$3)*($Z$2:$CG$2&lt;CK$3)*$Z$4:$CG$79),CJ$3&lt;YEAR($X70),0,CJ$3=YEAR($X70),DATEDIF($X70,DATE(CJ$3,12,31),"m")*$Y70,AND(CJ$3&gt;YEAR($X70),CJ$3-YEAR($X70)&lt;20),$Y70*12,CJ$3-YEAR($X70)=20,DATEDIF(DATE(YEAR($X70),1,1),$X70,"m")*$Y70,CJ$3-YEAR($X70)&gt;20,0)</f>
        <v>0</v>
      </c>
      <c r="CK70" s="202" cm="1">
        <f t="array" ref="CK70">_xlfn.IFS(CK$3&lt;=YEAR($B$2),SUMPRODUCT(($E$4:$E$79=$E70)*($Z$2:$CG$2=CK$3)*($Z$2:$CG$2&lt;CL$3)*$Z$4:$CG$79),CK$3&lt;YEAR($X70),0,CK$3=YEAR($X70),DATEDIF($X70,DATE(CK$3,12,31),"m")*$Y70,AND(CK$3&gt;YEAR($X70),CK$3-YEAR($X70)&lt;20),$Y70*12,CK$3-YEAR($X70)=20,DATEDIF(DATE(YEAR($X70),1,1),$X70,"m")*$Y70,CK$3-YEAR($X70)&gt;20,0)</f>
        <v>0</v>
      </c>
      <c r="CL70" s="202" cm="1">
        <f t="array" ref="CL70">_xlfn.IFS(CL$3&lt;=YEAR($B$2),SUMPRODUCT(($E$4:$E$79=$E70)*($Z$2:$CG$2=CL$3)*($Z$2:$CG$2&lt;CM$3)*$Z$4:$CG$79),CL$3&lt;YEAR($X70),0,CL$3=YEAR($X70),DATEDIF($X70,DATE(CL$3,12,31),"m")*$Y70,AND(CL$3&gt;YEAR($X70),CL$3-YEAR($X70)&lt;20),$Y70*12,CL$3-YEAR($X70)=20,DATEDIF(DATE(YEAR($X70),1,1),$X70,"m")*$Y70,CL$3-YEAR($X70)&gt;20,0)</f>
        <v>0</v>
      </c>
      <c r="CM70" s="202" cm="1">
        <f t="array" ref="CM70">_xlfn.IFS(CM$3&lt;=YEAR($B$2),SUMPRODUCT(($E$4:$E$79=$E70)*($Z$2:$CG$2=CM$3)*($Z$2:$CG$2&lt;CN$3)*$Z$4:$CG$79),CM$3&lt;YEAR($X70),0,CM$3=YEAR($X70),DATEDIF($X70,DATE(CM$3,12,31),"m")*$Y70,AND(CM$3&gt;YEAR($X70),CM$3-YEAR($X70)&lt;20),$Y70*12,CM$3-YEAR($X70)=20,DATEDIF(DATE(YEAR($X70),1,1),$X70,"m")*$Y70,CM$3-YEAR($X70)&gt;20,0)</f>
        <v>0</v>
      </c>
      <c r="CN70" s="202" cm="1">
        <f t="array" ref="CN70">_xlfn.IFS(CN$3&lt;=YEAR($B$2),SUMPRODUCT(($E$4:$E$79=$E70)*($Z$2:$CG$2=CN$3)*($Z$2:$CG$2&lt;CO$3)*$Z$4:$CG$79),CN$3&lt;YEAR($X70),0,CN$3=YEAR($X70),DATEDIF($X70,DATE(CN$3,12,31),"m")*$Y70,AND(CN$3&gt;YEAR($X70),CN$3-YEAR($X70)&lt;20),$Y70*12,CN$3-YEAR($X70)=20,DATEDIF(DATE(YEAR($X70),1,1),$X70,"m")*$Y70,CN$3-YEAR($X70)&gt;20,0)</f>
        <v>4284</v>
      </c>
      <c r="CO70" s="202" cm="1">
        <f t="array" ref="CO70">_xlfn.IFS(CO$3&lt;=YEAR($B$2),SUMPRODUCT(($E$4:$E$79=$E70)*($Z$2:$CG$2=CO$3)*($Z$2:$CG$2&lt;CP$3)*$Z$4:$CG$79),CO$3&lt;YEAR($X70),0,CO$3=YEAR($X70),DATEDIF($X70,DATE(CO$3,12,31),"m")*$Y70,AND(CO$3&gt;YEAR($X70),CO$3-YEAR($X70)&lt;20),$Y70*12,CO$3-YEAR($X70)=20,DATEDIF(DATE(YEAR($X70),1,1),$X70,"m")*$Y70,CO$3-YEAR($X70)&gt;20,0)</f>
        <v>12852</v>
      </c>
      <c r="CP70" s="202" cm="1">
        <f t="array" ref="CP70">_xlfn.IFS(CP$3&lt;=YEAR($B$2),SUMPRODUCT(($E$4:$E$79=$E70)*($Z$2:$CG$2=CP$3)*($Z$2:$CG$2&lt;CQ$3)*$Z$4:$CG$79),CP$3&lt;YEAR($X70),0,CP$3=YEAR($X70),DATEDIF($X70,DATE(CP$3,12,31),"m")*$Y70,AND(CP$3&gt;YEAR($X70),CP$3-YEAR($X70)&lt;20),$Y70*12,CP$3-YEAR($X70)=20,DATEDIF(DATE(YEAR($X70),1,1),$X70,"m")*$Y70,CP$3-YEAR($X70)&gt;20,0)</f>
        <v>12852</v>
      </c>
      <c r="CQ70" s="202" cm="1">
        <f t="array" ref="CQ70">_xlfn.IFS(CQ$3&lt;=YEAR($B$2),SUMPRODUCT(($E$4:$E$79=$E70)*($Z$2:$CG$2=CQ$3)*($Z$2:$CG$2&lt;CR$3)*$Z$4:$CG$79),CQ$3&lt;YEAR($X70),0,CQ$3=YEAR($X70),DATEDIF($X70,DATE(CQ$3,12,31),"m")*$Y70,AND(CQ$3&gt;YEAR($X70),CQ$3-YEAR($X70)&lt;20),$Y70*12,CQ$3-YEAR($X70)=20,DATEDIF(DATE(YEAR($X70),1,1),$X70,"m")*$Y70,CQ$3-YEAR($X70)&gt;20,0)</f>
        <v>12852</v>
      </c>
      <c r="CR70" s="202" cm="1">
        <f t="array" ref="CR70">_xlfn.IFS(CR$3&lt;=YEAR($B$2),SUMPRODUCT(($E$4:$E$79=$E70)*($Z$2:$CG$2=CR$3)*($Z$2:$CG$2&lt;CS$3)*$Z$4:$CG$79),CR$3&lt;YEAR($X70),0,CR$3=YEAR($X70),DATEDIF($X70,DATE(CR$3,12,31),"m")*$Y70,AND(CR$3&gt;YEAR($X70),CR$3-YEAR($X70)&lt;20),$Y70*12,CR$3-YEAR($X70)=20,DATEDIF(DATE(YEAR($X70),1,1),$X70,"m")*$Y70,CR$3-YEAR($X70)&gt;20,0)</f>
        <v>12852</v>
      </c>
      <c r="CS70" s="202" cm="1">
        <f t="array" ref="CS70">_xlfn.IFS(CS$3&lt;=YEAR($B$2),SUMPRODUCT(($E$4:$E$79=$E70)*($Z$2:$CG$2=CS$3)*($Z$2:$CG$2&lt;CT$3)*$Z$4:$CG$79),CS$3&lt;YEAR($X70),0,CS$3=YEAR($X70),DATEDIF($X70,DATE(CS$3,12,31),"m")*$Y70,AND(CS$3&gt;YEAR($X70),CS$3-YEAR($X70)&lt;20),$Y70*12,CS$3-YEAR($X70)=20,DATEDIF(DATE(YEAR($X70),1,1),$X70,"m")*$Y70,CS$3-YEAR($X70)&gt;20,0)</f>
        <v>12852</v>
      </c>
      <c r="CT70" s="202" cm="1">
        <f t="array" ref="CT70">_xlfn.IFS(CT$3&lt;=YEAR($B$2),SUMPRODUCT(($E$4:$E$79=$E70)*($Z$2:$CG$2=CT$3)*($Z$2:$CG$2&lt;CU$3)*$Z$4:$CG$79),CT$3&lt;YEAR($X70),0,CT$3=YEAR($X70),DATEDIF($X70,DATE(CT$3,12,31),"m")*$Y70,AND(CT$3&gt;YEAR($X70),CT$3-YEAR($X70)&lt;20),$Y70*12,CT$3-YEAR($X70)=20,DATEDIF(DATE(YEAR($X70),1,1),$X70,"m")*$Y70,CT$3-YEAR($X70)&gt;20,0)</f>
        <v>12852</v>
      </c>
      <c r="CU70" s="202" cm="1">
        <f t="array" ref="CU70">_xlfn.IFS(CU$3&lt;=YEAR($B$2),SUMPRODUCT(($E$4:$E$79=$E70)*($Z$2:$CG$2=CU$3)*($Z$2:$CG$2&lt;CV$3)*$Z$4:$CG$79),CU$3&lt;YEAR($X70),0,CU$3=YEAR($X70),DATEDIF($X70,DATE(CU$3,12,31),"m")*$Y70,AND(CU$3&gt;YEAR($X70),CU$3-YEAR($X70)&lt;20),$Y70*12,CU$3-YEAR($X70)=20,DATEDIF(DATE(YEAR($X70),1,1),$X70,"m")*$Y70,CU$3-YEAR($X70)&gt;20,0)</f>
        <v>12852</v>
      </c>
      <c r="CV70" s="202" cm="1">
        <f t="array" ref="CV70">_xlfn.IFS(CV$3&lt;=YEAR($B$2),SUMPRODUCT(($E$4:$E$79=$E70)*($Z$2:$CG$2=CV$3)*($Z$2:$CG$2&lt;CW$3)*$Z$4:$CG$79),CV$3&lt;YEAR($X70),0,CV$3=YEAR($X70),DATEDIF($X70,DATE(CV$3,12,31),"m")*$Y70,AND(CV$3&gt;YEAR($X70),CV$3-YEAR($X70)&lt;20),$Y70*12,CV$3-YEAR($X70)=20,DATEDIF(DATE(YEAR($X70),1,1),$X70,"m")*$Y70,CV$3-YEAR($X70)&gt;20,0)</f>
        <v>12852</v>
      </c>
      <c r="CW70" s="202" cm="1">
        <f t="array" ref="CW70">_xlfn.IFS(CW$3&lt;=YEAR($B$2),SUMPRODUCT(($E$4:$E$79=$E70)*($Z$2:$CG$2=CW$3)*($Z$2:$CG$2&lt;CX$3)*$Z$4:$CG$79),CW$3&lt;YEAR($X70),0,CW$3=YEAR($X70),DATEDIF($X70,DATE(CW$3,12,31),"m")*$Y70,AND(CW$3&gt;YEAR($X70),CW$3-YEAR($X70)&lt;20),$Y70*12,CW$3-YEAR($X70)=20,DATEDIF(DATE(YEAR($X70),1,1),$X70,"m")*$Y70,CW$3-YEAR($X70)&gt;20,0)</f>
        <v>12852</v>
      </c>
      <c r="CX70" s="202" cm="1">
        <f t="array" ref="CX70">_xlfn.IFS(CX$3&lt;=YEAR($B$2),SUMPRODUCT(($E$4:$E$79=$E70)*($Z$2:$CG$2=CX$3)*($Z$2:$CG$2&lt;CY$3)*$Z$4:$CG$79),CX$3&lt;YEAR($X70),0,CX$3=YEAR($X70),DATEDIF($X70,DATE(CX$3,12,31),"m")*$Y70,AND(CX$3&gt;YEAR($X70),CX$3-YEAR($X70)&lt;20),$Y70*12,CX$3-YEAR($X70)=20,DATEDIF(DATE(YEAR($X70),1,1),$X70,"m")*$Y70,CX$3-YEAR($X70)&gt;20,0)</f>
        <v>12852</v>
      </c>
      <c r="CY70" s="202" cm="1">
        <f t="array" ref="CY70">_xlfn.IFS(CY$3&lt;=YEAR($B$2),SUMPRODUCT(($E$4:$E$79=$E70)*($Z$2:$CG$2=CY$3)*($Z$2:$CG$2&lt;CZ$3)*$Z$4:$CG$79),CY$3&lt;YEAR($X70),0,CY$3=YEAR($X70),DATEDIF($X70,DATE(CY$3,12,31),"m")*$Y70,AND(CY$3&gt;YEAR($X70),CY$3-YEAR($X70)&lt;20),$Y70*12,CY$3-YEAR($X70)=20,DATEDIF(DATE(YEAR($X70),1,1),$X70,"m")*$Y70,CY$3-YEAR($X70)&gt;20,0)</f>
        <v>12852</v>
      </c>
      <c r="CZ70" s="202" cm="1">
        <f t="array" ref="CZ70">_xlfn.IFS(CZ$3&lt;=YEAR($B$2),SUMPRODUCT(($E$4:$E$79=$E70)*($Z$2:$CG$2=CZ$3)*($Z$2:$CG$2&lt;DA$3)*$Z$4:$CG$79),CZ$3&lt;YEAR($X70),0,CZ$3=YEAR($X70),DATEDIF($X70,DATE(CZ$3,12,31),"m")*$Y70,AND(CZ$3&gt;YEAR($X70),CZ$3-YEAR($X70)&lt;20),$Y70*12,CZ$3-YEAR($X70)=20,DATEDIF(DATE(YEAR($X70),1,1),$X70,"m")*$Y70,CZ$3-YEAR($X70)&gt;20,0)</f>
        <v>12852</v>
      </c>
      <c r="DA70" s="202" cm="1">
        <f t="array" ref="DA70">_xlfn.IFS(DA$3&lt;=YEAR($B$2),SUMPRODUCT(($E$4:$E$79=$E70)*($Z$2:$CG$2=DA$3)*($Z$2:$CG$2&lt;DB$3)*$Z$4:$CG$79),DA$3&lt;YEAR($X70),0,DA$3=YEAR($X70),DATEDIF($X70,DATE(DA$3,12,31),"m")*$Y70,AND(DA$3&gt;YEAR($X70),DA$3-YEAR($X70)&lt;20),$Y70*12,DA$3-YEAR($X70)=20,DATEDIF(DATE(YEAR($X70),1,1),$X70,"m")*$Y70,DA$3-YEAR($X70)&gt;20,0)</f>
        <v>12852</v>
      </c>
      <c r="DB70" s="202" cm="1">
        <f t="array" ref="DB70">_xlfn.IFS(DB$3&lt;=YEAR($B$2),SUMPRODUCT(($E$4:$E$79=$E70)*($Z$2:$CG$2=DB$3)*($Z$2:$CG$2&lt;DC$3)*$Z$4:$CG$79),DB$3&lt;YEAR($X70),0,DB$3=YEAR($X70),DATEDIF($X70,DATE(DB$3,12,31),"m")*$Y70,AND(DB$3&gt;YEAR($X70),DB$3-YEAR($X70)&lt;20),$Y70*12,DB$3-YEAR($X70)=20,DATEDIF(DATE(YEAR($X70),1,1),$X70,"m")*$Y70,DB$3-YEAR($X70)&gt;20,0)</f>
        <v>12852</v>
      </c>
      <c r="DC70" s="202" cm="1">
        <f t="array" ref="DC70">_xlfn.IFS(DC$3&lt;=YEAR($B$2),SUMPRODUCT(($E$4:$E$79=$E70)*($Z$2:$CG$2=DC$3)*($Z$2:$CG$2&lt;DD$3)*$Z$4:$CG$79),DC$3&lt;YEAR($X70),0,DC$3=YEAR($X70),DATEDIF($X70,DATE(DC$3,12,31),"m")*$Y70,AND(DC$3&gt;YEAR($X70),DC$3-YEAR($X70)&lt;20),$Y70*12,DC$3-YEAR($X70)=20,DATEDIF(DATE(YEAR($X70),1,1),$X70,"m")*$Y70,DC$3-YEAR($X70)&gt;20,0)</f>
        <v>12852</v>
      </c>
      <c r="DD70" s="202" cm="1">
        <f t="array" ref="DD70">_xlfn.IFS(DD$3&lt;=YEAR($B$2),SUMPRODUCT(($E$4:$E$79=$E70)*($Z$2:$CG$2=DD$3)*($Z$2:$CG$2&lt;DE$3)*$Z$4:$CG$79),DD$3&lt;YEAR($X70),0,DD$3=YEAR($X70),DATEDIF($X70,DATE(DD$3,12,31),"m")*$Y70,AND(DD$3&gt;YEAR($X70),DD$3-YEAR($X70)&lt;20),$Y70*12,DD$3-YEAR($X70)=20,DATEDIF(DATE(YEAR($X70),1,1),$X70,"m")*$Y70,DD$3-YEAR($X70)&gt;20,0)</f>
        <v>12852</v>
      </c>
      <c r="DE70" s="202" cm="1">
        <f t="array" ref="DE70">_xlfn.IFS(DE$3&lt;=YEAR($B$2),SUMPRODUCT(($E$4:$E$79=$E70)*($Z$2:$CG$2=DE$3)*($Z$2:$CG$2&lt;DF$3)*$Z$4:$CG$79),DE$3&lt;YEAR($X70),0,DE$3=YEAR($X70),DATEDIF($X70,DATE(DE$3,12,31),"m")*$Y70,AND(DE$3&gt;YEAR($X70),DE$3-YEAR($X70)&lt;20),$Y70*12,DE$3-YEAR($X70)=20,DATEDIF(DATE(YEAR($X70),1,1),$X70,"m")*$Y70,DE$3-YEAR($X70)&gt;20,0)</f>
        <v>12852</v>
      </c>
      <c r="DF70" s="202" cm="1">
        <f t="array" ref="DF70">_xlfn.IFS(DF$3&lt;=YEAR($B$2),SUMPRODUCT(($E$4:$E$79=$E70)*($Z$2:$CG$2=DF$3)*($Z$2:$CG$2&lt;DG$3)*$Z$4:$CG$79),DF$3&lt;YEAR($X70),0,DF$3=YEAR($X70),DATEDIF($X70,DATE(DF$3,12,31),"m")*$Y70,AND(DF$3&gt;YEAR($X70),DF$3-YEAR($X70)&lt;20),$Y70*12,DF$3-YEAR($X70)=20,DATEDIF(DATE(YEAR($X70),1,1),$X70,"m")*$Y70,DF$3-YEAR($X70)&gt;20,0)</f>
        <v>12852</v>
      </c>
      <c r="DG70" s="202" cm="1">
        <f t="array" ref="DG70">_xlfn.IFS(DG$3&lt;=YEAR($B$2),SUMPRODUCT(($E$4:$E$79=$E70)*($Z$2:$CG$2=DG$3)*($Z$2:$CG$2&lt;DH$3)*$Z$4:$CG$79),DG$3&lt;YEAR($X70),0,DG$3=YEAR($X70),DATEDIF($X70,DATE(DG$3,12,31),"m")*$Y70,AND(DG$3&gt;YEAR($X70),DG$3-YEAR($X70)&lt;20),$Y70*12,DG$3-YEAR($X70)=20,DATEDIF(DATE(YEAR($X70),1,1),$X70,"m")*$Y70,DG$3-YEAR($X70)&gt;20,0)</f>
        <v>12852</v>
      </c>
      <c r="DH70" s="202" cm="1">
        <f t="array" ref="DH70">_xlfn.IFS(DH$3&lt;=YEAR($B$2),SUMPRODUCT(($E$4:$E$79=$E70)*($Z$2:$CG$2=DH$3)*($Z$2:$CG$2&lt;DI$3)*$Z$4:$CG$79),DH$3&lt;YEAR($X70),0,DH$3=YEAR($X70),DATEDIF($X70,DATE(DH$3,12,31),"m")*$Y70,AND(DH$3&gt;YEAR($X70),DH$3-YEAR($X70)&lt;20),$Y70*12,DH$3-YEAR($X70)=20,DATEDIF(DATE(YEAR($X70),1,1),$X70,"m")*$Y70,DH$3-YEAR($X70)&gt;20,0)</f>
        <v>7497</v>
      </c>
      <c r="DI70" s="202" cm="1">
        <f t="array" ref="DI70">_xlfn.IFS(DI$3&lt;=YEAR($B$2),SUMPRODUCT(($E$4:$E$79=$E70)*($Z$2:$CG$2=DI$3)*($Z$2:$CG$2&lt;DJ$3)*$Z$4:$CG$79),DI$3&lt;YEAR($X70),0,DI$3=YEAR($X70),DATEDIF($X70,DATE(DI$3,12,31),"m")*$Y70,AND(DI$3&gt;YEAR($X70),DI$3-YEAR($X70)&lt;20),$Y70*12,DI$3-YEAR($X70)=20,DATEDIF(DATE(YEAR($X70),1,1),$X70,"m")*$Y70,DI$3-YEAR($X70)&gt;20,0)</f>
        <v>0</v>
      </c>
      <c r="DJ70" s="202" cm="1">
        <f t="array" ref="DJ70">_xlfn.IFS(DJ$3&lt;=YEAR($B$2),SUMPRODUCT(($E$4:$E$79=$E70)*($Z$2:$CG$2=DJ$3)*($Z$2:$CG$2&lt;DK$3)*$Z$4:$CG$79),DJ$3&lt;YEAR($X70),0,DJ$3=YEAR($X70),DATEDIF($X70,DATE(DJ$3,12,31),"m")*$Y70,AND(DJ$3&gt;YEAR($X70),DJ$3-YEAR($X70)&lt;20),$Y70*12,DJ$3-YEAR($X70)=20,DATEDIF(DATE(YEAR($X70),1,1),$X70,"m")*$Y70,DJ$3-YEAR($X70)&gt;20,0)</f>
        <v>0</v>
      </c>
      <c r="DK70" s="202" cm="1">
        <f t="array" ref="DK70">_xlfn.IFS(DK$3&lt;=YEAR($B$2),SUMPRODUCT(($E$4:$E$79=$E70)*($Z$2:$CG$2=DK$3)*($Z$2:$CG$2&lt;DL$3)*$Z$4:$CG$79),DK$3&lt;YEAR($X70),0,DK$3=YEAR($X70),DATEDIF($X70,DATE(DK$3,12,31),"m")*$Y70,AND(DK$3&gt;YEAR($X70),DK$3-YEAR($X70)&lt;20),$Y70*12,DK$3-YEAR($X70)=20,DATEDIF(DATE(YEAR($X70),1,1),$X70,"m")*$Y70,DK$3-YEAR($X70)&gt;20,0)</f>
        <v>0</v>
      </c>
      <c r="DL70" s="202" cm="1">
        <f t="array" ref="DL70">_xlfn.IFS(DL$3&lt;=YEAR($B$2),SUMPRODUCT(($E$4:$E$79=$E70)*($Z$2:$CG$2=DL$3)*($Z$2:$CG$2&lt;DM$3)*$Z$4:$CG$79),DL$3&lt;YEAR($X70),0,DL$3=YEAR($X70),DATEDIF($X70,DATE(DL$3,12,31),"m")*$Y70,AND(DL$3&gt;YEAR($X70),DL$3-YEAR($X70)&lt;20),$Y70*12,DL$3-YEAR($X70)=20,DATEDIF(DATE(YEAR($X70),1,1),$X70,"m")*$Y70,DL$3-YEAR($X70)&gt;20,0)</f>
        <v>0</v>
      </c>
    </row>
    <row r="71" spans="1:116">
      <c r="A71" s="155" t="str" cm="1">
        <f t="array" ref="A71">INDEX('Monthly Report July 2025'!C:C,MATCH(E71,'Monthly Report July 2025'!E:E,0),0)</f>
        <v>SPQ0262</v>
      </c>
      <c r="B71" s="155" t="str" cm="1">
        <f t="array" ref="B71">_xlfn.IFS(LEFT(E71,3)="PGE","PGE",LEFT(E71,2)="PP","PAC",TRUE,"IP")</f>
        <v>PGE</v>
      </c>
      <c r="C71" s="155" t="str">
        <f>IF(ISNA(MATCH(E71,'Monthly Report July 2025'!E:E,0)),"Missing","Present")</f>
        <v>Present</v>
      </c>
      <c r="D71" s="155" t="str">
        <f>IF(ISNA(MATCH(E71,'Project Operational Timelines'!C:C,0))=TRUE,"Missing","Present")</f>
        <v>Present</v>
      </c>
      <c r="E71" s="155" t="s">
        <v>179</v>
      </c>
      <c r="F71" s="155" t="str" cm="1">
        <f t="array" ref="F71">INDEX('Monthly Report July 2025'!F:F,MATCH(E71,'Monthly Report July 2025'!E:E,),0)</f>
        <v xml:space="preserve">Crawford Solar </v>
      </c>
      <c r="G71" s="155" t="str" cm="1">
        <f t="array" ref="G71">_xlfn.IFS(INDEX('Monthly Report July 2025'!O:O,MATCH(E71,'Monthly Report July 2025'!E:E,0),0)="Operational","Operational",INDEX('Monthly Report July 2025'!O:O,MATCH(E71,'Monthly Report July 2025'!E:E,0),0)="Certified","Certified",TRUE,"Pre-Certified")</f>
        <v>Pre-Certified</v>
      </c>
      <c r="H71" s="155" t="str" cm="1">
        <f t="array" ref="H71">INDEX('Monthly Report July 2025'!H:H,MATCH($E71,'Monthly Report July 2025'!$E:$E,0),0)</f>
        <v>Hawthorne Renewables LLC</v>
      </c>
      <c r="I71" s="155" t="str" cm="1">
        <f t="array" ref="I71">INDEX('Monthly Report July 2025'!I:I,MATCH($E71,'Monthly Report July 2025'!$E:$E,0),0)</f>
        <v>Hawthorne Renewables LLC</v>
      </c>
      <c r="J71" s="174" cm="1">
        <f t="array" ref="J71">INDEX('Monthly Report July 2025'!J:J,MATCH($E71,'Monthly Report July 2025'!$E:$E,0),0)</f>
        <v>2</v>
      </c>
      <c r="K71" s="174" t="str" cm="1">
        <f t="array" ref="K71">INDEX('Monthly Report July 2025'!K:K,MATCH($E71,'Monthly Report July 2025'!$E:$E,0),0)</f>
        <v>No</v>
      </c>
      <c r="L71" s="174" t="b" cm="1">
        <f t="array" ref="L71">INDEX('Monthly Report July 2025'!L:L,MATCH(E71,'Monthly Report July 2025'!E:E,0),0)=M71</f>
        <v>1</v>
      </c>
      <c r="M71" s="273" cm="1">
        <f t="array" ref="M71">INDEX('Monthly Report July 2025'!L:L,MATCH($E71,'Monthly Report July 2025'!$E:$E,0),0)</f>
        <v>2750</v>
      </c>
      <c r="N71" s="175" cm="1">
        <f t="array" ref="N71">INDEX('Monthly Report July 2025'!M:M,MATCH($E71,'Monthly Report July 2025'!$E:$E,0),0)</f>
        <v>45589</v>
      </c>
      <c r="O71" s="175" cm="1">
        <f t="array" ref="O71">_xlfn.IFS(G71="Operational","Operational",G71="Certified","Certified",TRUE,INDEX('Monthly Report July 2025'!O:O,MATCH(E71,'Monthly Report July 2025'!E:E,0),0))</f>
        <v>46136</v>
      </c>
      <c r="Q71" s="175" t="str" cm="1">
        <f t="array" ref="Q71">IF(O71="Operational",INDEX('Monthly Report July 2025'!R:R,MATCH(E71,'Monthly Report July 2025'!E:E,0),0),"")</f>
        <v/>
      </c>
      <c r="R71" s="175" t="str" cm="1">
        <f t="array" ref="R71">INDEX('Monthly Report July 2025'!P:P,MATCH(E71,'Monthly Report July 2025'!E:E,0),0)</f>
        <v>Not Yet Certified</v>
      </c>
      <c r="T71" s="175" t="str" cm="1">
        <f t="array" ref="T71">INDEX('Monthly Report July 2025'!U:U,MATCH(E71,'Monthly Report July 2025'!E:E,0),0)</f>
        <v>Data Not Available</v>
      </c>
      <c r="U71" s="175" t="b">
        <f t="shared" si="34"/>
        <v>0</v>
      </c>
      <c r="V71" s="156">
        <f t="shared" si="29"/>
        <v>46136</v>
      </c>
      <c r="W71" s="156" t="str" cm="1">
        <f t="array" ref="W71">_xlfn.IFS(U71=TRUE,EDATE(O71,6),U71=FALSE,T71,O71="Operational",Q71,AND(O71="Certified",EDATE(R71,6)&gt;T71),EDATE(R71,6),TRUE,T71)</f>
        <v>Data Not Available</v>
      </c>
      <c r="X71" s="156">
        <f t="shared" si="33"/>
        <v>46380</v>
      </c>
      <c r="Y71" s="157">
        <f t="shared" si="35"/>
        <v>1986.875</v>
      </c>
      <c r="Z71" s="202" cm="1">
        <f t="array" ref="Z71">_xlfn.IFS(Z$3&lt;$B$2,SUMPRODUCT(('PA Fees Actual'!$B$5:$B$882=$E71)*('PA Fees Actual'!$A$5:$A$882&gt;=Z$3)*('PA Fees Actual'!$A$5:$A$882&lt;=EOMONTH(Z$3,0))*'PA Fees Actual'!$D$5:$D$882),Z$3&gt;=EOMONTH($X71,-1)+1,$Y71,TRUE,0)</f>
        <v>0</v>
      </c>
      <c r="AA71" s="202" cm="1">
        <f t="array" ref="AA71">_xlfn.IFS(AA$3&lt;$B$2,SUMPRODUCT(('PA Fees Actual'!$B$5:$B$882=$E71)*('PA Fees Actual'!$A$5:$A$882&gt;=AA$3)*('PA Fees Actual'!$A$5:$A$882&lt;=EOMONTH(AA$3,0))*'PA Fees Actual'!$D$5:$D$882),AA$3&gt;=EOMONTH($X71,-1)+1,$Y71,TRUE,0)</f>
        <v>0</v>
      </c>
      <c r="AB71" s="202" cm="1">
        <f t="array" ref="AB71">_xlfn.IFS(AB$3&lt;$B$2,SUMPRODUCT(('PA Fees Actual'!$B$5:$B$882=$E71)*('PA Fees Actual'!$A$5:$A$882&gt;=AB$3)*('PA Fees Actual'!$A$5:$A$882&lt;=EOMONTH(AB$3,0))*'PA Fees Actual'!$D$5:$D$882),AB$3&gt;=EOMONTH($X71,-1)+1,$Y71,TRUE,0)</f>
        <v>0</v>
      </c>
      <c r="AC71" s="202" cm="1">
        <f t="array" ref="AC71">_xlfn.IFS(AC$3&lt;$B$2,SUMPRODUCT(('PA Fees Actual'!$B$5:$B$882=$E71)*('PA Fees Actual'!$A$5:$A$882&gt;=AC$3)*('PA Fees Actual'!$A$5:$A$882&lt;=EOMONTH(AC$3,0))*'PA Fees Actual'!$D$5:$D$882),AC$3&gt;=EOMONTH($X71,-1)+1,$Y71,TRUE,0)</f>
        <v>0</v>
      </c>
      <c r="AD71" s="202" cm="1">
        <f t="array" ref="AD71">_xlfn.IFS(AD$3&lt;$B$2,SUMPRODUCT(('PA Fees Actual'!$B$5:$B$882=$E71)*('PA Fees Actual'!$A$5:$A$882&gt;=AD$3)*('PA Fees Actual'!$A$5:$A$882&lt;=EOMONTH(AD$3,0))*'PA Fees Actual'!$D$5:$D$882),AD$3&gt;=EOMONTH($X71,-1)+1,$Y71,TRUE,0)</f>
        <v>0</v>
      </c>
      <c r="AE71" s="202" cm="1">
        <f t="array" ref="AE71">_xlfn.IFS(AE$3&lt;$B$2,SUMPRODUCT(('PA Fees Actual'!$B$5:$B$882=$E71)*('PA Fees Actual'!$A$5:$A$882&gt;=AE$3)*('PA Fees Actual'!$A$5:$A$882&lt;=EOMONTH(AE$3,0))*'PA Fees Actual'!$D$5:$D$882),AE$3&gt;=EOMONTH($X71,-1)+1,$Y71,TRUE,0)</f>
        <v>0</v>
      </c>
      <c r="AF71" s="202" cm="1">
        <f t="array" ref="AF71">_xlfn.IFS(AF$3&lt;$B$2,SUMPRODUCT(('PA Fees Actual'!$B$5:$B$882=$E71)*('PA Fees Actual'!$A$5:$A$882&gt;=AF$3)*('PA Fees Actual'!$A$5:$A$882&lt;=EOMONTH(AF$3,0))*'PA Fees Actual'!$D$5:$D$882),AF$3&gt;=EOMONTH($X71,-1)+1,$Y71,TRUE,0)</f>
        <v>0</v>
      </c>
      <c r="AG71" s="202" cm="1">
        <f t="array" ref="AG71">_xlfn.IFS(AG$3&lt;$B$2,SUMPRODUCT(('PA Fees Actual'!$B$5:$B$882=$E71)*('PA Fees Actual'!$A$5:$A$882&gt;=AG$3)*('PA Fees Actual'!$A$5:$A$882&lt;=EOMONTH(AG$3,0))*'PA Fees Actual'!$D$5:$D$882),AG$3&gt;=EOMONTH($X71,-1)+1,$Y71,TRUE,0)</f>
        <v>0</v>
      </c>
      <c r="AH71" s="202" cm="1">
        <f t="array" ref="AH71">_xlfn.IFS(AH$3&lt;$B$2,SUMPRODUCT(('PA Fees Actual'!$B$5:$B$882=$E71)*('PA Fees Actual'!$A$5:$A$882&gt;=AH$3)*('PA Fees Actual'!$A$5:$A$882&lt;=EOMONTH(AH$3,0))*'PA Fees Actual'!$D$5:$D$882),AH$3&gt;=EOMONTH($X71,-1)+1,$Y71,TRUE,0)</f>
        <v>0</v>
      </c>
      <c r="AI71" s="202" cm="1">
        <f t="array" ref="AI71">_xlfn.IFS(AI$3&lt;$B$2,SUMPRODUCT(('PA Fees Actual'!$B$5:$B$882=$E71)*('PA Fees Actual'!$A$5:$A$882&gt;=AI$3)*('PA Fees Actual'!$A$5:$A$882&lt;=EOMONTH(AI$3,0))*'PA Fees Actual'!$D$5:$D$882),AI$3&gt;=EOMONTH($X71,-1)+1,$Y71,TRUE,0)</f>
        <v>0</v>
      </c>
      <c r="AJ71" s="202" cm="1">
        <f t="array" ref="AJ71">_xlfn.IFS(AJ$3&lt;$B$2,SUMPRODUCT(('PA Fees Actual'!$B$5:$B$882=$E71)*('PA Fees Actual'!$A$5:$A$882&gt;=AJ$3)*('PA Fees Actual'!$A$5:$A$882&lt;=EOMONTH(AJ$3,0))*'PA Fees Actual'!$D$5:$D$882),AJ$3&gt;=EOMONTH($X71,-1)+1,$Y71,TRUE,0)</f>
        <v>0</v>
      </c>
      <c r="AK71" s="202" cm="1">
        <f t="array" ref="AK71">_xlfn.IFS(AK$3&lt;$B$2,SUMPRODUCT(('PA Fees Actual'!$B$5:$B$882=$E71)*('PA Fees Actual'!$A$5:$A$882&gt;=AK$3)*('PA Fees Actual'!$A$5:$A$882&lt;=EOMONTH(AK$3,0))*'PA Fees Actual'!$D$5:$D$882),AK$3&gt;=EOMONTH($X71,-1)+1,$Y71,TRUE,0)</f>
        <v>0</v>
      </c>
      <c r="AL71" s="202" cm="1">
        <f t="array" ref="AL71">_xlfn.IFS(AL$3&lt;$B$2,SUMPRODUCT(('PA Fees Actual'!$B$5:$B$882=$E71)*('PA Fees Actual'!$A$5:$A$882&gt;=AL$3)*('PA Fees Actual'!$A$5:$A$882&lt;=EOMONTH(AL$3,0))*'PA Fees Actual'!$D$5:$D$882),AL$3&gt;=EOMONTH($X71,-1)+1,$Y71,TRUE,0)</f>
        <v>0</v>
      </c>
      <c r="AM71" s="202" cm="1">
        <f t="array" ref="AM71">_xlfn.IFS(AM$3&lt;$B$2,SUMPRODUCT(('PA Fees Actual'!$B$5:$B$882=$E71)*('PA Fees Actual'!$A$5:$A$882&gt;=AM$3)*('PA Fees Actual'!$A$5:$A$882&lt;=EOMONTH(AM$3,0))*'PA Fees Actual'!$D$5:$D$882),AM$3&gt;=EOMONTH($X71,-1)+1,$Y71,TRUE,0)</f>
        <v>0</v>
      </c>
      <c r="AN71" s="202" cm="1">
        <f t="array" ref="AN71">_xlfn.IFS(AN$3&lt;$B$2,SUMPRODUCT(('PA Fees Actual'!$B$5:$B$882=$E71)*('PA Fees Actual'!$A$5:$A$882&gt;=AN$3)*('PA Fees Actual'!$A$5:$A$882&lt;=EOMONTH(AN$3,0))*'PA Fees Actual'!$D$5:$D$882),AN$3&gt;=EOMONTH($X71,-1)+1,$Y71,TRUE,0)</f>
        <v>0</v>
      </c>
      <c r="AO71" s="202" cm="1">
        <f t="array" ref="AO71">_xlfn.IFS(AO$3&lt;$B$2,SUMPRODUCT(('PA Fees Actual'!$B$5:$B$882=$E71)*('PA Fees Actual'!$A$5:$A$882&gt;=AO$3)*('PA Fees Actual'!$A$5:$A$882&lt;=EOMONTH(AO$3,0))*'PA Fees Actual'!$D$5:$D$882),AO$3&gt;=EOMONTH($X71,-1)+1,$Y71,TRUE,0)</f>
        <v>0</v>
      </c>
      <c r="AP71" s="202" cm="1">
        <f t="array" ref="AP71">_xlfn.IFS(AP$3&lt;$B$2,SUMPRODUCT(('PA Fees Actual'!$B$5:$B$882=$E71)*('PA Fees Actual'!$A$5:$A$882&gt;=AP$3)*('PA Fees Actual'!$A$5:$A$882&lt;=EOMONTH(AP$3,0))*'PA Fees Actual'!$D$5:$D$882),AP$3&gt;=EOMONTH($X71,-1)+1,$Y71,TRUE,0)</f>
        <v>0</v>
      </c>
      <c r="AQ71" s="202" cm="1">
        <f t="array" ref="AQ71">_xlfn.IFS(AQ$3&lt;$B$2,SUMPRODUCT(('PA Fees Actual'!$B$5:$B$882=$E71)*('PA Fees Actual'!$A$5:$A$882&gt;=AQ$3)*('PA Fees Actual'!$A$5:$A$882&lt;=EOMONTH(AQ$3,0))*'PA Fees Actual'!$D$5:$D$882),AQ$3&gt;=EOMONTH($X71,-1)+1,$Y71,TRUE,0)</f>
        <v>0</v>
      </c>
      <c r="AR71" s="202" cm="1">
        <f t="array" ref="AR71">_xlfn.IFS(AR$3&lt;$B$2,SUMPRODUCT(('PA Fees Actual'!$B$5:$B$882=$E71)*('PA Fees Actual'!$A$5:$A$882&gt;=AR$3)*('PA Fees Actual'!$A$5:$A$882&lt;=EOMONTH(AR$3,0))*'PA Fees Actual'!$D$5:$D$882),AR$3&gt;=EOMONTH($X71,-1)+1,$Y71,TRUE,0)</f>
        <v>0</v>
      </c>
      <c r="AS71" s="202" cm="1">
        <f t="array" ref="AS71">_xlfn.IFS(AS$3&lt;$B$2,SUMPRODUCT(('PA Fees Actual'!$B$5:$B$882=$E71)*('PA Fees Actual'!$A$5:$A$882&gt;=AS$3)*('PA Fees Actual'!$A$5:$A$882&lt;=EOMONTH(AS$3,0))*'PA Fees Actual'!$D$5:$D$882),AS$3&gt;=EOMONTH($X71,-1)+1,$Y71,TRUE,0)</f>
        <v>0</v>
      </c>
      <c r="AT71" s="202" cm="1">
        <f t="array" ref="AT71">_xlfn.IFS(AT$3&lt;$B$2,SUMPRODUCT(('PA Fees Actual'!$B$5:$B$882=$E71)*('PA Fees Actual'!$A$5:$A$882&gt;=AT$3)*('PA Fees Actual'!$A$5:$A$882&lt;=EOMONTH(AT$3,0))*'PA Fees Actual'!$D$5:$D$882),AT$3&gt;=EOMONTH($X71,-1)+1,$Y71,TRUE,0)</f>
        <v>0</v>
      </c>
      <c r="AU71" s="202" cm="1">
        <f t="array" ref="AU71">_xlfn.IFS(AU$3&lt;$B$2,SUMPRODUCT(('PA Fees Actual'!$B$5:$B$882=$E71)*('PA Fees Actual'!$A$5:$A$882&gt;=AU$3)*('PA Fees Actual'!$A$5:$A$882&lt;=EOMONTH(AU$3,0))*'PA Fees Actual'!$D$5:$D$882),AU$3&gt;=EOMONTH($X71,-1)+1,$Y71,TRUE,0)</f>
        <v>0</v>
      </c>
      <c r="AV71" s="202" cm="1">
        <f t="array" ref="AV71">_xlfn.IFS(AV$3&lt;$B$2,SUMPRODUCT(('PA Fees Actual'!$B$5:$B$882=$E71)*('PA Fees Actual'!$A$5:$A$882&gt;=AV$3)*('PA Fees Actual'!$A$5:$A$882&lt;=EOMONTH(AV$3,0))*'PA Fees Actual'!$D$5:$D$882),AV$3&gt;=EOMONTH($X71,-1)+1,$Y71,TRUE,0)</f>
        <v>0</v>
      </c>
      <c r="AW71" s="202" cm="1">
        <f t="array" ref="AW71">_xlfn.IFS(AW$3&lt;$B$2,SUMPRODUCT(('PA Fees Actual'!$B$5:$B$882=$E71)*('PA Fees Actual'!$A$5:$A$882&gt;=AW$3)*('PA Fees Actual'!$A$5:$A$882&lt;=EOMONTH(AW$3,0))*'PA Fees Actual'!$D$5:$D$882),AW$3&gt;=EOMONTH($X71,-1)+1,$Y71,TRUE,0)</f>
        <v>0</v>
      </c>
      <c r="AX71" s="202" cm="1">
        <f t="array" ref="AX71">_xlfn.IFS(AX$3&lt;$B$2,SUMPRODUCT(('PA Fees Actual'!$B$5:$B$882=$E71)*('PA Fees Actual'!$A$5:$A$882&gt;=AX$3)*('PA Fees Actual'!$A$5:$A$882&lt;=EOMONTH(AX$3,0))*'PA Fees Actual'!$D$5:$D$882),AX$3&gt;=EOMONTH($X71,-1)+1,$Y71,TRUE,0)</f>
        <v>0</v>
      </c>
      <c r="AY71" s="202" cm="1">
        <f t="array" ref="AY71">_xlfn.IFS(AY$3&lt;$B$2,SUMPRODUCT(('PA Fees Actual'!$B$5:$B$882=$E71)*('PA Fees Actual'!$A$5:$A$882&gt;=AY$3)*('PA Fees Actual'!$A$5:$A$882&lt;=EOMONTH(AY$3,0))*'PA Fees Actual'!$D$5:$D$882),AY$3&gt;=EOMONTH($X71,-1)+1,$Y71,TRUE,0)</f>
        <v>0</v>
      </c>
      <c r="AZ71" s="202" cm="1">
        <f t="array" ref="AZ71">_xlfn.IFS(AZ$3&lt;$B$2,SUMPRODUCT(('PA Fees Actual'!$B$5:$B$882=$E71)*('PA Fees Actual'!$A$5:$A$882&gt;=AZ$3)*('PA Fees Actual'!$A$5:$A$882&lt;=EOMONTH(AZ$3,0))*'PA Fees Actual'!$D$5:$D$882),AZ$3&gt;=EOMONTH($X71,-1)+1,$Y71,TRUE,0)</f>
        <v>0</v>
      </c>
      <c r="BA71" s="202" cm="1">
        <f t="array" ref="BA71">_xlfn.IFS(BA$3&lt;$B$2,SUMPRODUCT(('PA Fees Actual'!$B$5:$B$882=$E71)*('PA Fees Actual'!$A$5:$A$882&gt;=BA$3)*('PA Fees Actual'!$A$5:$A$882&lt;=EOMONTH(BA$3,0))*'PA Fees Actual'!$D$5:$D$882),BA$3&gt;=EOMONTH($X71,-1)+1,$Y71,TRUE,0)</f>
        <v>0</v>
      </c>
      <c r="BB71" s="202" cm="1">
        <f t="array" ref="BB71">_xlfn.IFS(BB$3&lt;$B$2,SUMPRODUCT(('PA Fees Actual'!$B$5:$B$882=$E71)*('PA Fees Actual'!$A$5:$A$882&gt;=BB$3)*('PA Fees Actual'!$A$5:$A$882&lt;=EOMONTH(BB$3,0))*'PA Fees Actual'!$D$5:$D$882),BB$3&gt;=EOMONTH($X71,-1)+1,$Y71,TRUE,0)</f>
        <v>0</v>
      </c>
      <c r="BC71" s="202" cm="1">
        <f t="array" ref="BC71">_xlfn.IFS(BC$3&lt;$B$2,SUMPRODUCT(('PA Fees Actual'!$B$5:$B$882=$E71)*('PA Fees Actual'!$A$5:$A$882&gt;=BC$3)*('PA Fees Actual'!$A$5:$A$882&lt;=EOMONTH(BC$3,0))*'PA Fees Actual'!$D$5:$D$882),BC$3&gt;=EOMONTH($X71,-1)+1,$Y71,TRUE,0)</f>
        <v>0</v>
      </c>
      <c r="BD71" s="202" cm="1">
        <f t="array" ref="BD71">_xlfn.IFS(BD$3&lt;$B$2,SUMPRODUCT(('PA Fees Actual'!$B$5:$B$882=$E71)*('PA Fees Actual'!$A$5:$A$882&gt;=BD$3)*('PA Fees Actual'!$A$5:$A$882&lt;=EOMONTH(BD$3,0))*'PA Fees Actual'!$D$5:$D$882),BD$3&gt;=EOMONTH($X71,-1)+1,$Y71,TRUE,0)</f>
        <v>0</v>
      </c>
      <c r="BE71" s="202" cm="1">
        <f t="array" ref="BE71">_xlfn.IFS(BE$3&lt;$B$2,SUMPRODUCT(('PA Fees Actual'!$B$5:$B$882=$E71)*('PA Fees Actual'!$A$5:$A$882&gt;=BE$3)*('PA Fees Actual'!$A$5:$A$882&lt;=EOMONTH(BE$3,0))*'PA Fees Actual'!$D$5:$D$882),BE$3&gt;=EOMONTH($X71,-1)+1,$Y71,TRUE,0)</f>
        <v>0</v>
      </c>
      <c r="BF71" s="202" cm="1">
        <f t="array" ref="BF71">_xlfn.IFS(BF$3&lt;$B$2,SUMPRODUCT(('PA Fees Actual'!$B$5:$B$882=$E71)*('PA Fees Actual'!$A$5:$A$882&gt;=BF$3)*('PA Fees Actual'!$A$5:$A$882&lt;=EOMONTH(BF$3,0))*'PA Fees Actual'!$D$5:$D$882),BF$3&gt;=EOMONTH($X71,-1)+1,$Y71,TRUE,0)</f>
        <v>0</v>
      </c>
      <c r="BG71" s="202" cm="1">
        <f t="array" ref="BG71">_xlfn.IFS(BG$3&lt;$B$2,SUMPRODUCT(('PA Fees Actual'!$B$5:$B$882=$E71)*('PA Fees Actual'!$A$5:$A$882&gt;=BG$3)*('PA Fees Actual'!$A$5:$A$882&lt;=EOMONTH(BG$3,0))*'PA Fees Actual'!$D$5:$D$882),BG$3&gt;=EOMONTH($X71,-1)+1,$Y71,TRUE,0)</f>
        <v>0</v>
      </c>
      <c r="BH71" s="202" cm="1">
        <f t="array" ref="BH71">_xlfn.IFS(BH$3&lt;$B$2,SUMPRODUCT(('PA Fees Actual'!$B$5:$B$882=$E71)*('PA Fees Actual'!$A$5:$A$882&gt;=BH$3)*('PA Fees Actual'!$A$5:$A$882&lt;=EOMONTH(BH$3,0))*'PA Fees Actual'!$D$5:$D$882),BH$3&gt;=EOMONTH($X71,-1)+1,$Y71,TRUE,0)</f>
        <v>0</v>
      </c>
      <c r="BI71" s="202" cm="1">
        <f t="array" ref="BI71">_xlfn.IFS(BI$3&lt;$B$2,SUMPRODUCT(('PA Fees Actual'!$B$5:$B$882=$E71)*('PA Fees Actual'!$A$5:$A$882&gt;=BI$3)*('PA Fees Actual'!$A$5:$A$882&lt;=EOMONTH(BI$3,0))*'PA Fees Actual'!$D$5:$D$882),BI$3&gt;=EOMONTH($X71,-1)+1,$Y71,TRUE,0)</f>
        <v>0</v>
      </c>
      <c r="BJ71" s="202" cm="1">
        <f t="array" ref="BJ71">_xlfn.IFS(BJ$3&lt;$B$2,SUMPRODUCT(('PA Fees Actual'!$B$5:$B$882=$E71)*('PA Fees Actual'!$A$5:$A$882&gt;=BJ$3)*('PA Fees Actual'!$A$5:$A$882&lt;=EOMONTH(BJ$3,0))*'PA Fees Actual'!$D$5:$D$882),BJ$3&gt;=EOMONTH($X71,-1)+1,$Y71,TRUE,0)</f>
        <v>0</v>
      </c>
      <c r="BK71" s="202" cm="1">
        <f t="array" ref="BK71">_xlfn.IFS(BK$3&lt;$B$2,SUMPRODUCT(('PA Fees Actual'!$B$5:$B$882=$E71)*('PA Fees Actual'!$A$5:$A$882&gt;=BK$3)*('PA Fees Actual'!$A$5:$A$882&lt;=EOMONTH(BK$3,0))*'PA Fees Actual'!$D$5:$D$882),BK$3&gt;=EOMONTH($X71,-1)+1,$Y71,TRUE,0)</f>
        <v>0</v>
      </c>
      <c r="BL71" s="202" cm="1">
        <f t="array" ref="BL71">_xlfn.IFS(BL$3&lt;$B$2,SUMPRODUCT(('PA Fees Actual'!$B$5:$B$882=$E71)*('PA Fees Actual'!$A$5:$A$882&gt;=BL$3)*('PA Fees Actual'!$A$5:$A$882&lt;=EOMONTH(BL$3,0))*'PA Fees Actual'!$D$5:$D$882),BL$3&gt;=EOMONTH($X71,-1)+1,$Y71,TRUE,0)</f>
        <v>0</v>
      </c>
      <c r="BM71" s="202" cm="1">
        <f t="array" ref="BM71">_xlfn.IFS(BM$3&lt;$B$2,SUMPRODUCT(('PA Fees Actual'!$B$5:$B$882=$E71)*('PA Fees Actual'!$A$5:$A$882&gt;=BM$3)*('PA Fees Actual'!$A$5:$A$882&lt;=EOMONTH(BM$3,0))*'PA Fees Actual'!$D$5:$D$882),BM$3&gt;=EOMONTH($X71,-1)+1,$Y71,TRUE,0)</f>
        <v>0</v>
      </c>
      <c r="BN71" s="202" cm="1">
        <f t="array" ref="BN71">_xlfn.IFS(BN$3&lt;$B$2,SUMPRODUCT(('PA Fees Actual'!$B$5:$B$882=$E71)*('PA Fees Actual'!$A$5:$A$882&gt;=BN$3)*('PA Fees Actual'!$A$5:$A$882&lt;=EOMONTH(BN$3,0))*'PA Fees Actual'!$D$5:$D$882),BN$3&gt;=EOMONTH($X71,-1)+1,$Y71,TRUE,0)</f>
        <v>0</v>
      </c>
      <c r="BO71" s="202" cm="1">
        <f t="array" ref="BO71">_xlfn.IFS(BO$3&lt;$B$2,SUMPRODUCT(('PA Fees Actual'!$B$5:$B$882=$E71)*('PA Fees Actual'!$A$5:$A$882&gt;=BO$3)*('PA Fees Actual'!$A$5:$A$882&lt;=EOMONTH(BO$3,0))*'PA Fees Actual'!$D$5:$D$882),BO$3&gt;=EOMONTH($X71,-1)+1,$Y71,TRUE,0)</f>
        <v>0</v>
      </c>
      <c r="BP71" s="202" cm="1">
        <f t="array" ref="BP71">_xlfn.IFS(BP$3&lt;$B$2,SUMPRODUCT(('PA Fees Actual'!$B$5:$B$882=$E71)*('PA Fees Actual'!$A$5:$A$882&gt;=BP$3)*('PA Fees Actual'!$A$5:$A$882&lt;=EOMONTH(BP$3,0))*'PA Fees Actual'!$D$5:$D$882),BP$3&gt;=EOMONTH($X71,-1)+1,$Y71,TRUE,0)</f>
        <v>0</v>
      </c>
      <c r="BQ71" s="202" cm="1">
        <f t="array" ref="BQ71">_xlfn.IFS(BQ$3&lt;$B$2,SUMPRODUCT(('PA Fees Actual'!$B$5:$B$882=$E71)*('PA Fees Actual'!$A$5:$A$882&gt;=BQ$3)*('PA Fees Actual'!$A$5:$A$882&lt;=EOMONTH(BQ$3,0))*'PA Fees Actual'!$D$5:$D$882),BQ$3&gt;=EOMONTH($X71,-1)+1,$Y71,TRUE,0)</f>
        <v>0</v>
      </c>
      <c r="BR71" s="202" cm="1">
        <f t="array" ref="BR71">_xlfn.IFS(BR$3&lt;$B$2,SUMPRODUCT(('PA Fees Actual'!$B$5:$B$882=$E71)*('PA Fees Actual'!$A$5:$A$882&gt;=BR$3)*('PA Fees Actual'!$A$5:$A$882&lt;=EOMONTH(BR$3,0))*'PA Fees Actual'!$D$5:$D$882),BR$3&gt;=EOMONTH($X71,-1)+1,$Y71,TRUE,0)</f>
        <v>0</v>
      </c>
      <c r="BS71" s="202" cm="1">
        <f t="array" ref="BS71">_xlfn.IFS(BS$3&lt;$B$2,SUMPRODUCT(('PA Fees Actual'!$B$5:$B$882=$E71)*('PA Fees Actual'!$A$5:$A$882&gt;=BS$3)*('PA Fees Actual'!$A$5:$A$882&lt;=EOMONTH(BS$3,0))*'PA Fees Actual'!$D$5:$D$882),BS$3&gt;=EOMONTH($X71,-1)+1,$Y71,TRUE,0)</f>
        <v>0</v>
      </c>
      <c r="BT71" s="202" cm="1">
        <f t="array" ref="BT71">_xlfn.IFS(BT$3&lt;$B$2,SUMPRODUCT(('PA Fees Actual'!$B$5:$B$882=$E71)*('PA Fees Actual'!$A$5:$A$882&gt;=BT$3)*('PA Fees Actual'!$A$5:$A$882&lt;=EOMONTH(BT$3,0))*'PA Fees Actual'!$D$5:$D$882),BT$3&gt;=EOMONTH($X71,-1)+1,$Y71,TRUE,0)</f>
        <v>0</v>
      </c>
      <c r="BU71" s="202" cm="1">
        <f t="array" ref="BU71">_xlfn.IFS(BU$3&lt;$B$2,SUMPRODUCT(('PA Fees Actual'!$B$5:$B$882=$E71)*('PA Fees Actual'!$A$5:$A$882&gt;=BU$3)*('PA Fees Actual'!$A$5:$A$882&lt;=EOMONTH(BU$3,0))*'PA Fees Actual'!$D$5:$D$882),BU$3&gt;=EOMONTH($X71,-1)+1,$Y71,TRUE,0)</f>
        <v>0</v>
      </c>
      <c r="BV71" s="202" cm="1">
        <f t="array" ref="BV71">_xlfn.IFS(BV$3&lt;$B$2,SUMPRODUCT(('PA Fees Actual'!$B$5:$B$882=$E71)*('PA Fees Actual'!$A$5:$A$882&gt;=BV$3)*('PA Fees Actual'!$A$5:$A$882&lt;=EOMONTH(BV$3,0))*'PA Fees Actual'!$D$5:$D$882),BV$3&gt;=EOMONTH($X71,-1)+1,$Y71,TRUE,0)</f>
        <v>0</v>
      </c>
      <c r="BW71" s="202" cm="1">
        <f t="array" ref="BW71">_xlfn.IFS(BW$3&lt;$B$2,SUMPRODUCT(('PA Fees Actual'!$B$5:$B$882=$E71)*('PA Fees Actual'!$A$5:$A$882&gt;=BW$3)*('PA Fees Actual'!$A$5:$A$882&lt;=EOMONTH(BW$3,0))*'PA Fees Actual'!$D$5:$D$882),BW$3&gt;=EOMONTH($X71,-1)+1,$Y71,TRUE,0)</f>
        <v>0</v>
      </c>
      <c r="BX71" s="202" cm="1">
        <f t="array" ref="BX71">_xlfn.IFS(BX$3&lt;$B$2,SUMPRODUCT(('PA Fees Actual'!$B$5:$B$882=$E71)*('PA Fees Actual'!$A$5:$A$882&gt;=BX$3)*('PA Fees Actual'!$A$5:$A$882&lt;=EOMONTH(BX$3,0))*'PA Fees Actual'!$D$5:$D$882),BX$3&gt;=EOMONTH($X71,-1)+1,$Y71,TRUE,0)</f>
        <v>0</v>
      </c>
      <c r="BY71" s="202" cm="1">
        <f t="array" ref="BY71">_xlfn.IFS(BY$3&lt;$B$2,SUMPRODUCT(('PA Fees Actual'!$B$5:$B$882=$E71)*('PA Fees Actual'!$A$5:$A$882&gt;=BY$3)*('PA Fees Actual'!$A$5:$A$882&lt;=EOMONTH(BY$3,0))*'PA Fees Actual'!$D$5:$D$882),BY$3&gt;=EOMONTH($X71,-1)+1,$Y71,TRUE,0)</f>
        <v>0</v>
      </c>
      <c r="BZ71" s="202" cm="1">
        <f t="array" ref="BZ71">_xlfn.IFS(BZ$3&lt;$B$2,SUMPRODUCT(('PA Fees Actual'!$B$5:$B$882=$E71)*('PA Fees Actual'!$A$5:$A$882&gt;=BZ$3)*('PA Fees Actual'!$A$5:$A$882&lt;=EOMONTH(BZ$3,0))*'PA Fees Actual'!$D$5:$D$882),BZ$3&gt;=EOMONTH($X71,-1)+1,$Y71,TRUE,0)</f>
        <v>0</v>
      </c>
      <c r="CA71" s="202" cm="1">
        <f t="array" ref="CA71">_xlfn.IFS(CA$3&lt;$B$2,SUMPRODUCT(('PA Fees Actual'!$B$5:$B$882=$E71)*('PA Fees Actual'!$A$5:$A$882&gt;=CA$3)*('PA Fees Actual'!$A$5:$A$882&lt;=EOMONTH(CA$3,0))*'PA Fees Actual'!$D$5:$D$882),CA$3&gt;=EOMONTH($X71,-1)+1,$Y71,TRUE,0)</f>
        <v>0</v>
      </c>
      <c r="CB71" s="202" cm="1">
        <f t="array" ref="CB71">_xlfn.IFS(CB$3&lt;$B$2,SUMPRODUCT(('PA Fees Actual'!$B$5:$B$749=$E71)*('PA Fees Actual'!$A$5:$A$749&gt;=CB$3)*('PA Fees Actual'!$A$5:$A$749&lt;=EOMONTH(CB$3,0))*'PA Fees Actual'!$D$5:$D$749),CB$3&gt;=EOMONTH($X71,-1)+1,$Y71,TRUE,0)</f>
        <v>0</v>
      </c>
      <c r="CC71" s="202" cm="1">
        <f t="array" ref="CC71">_xlfn.IFS(CC$3&lt;$B$2,SUMPRODUCT(('PA Fees Actual'!$B$5:$B$749=$E71)*('PA Fees Actual'!$A$5:$A$749&gt;=CC$3)*('PA Fees Actual'!$A$5:$A$749&lt;=EOMONTH(CC$3,0))*'PA Fees Actual'!$D$5:$D$749),CC$3&gt;=EOMONTH($X71,-1)+1,$Y71,TRUE,0)</f>
        <v>0</v>
      </c>
      <c r="CD71" s="202" cm="1">
        <f t="array" ref="CD71">_xlfn.IFS(CD$3&lt;$B$2,SUMPRODUCT(('PA Fees Actual'!$B$5:$B$749=$E71)*('PA Fees Actual'!$A$5:$A$749&gt;=CD$3)*('PA Fees Actual'!$A$5:$A$749&lt;=EOMONTH(CD$3,0))*'PA Fees Actual'!$D$5:$D$749),CD$3&gt;=EOMONTH($X71,-1)+1,$Y71,TRUE,0)</f>
        <v>0</v>
      </c>
      <c r="CE71" s="202" cm="1">
        <f t="array" ref="CE71">_xlfn.IFS(CE$3&lt;$B$2,SUMPRODUCT(('PA Fees Actual'!$B$5:$B$749=$E71)*('PA Fees Actual'!$A$5:$A$749&gt;=CE$3)*('PA Fees Actual'!$A$5:$A$749&lt;=EOMONTH(CE$3,0))*'PA Fees Actual'!$D$5:$D$749),CE$3&gt;=EOMONTH($X71,-1)+1,$Y71,TRUE,0)</f>
        <v>0</v>
      </c>
      <c r="CF71" s="202" cm="1">
        <f t="array" ref="CF71">_xlfn.IFS(CF$3&lt;$B$2,SUMPRODUCT(('PA Fees Actual'!$B$5:$B$749=$E71)*('PA Fees Actual'!$A$5:$A$749&gt;=CF$3)*('PA Fees Actual'!$A$5:$A$749&lt;=EOMONTH(CF$3,0))*'PA Fees Actual'!$D$5:$D$749),CF$3&gt;=EOMONTH($X71,-1)+1,$Y71,TRUE,0)</f>
        <v>0</v>
      </c>
      <c r="CG71" s="202" cm="1">
        <f t="array" ref="CG71">_xlfn.IFS(CG$3&lt;$B$2,SUMPRODUCT(('PA Fees Actual'!$B$5:$B$749=$E71)*('PA Fees Actual'!$A$5:$A$749&gt;=CG$3)*('PA Fees Actual'!$A$5:$A$749&lt;=EOMONTH(CG$3,0))*'PA Fees Actual'!$D$5:$D$749),CG$3&gt;=EOMONTH($X71,-1)+1,$Y71,TRUE,0)</f>
        <v>0</v>
      </c>
      <c r="CI71" s="202" cm="1">
        <f t="array" ref="CI71">_xlfn.IFS(CI$3&lt;=YEAR($B$2),SUMPRODUCT(($E$4:$E$79=$E71)*($Z$2:$CG$2=CI$3)*($Z$2:$CG$2&lt;CJ$3)*$Z$4:$CG$79),CI$3&lt;YEAR($X71),0,CI$3=YEAR($X71),DATEDIF($X71,DATE(CI$3,12,31),"m")*$Y71,AND(CI$3&gt;YEAR($X71),CI$3-YEAR($X71)&lt;20),$Y71*12,CI$3-YEAR($X71)=20,DATEDIF(DATE(YEAR($X71),1,1),$X71,"m")*$Y71,CI$3-YEAR($X71)&gt;20,0)</f>
        <v>0</v>
      </c>
      <c r="CJ71" s="202" cm="1">
        <f t="array" ref="CJ71">_xlfn.IFS(CJ$3&lt;=YEAR($B$2),SUMPRODUCT(($E$4:$E$79=$E71)*($Z$2:$CG$2=CJ$3)*($Z$2:$CG$2&lt;CK$3)*$Z$4:$CG$79),CJ$3&lt;YEAR($X71),0,CJ$3=YEAR($X71),DATEDIF($X71,DATE(CJ$3,12,31),"m")*$Y71,AND(CJ$3&gt;YEAR($X71),CJ$3-YEAR($X71)&lt;20),$Y71*12,CJ$3-YEAR($X71)=20,DATEDIF(DATE(YEAR($X71),1,1),$X71,"m")*$Y71,CJ$3-YEAR($X71)&gt;20,0)</f>
        <v>0</v>
      </c>
      <c r="CK71" s="202" cm="1">
        <f t="array" ref="CK71">_xlfn.IFS(CK$3&lt;=YEAR($B$2),SUMPRODUCT(($E$4:$E$79=$E71)*($Z$2:$CG$2=CK$3)*($Z$2:$CG$2&lt;CL$3)*$Z$4:$CG$79),CK$3&lt;YEAR($X71),0,CK$3=YEAR($X71),DATEDIF($X71,DATE(CK$3,12,31),"m")*$Y71,AND(CK$3&gt;YEAR($X71),CK$3-YEAR($X71)&lt;20),$Y71*12,CK$3-YEAR($X71)=20,DATEDIF(DATE(YEAR($X71),1,1),$X71,"m")*$Y71,CK$3-YEAR($X71)&gt;20,0)</f>
        <v>0</v>
      </c>
      <c r="CL71" s="202" cm="1">
        <f t="array" ref="CL71">_xlfn.IFS(CL$3&lt;=YEAR($B$2),SUMPRODUCT(($E$4:$E$79=$E71)*($Z$2:$CG$2=CL$3)*($Z$2:$CG$2&lt;CM$3)*$Z$4:$CG$79),CL$3&lt;YEAR($X71),0,CL$3=YEAR($X71),DATEDIF($X71,DATE(CL$3,12,31),"m")*$Y71,AND(CL$3&gt;YEAR($X71),CL$3-YEAR($X71)&lt;20),$Y71*12,CL$3-YEAR($X71)=20,DATEDIF(DATE(YEAR($X71),1,1),$X71,"m")*$Y71,CL$3-YEAR($X71)&gt;20,0)</f>
        <v>0</v>
      </c>
      <c r="CM71" s="202" cm="1">
        <f t="array" ref="CM71">_xlfn.IFS(CM$3&lt;=YEAR($B$2),SUMPRODUCT(($E$4:$E$79=$E71)*($Z$2:$CG$2=CM$3)*($Z$2:$CG$2&lt;CN$3)*$Z$4:$CG$79),CM$3&lt;YEAR($X71),0,CM$3=YEAR($X71),DATEDIF($X71,DATE(CM$3,12,31),"m")*$Y71,AND(CM$3&gt;YEAR($X71),CM$3-YEAR($X71)&lt;20),$Y71*12,CM$3-YEAR($X71)=20,DATEDIF(DATE(YEAR($X71),1,1),$X71,"m")*$Y71,CM$3-YEAR($X71)&gt;20,0)</f>
        <v>0</v>
      </c>
      <c r="CN71" s="202" cm="1">
        <f t="array" ref="CN71">_xlfn.IFS(CN$3&lt;=YEAR($B$2),SUMPRODUCT(($E$4:$E$79=$E71)*($Z$2:$CG$2=CN$3)*($Z$2:$CG$2&lt;CO$3)*$Z$4:$CG$79),CN$3&lt;YEAR($X71),0,CN$3=YEAR($X71),DATEDIF($X71,DATE(CN$3,12,31),"m")*$Y71,AND(CN$3&gt;YEAR($X71),CN$3-YEAR($X71)&lt;20),$Y71*12,CN$3-YEAR($X71)=20,DATEDIF(DATE(YEAR($X71),1,1),$X71,"m")*$Y71,CN$3-YEAR($X71)&gt;20,0)</f>
        <v>0</v>
      </c>
      <c r="CO71" s="202" cm="1">
        <f t="array" ref="CO71">_xlfn.IFS(CO$3&lt;=YEAR($B$2),SUMPRODUCT(($E$4:$E$79=$E71)*($Z$2:$CG$2=CO$3)*($Z$2:$CG$2&lt;CP$3)*$Z$4:$CG$79),CO$3&lt;YEAR($X71),0,CO$3=YEAR($X71),DATEDIF($X71,DATE(CO$3,12,31),"m")*$Y71,AND(CO$3&gt;YEAR($X71),CO$3-YEAR($X71)&lt;20),$Y71*12,CO$3-YEAR($X71)=20,DATEDIF(DATE(YEAR($X71),1,1),$X71,"m")*$Y71,CO$3-YEAR($X71)&gt;20,0)</f>
        <v>23842.5</v>
      </c>
      <c r="CP71" s="202" cm="1">
        <f t="array" ref="CP71">_xlfn.IFS(CP$3&lt;=YEAR($B$2),SUMPRODUCT(($E$4:$E$79=$E71)*($Z$2:$CG$2=CP$3)*($Z$2:$CG$2&lt;CQ$3)*$Z$4:$CG$79),CP$3&lt;YEAR($X71),0,CP$3=YEAR($X71),DATEDIF($X71,DATE(CP$3,12,31),"m")*$Y71,AND(CP$3&gt;YEAR($X71),CP$3-YEAR($X71)&lt;20),$Y71*12,CP$3-YEAR($X71)=20,DATEDIF(DATE(YEAR($X71),1,1),$X71,"m")*$Y71,CP$3-YEAR($X71)&gt;20,0)</f>
        <v>23842.5</v>
      </c>
      <c r="CQ71" s="202" cm="1">
        <f t="array" ref="CQ71">_xlfn.IFS(CQ$3&lt;=YEAR($B$2),SUMPRODUCT(($E$4:$E$79=$E71)*($Z$2:$CG$2=CQ$3)*($Z$2:$CG$2&lt;CR$3)*$Z$4:$CG$79),CQ$3&lt;YEAR($X71),0,CQ$3=YEAR($X71),DATEDIF($X71,DATE(CQ$3,12,31),"m")*$Y71,AND(CQ$3&gt;YEAR($X71),CQ$3-YEAR($X71)&lt;20),$Y71*12,CQ$3-YEAR($X71)=20,DATEDIF(DATE(YEAR($X71),1,1),$X71,"m")*$Y71,CQ$3-YEAR($X71)&gt;20,0)</f>
        <v>23842.5</v>
      </c>
      <c r="CR71" s="202" cm="1">
        <f t="array" ref="CR71">_xlfn.IFS(CR$3&lt;=YEAR($B$2),SUMPRODUCT(($E$4:$E$79=$E71)*($Z$2:$CG$2=CR$3)*($Z$2:$CG$2&lt;CS$3)*$Z$4:$CG$79),CR$3&lt;YEAR($X71),0,CR$3=YEAR($X71),DATEDIF($X71,DATE(CR$3,12,31),"m")*$Y71,AND(CR$3&gt;YEAR($X71),CR$3-YEAR($X71)&lt;20),$Y71*12,CR$3-YEAR($X71)=20,DATEDIF(DATE(YEAR($X71),1,1),$X71,"m")*$Y71,CR$3-YEAR($X71)&gt;20,0)</f>
        <v>23842.5</v>
      </c>
      <c r="CS71" s="202" cm="1">
        <f t="array" ref="CS71">_xlfn.IFS(CS$3&lt;=YEAR($B$2),SUMPRODUCT(($E$4:$E$79=$E71)*($Z$2:$CG$2=CS$3)*($Z$2:$CG$2&lt;CT$3)*$Z$4:$CG$79),CS$3&lt;YEAR($X71),0,CS$3=YEAR($X71),DATEDIF($X71,DATE(CS$3,12,31),"m")*$Y71,AND(CS$3&gt;YEAR($X71),CS$3-YEAR($X71)&lt;20),$Y71*12,CS$3-YEAR($X71)=20,DATEDIF(DATE(YEAR($X71),1,1),$X71,"m")*$Y71,CS$3-YEAR($X71)&gt;20,0)</f>
        <v>23842.5</v>
      </c>
      <c r="CT71" s="202" cm="1">
        <f t="array" ref="CT71">_xlfn.IFS(CT$3&lt;=YEAR($B$2),SUMPRODUCT(($E$4:$E$79=$E71)*($Z$2:$CG$2=CT$3)*($Z$2:$CG$2&lt;CU$3)*$Z$4:$CG$79),CT$3&lt;YEAR($X71),0,CT$3=YEAR($X71),DATEDIF($X71,DATE(CT$3,12,31),"m")*$Y71,AND(CT$3&gt;YEAR($X71),CT$3-YEAR($X71)&lt;20),$Y71*12,CT$3-YEAR($X71)=20,DATEDIF(DATE(YEAR($X71),1,1),$X71,"m")*$Y71,CT$3-YEAR($X71)&gt;20,0)</f>
        <v>23842.5</v>
      </c>
      <c r="CU71" s="202" cm="1">
        <f t="array" ref="CU71">_xlfn.IFS(CU$3&lt;=YEAR($B$2),SUMPRODUCT(($E$4:$E$79=$E71)*($Z$2:$CG$2=CU$3)*($Z$2:$CG$2&lt;CV$3)*$Z$4:$CG$79),CU$3&lt;YEAR($X71),0,CU$3=YEAR($X71),DATEDIF($X71,DATE(CU$3,12,31),"m")*$Y71,AND(CU$3&gt;YEAR($X71),CU$3-YEAR($X71)&lt;20),$Y71*12,CU$3-YEAR($X71)=20,DATEDIF(DATE(YEAR($X71),1,1),$X71,"m")*$Y71,CU$3-YEAR($X71)&gt;20,0)</f>
        <v>23842.5</v>
      </c>
      <c r="CV71" s="202" cm="1">
        <f t="array" ref="CV71">_xlfn.IFS(CV$3&lt;=YEAR($B$2),SUMPRODUCT(($E$4:$E$79=$E71)*($Z$2:$CG$2=CV$3)*($Z$2:$CG$2&lt;CW$3)*$Z$4:$CG$79),CV$3&lt;YEAR($X71),0,CV$3=YEAR($X71),DATEDIF($X71,DATE(CV$3,12,31),"m")*$Y71,AND(CV$3&gt;YEAR($X71),CV$3-YEAR($X71)&lt;20),$Y71*12,CV$3-YEAR($X71)=20,DATEDIF(DATE(YEAR($X71),1,1),$X71,"m")*$Y71,CV$3-YEAR($X71)&gt;20,0)</f>
        <v>23842.5</v>
      </c>
      <c r="CW71" s="202" cm="1">
        <f t="array" ref="CW71">_xlfn.IFS(CW$3&lt;=YEAR($B$2),SUMPRODUCT(($E$4:$E$79=$E71)*($Z$2:$CG$2=CW$3)*($Z$2:$CG$2&lt;CX$3)*$Z$4:$CG$79),CW$3&lt;YEAR($X71),0,CW$3=YEAR($X71),DATEDIF($X71,DATE(CW$3,12,31),"m")*$Y71,AND(CW$3&gt;YEAR($X71),CW$3-YEAR($X71)&lt;20),$Y71*12,CW$3-YEAR($X71)=20,DATEDIF(DATE(YEAR($X71),1,1),$X71,"m")*$Y71,CW$3-YEAR($X71)&gt;20,0)</f>
        <v>23842.5</v>
      </c>
      <c r="CX71" s="202" cm="1">
        <f t="array" ref="CX71">_xlfn.IFS(CX$3&lt;=YEAR($B$2),SUMPRODUCT(($E$4:$E$79=$E71)*($Z$2:$CG$2=CX$3)*($Z$2:$CG$2&lt;CY$3)*$Z$4:$CG$79),CX$3&lt;YEAR($X71),0,CX$3=YEAR($X71),DATEDIF($X71,DATE(CX$3,12,31),"m")*$Y71,AND(CX$3&gt;YEAR($X71),CX$3-YEAR($X71)&lt;20),$Y71*12,CX$3-YEAR($X71)=20,DATEDIF(DATE(YEAR($X71),1,1),$X71,"m")*$Y71,CX$3-YEAR($X71)&gt;20,0)</f>
        <v>23842.5</v>
      </c>
      <c r="CY71" s="202" cm="1">
        <f t="array" ref="CY71">_xlfn.IFS(CY$3&lt;=YEAR($B$2),SUMPRODUCT(($E$4:$E$79=$E71)*($Z$2:$CG$2=CY$3)*($Z$2:$CG$2&lt;CZ$3)*$Z$4:$CG$79),CY$3&lt;YEAR($X71),0,CY$3=YEAR($X71),DATEDIF($X71,DATE(CY$3,12,31),"m")*$Y71,AND(CY$3&gt;YEAR($X71),CY$3-YEAR($X71)&lt;20),$Y71*12,CY$3-YEAR($X71)=20,DATEDIF(DATE(YEAR($X71),1,1),$X71,"m")*$Y71,CY$3-YEAR($X71)&gt;20,0)</f>
        <v>23842.5</v>
      </c>
      <c r="CZ71" s="202" cm="1">
        <f t="array" ref="CZ71">_xlfn.IFS(CZ$3&lt;=YEAR($B$2),SUMPRODUCT(($E$4:$E$79=$E71)*($Z$2:$CG$2=CZ$3)*($Z$2:$CG$2&lt;DA$3)*$Z$4:$CG$79),CZ$3&lt;YEAR($X71),0,CZ$3=YEAR($X71),DATEDIF($X71,DATE(CZ$3,12,31),"m")*$Y71,AND(CZ$3&gt;YEAR($X71),CZ$3-YEAR($X71)&lt;20),$Y71*12,CZ$3-YEAR($X71)=20,DATEDIF(DATE(YEAR($X71),1,1),$X71,"m")*$Y71,CZ$3-YEAR($X71)&gt;20,0)</f>
        <v>23842.5</v>
      </c>
      <c r="DA71" s="202" cm="1">
        <f t="array" ref="DA71">_xlfn.IFS(DA$3&lt;=YEAR($B$2),SUMPRODUCT(($E$4:$E$79=$E71)*($Z$2:$CG$2=DA$3)*($Z$2:$CG$2&lt;DB$3)*$Z$4:$CG$79),DA$3&lt;YEAR($X71),0,DA$3=YEAR($X71),DATEDIF($X71,DATE(DA$3,12,31),"m")*$Y71,AND(DA$3&gt;YEAR($X71),DA$3-YEAR($X71)&lt;20),$Y71*12,DA$3-YEAR($X71)=20,DATEDIF(DATE(YEAR($X71),1,1),$X71,"m")*$Y71,DA$3-YEAR($X71)&gt;20,0)</f>
        <v>23842.5</v>
      </c>
      <c r="DB71" s="202" cm="1">
        <f t="array" ref="DB71">_xlfn.IFS(DB$3&lt;=YEAR($B$2),SUMPRODUCT(($E$4:$E$79=$E71)*($Z$2:$CG$2=DB$3)*($Z$2:$CG$2&lt;DC$3)*$Z$4:$CG$79),DB$3&lt;YEAR($X71),0,DB$3=YEAR($X71),DATEDIF($X71,DATE(DB$3,12,31),"m")*$Y71,AND(DB$3&gt;YEAR($X71),DB$3-YEAR($X71)&lt;20),$Y71*12,DB$3-YEAR($X71)=20,DATEDIF(DATE(YEAR($X71),1,1),$X71,"m")*$Y71,DB$3-YEAR($X71)&gt;20,0)</f>
        <v>23842.5</v>
      </c>
      <c r="DC71" s="202" cm="1">
        <f t="array" ref="DC71">_xlfn.IFS(DC$3&lt;=YEAR($B$2),SUMPRODUCT(($E$4:$E$79=$E71)*($Z$2:$CG$2=DC$3)*($Z$2:$CG$2&lt;DD$3)*$Z$4:$CG$79),DC$3&lt;YEAR($X71),0,DC$3=YEAR($X71),DATEDIF($X71,DATE(DC$3,12,31),"m")*$Y71,AND(DC$3&gt;YEAR($X71),DC$3-YEAR($X71)&lt;20),$Y71*12,DC$3-YEAR($X71)=20,DATEDIF(DATE(YEAR($X71),1,1),$X71,"m")*$Y71,DC$3-YEAR($X71)&gt;20,0)</f>
        <v>23842.5</v>
      </c>
      <c r="DD71" s="202" cm="1">
        <f t="array" ref="DD71">_xlfn.IFS(DD$3&lt;=YEAR($B$2),SUMPRODUCT(($E$4:$E$79=$E71)*($Z$2:$CG$2=DD$3)*($Z$2:$CG$2&lt;DE$3)*$Z$4:$CG$79),DD$3&lt;YEAR($X71),0,DD$3=YEAR($X71),DATEDIF($X71,DATE(DD$3,12,31),"m")*$Y71,AND(DD$3&gt;YEAR($X71),DD$3-YEAR($X71)&lt;20),$Y71*12,DD$3-YEAR($X71)=20,DATEDIF(DATE(YEAR($X71),1,1),$X71,"m")*$Y71,DD$3-YEAR($X71)&gt;20,0)</f>
        <v>23842.5</v>
      </c>
      <c r="DE71" s="202" cm="1">
        <f t="array" ref="DE71">_xlfn.IFS(DE$3&lt;=YEAR($B$2),SUMPRODUCT(($E$4:$E$79=$E71)*($Z$2:$CG$2=DE$3)*($Z$2:$CG$2&lt;DF$3)*$Z$4:$CG$79),DE$3&lt;YEAR($X71),0,DE$3=YEAR($X71),DATEDIF($X71,DATE(DE$3,12,31),"m")*$Y71,AND(DE$3&gt;YEAR($X71),DE$3-YEAR($X71)&lt;20),$Y71*12,DE$3-YEAR($X71)=20,DATEDIF(DATE(YEAR($X71),1,1),$X71,"m")*$Y71,DE$3-YEAR($X71)&gt;20,0)</f>
        <v>23842.5</v>
      </c>
      <c r="DF71" s="202" cm="1">
        <f t="array" ref="DF71">_xlfn.IFS(DF$3&lt;=YEAR($B$2),SUMPRODUCT(($E$4:$E$79=$E71)*($Z$2:$CG$2=DF$3)*($Z$2:$CG$2&lt;DG$3)*$Z$4:$CG$79),DF$3&lt;YEAR($X71),0,DF$3=YEAR($X71),DATEDIF($X71,DATE(DF$3,12,31),"m")*$Y71,AND(DF$3&gt;YEAR($X71),DF$3-YEAR($X71)&lt;20),$Y71*12,DF$3-YEAR($X71)=20,DATEDIF(DATE(YEAR($X71),1,1),$X71,"m")*$Y71,DF$3-YEAR($X71)&gt;20,0)</f>
        <v>23842.5</v>
      </c>
      <c r="DG71" s="202" cm="1">
        <f t="array" ref="DG71">_xlfn.IFS(DG$3&lt;=YEAR($B$2),SUMPRODUCT(($E$4:$E$79=$E71)*($Z$2:$CG$2=DG$3)*($Z$2:$CG$2&lt;DH$3)*$Z$4:$CG$79),DG$3&lt;YEAR($X71),0,DG$3=YEAR($X71),DATEDIF($X71,DATE(DG$3,12,31),"m")*$Y71,AND(DG$3&gt;YEAR($X71),DG$3-YEAR($X71)&lt;20),$Y71*12,DG$3-YEAR($X71)=20,DATEDIF(DATE(YEAR($X71),1,1),$X71,"m")*$Y71,DG$3-YEAR($X71)&gt;20,0)</f>
        <v>23842.5</v>
      </c>
      <c r="DH71" s="202" cm="1">
        <f t="array" ref="DH71">_xlfn.IFS(DH$3&lt;=YEAR($B$2),SUMPRODUCT(($E$4:$E$79=$E71)*($Z$2:$CG$2=DH$3)*($Z$2:$CG$2&lt;DI$3)*$Z$4:$CG$79),DH$3&lt;YEAR($X71),0,DH$3=YEAR($X71),DATEDIF($X71,DATE(DH$3,12,31),"m")*$Y71,AND(DH$3&gt;YEAR($X71),DH$3-YEAR($X71)&lt;20),$Y71*12,DH$3-YEAR($X71)=20,DATEDIF(DATE(YEAR($X71),1,1),$X71,"m")*$Y71,DH$3-YEAR($X71)&gt;20,0)</f>
        <v>21855.625</v>
      </c>
      <c r="DI71" s="202" cm="1">
        <f t="array" ref="DI71">_xlfn.IFS(DI$3&lt;=YEAR($B$2),SUMPRODUCT(($E$4:$E$79=$E71)*($Z$2:$CG$2=DI$3)*($Z$2:$CG$2&lt;DJ$3)*$Z$4:$CG$79),DI$3&lt;YEAR($X71),0,DI$3=YEAR($X71),DATEDIF($X71,DATE(DI$3,12,31),"m")*$Y71,AND(DI$3&gt;YEAR($X71),DI$3-YEAR($X71)&lt;20),$Y71*12,DI$3-YEAR($X71)=20,DATEDIF(DATE(YEAR($X71),1,1),$X71,"m")*$Y71,DI$3-YEAR($X71)&gt;20,0)</f>
        <v>0</v>
      </c>
      <c r="DJ71" s="202" cm="1">
        <f t="array" ref="DJ71">_xlfn.IFS(DJ$3&lt;=YEAR($B$2),SUMPRODUCT(($E$4:$E$79=$E71)*($Z$2:$CG$2=DJ$3)*($Z$2:$CG$2&lt;DK$3)*$Z$4:$CG$79),DJ$3&lt;YEAR($X71),0,DJ$3=YEAR($X71),DATEDIF($X71,DATE(DJ$3,12,31),"m")*$Y71,AND(DJ$3&gt;YEAR($X71),DJ$3-YEAR($X71)&lt;20),$Y71*12,DJ$3-YEAR($X71)=20,DATEDIF(DATE(YEAR($X71),1,1),$X71,"m")*$Y71,DJ$3-YEAR($X71)&gt;20,0)</f>
        <v>0</v>
      </c>
      <c r="DK71" s="202" cm="1">
        <f t="array" ref="DK71">_xlfn.IFS(DK$3&lt;=YEAR($B$2),SUMPRODUCT(($E$4:$E$79=$E71)*($Z$2:$CG$2=DK$3)*($Z$2:$CG$2&lt;DL$3)*$Z$4:$CG$79),DK$3&lt;YEAR($X71),0,DK$3=YEAR($X71),DATEDIF($X71,DATE(DK$3,12,31),"m")*$Y71,AND(DK$3&gt;YEAR($X71),DK$3-YEAR($X71)&lt;20),$Y71*12,DK$3-YEAR($X71)=20,DATEDIF(DATE(YEAR($X71),1,1),$X71,"m")*$Y71,DK$3-YEAR($X71)&gt;20,0)</f>
        <v>0</v>
      </c>
      <c r="DL71" s="202" cm="1">
        <f t="array" ref="DL71">_xlfn.IFS(DL$3&lt;=YEAR($B$2),SUMPRODUCT(($E$4:$E$79=$E71)*($Z$2:$CG$2=DL$3)*($Z$2:$CG$2&lt;DM$3)*$Z$4:$CG$79),DL$3&lt;YEAR($X71),0,DL$3=YEAR($X71),DATEDIF($X71,DATE(DL$3,12,31),"m")*$Y71,AND(DL$3&gt;YEAR($X71),DL$3-YEAR($X71)&lt;20),$Y71*12,DL$3-YEAR($X71)=20,DATEDIF(DATE(YEAR($X71),1,1),$X71,"m")*$Y71,DL$3-YEAR($X71)&gt;20,0)</f>
        <v>0</v>
      </c>
    </row>
    <row r="72" spans="1:116">
      <c r="A72" s="155" t="str" cm="1">
        <f t="array" ref="A72">INDEX('Monthly Report July 2025'!C:C,MATCH(E72,'Monthly Report July 2025'!E:E,0),0)</f>
        <v>OCS103</v>
      </c>
      <c r="B72" s="155" t="str" cm="1">
        <f t="array" ref="B72">_xlfn.IFS(LEFT(E72,3)="PGE","PGE",LEFT(E72,2)="PP","PAC",TRUE,"IP")</f>
        <v>PAC</v>
      </c>
      <c r="C72" s="155" t="str">
        <f>IF(ISNA(MATCH(E72,'Monthly Report July 2025'!E:E,0)),"Missing","Present")</f>
        <v>Present</v>
      </c>
      <c r="D72" s="155" t="str">
        <f>IF(ISNA(MATCH(E72,'Project Operational Timelines'!C:C,0))=TRUE,"Missing","Present")</f>
        <v>Present</v>
      </c>
      <c r="E72" s="155" t="s">
        <v>180</v>
      </c>
      <c r="F72" s="155" t="str" cm="1">
        <f t="array" ref="F72">INDEX('Monthly Report July 2025'!F:F,MATCH(E72,'Monthly Report July 2025'!E:E,),0)</f>
        <v>East Side</v>
      </c>
      <c r="G72" s="155" t="str" cm="1">
        <f t="array" ref="G72">_xlfn.IFS(INDEX('Monthly Report July 2025'!O:O,MATCH(E72,'Monthly Report July 2025'!E:E,0),0)="Operational","Operational",INDEX('Monthly Report July 2025'!O:O,MATCH(E72,'Monthly Report July 2025'!E:E,0),0)="Certified","Certified",TRUE,"Pre-Certified")</f>
        <v>Pre-Certified</v>
      </c>
      <c r="H72" s="155" t="str" cm="1">
        <f t="array" ref="H72">INDEX('Monthly Report July 2025'!H:H,MATCH($E72,'Monthly Report July 2025'!$E:$E,0),0)</f>
        <v>SolaRay Farms, Inc</v>
      </c>
      <c r="I72" s="155" t="str" cm="1">
        <f t="array" ref="I72">INDEX('Monthly Report July 2025'!I:I,MATCH($E72,'Monthly Report July 2025'!$E:$E,0),0)</f>
        <v>SolaRay Farms, Inc</v>
      </c>
      <c r="J72" s="174" cm="1">
        <f t="array" ref="J72">INDEX('Monthly Report July 2025'!J:J,MATCH($E72,'Monthly Report July 2025'!$E:$E,0),0)</f>
        <v>2</v>
      </c>
      <c r="K72" s="174" t="str" cm="1">
        <f t="array" ref="K72">INDEX('Monthly Report July 2025'!K:K,MATCH($E72,'Monthly Report July 2025'!$E:$E,0),0)</f>
        <v>Yes</v>
      </c>
      <c r="L72" s="174" t="b" cm="1">
        <f t="array" ref="L72">INDEX('Monthly Report July 2025'!L:L,MATCH(E72,'Monthly Report July 2025'!E:E,0),0)=M72</f>
        <v>1</v>
      </c>
      <c r="M72" s="273" cm="1">
        <f t="array" ref="M72">INDEX('Monthly Report July 2025'!L:L,MATCH($E72,'Monthly Report July 2025'!$E:$E,0),0)</f>
        <v>332</v>
      </c>
      <c r="N72" s="175" cm="1">
        <f t="array" ref="N72">INDEX('Monthly Report July 2025'!M:M,MATCH($E72,'Monthly Report July 2025'!$E:$E,0),0)</f>
        <v>45733</v>
      </c>
      <c r="O72" s="175" cm="1">
        <f t="array" ref="O72">_xlfn.IFS(G72="Operational","Operational",G72="Certified","Certified",TRUE,INDEX('Monthly Report July 2025'!O:O,MATCH(E72,'Monthly Report July 2025'!E:E,0),0))</f>
        <v>46282</v>
      </c>
      <c r="Q72" s="175" t="str" cm="1">
        <f t="array" ref="Q72">IF(O72="Operational",INDEX('Monthly Report July 2025'!R:R,MATCH(E72,'Monthly Report July 2025'!E:E,0),0),"")</f>
        <v/>
      </c>
      <c r="R72" s="175" t="str" cm="1">
        <f t="array" ref="R72">INDEX('Monthly Report July 2025'!P:P,MATCH(E72,'Monthly Report July 2025'!E:E,0),0)</f>
        <v>Not Yet Certified</v>
      </c>
      <c r="T72" s="175" t="str" cm="1">
        <f t="array" ref="T72">INDEX('Monthly Report July 2025'!U:U,MATCH(E72,'Monthly Report July 2025'!E:E,0),0)</f>
        <v>Data Not Available</v>
      </c>
      <c r="U72" s="175" t="b">
        <f t="shared" si="34"/>
        <v>0</v>
      </c>
      <c r="V72" s="156">
        <f t="shared" si="29"/>
        <v>46282</v>
      </c>
      <c r="W72" s="156" t="str" cm="1">
        <f t="array" ref="W72">_xlfn.IFS(U72=TRUE,EDATE(O72,6),U72=FALSE,T72,O72="Operational",Q72,AND(O72="Certified",EDATE(R72,6)&gt;T72),EDATE(R72,6),TRUE,T72)</f>
        <v>Data Not Available</v>
      </c>
      <c r="X72" s="156">
        <f t="shared" si="33"/>
        <v>46524</v>
      </c>
      <c r="Y72" s="157">
        <f t="shared" si="35"/>
        <v>126.99</v>
      </c>
      <c r="Z72" s="202" cm="1">
        <f t="array" ref="Z72">_xlfn.IFS(Z$3&lt;$B$2,SUMPRODUCT(('PA Fees Actual'!$B$5:$B$882=$E72)*('PA Fees Actual'!$A$5:$A$882&gt;=Z$3)*('PA Fees Actual'!$A$5:$A$882&lt;=EOMONTH(Z$3,0))*'PA Fees Actual'!$D$5:$D$882),Z$3&gt;=EOMONTH($X72,-1)+1,$Y72,TRUE,0)</f>
        <v>0</v>
      </c>
      <c r="AA72" s="202" cm="1">
        <f t="array" ref="AA72">_xlfn.IFS(AA$3&lt;$B$2,SUMPRODUCT(('PA Fees Actual'!$B$5:$B$882=$E72)*('PA Fees Actual'!$A$5:$A$882&gt;=AA$3)*('PA Fees Actual'!$A$5:$A$882&lt;=EOMONTH(AA$3,0))*'PA Fees Actual'!$D$5:$D$882),AA$3&gt;=EOMONTH($X72,-1)+1,$Y72,TRUE,0)</f>
        <v>0</v>
      </c>
      <c r="AB72" s="202" cm="1">
        <f t="array" ref="AB72">_xlfn.IFS(AB$3&lt;$B$2,SUMPRODUCT(('PA Fees Actual'!$B$5:$B$882=$E72)*('PA Fees Actual'!$A$5:$A$882&gt;=AB$3)*('PA Fees Actual'!$A$5:$A$882&lt;=EOMONTH(AB$3,0))*'PA Fees Actual'!$D$5:$D$882),AB$3&gt;=EOMONTH($X72,-1)+1,$Y72,TRUE,0)</f>
        <v>0</v>
      </c>
      <c r="AC72" s="202" cm="1">
        <f t="array" ref="AC72">_xlfn.IFS(AC$3&lt;$B$2,SUMPRODUCT(('PA Fees Actual'!$B$5:$B$882=$E72)*('PA Fees Actual'!$A$5:$A$882&gt;=AC$3)*('PA Fees Actual'!$A$5:$A$882&lt;=EOMONTH(AC$3,0))*'PA Fees Actual'!$D$5:$D$882),AC$3&gt;=EOMONTH($X72,-1)+1,$Y72,TRUE,0)</f>
        <v>0</v>
      </c>
      <c r="AD72" s="202" cm="1">
        <f t="array" ref="AD72">_xlfn.IFS(AD$3&lt;$B$2,SUMPRODUCT(('PA Fees Actual'!$B$5:$B$882=$E72)*('PA Fees Actual'!$A$5:$A$882&gt;=AD$3)*('PA Fees Actual'!$A$5:$A$882&lt;=EOMONTH(AD$3,0))*'PA Fees Actual'!$D$5:$D$882),AD$3&gt;=EOMONTH($X72,-1)+1,$Y72,TRUE,0)</f>
        <v>0</v>
      </c>
      <c r="AE72" s="202" cm="1">
        <f t="array" ref="AE72">_xlfn.IFS(AE$3&lt;$B$2,SUMPRODUCT(('PA Fees Actual'!$B$5:$B$882=$E72)*('PA Fees Actual'!$A$5:$A$882&gt;=AE$3)*('PA Fees Actual'!$A$5:$A$882&lt;=EOMONTH(AE$3,0))*'PA Fees Actual'!$D$5:$D$882),AE$3&gt;=EOMONTH($X72,-1)+1,$Y72,TRUE,0)</f>
        <v>0</v>
      </c>
      <c r="AF72" s="202" cm="1">
        <f t="array" ref="AF72">_xlfn.IFS(AF$3&lt;$B$2,SUMPRODUCT(('PA Fees Actual'!$B$5:$B$882=$E72)*('PA Fees Actual'!$A$5:$A$882&gt;=AF$3)*('PA Fees Actual'!$A$5:$A$882&lt;=EOMONTH(AF$3,0))*'PA Fees Actual'!$D$5:$D$882),AF$3&gt;=EOMONTH($X72,-1)+1,$Y72,TRUE,0)</f>
        <v>0</v>
      </c>
      <c r="AG72" s="202" cm="1">
        <f t="array" ref="AG72">_xlfn.IFS(AG$3&lt;$B$2,SUMPRODUCT(('PA Fees Actual'!$B$5:$B$882=$E72)*('PA Fees Actual'!$A$5:$A$882&gt;=AG$3)*('PA Fees Actual'!$A$5:$A$882&lt;=EOMONTH(AG$3,0))*'PA Fees Actual'!$D$5:$D$882),AG$3&gt;=EOMONTH($X72,-1)+1,$Y72,TRUE,0)</f>
        <v>0</v>
      </c>
      <c r="AH72" s="202" cm="1">
        <f t="array" ref="AH72">_xlfn.IFS(AH$3&lt;$B$2,SUMPRODUCT(('PA Fees Actual'!$B$5:$B$882=$E72)*('PA Fees Actual'!$A$5:$A$882&gt;=AH$3)*('PA Fees Actual'!$A$5:$A$882&lt;=EOMONTH(AH$3,0))*'PA Fees Actual'!$D$5:$D$882),AH$3&gt;=EOMONTH($X72,-1)+1,$Y72,TRUE,0)</f>
        <v>0</v>
      </c>
      <c r="AI72" s="202" cm="1">
        <f t="array" ref="AI72">_xlfn.IFS(AI$3&lt;$B$2,SUMPRODUCT(('PA Fees Actual'!$B$5:$B$882=$E72)*('PA Fees Actual'!$A$5:$A$882&gt;=AI$3)*('PA Fees Actual'!$A$5:$A$882&lt;=EOMONTH(AI$3,0))*'PA Fees Actual'!$D$5:$D$882),AI$3&gt;=EOMONTH($X72,-1)+1,$Y72,TRUE,0)</f>
        <v>0</v>
      </c>
      <c r="AJ72" s="202" cm="1">
        <f t="array" ref="AJ72">_xlfn.IFS(AJ$3&lt;$B$2,SUMPRODUCT(('PA Fees Actual'!$B$5:$B$882=$E72)*('PA Fees Actual'!$A$5:$A$882&gt;=AJ$3)*('PA Fees Actual'!$A$5:$A$882&lt;=EOMONTH(AJ$3,0))*'PA Fees Actual'!$D$5:$D$882),AJ$3&gt;=EOMONTH($X72,-1)+1,$Y72,TRUE,0)</f>
        <v>0</v>
      </c>
      <c r="AK72" s="202" cm="1">
        <f t="array" ref="AK72">_xlfn.IFS(AK$3&lt;$B$2,SUMPRODUCT(('PA Fees Actual'!$B$5:$B$882=$E72)*('PA Fees Actual'!$A$5:$A$882&gt;=AK$3)*('PA Fees Actual'!$A$5:$A$882&lt;=EOMONTH(AK$3,0))*'PA Fees Actual'!$D$5:$D$882),AK$3&gt;=EOMONTH($X72,-1)+1,$Y72,TRUE,0)</f>
        <v>0</v>
      </c>
      <c r="AL72" s="202" cm="1">
        <f t="array" ref="AL72">_xlfn.IFS(AL$3&lt;$B$2,SUMPRODUCT(('PA Fees Actual'!$B$5:$B$882=$E72)*('PA Fees Actual'!$A$5:$A$882&gt;=AL$3)*('PA Fees Actual'!$A$5:$A$882&lt;=EOMONTH(AL$3,0))*'PA Fees Actual'!$D$5:$D$882),AL$3&gt;=EOMONTH($X72,-1)+1,$Y72,TRUE,0)</f>
        <v>0</v>
      </c>
      <c r="AM72" s="202" cm="1">
        <f t="array" ref="AM72">_xlfn.IFS(AM$3&lt;$B$2,SUMPRODUCT(('PA Fees Actual'!$B$5:$B$882=$E72)*('PA Fees Actual'!$A$5:$A$882&gt;=AM$3)*('PA Fees Actual'!$A$5:$A$882&lt;=EOMONTH(AM$3,0))*'PA Fees Actual'!$D$5:$D$882),AM$3&gt;=EOMONTH($X72,-1)+1,$Y72,TRUE,0)</f>
        <v>0</v>
      </c>
      <c r="AN72" s="202" cm="1">
        <f t="array" ref="AN72">_xlfn.IFS(AN$3&lt;$B$2,SUMPRODUCT(('PA Fees Actual'!$B$5:$B$882=$E72)*('PA Fees Actual'!$A$5:$A$882&gt;=AN$3)*('PA Fees Actual'!$A$5:$A$882&lt;=EOMONTH(AN$3,0))*'PA Fees Actual'!$D$5:$D$882),AN$3&gt;=EOMONTH($X72,-1)+1,$Y72,TRUE,0)</f>
        <v>0</v>
      </c>
      <c r="AO72" s="202" cm="1">
        <f t="array" ref="AO72">_xlfn.IFS(AO$3&lt;$B$2,SUMPRODUCT(('PA Fees Actual'!$B$5:$B$882=$E72)*('PA Fees Actual'!$A$5:$A$882&gt;=AO$3)*('PA Fees Actual'!$A$5:$A$882&lt;=EOMONTH(AO$3,0))*'PA Fees Actual'!$D$5:$D$882),AO$3&gt;=EOMONTH($X72,-1)+1,$Y72,TRUE,0)</f>
        <v>0</v>
      </c>
      <c r="AP72" s="202" cm="1">
        <f t="array" ref="AP72">_xlfn.IFS(AP$3&lt;$B$2,SUMPRODUCT(('PA Fees Actual'!$B$5:$B$882=$E72)*('PA Fees Actual'!$A$5:$A$882&gt;=AP$3)*('PA Fees Actual'!$A$5:$A$882&lt;=EOMONTH(AP$3,0))*'PA Fees Actual'!$D$5:$D$882),AP$3&gt;=EOMONTH($X72,-1)+1,$Y72,TRUE,0)</f>
        <v>0</v>
      </c>
      <c r="AQ72" s="202" cm="1">
        <f t="array" ref="AQ72">_xlfn.IFS(AQ$3&lt;$B$2,SUMPRODUCT(('PA Fees Actual'!$B$5:$B$882=$E72)*('PA Fees Actual'!$A$5:$A$882&gt;=AQ$3)*('PA Fees Actual'!$A$5:$A$882&lt;=EOMONTH(AQ$3,0))*'PA Fees Actual'!$D$5:$D$882),AQ$3&gt;=EOMONTH($X72,-1)+1,$Y72,TRUE,0)</f>
        <v>0</v>
      </c>
      <c r="AR72" s="202" cm="1">
        <f t="array" ref="AR72">_xlfn.IFS(AR$3&lt;$B$2,SUMPRODUCT(('PA Fees Actual'!$B$5:$B$882=$E72)*('PA Fees Actual'!$A$5:$A$882&gt;=AR$3)*('PA Fees Actual'!$A$5:$A$882&lt;=EOMONTH(AR$3,0))*'PA Fees Actual'!$D$5:$D$882),AR$3&gt;=EOMONTH($X72,-1)+1,$Y72,TRUE,0)</f>
        <v>0</v>
      </c>
      <c r="AS72" s="202" cm="1">
        <f t="array" ref="AS72">_xlfn.IFS(AS$3&lt;$B$2,SUMPRODUCT(('PA Fees Actual'!$B$5:$B$882=$E72)*('PA Fees Actual'!$A$5:$A$882&gt;=AS$3)*('PA Fees Actual'!$A$5:$A$882&lt;=EOMONTH(AS$3,0))*'PA Fees Actual'!$D$5:$D$882),AS$3&gt;=EOMONTH($X72,-1)+1,$Y72,TRUE,0)</f>
        <v>0</v>
      </c>
      <c r="AT72" s="202" cm="1">
        <f t="array" ref="AT72">_xlfn.IFS(AT$3&lt;$B$2,SUMPRODUCT(('PA Fees Actual'!$B$5:$B$882=$E72)*('PA Fees Actual'!$A$5:$A$882&gt;=AT$3)*('PA Fees Actual'!$A$5:$A$882&lt;=EOMONTH(AT$3,0))*'PA Fees Actual'!$D$5:$D$882),AT$3&gt;=EOMONTH($X72,-1)+1,$Y72,TRUE,0)</f>
        <v>0</v>
      </c>
      <c r="AU72" s="202" cm="1">
        <f t="array" ref="AU72">_xlfn.IFS(AU$3&lt;$B$2,SUMPRODUCT(('PA Fees Actual'!$B$5:$B$882=$E72)*('PA Fees Actual'!$A$5:$A$882&gt;=AU$3)*('PA Fees Actual'!$A$5:$A$882&lt;=EOMONTH(AU$3,0))*'PA Fees Actual'!$D$5:$D$882),AU$3&gt;=EOMONTH($X72,-1)+1,$Y72,TRUE,0)</f>
        <v>0</v>
      </c>
      <c r="AV72" s="202" cm="1">
        <f t="array" ref="AV72">_xlfn.IFS(AV$3&lt;$B$2,SUMPRODUCT(('PA Fees Actual'!$B$5:$B$882=$E72)*('PA Fees Actual'!$A$5:$A$882&gt;=AV$3)*('PA Fees Actual'!$A$5:$A$882&lt;=EOMONTH(AV$3,0))*'PA Fees Actual'!$D$5:$D$882),AV$3&gt;=EOMONTH($X72,-1)+1,$Y72,TRUE,0)</f>
        <v>0</v>
      </c>
      <c r="AW72" s="202" cm="1">
        <f t="array" ref="AW72">_xlfn.IFS(AW$3&lt;$B$2,SUMPRODUCT(('PA Fees Actual'!$B$5:$B$882=$E72)*('PA Fees Actual'!$A$5:$A$882&gt;=AW$3)*('PA Fees Actual'!$A$5:$A$882&lt;=EOMONTH(AW$3,0))*'PA Fees Actual'!$D$5:$D$882),AW$3&gt;=EOMONTH($X72,-1)+1,$Y72,TRUE,0)</f>
        <v>0</v>
      </c>
      <c r="AX72" s="202" cm="1">
        <f t="array" ref="AX72">_xlfn.IFS(AX$3&lt;$B$2,SUMPRODUCT(('PA Fees Actual'!$B$5:$B$882=$E72)*('PA Fees Actual'!$A$5:$A$882&gt;=AX$3)*('PA Fees Actual'!$A$5:$A$882&lt;=EOMONTH(AX$3,0))*'PA Fees Actual'!$D$5:$D$882),AX$3&gt;=EOMONTH($X72,-1)+1,$Y72,TRUE,0)</f>
        <v>0</v>
      </c>
      <c r="AY72" s="202" cm="1">
        <f t="array" ref="AY72">_xlfn.IFS(AY$3&lt;$B$2,SUMPRODUCT(('PA Fees Actual'!$B$5:$B$882=$E72)*('PA Fees Actual'!$A$5:$A$882&gt;=AY$3)*('PA Fees Actual'!$A$5:$A$882&lt;=EOMONTH(AY$3,0))*'PA Fees Actual'!$D$5:$D$882),AY$3&gt;=EOMONTH($X72,-1)+1,$Y72,TRUE,0)</f>
        <v>0</v>
      </c>
      <c r="AZ72" s="202" cm="1">
        <f t="array" ref="AZ72">_xlfn.IFS(AZ$3&lt;$B$2,SUMPRODUCT(('PA Fees Actual'!$B$5:$B$882=$E72)*('PA Fees Actual'!$A$5:$A$882&gt;=AZ$3)*('PA Fees Actual'!$A$5:$A$882&lt;=EOMONTH(AZ$3,0))*'PA Fees Actual'!$D$5:$D$882),AZ$3&gt;=EOMONTH($X72,-1)+1,$Y72,TRUE,0)</f>
        <v>0</v>
      </c>
      <c r="BA72" s="202" cm="1">
        <f t="array" ref="BA72">_xlfn.IFS(BA$3&lt;$B$2,SUMPRODUCT(('PA Fees Actual'!$B$5:$B$882=$E72)*('PA Fees Actual'!$A$5:$A$882&gt;=BA$3)*('PA Fees Actual'!$A$5:$A$882&lt;=EOMONTH(BA$3,0))*'PA Fees Actual'!$D$5:$D$882),BA$3&gt;=EOMONTH($X72,-1)+1,$Y72,TRUE,0)</f>
        <v>0</v>
      </c>
      <c r="BB72" s="202" cm="1">
        <f t="array" ref="BB72">_xlfn.IFS(BB$3&lt;$B$2,SUMPRODUCT(('PA Fees Actual'!$B$5:$B$882=$E72)*('PA Fees Actual'!$A$5:$A$882&gt;=BB$3)*('PA Fees Actual'!$A$5:$A$882&lt;=EOMONTH(BB$3,0))*'PA Fees Actual'!$D$5:$D$882),BB$3&gt;=EOMONTH($X72,-1)+1,$Y72,TRUE,0)</f>
        <v>0</v>
      </c>
      <c r="BC72" s="202" cm="1">
        <f t="array" ref="BC72">_xlfn.IFS(BC$3&lt;$B$2,SUMPRODUCT(('PA Fees Actual'!$B$5:$B$882=$E72)*('PA Fees Actual'!$A$5:$A$882&gt;=BC$3)*('PA Fees Actual'!$A$5:$A$882&lt;=EOMONTH(BC$3,0))*'PA Fees Actual'!$D$5:$D$882),BC$3&gt;=EOMONTH($X72,-1)+1,$Y72,TRUE,0)</f>
        <v>0</v>
      </c>
      <c r="BD72" s="202" cm="1">
        <f t="array" ref="BD72">_xlfn.IFS(BD$3&lt;$B$2,SUMPRODUCT(('PA Fees Actual'!$B$5:$B$882=$E72)*('PA Fees Actual'!$A$5:$A$882&gt;=BD$3)*('PA Fees Actual'!$A$5:$A$882&lt;=EOMONTH(BD$3,0))*'PA Fees Actual'!$D$5:$D$882),BD$3&gt;=EOMONTH($X72,-1)+1,$Y72,TRUE,0)</f>
        <v>0</v>
      </c>
      <c r="BE72" s="202" cm="1">
        <f t="array" ref="BE72">_xlfn.IFS(BE$3&lt;$B$2,SUMPRODUCT(('PA Fees Actual'!$B$5:$B$882=$E72)*('PA Fees Actual'!$A$5:$A$882&gt;=BE$3)*('PA Fees Actual'!$A$5:$A$882&lt;=EOMONTH(BE$3,0))*'PA Fees Actual'!$D$5:$D$882),BE$3&gt;=EOMONTH($X72,-1)+1,$Y72,TRUE,0)</f>
        <v>0</v>
      </c>
      <c r="BF72" s="202" cm="1">
        <f t="array" ref="BF72">_xlfn.IFS(BF$3&lt;$B$2,SUMPRODUCT(('PA Fees Actual'!$B$5:$B$882=$E72)*('PA Fees Actual'!$A$5:$A$882&gt;=BF$3)*('PA Fees Actual'!$A$5:$A$882&lt;=EOMONTH(BF$3,0))*'PA Fees Actual'!$D$5:$D$882),BF$3&gt;=EOMONTH($X72,-1)+1,$Y72,TRUE,0)</f>
        <v>0</v>
      </c>
      <c r="BG72" s="202" cm="1">
        <f t="array" ref="BG72">_xlfn.IFS(BG$3&lt;$B$2,SUMPRODUCT(('PA Fees Actual'!$B$5:$B$882=$E72)*('PA Fees Actual'!$A$5:$A$882&gt;=BG$3)*('PA Fees Actual'!$A$5:$A$882&lt;=EOMONTH(BG$3,0))*'PA Fees Actual'!$D$5:$D$882),BG$3&gt;=EOMONTH($X72,-1)+1,$Y72,TRUE,0)</f>
        <v>0</v>
      </c>
      <c r="BH72" s="202" cm="1">
        <f t="array" ref="BH72">_xlfn.IFS(BH$3&lt;$B$2,SUMPRODUCT(('PA Fees Actual'!$B$5:$B$882=$E72)*('PA Fees Actual'!$A$5:$A$882&gt;=BH$3)*('PA Fees Actual'!$A$5:$A$882&lt;=EOMONTH(BH$3,0))*'PA Fees Actual'!$D$5:$D$882),BH$3&gt;=EOMONTH($X72,-1)+1,$Y72,TRUE,0)</f>
        <v>0</v>
      </c>
      <c r="BI72" s="202" cm="1">
        <f t="array" ref="BI72">_xlfn.IFS(BI$3&lt;$B$2,SUMPRODUCT(('PA Fees Actual'!$B$5:$B$882=$E72)*('PA Fees Actual'!$A$5:$A$882&gt;=BI$3)*('PA Fees Actual'!$A$5:$A$882&lt;=EOMONTH(BI$3,0))*'PA Fees Actual'!$D$5:$D$882),BI$3&gt;=EOMONTH($X72,-1)+1,$Y72,TRUE,0)</f>
        <v>0</v>
      </c>
      <c r="BJ72" s="202" cm="1">
        <f t="array" ref="BJ72">_xlfn.IFS(BJ$3&lt;$B$2,SUMPRODUCT(('PA Fees Actual'!$B$5:$B$882=$E72)*('PA Fees Actual'!$A$5:$A$882&gt;=BJ$3)*('PA Fees Actual'!$A$5:$A$882&lt;=EOMONTH(BJ$3,0))*'PA Fees Actual'!$D$5:$D$882),BJ$3&gt;=EOMONTH($X72,-1)+1,$Y72,TRUE,0)</f>
        <v>0</v>
      </c>
      <c r="BK72" s="202" cm="1">
        <f t="array" ref="BK72">_xlfn.IFS(BK$3&lt;$B$2,SUMPRODUCT(('PA Fees Actual'!$B$5:$B$882=$E72)*('PA Fees Actual'!$A$5:$A$882&gt;=BK$3)*('PA Fees Actual'!$A$5:$A$882&lt;=EOMONTH(BK$3,0))*'PA Fees Actual'!$D$5:$D$882),BK$3&gt;=EOMONTH($X72,-1)+1,$Y72,TRUE,0)</f>
        <v>0</v>
      </c>
      <c r="BL72" s="202" cm="1">
        <f t="array" ref="BL72">_xlfn.IFS(BL$3&lt;$B$2,SUMPRODUCT(('PA Fees Actual'!$B$5:$B$882=$E72)*('PA Fees Actual'!$A$5:$A$882&gt;=BL$3)*('PA Fees Actual'!$A$5:$A$882&lt;=EOMONTH(BL$3,0))*'PA Fees Actual'!$D$5:$D$882),BL$3&gt;=EOMONTH($X72,-1)+1,$Y72,TRUE,0)</f>
        <v>0</v>
      </c>
      <c r="BM72" s="202" cm="1">
        <f t="array" ref="BM72">_xlfn.IFS(BM$3&lt;$B$2,SUMPRODUCT(('PA Fees Actual'!$B$5:$B$882=$E72)*('PA Fees Actual'!$A$5:$A$882&gt;=BM$3)*('PA Fees Actual'!$A$5:$A$882&lt;=EOMONTH(BM$3,0))*'PA Fees Actual'!$D$5:$D$882),BM$3&gt;=EOMONTH($X72,-1)+1,$Y72,TRUE,0)</f>
        <v>0</v>
      </c>
      <c r="BN72" s="202" cm="1">
        <f t="array" ref="BN72">_xlfn.IFS(BN$3&lt;$B$2,SUMPRODUCT(('PA Fees Actual'!$B$5:$B$882=$E72)*('PA Fees Actual'!$A$5:$A$882&gt;=BN$3)*('PA Fees Actual'!$A$5:$A$882&lt;=EOMONTH(BN$3,0))*'PA Fees Actual'!$D$5:$D$882),BN$3&gt;=EOMONTH($X72,-1)+1,$Y72,TRUE,0)</f>
        <v>0</v>
      </c>
      <c r="BO72" s="202" cm="1">
        <f t="array" ref="BO72">_xlfn.IFS(BO$3&lt;$B$2,SUMPRODUCT(('PA Fees Actual'!$B$5:$B$882=$E72)*('PA Fees Actual'!$A$5:$A$882&gt;=BO$3)*('PA Fees Actual'!$A$5:$A$882&lt;=EOMONTH(BO$3,0))*'PA Fees Actual'!$D$5:$D$882),BO$3&gt;=EOMONTH($X72,-1)+1,$Y72,TRUE,0)</f>
        <v>0</v>
      </c>
      <c r="BP72" s="202" cm="1">
        <f t="array" ref="BP72">_xlfn.IFS(BP$3&lt;$B$2,SUMPRODUCT(('PA Fees Actual'!$B$5:$B$882=$E72)*('PA Fees Actual'!$A$5:$A$882&gt;=BP$3)*('PA Fees Actual'!$A$5:$A$882&lt;=EOMONTH(BP$3,0))*'PA Fees Actual'!$D$5:$D$882),BP$3&gt;=EOMONTH($X72,-1)+1,$Y72,TRUE,0)</f>
        <v>0</v>
      </c>
      <c r="BQ72" s="202" cm="1">
        <f t="array" ref="BQ72">_xlfn.IFS(BQ$3&lt;$B$2,SUMPRODUCT(('PA Fees Actual'!$B$5:$B$882=$E72)*('PA Fees Actual'!$A$5:$A$882&gt;=BQ$3)*('PA Fees Actual'!$A$5:$A$882&lt;=EOMONTH(BQ$3,0))*'PA Fees Actual'!$D$5:$D$882),BQ$3&gt;=EOMONTH($X72,-1)+1,$Y72,TRUE,0)</f>
        <v>0</v>
      </c>
      <c r="BR72" s="202" cm="1">
        <f t="array" ref="BR72">_xlfn.IFS(BR$3&lt;$B$2,SUMPRODUCT(('PA Fees Actual'!$B$5:$B$882=$E72)*('PA Fees Actual'!$A$5:$A$882&gt;=BR$3)*('PA Fees Actual'!$A$5:$A$882&lt;=EOMONTH(BR$3,0))*'PA Fees Actual'!$D$5:$D$882),BR$3&gt;=EOMONTH($X72,-1)+1,$Y72,TRUE,0)</f>
        <v>0</v>
      </c>
      <c r="BS72" s="202" cm="1">
        <f t="array" ref="BS72">_xlfn.IFS(BS$3&lt;$B$2,SUMPRODUCT(('PA Fees Actual'!$B$5:$B$882=$E72)*('PA Fees Actual'!$A$5:$A$882&gt;=BS$3)*('PA Fees Actual'!$A$5:$A$882&lt;=EOMONTH(BS$3,0))*'PA Fees Actual'!$D$5:$D$882),BS$3&gt;=EOMONTH($X72,-1)+1,$Y72,TRUE,0)</f>
        <v>0</v>
      </c>
      <c r="BT72" s="202" cm="1">
        <f t="array" ref="BT72">_xlfn.IFS(BT$3&lt;$B$2,SUMPRODUCT(('PA Fees Actual'!$B$5:$B$882=$E72)*('PA Fees Actual'!$A$5:$A$882&gt;=BT$3)*('PA Fees Actual'!$A$5:$A$882&lt;=EOMONTH(BT$3,0))*'PA Fees Actual'!$D$5:$D$882),BT$3&gt;=EOMONTH($X72,-1)+1,$Y72,TRUE,0)</f>
        <v>0</v>
      </c>
      <c r="BU72" s="202" cm="1">
        <f t="array" ref="BU72">_xlfn.IFS(BU$3&lt;$B$2,SUMPRODUCT(('PA Fees Actual'!$B$5:$B$882=$E72)*('PA Fees Actual'!$A$5:$A$882&gt;=BU$3)*('PA Fees Actual'!$A$5:$A$882&lt;=EOMONTH(BU$3,0))*'PA Fees Actual'!$D$5:$D$882),BU$3&gt;=EOMONTH($X72,-1)+1,$Y72,TRUE,0)</f>
        <v>0</v>
      </c>
      <c r="BV72" s="202" cm="1">
        <f t="array" ref="BV72">_xlfn.IFS(BV$3&lt;$B$2,SUMPRODUCT(('PA Fees Actual'!$B$5:$B$882=$E72)*('PA Fees Actual'!$A$5:$A$882&gt;=BV$3)*('PA Fees Actual'!$A$5:$A$882&lt;=EOMONTH(BV$3,0))*'PA Fees Actual'!$D$5:$D$882),BV$3&gt;=EOMONTH($X72,-1)+1,$Y72,TRUE,0)</f>
        <v>0</v>
      </c>
      <c r="BW72" s="202" cm="1">
        <f t="array" ref="BW72">_xlfn.IFS(BW$3&lt;$B$2,SUMPRODUCT(('PA Fees Actual'!$B$5:$B$882=$E72)*('PA Fees Actual'!$A$5:$A$882&gt;=BW$3)*('PA Fees Actual'!$A$5:$A$882&lt;=EOMONTH(BW$3,0))*'PA Fees Actual'!$D$5:$D$882),BW$3&gt;=EOMONTH($X72,-1)+1,$Y72,TRUE,0)</f>
        <v>0</v>
      </c>
      <c r="BX72" s="202" cm="1">
        <f t="array" ref="BX72">_xlfn.IFS(BX$3&lt;$B$2,SUMPRODUCT(('PA Fees Actual'!$B$5:$B$882=$E72)*('PA Fees Actual'!$A$5:$A$882&gt;=BX$3)*('PA Fees Actual'!$A$5:$A$882&lt;=EOMONTH(BX$3,0))*'PA Fees Actual'!$D$5:$D$882),BX$3&gt;=EOMONTH($X72,-1)+1,$Y72,TRUE,0)</f>
        <v>0</v>
      </c>
      <c r="BY72" s="202" cm="1">
        <f t="array" ref="BY72">_xlfn.IFS(BY$3&lt;$B$2,SUMPRODUCT(('PA Fees Actual'!$B$5:$B$882=$E72)*('PA Fees Actual'!$A$5:$A$882&gt;=BY$3)*('PA Fees Actual'!$A$5:$A$882&lt;=EOMONTH(BY$3,0))*'PA Fees Actual'!$D$5:$D$882),BY$3&gt;=EOMONTH($X72,-1)+1,$Y72,TRUE,0)</f>
        <v>0</v>
      </c>
      <c r="BZ72" s="202" cm="1">
        <f t="array" ref="BZ72">_xlfn.IFS(BZ$3&lt;$B$2,SUMPRODUCT(('PA Fees Actual'!$B$5:$B$882=$E72)*('PA Fees Actual'!$A$5:$A$882&gt;=BZ$3)*('PA Fees Actual'!$A$5:$A$882&lt;=EOMONTH(BZ$3,0))*'PA Fees Actual'!$D$5:$D$882),BZ$3&gt;=EOMONTH($X72,-1)+1,$Y72,TRUE,0)</f>
        <v>0</v>
      </c>
      <c r="CA72" s="202" cm="1">
        <f t="array" ref="CA72">_xlfn.IFS(CA$3&lt;$B$2,SUMPRODUCT(('PA Fees Actual'!$B$5:$B$882=$E72)*('PA Fees Actual'!$A$5:$A$882&gt;=CA$3)*('PA Fees Actual'!$A$5:$A$882&lt;=EOMONTH(CA$3,0))*'PA Fees Actual'!$D$5:$D$882),CA$3&gt;=EOMONTH($X72,-1)+1,$Y72,TRUE,0)</f>
        <v>0</v>
      </c>
      <c r="CB72" s="202" cm="1">
        <f t="array" ref="CB72">_xlfn.IFS(CB$3&lt;$B$2,SUMPRODUCT(('PA Fees Actual'!$B$5:$B$749=$E72)*('PA Fees Actual'!$A$5:$A$749&gt;=CB$3)*('PA Fees Actual'!$A$5:$A$749&lt;=EOMONTH(CB$3,0))*'PA Fees Actual'!$D$5:$D$749),CB$3&gt;=EOMONTH($X72,-1)+1,$Y72,TRUE,0)</f>
        <v>0</v>
      </c>
      <c r="CC72" s="202" cm="1">
        <f t="array" ref="CC72">_xlfn.IFS(CC$3&lt;$B$2,SUMPRODUCT(('PA Fees Actual'!$B$5:$B$749=$E72)*('PA Fees Actual'!$A$5:$A$749&gt;=CC$3)*('PA Fees Actual'!$A$5:$A$749&lt;=EOMONTH(CC$3,0))*'PA Fees Actual'!$D$5:$D$749),CC$3&gt;=EOMONTH($X72,-1)+1,$Y72,TRUE,0)</f>
        <v>0</v>
      </c>
      <c r="CD72" s="202" cm="1">
        <f t="array" ref="CD72">_xlfn.IFS(CD$3&lt;$B$2,SUMPRODUCT(('PA Fees Actual'!$B$5:$B$749=$E72)*('PA Fees Actual'!$A$5:$A$749&gt;=CD$3)*('PA Fees Actual'!$A$5:$A$749&lt;=EOMONTH(CD$3,0))*'PA Fees Actual'!$D$5:$D$749),CD$3&gt;=EOMONTH($X72,-1)+1,$Y72,TRUE,0)</f>
        <v>0</v>
      </c>
      <c r="CE72" s="202" cm="1">
        <f t="array" ref="CE72">_xlfn.IFS(CE$3&lt;$B$2,SUMPRODUCT(('PA Fees Actual'!$B$5:$B$749=$E72)*('PA Fees Actual'!$A$5:$A$749&gt;=CE$3)*('PA Fees Actual'!$A$5:$A$749&lt;=EOMONTH(CE$3,0))*'PA Fees Actual'!$D$5:$D$749),CE$3&gt;=EOMONTH($X72,-1)+1,$Y72,TRUE,0)</f>
        <v>0</v>
      </c>
      <c r="CF72" s="202" cm="1">
        <f t="array" ref="CF72">_xlfn.IFS(CF$3&lt;$B$2,SUMPRODUCT(('PA Fees Actual'!$B$5:$B$749=$E72)*('PA Fees Actual'!$A$5:$A$749&gt;=CF$3)*('PA Fees Actual'!$A$5:$A$749&lt;=EOMONTH(CF$3,0))*'PA Fees Actual'!$D$5:$D$749),CF$3&gt;=EOMONTH($X72,-1)+1,$Y72,TRUE,0)</f>
        <v>0</v>
      </c>
      <c r="CG72" s="202" cm="1">
        <f t="array" ref="CG72">_xlfn.IFS(CG$3&lt;$B$2,SUMPRODUCT(('PA Fees Actual'!$B$5:$B$749=$E72)*('PA Fees Actual'!$A$5:$A$749&gt;=CG$3)*('PA Fees Actual'!$A$5:$A$749&lt;=EOMONTH(CG$3,0))*'PA Fees Actual'!$D$5:$D$749),CG$3&gt;=EOMONTH($X72,-1)+1,$Y72,TRUE,0)</f>
        <v>0</v>
      </c>
      <c r="CI72" s="202" cm="1">
        <f t="array" ref="CI72">_xlfn.IFS(CI$3&lt;=YEAR($B$2),SUMPRODUCT(($E$4:$E$79=$E72)*($Z$2:$CG$2=CI$3)*($Z$2:$CG$2&lt;CJ$3)*$Z$4:$CG$79),CI$3&lt;YEAR($X72),0,CI$3=YEAR($X72),DATEDIF($X72,DATE(CI$3,12,31),"m")*$Y72,AND(CI$3&gt;YEAR($X72),CI$3-YEAR($X72)&lt;20),$Y72*12,CI$3-YEAR($X72)=20,DATEDIF(DATE(YEAR($X72),1,1),$X72,"m")*$Y72,CI$3-YEAR($X72)&gt;20,0)</f>
        <v>0</v>
      </c>
      <c r="CJ72" s="202" cm="1">
        <f t="array" ref="CJ72">_xlfn.IFS(CJ$3&lt;=YEAR($B$2),SUMPRODUCT(($E$4:$E$79=$E72)*($Z$2:$CG$2=CJ$3)*($Z$2:$CG$2&lt;CK$3)*$Z$4:$CG$79),CJ$3&lt;YEAR($X72),0,CJ$3=YEAR($X72),DATEDIF($X72,DATE(CJ$3,12,31),"m")*$Y72,AND(CJ$3&gt;YEAR($X72),CJ$3-YEAR($X72)&lt;20),$Y72*12,CJ$3-YEAR($X72)=20,DATEDIF(DATE(YEAR($X72),1,1),$X72,"m")*$Y72,CJ$3-YEAR($X72)&gt;20,0)</f>
        <v>0</v>
      </c>
      <c r="CK72" s="202" cm="1">
        <f t="array" ref="CK72">_xlfn.IFS(CK$3&lt;=YEAR($B$2),SUMPRODUCT(($E$4:$E$79=$E72)*($Z$2:$CG$2=CK$3)*($Z$2:$CG$2&lt;CL$3)*$Z$4:$CG$79),CK$3&lt;YEAR($X72),0,CK$3=YEAR($X72),DATEDIF($X72,DATE(CK$3,12,31),"m")*$Y72,AND(CK$3&gt;YEAR($X72),CK$3-YEAR($X72)&lt;20),$Y72*12,CK$3-YEAR($X72)=20,DATEDIF(DATE(YEAR($X72),1,1),$X72,"m")*$Y72,CK$3-YEAR($X72)&gt;20,0)</f>
        <v>0</v>
      </c>
      <c r="CL72" s="202" cm="1">
        <f t="array" ref="CL72">_xlfn.IFS(CL$3&lt;=YEAR($B$2),SUMPRODUCT(($E$4:$E$79=$E72)*($Z$2:$CG$2=CL$3)*($Z$2:$CG$2&lt;CM$3)*$Z$4:$CG$79),CL$3&lt;YEAR($X72),0,CL$3=YEAR($X72),DATEDIF($X72,DATE(CL$3,12,31),"m")*$Y72,AND(CL$3&gt;YEAR($X72),CL$3-YEAR($X72)&lt;20),$Y72*12,CL$3-YEAR($X72)=20,DATEDIF(DATE(YEAR($X72),1,1),$X72,"m")*$Y72,CL$3-YEAR($X72)&gt;20,0)</f>
        <v>0</v>
      </c>
      <c r="CM72" s="202" cm="1">
        <f t="array" ref="CM72">_xlfn.IFS(CM$3&lt;=YEAR($B$2),SUMPRODUCT(($E$4:$E$79=$E72)*($Z$2:$CG$2=CM$3)*($Z$2:$CG$2&lt;CN$3)*$Z$4:$CG$79),CM$3&lt;YEAR($X72),0,CM$3=YEAR($X72),DATEDIF($X72,DATE(CM$3,12,31),"m")*$Y72,AND(CM$3&gt;YEAR($X72),CM$3-YEAR($X72)&lt;20),$Y72*12,CM$3-YEAR($X72)=20,DATEDIF(DATE(YEAR($X72),1,1),$X72,"m")*$Y72,CM$3-YEAR($X72)&gt;20,0)</f>
        <v>0</v>
      </c>
      <c r="CN72" s="202" cm="1">
        <f t="array" ref="CN72">_xlfn.IFS(CN$3&lt;=YEAR($B$2),SUMPRODUCT(($E$4:$E$79=$E72)*($Z$2:$CG$2=CN$3)*($Z$2:$CG$2&lt;CO$3)*$Z$4:$CG$79),CN$3&lt;YEAR($X72),0,CN$3=YEAR($X72),DATEDIF($X72,DATE(CN$3,12,31),"m")*$Y72,AND(CN$3&gt;YEAR($X72),CN$3-YEAR($X72)&lt;20),$Y72*12,CN$3-YEAR($X72)=20,DATEDIF(DATE(YEAR($X72),1,1),$X72,"m")*$Y72,CN$3-YEAR($X72)&gt;20,0)</f>
        <v>0</v>
      </c>
      <c r="CO72" s="202" cm="1">
        <f t="array" ref="CO72">_xlfn.IFS(CO$3&lt;=YEAR($B$2),SUMPRODUCT(($E$4:$E$79=$E72)*($Z$2:$CG$2=CO$3)*($Z$2:$CG$2&lt;CP$3)*$Z$4:$CG$79),CO$3&lt;YEAR($X72),0,CO$3=YEAR($X72),DATEDIF($X72,DATE(CO$3,12,31),"m")*$Y72,AND(CO$3&gt;YEAR($X72),CO$3-YEAR($X72)&lt;20),$Y72*12,CO$3-YEAR($X72)=20,DATEDIF(DATE(YEAR($X72),1,1),$X72,"m")*$Y72,CO$3-YEAR($X72)&gt;20,0)</f>
        <v>888.93</v>
      </c>
      <c r="CP72" s="202" cm="1">
        <f t="array" ref="CP72">_xlfn.IFS(CP$3&lt;=YEAR($B$2),SUMPRODUCT(($E$4:$E$79=$E72)*($Z$2:$CG$2=CP$3)*($Z$2:$CG$2&lt;CQ$3)*$Z$4:$CG$79),CP$3&lt;YEAR($X72),0,CP$3=YEAR($X72),DATEDIF($X72,DATE(CP$3,12,31),"m")*$Y72,AND(CP$3&gt;YEAR($X72),CP$3-YEAR($X72)&lt;20),$Y72*12,CP$3-YEAR($X72)=20,DATEDIF(DATE(YEAR($X72),1,1),$X72,"m")*$Y72,CP$3-YEAR($X72)&gt;20,0)</f>
        <v>1523.8799999999999</v>
      </c>
      <c r="CQ72" s="202" cm="1">
        <f t="array" ref="CQ72">_xlfn.IFS(CQ$3&lt;=YEAR($B$2),SUMPRODUCT(($E$4:$E$79=$E72)*($Z$2:$CG$2=CQ$3)*($Z$2:$CG$2&lt;CR$3)*$Z$4:$CG$79),CQ$3&lt;YEAR($X72),0,CQ$3=YEAR($X72),DATEDIF($X72,DATE(CQ$3,12,31),"m")*$Y72,AND(CQ$3&gt;YEAR($X72),CQ$3-YEAR($X72)&lt;20),$Y72*12,CQ$3-YEAR($X72)=20,DATEDIF(DATE(YEAR($X72),1,1),$X72,"m")*$Y72,CQ$3-YEAR($X72)&gt;20,0)</f>
        <v>1523.8799999999999</v>
      </c>
      <c r="CR72" s="202" cm="1">
        <f t="array" ref="CR72">_xlfn.IFS(CR$3&lt;=YEAR($B$2),SUMPRODUCT(($E$4:$E$79=$E72)*($Z$2:$CG$2=CR$3)*($Z$2:$CG$2&lt;CS$3)*$Z$4:$CG$79),CR$3&lt;YEAR($X72),0,CR$3=YEAR($X72),DATEDIF($X72,DATE(CR$3,12,31),"m")*$Y72,AND(CR$3&gt;YEAR($X72),CR$3-YEAR($X72)&lt;20),$Y72*12,CR$3-YEAR($X72)=20,DATEDIF(DATE(YEAR($X72),1,1),$X72,"m")*$Y72,CR$3-YEAR($X72)&gt;20,0)</f>
        <v>1523.8799999999999</v>
      </c>
      <c r="CS72" s="202" cm="1">
        <f t="array" ref="CS72">_xlfn.IFS(CS$3&lt;=YEAR($B$2),SUMPRODUCT(($E$4:$E$79=$E72)*($Z$2:$CG$2=CS$3)*($Z$2:$CG$2&lt;CT$3)*$Z$4:$CG$79),CS$3&lt;YEAR($X72),0,CS$3=YEAR($X72),DATEDIF($X72,DATE(CS$3,12,31),"m")*$Y72,AND(CS$3&gt;YEAR($X72),CS$3-YEAR($X72)&lt;20),$Y72*12,CS$3-YEAR($X72)=20,DATEDIF(DATE(YEAR($X72),1,1),$X72,"m")*$Y72,CS$3-YEAR($X72)&gt;20,0)</f>
        <v>1523.8799999999999</v>
      </c>
      <c r="CT72" s="202" cm="1">
        <f t="array" ref="CT72">_xlfn.IFS(CT$3&lt;=YEAR($B$2),SUMPRODUCT(($E$4:$E$79=$E72)*($Z$2:$CG$2=CT$3)*($Z$2:$CG$2&lt;CU$3)*$Z$4:$CG$79),CT$3&lt;YEAR($X72),0,CT$3=YEAR($X72),DATEDIF($X72,DATE(CT$3,12,31),"m")*$Y72,AND(CT$3&gt;YEAR($X72),CT$3-YEAR($X72)&lt;20),$Y72*12,CT$3-YEAR($X72)=20,DATEDIF(DATE(YEAR($X72),1,1),$X72,"m")*$Y72,CT$3-YEAR($X72)&gt;20,0)</f>
        <v>1523.8799999999999</v>
      </c>
      <c r="CU72" s="202" cm="1">
        <f t="array" ref="CU72">_xlfn.IFS(CU$3&lt;=YEAR($B$2),SUMPRODUCT(($E$4:$E$79=$E72)*($Z$2:$CG$2=CU$3)*($Z$2:$CG$2&lt;CV$3)*$Z$4:$CG$79),CU$3&lt;YEAR($X72),0,CU$3=YEAR($X72),DATEDIF($X72,DATE(CU$3,12,31),"m")*$Y72,AND(CU$3&gt;YEAR($X72),CU$3-YEAR($X72)&lt;20),$Y72*12,CU$3-YEAR($X72)=20,DATEDIF(DATE(YEAR($X72),1,1),$X72,"m")*$Y72,CU$3-YEAR($X72)&gt;20,0)</f>
        <v>1523.8799999999999</v>
      </c>
      <c r="CV72" s="202" cm="1">
        <f t="array" ref="CV72">_xlfn.IFS(CV$3&lt;=YEAR($B$2),SUMPRODUCT(($E$4:$E$79=$E72)*($Z$2:$CG$2=CV$3)*($Z$2:$CG$2&lt;CW$3)*$Z$4:$CG$79),CV$3&lt;YEAR($X72),0,CV$3=YEAR($X72),DATEDIF($X72,DATE(CV$3,12,31),"m")*$Y72,AND(CV$3&gt;YEAR($X72),CV$3-YEAR($X72)&lt;20),$Y72*12,CV$3-YEAR($X72)=20,DATEDIF(DATE(YEAR($X72),1,1),$X72,"m")*$Y72,CV$3-YEAR($X72)&gt;20,0)</f>
        <v>1523.8799999999999</v>
      </c>
      <c r="CW72" s="202" cm="1">
        <f t="array" ref="CW72">_xlfn.IFS(CW$3&lt;=YEAR($B$2),SUMPRODUCT(($E$4:$E$79=$E72)*($Z$2:$CG$2=CW$3)*($Z$2:$CG$2&lt;CX$3)*$Z$4:$CG$79),CW$3&lt;YEAR($X72),0,CW$3=YEAR($X72),DATEDIF($X72,DATE(CW$3,12,31),"m")*$Y72,AND(CW$3&gt;YEAR($X72),CW$3-YEAR($X72)&lt;20),$Y72*12,CW$3-YEAR($X72)=20,DATEDIF(DATE(YEAR($X72),1,1),$X72,"m")*$Y72,CW$3-YEAR($X72)&gt;20,0)</f>
        <v>1523.8799999999999</v>
      </c>
      <c r="CX72" s="202" cm="1">
        <f t="array" ref="CX72">_xlfn.IFS(CX$3&lt;=YEAR($B$2),SUMPRODUCT(($E$4:$E$79=$E72)*($Z$2:$CG$2=CX$3)*($Z$2:$CG$2&lt;CY$3)*$Z$4:$CG$79),CX$3&lt;YEAR($X72),0,CX$3=YEAR($X72),DATEDIF($X72,DATE(CX$3,12,31),"m")*$Y72,AND(CX$3&gt;YEAR($X72),CX$3-YEAR($X72)&lt;20),$Y72*12,CX$3-YEAR($X72)=20,DATEDIF(DATE(YEAR($X72),1,1),$X72,"m")*$Y72,CX$3-YEAR($X72)&gt;20,0)</f>
        <v>1523.8799999999999</v>
      </c>
      <c r="CY72" s="202" cm="1">
        <f t="array" ref="CY72">_xlfn.IFS(CY$3&lt;=YEAR($B$2),SUMPRODUCT(($E$4:$E$79=$E72)*($Z$2:$CG$2=CY$3)*($Z$2:$CG$2&lt;CZ$3)*$Z$4:$CG$79),CY$3&lt;YEAR($X72),0,CY$3=YEAR($X72),DATEDIF($X72,DATE(CY$3,12,31),"m")*$Y72,AND(CY$3&gt;YEAR($X72),CY$3-YEAR($X72)&lt;20),$Y72*12,CY$3-YEAR($X72)=20,DATEDIF(DATE(YEAR($X72),1,1),$X72,"m")*$Y72,CY$3-YEAR($X72)&gt;20,0)</f>
        <v>1523.8799999999999</v>
      </c>
      <c r="CZ72" s="202" cm="1">
        <f t="array" ref="CZ72">_xlfn.IFS(CZ$3&lt;=YEAR($B$2),SUMPRODUCT(($E$4:$E$79=$E72)*($Z$2:$CG$2=CZ$3)*($Z$2:$CG$2&lt;DA$3)*$Z$4:$CG$79),CZ$3&lt;YEAR($X72),0,CZ$3=YEAR($X72),DATEDIF($X72,DATE(CZ$3,12,31),"m")*$Y72,AND(CZ$3&gt;YEAR($X72),CZ$3-YEAR($X72)&lt;20),$Y72*12,CZ$3-YEAR($X72)=20,DATEDIF(DATE(YEAR($X72),1,1),$X72,"m")*$Y72,CZ$3-YEAR($X72)&gt;20,0)</f>
        <v>1523.8799999999999</v>
      </c>
      <c r="DA72" s="202" cm="1">
        <f t="array" ref="DA72">_xlfn.IFS(DA$3&lt;=YEAR($B$2),SUMPRODUCT(($E$4:$E$79=$E72)*($Z$2:$CG$2=DA$3)*($Z$2:$CG$2&lt;DB$3)*$Z$4:$CG$79),DA$3&lt;YEAR($X72),0,DA$3=YEAR($X72),DATEDIF($X72,DATE(DA$3,12,31),"m")*$Y72,AND(DA$3&gt;YEAR($X72),DA$3-YEAR($X72)&lt;20),$Y72*12,DA$3-YEAR($X72)=20,DATEDIF(DATE(YEAR($X72),1,1),$X72,"m")*$Y72,DA$3-YEAR($X72)&gt;20,0)</f>
        <v>1523.8799999999999</v>
      </c>
      <c r="DB72" s="202" cm="1">
        <f t="array" ref="DB72">_xlfn.IFS(DB$3&lt;=YEAR($B$2),SUMPRODUCT(($E$4:$E$79=$E72)*($Z$2:$CG$2=DB$3)*($Z$2:$CG$2&lt;DC$3)*$Z$4:$CG$79),DB$3&lt;YEAR($X72),0,DB$3=YEAR($X72),DATEDIF($X72,DATE(DB$3,12,31),"m")*$Y72,AND(DB$3&gt;YEAR($X72),DB$3-YEAR($X72)&lt;20),$Y72*12,DB$3-YEAR($X72)=20,DATEDIF(DATE(YEAR($X72),1,1),$X72,"m")*$Y72,DB$3-YEAR($X72)&gt;20,0)</f>
        <v>1523.8799999999999</v>
      </c>
      <c r="DC72" s="202" cm="1">
        <f t="array" ref="DC72">_xlfn.IFS(DC$3&lt;=YEAR($B$2),SUMPRODUCT(($E$4:$E$79=$E72)*($Z$2:$CG$2=DC$3)*($Z$2:$CG$2&lt;DD$3)*$Z$4:$CG$79),DC$3&lt;YEAR($X72),0,DC$3=YEAR($X72),DATEDIF($X72,DATE(DC$3,12,31),"m")*$Y72,AND(DC$3&gt;YEAR($X72),DC$3-YEAR($X72)&lt;20),$Y72*12,DC$3-YEAR($X72)=20,DATEDIF(DATE(YEAR($X72),1,1),$X72,"m")*$Y72,DC$3-YEAR($X72)&gt;20,0)</f>
        <v>1523.8799999999999</v>
      </c>
      <c r="DD72" s="202" cm="1">
        <f t="array" ref="DD72">_xlfn.IFS(DD$3&lt;=YEAR($B$2),SUMPRODUCT(($E$4:$E$79=$E72)*($Z$2:$CG$2=DD$3)*($Z$2:$CG$2&lt;DE$3)*$Z$4:$CG$79),DD$3&lt;YEAR($X72),0,DD$3=YEAR($X72),DATEDIF($X72,DATE(DD$3,12,31),"m")*$Y72,AND(DD$3&gt;YEAR($X72),DD$3-YEAR($X72)&lt;20),$Y72*12,DD$3-YEAR($X72)=20,DATEDIF(DATE(YEAR($X72),1,1),$X72,"m")*$Y72,DD$3-YEAR($X72)&gt;20,0)</f>
        <v>1523.8799999999999</v>
      </c>
      <c r="DE72" s="202" cm="1">
        <f t="array" ref="DE72">_xlfn.IFS(DE$3&lt;=YEAR($B$2),SUMPRODUCT(($E$4:$E$79=$E72)*($Z$2:$CG$2=DE$3)*($Z$2:$CG$2&lt;DF$3)*$Z$4:$CG$79),DE$3&lt;YEAR($X72),0,DE$3=YEAR($X72),DATEDIF($X72,DATE(DE$3,12,31),"m")*$Y72,AND(DE$3&gt;YEAR($X72),DE$3-YEAR($X72)&lt;20),$Y72*12,DE$3-YEAR($X72)=20,DATEDIF(DATE(YEAR($X72),1,1),$X72,"m")*$Y72,DE$3-YEAR($X72)&gt;20,0)</f>
        <v>1523.8799999999999</v>
      </c>
      <c r="DF72" s="202" cm="1">
        <f t="array" ref="DF72">_xlfn.IFS(DF$3&lt;=YEAR($B$2),SUMPRODUCT(($E$4:$E$79=$E72)*($Z$2:$CG$2=DF$3)*($Z$2:$CG$2&lt;DG$3)*$Z$4:$CG$79),DF$3&lt;YEAR($X72),0,DF$3=YEAR($X72),DATEDIF($X72,DATE(DF$3,12,31),"m")*$Y72,AND(DF$3&gt;YEAR($X72),DF$3-YEAR($X72)&lt;20),$Y72*12,DF$3-YEAR($X72)=20,DATEDIF(DATE(YEAR($X72),1,1),$X72,"m")*$Y72,DF$3-YEAR($X72)&gt;20,0)</f>
        <v>1523.8799999999999</v>
      </c>
      <c r="DG72" s="202" cm="1">
        <f t="array" ref="DG72">_xlfn.IFS(DG$3&lt;=YEAR($B$2),SUMPRODUCT(($E$4:$E$79=$E72)*($Z$2:$CG$2=DG$3)*($Z$2:$CG$2&lt;DH$3)*$Z$4:$CG$79),DG$3&lt;YEAR($X72),0,DG$3=YEAR($X72),DATEDIF($X72,DATE(DG$3,12,31),"m")*$Y72,AND(DG$3&gt;YEAR($X72),DG$3-YEAR($X72)&lt;20),$Y72*12,DG$3-YEAR($X72)=20,DATEDIF(DATE(YEAR($X72),1,1),$X72,"m")*$Y72,DG$3-YEAR($X72)&gt;20,0)</f>
        <v>1523.8799999999999</v>
      </c>
      <c r="DH72" s="202" cm="1">
        <f t="array" ref="DH72">_xlfn.IFS(DH$3&lt;=YEAR($B$2),SUMPRODUCT(($E$4:$E$79=$E72)*($Z$2:$CG$2=DH$3)*($Z$2:$CG$2&lt;DI$3)*$Z$4:$CG$79),DH$3&lt;YEAR($X72),0,DH$3=YEAR($X72),DATEDIF($X72,DATE(DH$3,12,31),"m")*$Y72,AND(DH$3&gt;YEAR($X72),DH$3-YEAR($X72)&lt;20),$Y72*12,DH$3-YEAR($X72)=20,DATEDIF(DATE(YEAR($X72),1,1),$X72,"m")*$Y72,DH$3-YEAR($X72)&gt;20,0)</f>
        <v>1523.8799999999999</v>
      </c>
      <c r="DI72" s="202" cm="1">
        <f t="array" ref="DI72">_xlfn.IFS(DI$3&lt;=YEAR($B$2),SUMPRODUCT(($E$4:$E$79=$E72)*($Z$2:$CG$2=DI$3)*($Z$2:$CG$2&lt;DJ$3)*$Z$4:$CG$79),DI$3&lt;YEAR($X72),0,DI$3=YEAR($X72),DATEDIF($X72,DATE(DI$3,12,31),"m")*$Y72,AND(DI$3&gt;YEAR($X72),DI$3-YEAR($X72)&lt;20),$Y72*12,DI$3-YEAR($X72)=20,DATEDIF(DATE(YEAR($X72),1,1),$X72,"m")*$Y72,DI$3-YEAR($X72)&gt;20,0)</f>
        <v>507.96</v>
      </c>
      <c r="DJ72" s="202" cm="1">
        <f t="array" ref="DJ72">_xlfn.IFS(DJ$3&lt;=YEAR($B$2),SUMPRODUCT(($E$4:$E$79=$E72)*($Z$2:$CG$2=DJ$3)*($Z$2:$CG$2&lt;DK$3)*$Z$4:$CG$79),DJ$3&lt;YEAR($X72),0,DJ$3=YEAR($X72),DATEDIF($X72,DATE(DJ$3,12,31),"m")*$Y72,AND(DJ$3&gt;YEAR($X72),DJ$3-YEAR($X72)&lt;20),$Y72*12,DJ$3-YEAR($X72)=20,DATEDIF(DATE(YEAR($X72),1,1),$X72,"m")*$Y72,DJ$3-YEAR($X72)&gt;20,0)</f>
        <v>0</v>
      </c>
      <c r="DK72" s="202" cm="1">
        <f t="array" ref="DK72">_xlfn.IFS(DK$3&lt;=YEAR($B$2),SUMPRODUCT(($E$4:$E$79=$E72)*($Z$2:$CG$2=DK$3)*($Z$2:$CG$2&lt;DL$3)*$Z$4:$CG$79),DK$3&lt;YEAR($X72),0,DK$3=YEAR($X72),DATEDIF($X72,DATE(DK$3,12,31),"m")*$Y72,AND(DK$3&gt;YEAR($X72),DK$3-YEAR($X72)&lt;20),$Y72*12,DK$3-YEAR($X72)=20,DATEDIF(DATE(YEAR($X72),1,1),$X72,"m")*$Y72,DK$3-YEAR($X72)&gt;20,0)</f>
        <v>0</v>
      </c>
      <c r="DL72" s="202" cm="1">
        <f t="array" ref="DL72">_xlfn.IFS(DL$3&lt;=YEAR($B$2),SUMPRODUCT(($E$4:$E$79=$E72)*($Z$2:$CG$2=DL$3)*($Z$2:$CG$2&lt;DM$3)*$Z$4:$CG$79),DL$3&lt;YEAR($X72),0,DL$3=YEAR($X72),DATEDIF($X72,DATE(DL$3,12,31),"m")*$Y72,AND(DL$3&gt;YEAR($X72),DL$3-YEAR($X72)&lt;20),$Y72*12,DL$3-YEAR($X72)=20,DATEDIF(DATE(YEAR($X72),1,1),$X72,"m")*$Y72,DL$3-YEAR($X72)&gt;20,0)</f>
        <v>0</v>
      </c>
    </row>
    <row r="73" spans="1:116">
      <c r="A73" s="155" t="str" cm="1">
        <f t="array" ref="A73">INDEX('Monthly Report July 2025'!C:C,MATCH(E73,'Monthly Report July 2025'!E:E,0),0)</f>
        <v>CSQ0018</v>
      </c>
      <c r="B73" s="155" t="str" cm="1">
        <f t="array" ref="B73">_xlfn.IFS(LEFT(E73,3)="PGE","PGE",LEFT(E73,2)="PP","PAC",TRUE,"IP")</f>
        <v>PGE</v>
      </c>
      <c r="C73" s="155" t="str">
        <f>IF(ISNA(MATCH(E73,'Monthly Report July 2025'!E:E,0)),"Missing","Present")</f>
        <v>Present</v>
      </c>
      <c r="D73" s="155" t="str">
        <f>IF(ISNA(MATCH(E73,'Project Operational Timelines'!C:C,0))=TRUE,"Missing","Present")</f>
        <v>Present</v>
      </c>
      <c r="E73" s="155" t="s">
        <v>181</v>
      </c>
      <c r="F73" s="155" t="str" cm="1">
        <f t="array" ref="F73">INDEX('Monthly Report July 2025'!F:F,MATCH(E73,'Monthly Report July 2025'!E:E,),0)</f>
        <v>Ehlen Road Solar</v>
      </c>
      <c r="G73" s="155" t="str" cm="1">
        <f t="array" ref="G73">_xlfn.IFS(INDEX('Monthly Report July 2025'!O:O,MATCH(E73,'Monthly Report July 2025'!E:E,0),0)="Operational","Operational",INDEX('Monthly Report July 2025'!O:O,MATCH(E73,'Monthly Report July 2025'!E:E,0),0)="Certified","Certified",TRUE,"Pre-Certified")</f>
        <v>Pre-Certified</v>
      </c>
      <c r="H73" s="155" t="str" cm="1">
        <f t="array" ref="H73">INDEX('Monthly Report July 2025'!H:H,MATCH($E73,'Monthly Report July 2025'!$E:$E,0),0)</f>
        <v>DHD Solar</v>
      </c>
      <c r="I73" s="155" t="str" cm="1">
        <f t="array" ref="I73">INDEX('Monthly Report July 2025'!I:I,MATCH($E73,'Monthly Report July 2025'!$E:$E,0),0)</f>
        <v>DHD Solar</v>
      </c>
      <c r="J73" s="174" cm="1">
        <f t="array" ref="J73">INDEX('Monthly Report July 2025'!J:J,MATCH($E73,'Monthly Report July 2025'!$E:$E,0),0)</f>
        <v>2</v>
      </c>
      <c r="K73" s="174" t="str" cm="1">
        <f t="array" ref="K73">INDEX('Monthly Report July 2025'!K:K,MATCH($E73,'Monthly Report July 2025'!$E:$E,0),0)</f>
        <v>Yes</v>
      </c>
      <c r="L73" s="174" t="b" cm="1">
        <f t="array" ref="L73">INDEX('Monthly Report July 2025'!L:L,MATCH(E73,'Monthly Report July 2025'!E:E,0),0)=M73</f>
        <v>1</v>
      </c>
      <c r="M73" s="273" cm="1">
        <f t="array" ref="M73">INDEX('Monthly Report July 2025'!L:L,MATCH($E73,'Monthly Report July 2025'!$E:$E,0),0)</f>
        <v>3000</v>
      </c>
      <c r="N73" s="175" cm="1">
        <f t="array" ref="N73">INDEX('Monthly Report July 2025'!M:M,MATCH($E73,'Monthly Report July 2025'!$E:$E,0),0)</f>
        <v>45733</v>
      </c>
      <c r="O73" s="175" cm="1">
        <f t="array" ref="O73">_xlfn.IFS(G73="Operational","Operational",G73="Certified","Certified",TRUE,INDEX('Monthly Report July 2025'!O:O,MATCH(E73,'Monthly Report July 2025'!E:E,0),0))</f>
        <v>46282</v>
      </c>
      <c r="Q73" s="175" t="str" cm="1">
        <f t="array" ref="Q73">IF(O73="Operational",INDEX('Monthly Report July 2025'!R:R,MATCH(E73,'Monthly Report July 2025'!E:E,0),0),"")</f>
        <v/>
      </c>
      <c r="R73" s="175" t="str" cm="1">
        <f t="array" ref="R73">INDEX('Monthly Report July 2025'!P:P,MATCH(E73,'Monthly Report July 2025'!E:E,0),0)</f>
        <v>Not Yet Certified</v>
      </c>
      <c r="T73" s="175" t="str" cm="1">
        <f t="array" ref="T73">INDEX('Monthly Report July 2025'!U:U,MATCH(E73,'Monthly Report July 2025'!E:E,0),0)</f>
        <v>Data Not Available</v>
      </c>
      <c r="U73" s="175" t="b">
        <f t="shared" si="34"/>
        <v>0</v>
      </c>
      <c r="V73" s="156">
        <f t="shared" si="29"/>
        <v>46282</v>
      </c>
      <c r="W73" s="156" t="str" cm="1">
        <f t="array" ref="W73">_xlfn.IFS(U73=TRUE,EDATE(O73,6),U73=FALSE,T73,O73="Operational",Q73,AND(O73="Certified",EDATE(R73,6)&gt;T73),EDATE(R73,6),TRUE,T73)</f>
        <v>Data Not Available</v>
      </c>
      <c r="X73" s="156">
        <f t="shared" si="33"/>
        <v>46524</v>
      </c>
      <c r="Y73" s="157">
        <f t="shared" si="35"/>
        <v>1147.5</v>
      </c>
      <c r="Z73" s="202" cm="1">
        <f t="array" ref="Z73">_xlfn.IFS(Z$3&lt;$B$2,SUMPRODUCT(('PA Fees Actual'!$B$5:$B$882=$E73)*('PA Fees Actual'!$A$5:$A$882&gt;=Z$3)*('PA Fees Actual'!$A$5:$A$882&lt;=EOMONTH(Z$3,0))*'PA Fees Actual'!$D$5:$D$882),Z$3&gt;=EOMONTH($X73,-1)+1,$Y73,TRUE,0)</f>
        <v>0</v>
      </c>
      <c r="AA73" s="202" cm="1">
        <f t="array" ref="AA73">_xlfn.IFS(AA$3&lt;$B$2,SUMPRODUCT(('PA Fees Actual'!$B$5:$B$882=$E73)*('PA Fees Actual'!$A$5:$A$882&gt;=AA$3)*('PA Fees Actual'!$A$5:$A$882&lt;=EOMONTH(AA$3,0))*'PA Fees Actual'!$D$5:$D$882),AA$3&gt;=EOMONTH($X73,-1)+1,$Y73,TRUE,0)</f>
        <v>0</v>
      </c>
      <c r="AB73" s="202" cm="1">
        <f t="array" ref="AB73">_xlfn.IFS(AB$3&lt;$B$2,SUMPRODUCT(('PA Fees Actual'!$B$5:$B$882=$E73)*('PA Fees Actual'!$A$5:$A$882&gt;=AB$3)*('PA Fees Actual'!$A$5:$A$882&lt;=EOMONTH(AB$3,0))*'PA Fees Actual'!$D$5:$D$882),AB$3&gt;=EOMONTH($X73,-1)+1,$Y73,TRUE,0)</f>
        <v>0</v>
      </c>
      <c r="AC73" s="202" cm="1">
        <f t="array" ref="AC73">_xlfn.IFS(AC$3&lt;$B$2,SUMPRODUCT(('PA Fees Actual'!$B$5:$B$882=$E73)*('PA Fees Actual'!$A$5:$A$882&gt;=AC$3)*('PA Fees Actual'!$A$5:$A$882&lt;=EOMONTH(AC$3,0))*'PA Fees Actual'!$D$5:$D$882),AC$3&gt;=EOMONTH($X73,-1)+1,$Y73,TRUE,0)</f>
        <v>0</v>
      </c>
      <c r="AD73" s="202" cm="1">
        <f t="array" ref="AD73">_xlfn.IFS(AD$3&lt;$B$2,SUMPRODUCT(('PA Fees Actual'!$B$5:$B$882=$E73)*('PA Fees Actual'!$A$5:$A$882&gt;=AD$3)*('PA Fees Actual'!$A$5:$A$882&lt;=EOMONTH(AD$3,0))*'PA Fees Actual'!$D$5:$D$882),AD$3&gt;=EOMONTH($X73,-1)+1,$Y73,TRUE,0)</f>
        <v>0</v>
      </c>
      <c r="AE73" s="202" cm="1">
        <f t="array" ref="AE73">_xlfn.IFS(AE$3&lt;$B$2,SUMPRODUCT(('PA Fees Actual'!$B$5:$B$882=$E73)*('PA Fees Actual'!$A$5:$A$882&gt;=AE$3)*('PA Fees Actual'!$A$5:$A$882&lt;=EOMONTH(AE$3,0))*'PA Fees Actual'!$D$5:$D$882),AE$3&gt;=EOMONTH($X73,-1)+1,$Y73,TRUE,0)</f>
        <v>0</v>
      </c>
      <c r="AF73" s="202" cm="1">
        <f t="array" ref="AF73">_xlfn.IFS(AF$3&lt;$B$2,SUMPRODUCT(('PA Fees Actual'!$B$5:$B$882=$E73)*('PA Fees Actual'!$A$5:$A$882&gt;=AF$3)*('PA Fees Actual'!$A$5:$A$882&lt;=EOMONTH(AF$3,0))*'PA Fees Actual'!$D$5:$D$882),AF$3&gt;=EOMONTH($X73,-1)+1,$Y73,TRUE,0)</f>
        <v>0</v>
      </c>
      <c r="AG73" s="202" cm="1">
        <f t="array" ref="AG73">_xlfn.IFS(AG$3&lt;$B$2,SUMPRODUCT(('PA Fees Actual'!$B$5:$B$882=$E73)*('PA Fees Actual'!$A$5:$A$882&gt;=AG$3)*('PA Fees Actual'!$A$5:$A$882&lt;=EOMONTH(AG$3,0))*'PA Fees Actual'!$D$5:$D$882),AG$3&gt;=EOMONTH($X73,-1)+1,$Y73,TRUE,0)</f>
        <v>0</v>
      </c>
      <c r="AH73" s="202" cm="1">
        <f t="array" ref="AH73">_xlfn.IFS(AH$3&lt;$B$2,SUMPRODUCT(('PA Fees Actual'!$B$5:$B$882=$E73)*('PA Fees Actual'!$A$5:$A$882&gt;=AH$3)*('PA Fees Actual'!$A$5:$A$882&lt;=EOMONTH(AH$3,0))*'PA Fees Actual'!$D$5:$D$882),AH$3&gt;=EOMONTH($X73,-1)+1,$Y73,TRUE,0)</f>
        <v>0</v>
      </c>
      <c r="AI73" s="202" cm="1">
        <f t="array" ref="AI73">_xlfn.IFS(AI$3&lt;$B$2,SUMPRODUCT(('PA Fees Actual'!$B$5:$B$882=$E73)*('PA Fees Actual'!$A$5:$A$882&gt;=AI$3)*('PA Fees Actual'!$A$5:$A$882&lt;=EOMONTH(AI$3,0))*'PA Fees Actual'!$D$5:$D$882),AI$3&gt;=EOMONTH($X73,-1)+1,$Y73,TRUE,0)</f>
        <v>0</v>
      </c>
      <c r="AJ73" s="202" cm="1">
        <f t="array" ref="AJ73">_xlfn.IFS(AJ$3&lt;$B$2,SUMPRODUCT(('PA Fees Actual'!$B$5:$B$882=$E73)*('PA Fees Actual'!$A$5:$A$882&gt;=AJ$3)*('PA Fees Actual'!$A$5:$A$882&lt;=EOMONTH(AJ$3,0))*'PA Fees Actual'!$D$5:$D$882),AJ$3&gt;=EOMONTH($X73,-1)+1,$Y73,TRUE,0)</f>
        <v>0</v>
      </c>
      <c r="AK73" s="202" cm="1">
        <f t="array" ref="AK73">_xlfn.IFS(AK$3&lt;$B$2,SUMPRODUCT(('PA Fees Actual'!$B$5:$B$882=$E73)*('PA Fees Actual'!$A$5:$A$882&gt;=AK$3)*('PA Fees Actual'!$A$5:$A$882&lt;=EOMONTH(AK$3,0))*'PA Fees Actual'!$D$5:$D$882),AK$3&gt;=EOMONTH($X73,-1)+1,$Y73,TRUE,0)</f>
        <v>0</v>
      </c>
      <c r="AL73" s="202" cm="1">
        <f t="array" ref="AL73">_xlfn.IFS(AL$3&lt;$B$2,SUMPRODUCT(('PA Fees Actual'!$B$5:$B$882=$E73)*('PA Fees Actual'!$A$5:$A$882&gt;=AL$3)*('PA Fees Actual'!$A$5:$A$882&lt;=EOMONTH(AL$3,0))*'PA Fees Actual'!$D$5:$D$882),AL$3&gt;=EOMONTH($X73,-1)+1,$Y73,TRUE,0)</f>
        <v>0</v>
      </c>
      <c r="AM73" s="202" cm="1">
        <f t="array" ref="AM73">_xlfn.IFS(AM$3&lt;$B$2,SUMPRODUCT(('PA Fees Actual'!$B$5:$B$882=$E73)*('PA Fees Actual'!$A$5:$A$882&gt;=AM$3)*('PA Fees Actual'!$A$5:$A$882&lt;=EOMONTH(AM$3,0))*'PA Fees Actual'!$D$5:$D$882),AM$3&gt;=EOMONTH($X73,-1)+1,$Y73,TRUE,0)</f>
        <v>0</v>
      </c>
      <c r="AN73" s="202" cm="1">
        <f t="array" ref="AN73">_xlfn.IFS(AN$3&lt;$B$2,SUMPRODUCT(('PA Fees Actual'!$B$5:$B$882=$E73)*('PA Fees Actual'!$A$5:$A$882&gt;=AN$3)*('PA Fees Actual'!$A$5:$A$882&lt;=EOMONTH(AN$3,0))*'PA Fees Actual'!$D$5:$D$882),AN$3&gt;=EOMONTH($X73,-1)+1,$Y73,TRUE,0)</f>
        <v>0</v>
      </c>
      <c r="AO73" s="202" cm="1">
        <f t="array" ref="AO73">_xlfn.IFS(AO$3&lt;$B$2,SUMPRODUCT(('PA Fees Actual'!$B$5:$B$882=$E73)*('PA Fees Actual'!$A$5:$A$882&gt;=AO$3)*('PA Fees Actual'!$A$5:$A$882&lt;=EOMONTH(AO$3,0))*'PA Fees Actual'!$D$5:$D$882),AO$3&gt;=EOMONTH($X73,-1)+1,$Y73,TRUE,0)</f>
        <v>0</v>
      </c>
      <c r="AP73" s="202" cm="1">
        <f t="array" ref="AP73">_xlfn.IFS(AP$3&lt;$B$2,SUMPRODUCT(('PA Fees Actual'!$B$5:$B$882=$E73)*('PA Fees Actual'!$A$5:$A$882&gt;=AP$3)*('PA Fees Actual'!$A$5:$A$882&lt;=EOMONTH(AP$3,0))*'PA Fees Actual'!$D$5:$D$882),AP$3&gt;=EOMONTH($X73,-1)+1,$Y73,TRUE,0)</f>
        <v>0</v>
      </c>
      <c r="AQ73" s="202" cm="1">
        <f t="array" ref="AQ73">_xlfn.IFS(AQ$3&lt;$B$2,SUMPRODUCT(('PA Fees Actual'!$B$5:$B$882=$E73)*('PA Fees Actual'!$A$5:$A$882&gt;=AQ$3)*('PA Fees Actual'!$A$5:$A$882&lt;=EOMONTH(AQ$3,0))*'PA Fees Actual'!$D$5:$D$882),AQ$3&gt;=EOMONTH($X73,-1)+1,$Y73,TRUE,0)</f>
        <v>0</v>
      </c>
      <c r="AR73" s="202" cm="1">
        <f t="array" ref="AR73">_xlfn.IFS(AR$3&lt;$B$2,SUMPRODUCT(('PA Fees Actual'!$B$5:$B$882=$E73)*('PA Fees Actual'!$A$5:$A$882&gt;=AR$3)*('PA Fees Actual'!$A$5:$A$882&lt;=EOMONTH(AR$3,0))*'PA Fees Actual'!$D$5:$D$882),AR$3&gt;=EOMONTH($X73,-1)+1,$Y73,TRUE,0)</f>
        <v>0</v>
      </c>
      <c r="AS73" s="202" cm="1">
        <f t="array" ref="AS73">_xlfn.IFS(AS$3&lt;$B$2,SUMPRODUCT(('PA Fees Actual'!$B$5:$B$882=$E73)*('PA Fees Actual'!$A$5:$A$882&gt;=AS$3)*('PA Fees Actual'!$A$5:$A$882&lt;=EOMONTH(AS$3,0))*'PA Fees Actual'!$D$5:$D$882),AS$3&gt;=EOMONTH($X73,-1)+1,$Y73,TRUE,0)</f>
        <v>0</v>
      </c>
      <c r="AT73" s="202" cm="1">
        <f t="array" ref="AT73">_xlfn.IFS(AT$3&lt;$B$2,SUMPRODUCT(('PA Fees Actual'!$B$5:$B$882=$E73)*('PA Fees Actual'!$A$5:$A$882&gt;=AT$3)*('PA Fees Actual'!$A$5:$A$882&lt;=EOMONTH(AT$3,0))*'PA Fees Actual'!$D$5:$D$882),AT$3&gt;=EOMONTH($X73,-1)+1,$Y73,TRUE,0)</f>
        <v>0</v>
      </c>
      <c r="AU73" s="202" cm="1">
        <f t="array" ref="AU73">_xlfn.IFS(AU$3&lt;$B$2,SUMPRODUCT(('PA Fees Actual'!$B$5:$B$882=$E73)*('PA Fees Actual'!$A$5:$A$882&gt;=AU$3)*('PA Fees Actual'!$A$5:$A$882&lt;=EOMONTH(AU$3,0))*'PA Fees Actual'!$D$5:$D$882),AU$3&gt;=EOMONTH($X73,-1)+1,$Y73,TRUE,0)</f>
        <v>0</v>
      </c>
      <c r="AV73" s="202" cm="1">
        <f t="array" ref="AV73">_xlfn.IFS(AV$3&lt;$B$2,SUMPRODUCT(('PA Fees Actual'!$B$5:$B$882=$E73)*('PA Fees Actual'!$A$5:$A$882&gt;=AV$3)*('PA Fees Actual'!$A$5:$A$882&lt;=EOMONTH(AV$3,0))*'PA Fees Actual'!$D$5:$D$882),AV$3&gt;=EOMONTH($X73,-1)+1,$Y73,TRUE,0)</f>
        <v>0</v>
      </c>
      <c r="AW73" s="202" cm="1">
        <f t="array" ref="AW73">_xlfn.IFS(AW$3&lt;$B$2,SUMPRODUCT(('PA Fees Actual'!$B$5:$B$882=$E73)*('PA Fees Actual'!$A$5:$A$882&gt;=AW$3)*('PA Fees Actual'!$A$5:$A$882&lt;=EOMONTH(AW$3,0))*'PA Fees Actual'!$D$5:$D$882),AW$3&gt;=EOMONTH($X73,-1)+1,$Y73,TRUE,0)</f>
        <v>0</v>
      </c>
      <c r="AX73" s="202" cm="1">
        <f t="array" ref="AX73">_xlfn.IFS(AX$3&lt;$B$2,SUMPRODUCT(('PA Fees Actual'!$B$5:$B$882=$E73)*('PA Fees Actual'!$A$5:$A$882&gt;=AX$3)*('PA Fees Actual'!$A$5:$A$882&lt;=EOMONTH(AX$3,0))*'PA Fees Actual'!$D$5:$D$882),AX$3&gt;=EOMONTH($X73,-1)+1,$Y73,TRUE,0)</f>
        <v>0</v>
      </c>
      <c r="AY73" s="202" cm="1">
        <f t="array" ref="AY73">_xlfn.IFS(AY$3&lt;$B$2,SUMPRODUCT(('PA Fees Actual'!$B$5:$B$882=$E73)*('PA Fees Actual'!$A$5:$A$882&gt;=AY$3)*('PA Fees Actual'!$A$5:$A$882&lt;=EOMONTH(AY$3,0))*'PA Fees Actual'!$D$5:$D$882),AY$3&gt;=EOMONTH($X73,-1)+1,$Y73,TRUE,0)</f>
        <v>0</v>
      </c>
      <c r="AZ73" s="202" cm="1">
        <f t="array" ref="AZ73">_xlfn.IFS(AZ$3&lt;$B$2,SUMPRODUCT(('PA Fees Actual'!$B$5:$B$882=$E73)*('PA Fees Actual'!$A$5:$A$882&gt;=AZ$3)*('PA Fees Actual'!$A$5:$A$882&lt;=EOMONTH(AZ$3,0))*'PA Fees Actual'!$D$5:$D$882),AZ$3&gt;=EOMONTH($X73,-1)+1,$Y73,TRUE,0)</f>
        <v>0</v>
      </c>
      <c r="BA73" s="202" cm="1">
        <f t="array" ref="BA73">_xlfn.IFS(BA$3&lt;$B$2,SUMPRODUCT(('PA Fees Actual'!$B$5:$B$882=$E73)*('PA Fees Actual'!$A$5:$A$882&gt;=BA$3)*('PA Fees Actual'!$A$5:$A$882&lt;=EOMONTH(BA$3,0))*'PA Fees Actual'!$D$5:$D$882),BA$3&gt;=EOMONTH($X73,-1)+1,$Y73,TRUE,0)</f>
        <v>0</v>
      </c>
      <c r="BB73" s="202" cm="1">
        <f t="array" ref="BB73">_xlfn.IFS(BB$3&lt;$B$2,SUMPRODUCT(('PA Fees Actual'!$B$5:$B$882=$E73)*('PA Fees Actual'!$A$5:$A$882&gt;=BB$3)*('PA Fees Actual'!$A$5:$A$882&lt;=EOMONTH(BB$3,0))*'PA Fees Actual'!$D$5:$D$882),BB$3&gt;=EOMONTH($X73,-1)+1,$Y73,TRUE,0)</f>
        <v>0</v>
      </c>
      <c r="BC73" s="202" cm="1">
        <f t="array" ref="BC73">_xlfn.IFS(BC$3&lt;$B$2,SUMPRODUCT(('PA Fees Actual'!$B$5:$B$882=$E73)*('PA Fees Actual'!$A$5:$A$882&gt;=BC$3)*('PA Fees Actual'!$A$5:$A$882&lt;=EOMONTH(BC$3,0))*'PA Fees Actual'!$D$5:$D$882),BC$3&gt;=EOMONTH($X73,-1)+1,$Y73,TRUE,0)</f>
        <v>0</v>
      </c>
      <c r="BD73" s="202" cm="1">
        <f t="array" ref="BD73">_xlfn.IFS(BD$3&lt;$B$2,SUMPRODUCT(('PA Fees Actual'!$B$5:$B$882=$E73)*('PA Fees Actual'!$A$5:$A$882&gt;=BD$3)*('PA Fees Actual'!$A$5:$A$882&lt;=EOMONTH(BD$3,0))*'PA Fees Actual'!$D$5:$D$882),BD$3&gt;=EOMONTH($X73,-1)+1,$Y73,TRUE,0)</f>
        <v>0</v>
      </c>
      <c r="BE73" s="202" cm="1">
        <f t="array" ref="BE73">_xlfn.IFS(BE$3&lt;$B$2,SUMPRODUCT(('PA Fees Actual'!$B$5:$B$882=$E73)*('PA Fees Actual'!$A$5:$A$882&gt;=BE$3)*('PA Fees Actual'!$A$5:$A$882&lt;=EOMONTH(BE$3,0))*'PA Fees Actual'!$D$5:$D$882),BE$3&gt;=EOMONTH($X73,-1)+1,$Y73,TRUE,0)</f>
        <v>0</v>
      </c>
      <c r="BF73" s="202" cm="1">
        <f t="array" ref="BF73">_xlfn.IFS(BF$3&lt;$B$2,SUMPRODUCT(('PA Fees Actual'!$B$5:$B$882=$E73)*('PA Fees Actual'!$A$5:$A$882&gt;=BF$3)*('PA Fees Actual'!$A$5:$A$882&lt;=EOMONTH(BF$3,0))*'PA Fees Actual'!$D$5:$D$882),BF$3&gt;=EOMONTH($X73,-1)+1,$Y73,TRUE,0)</f>
        <v>0</v>
      </c>
      <c r="BG73" s="202" cm="1">
        <f t="array" ref="BG73">_xlfn.IFS(BG$3&lt;$B$2,SUMPRODUCT(('PA Fees Actual'!$B$5:$B$882=$E73)*('PA Fees Actual'!$A$5:$A$882&gt;=BG$3)*('PA Fees Actual'!$A$5:$A$882&lt;=EOMONTH(BG$3,0))*'PA Fees Actual'!$D$5:$D$882),BG$3&gt;=EOMONTH($X73,-1)+1,$Y73,TRUE,0)</f>
        <v>0</v>
      </c>
      <c r="BH73" s="202" cm="1">
        <f t="array" ref="BH73">_xlfn.IFS(BH$3&lt;$B$2,SUMPRODUCT(('PA Fees Actual'!$B$5:$B$882=$E73)*('PA Fees Actual'!$A$5:$A$882&gt;=BH$3)*('PA Fees Actual'!$A$5:$A$882&lt;=EOMONTH(BH$3,0))*'PA Fees Actual'!$D$5:$D$882),BH$3&gt;=EOMONTH($X73,-1)+1,$Y73,TRUE,0)</f>
        <v>0</v>
      </c>
      <c r="BI73" s="202" cm="1">
        <f t="array" ref="BI73">_xlfn.IFS(BI$3&lt;$B$2,SUMPRODUCT(('PA Fees Actual'!$B$5:$B$882=$E73)*('PA Fees Actual'!$A$5:$A$882&gt;=BI$3)*('PA Fees Actual'!$A$5:$A$882&lt;=EOMONTH(BI$3,0))*'PA Fees Actual'!$D$5:$D$882),BI$3&gt;=EOMONTH($X73,-1)+1,$Y73,TRUE,0)</f>
        <v>0</v>
      </c>
      <c r="BJ73" s="202" cm="1">
        <f t="array" ref="BJ73">_xlfn.IFS(BJ$3&lt;$B$2,SUMPRODUCT(('PA Fees Actual'!$B$5:$B$882=$E73)*('PA Fees Actual'!$A$5:$A$882&gt;=BJ$3)*('PA Fees Actual'!$A$5:$A$882&lt;=EOMONTH(BJ$3,0))*'PA Fees Actual'!$D$5:$D$882),BJ$3&gt;=EOMONTH($X73,-1)+1,$Y73,TRUE,0)</f>
        <v>0</v>
      </c>
      <c r="BK73" s="202" cm="1">
        <f t="array" ref="BK73">_xlfn.IFS(BK$3&lt;$B$2,SUMPRODUCT(('PA Fees Actual'!$B$5:$B$882=$E73)*('PA Fees Actual'!$A$5:$A$882&gt;=BK$3)*('PA Fees Actual'!$A$5:$A$882&lt;=EOMONTH(BK$3,0))*'PA Fees Actual'!$D$5:$D$882),BK$3&gt;=EOMONTH($X73,-1)+1,$Y73,TRUE,0)</f>
        <v>0</v>
      </c>
      <c r="BL73" s="202" cm="1">
        <f t="array" ref="BL73">_xlfn.IFS(BL$3&lt;$B$2,SUMPRODUCT(('PA Fees Actual'!$B$5:$B$882=$E73)*('PA Fees Actual'!$A$5:$A$882&gt;=BL$3)*('PA Fees Actual'!$A$5:$A$882&lt;=EOMONTH(BL$3,0))*'PA Fees Actual'!$D$5:$D$882),BL$3&gt;=EOMONTH($X73,-1)+1,$Y73,TRUE,0)</f>
        <v>0</v>
      </c>
      <c r="BM73" s="202" cm="1">
        <f t="array" ref="BM73">_xlfn.IFS(BM$3&lt;$B$2,SUMPRODUCT(('PA Fees Actual'!$B$5:$B$882=$E73)*('PA Fees Actual'!$A$5:$A$882&gt;=BM$3)*('PA Fees Actual'!$A$5:$A$882&lt;=EOMONTH(BM$3,0))*'PA Fees Actual'!$D$5:$D$882),BM$3&gt;=EOMONTH($X73,-1)+1,$Y73,TRUE,0)</f>
        <v>0</v>
      </c>
      <c r="BN73" s="202" cm="1">
        <f t="array" ref="BN73">_xlfn.IFS(BN$3&lt;$B$2,SUMPRODUCT(('PA Fees Actual'!$B$5:$B$882=$E73)*('PA Fees Actual'!$A$5:$A$882&gt;=BN$3)*('PA Fees Actual'!$A$5:$A$882&lt;=EOMONTH(BN$3,0))*'PA Fees Actual'!$D$5:$D$882),BN$3&gt;=EOMONTH($X73,-1)+1,$Y73,TRUE,0)</f>
        <v>0</v>
      </c>
      <c r="BO73" s="202" cm="1">
        <f t="array" ref="BO73">_xlfn.IFS(BO$3&lt;$B$2,SUMPRODUCT(('PA Fees Actual'!$B$5:$B$882=$E73)*('PA Fees Actual'!$A$5:$A$882&gt;=BO$3)*('PA Fees Actual'!$A$5:$A$882&lt;=EOMONTH(BO$3,0))*'PA Fees Actual'!$D$5:$D$882),BO$3&gt;=EOMONTH($X73,-1)+1,$Y73,TRUE,0)</f>
        <v>0</v>
      </c>
      <c r="BP73" s="202" cm="1">
        <f t="array" ref="BP73">_xlfn.IFS(BP$3&lt;$B$2,SUMPRODUCT(('PA Fees Actual'!$B$5:$B$882=$E73)*('PA Fees Actual'!$A$5:$A$882&gt;=BP$3)*('PA Fees Actual'!$A$5:$A$882&lt;=EOMONTH(BP$3,0))*'PA Fees Actual'!$D$5:$D$882),BP$3&gt;=EOMONTH($X73,-1)+1,$Y73,TRUE,0)</f>
        <v>0</v>
      </c>
      <c r="BQ73" s="202" cm="1">
        <f t="array" ref="BQ73">_xlfn.IFS(BQ$3&lt;$B$2,SUMPRODUCT(('PA Fees Actual'!$B$5:$B$882=$E73)*('PA Fees Actual'!$A$5:$A$882&gt;=BQ$3)*('PA Fees Actual'!$A$5:$A$882&lt;=EOMONTH(BQ$3,0))*'PA Fees Actual'!$D$5:$D$882),BQ$3&gt;=EOMONTH($X73,-1)+1,$Y73,TRUE,0)</f>
        <v>0</v>
      </c>
      <c r="BR73" s="202" cm="1">
        <f t="array" ref="BR73">_xlfn.IFS(BR$3&lt;$B$2,SUMPRODUCT(('PA Fees Actual'!$B$5:$B$882=$E73)*('PA Fees Actual'!$A$5:$A$882&gt;=BR$3)*('PA Fees Actual'!$A$5:$A$882&lt;=EOMONTH(BR$3,0))*'PA Fees Actual'!$D$5:$D$882),BR$3&gt;=EOMONTH($X73,-1)+1,$Y73,TRUE,0)</f>
        <v>0</v>
      </c>
      <c r="BS73" s="202" cm="1">
        <f t="array" ref="BS73">_xlfn.IFS(BS$3&lt;$B$2,SUMPRODUCT(('PA Fees Actual'!$B$5:$B$882=$E73)*('PA Fees Actual'!$A$5:$A$882&gt;=BS$3)*('PA Fees Actual'!$A$5:$A$882&lt;=EOMONTH(BS$3,0))*'PA Fees Actual'!$D$5:$D$882),BS$3&gt;=EOMONTH($X73,-1)+1,$Y73,TRUE,0)</f>
        <v>0</v>
      </c>
      <c r="BT73" s="202" cm="1">
        <f t="array" ref="BT73">_xlfn.IFS(BT$3&lt;$B$2,SUMPRODUCT(('PA Fees Actual'!$B$5:$B$882=$E73)*('PA Fees Actual'!$A$5:$A$882&gt;=BT$3)*('PA Fees Actual'!$A$5:$A$882&lt;=EOMONTH(BT$3,0))*'PA Fees Actual'!$D$5:$D$882),BT$3&gt;=EOMONTH($X73,-1)+1,$Y73,TRUE,0)</f>
        <v>0</v>
      </c>
      <c r="BU73" s="202" cm="1">
        <f t="array" ref="BU73">_xlfn.IFS(BU$3&lt;$B$2,SUMPRODUCT(('PA Fees Actual'!$B$5:$B$882=$E73)*('PA Fees Actual'!$A$5:$A$882&gt;=BU$3)*('PA Fees Actual'!$A$5:$A$882&lt;=EOMONTH(BU$3,0))*'PA Fees Actual'!$D$5:$D$882),BU$3&gt;=EOMONTH($X73,-1)+1,$Y73,TRUE,0)</f>
        <v>0</v>
      </c>
      <c r="BV73" s="202" cm="1">
        <f t="array" ref="BV73">_xlfn.IFS(BV$3&lt;$B$2,SUMPRODUCT(('PA Fees Actual'!$B$5:$B$882=$E73)*('PA Fees Actual'!$A$5:$A$882&gt;=BV$3)*('PA Fees Actual'!$A$5:$A$882&lt;=EOMONTH(BV$3,0))*'PA Fees Actual'!$D$5:$D$882),BV$3&gt;=EOMONTH($X73,-1)+1,$Y73,TRUE,0)</f>
        <v>0</v>
      </c>
      <c r="BW73" s="202" cm="1">
        <f t="array" ref="BW73">_xlfn.IFS(BW$3&lt;$B$2,SUMPRODUCT(('PA Fees Actual'!$B$5:$B$882=$E73)*('PA Fees Actual'!$A$5:$A$882&gt;=BW$3)*('PA Fees Actual'!$A$5:$A$882&lt;=EOMONTH(BW$3,0))*'PA Fees Actual'!$D$5:$D$882),BW$3&gt;=EOMONTH($X73,-1)+1,$Y73,TRUE,0)</f>
        <v>0</v>
      </c>
      <c r="BX73" s="202" cm="1">
        <f t="array" ref="BX73">_xlfn.IFS(BX$3&lt;$B$2,SUMPRODUCT(('PA Fees Actual'!$B$5:$B$882=$E73)*('PA Fees Actual'!$A$5:$A$882&gt;=BX$3)*('PA Fees Actual'!$A$5:$A$882&lt;=EOMONTH(BX$3,0))*'PA Fees Actual'!$D$5:$D$882),BX$3&gt;=EOMONTH($X73,-1)+1,$Y73,TRUE,0)</f>
        <v>0</v>
      </c>
      <c r="BY73" s="202" cm="1">
        <f t="array" ref="BY73">_xlfn.IFS(BY$3&lt;$B$2,SUMPRODUCT(('PA Fees Actual'!$B$5:$B$882=$E73)*('PA Fees Actual'!$A$5:$A$882&gt;=BY$3)*('PA Fees Actual'!$A$5:$A$882&lt;=EOMONTH(BY$3,0))*'PA Fees Actual'!$D$5:$D$882),BY$3&gt;=EOMONTH($X73,-1)+1,$Y73,TRUE,0)</f>
        <v>0</v>
      </c>
      <c r="BZ73" s="202" cm="1">
        <f t="array" ref="BZ73">_xlfn.IFS(BZ$3&lt;$B$2,SUMPRODUCT(('PA Fees Actual'!$B$5:$B$882=$E73)*('PA Fees Actual'!$A$5:$A$882&gt;=BZ$3)*('PA Fees Actual'!$A$5:$A$882&lt;=EOMONTH(BZ$3,0))*'PA Fees Actual'!$D$5:$D$882),BZ$3&gt;=EOMONTH($X73,-1)+1,$Y73,TRUE,0)</f>
        <v>0</v>
      </c>
      <c r="CA73" s="202" cm="1">
        <f t="array" ref="CA73">_xlfn.IFS(CA$3&lt;$B$2,SUMPRODUCT(('PA Fees Actual'!$B$5:$B$882=$E73)*('PA Fees Actual'!$A$5:$A$882&gt;=CA$3)*('PA Fees Actual'!$A$5:$A$882&lt;=EOMONTH(CA$3,0))*'PA Fees Actual'!$D$5:$D$882),CA$3&gt;=EOMONTH($X73,-1)+1,$Y73,TRUE,0)</f>
        <v>0</v>
      </c>
      <c r="CB73" s="202" cm="1">
        <f t="array" ref="CB73">_xlfn.IFS(CB$3&lt;$B$2,SUMPRODUCT(('PA Fees Actual'!$B$5:$B$749=$E73)*('PA Fees Actual'!$A$5:$A$749&gt;=CB$3)*('PA Fees Actual'!$A$5:$A$749&lt;=EOMONTH(CB$3,0))*'PA Fees Actual'!$D$5:$D$749),CB$3&gt;=EOMONTH($X73,-1)+1,$Y73,TRUE,0)</f>
        <v>0</v>
      </c>
      <c r="CC73" s="202" cm="1">
        <f t="array" ref="CC73">_xlfn.IFS(CC$3&lt;$B$2,SUMPRODUCT(('PA Fees Actual'!$B$5:$B$749=$E73)*('PA Fees Actual'!$A$5:$A$749&gt;=CC$3)*('PA Fees Actual'!$A$5:$A$749&lt;=EOMONTH(CC$3,0))*'PA Fees Actual'!$D$5:$D$749),CC$3&gt;=EOMONTH($X73,-1)+1,$Y73,TRUE,0)</f>
        <v>0</v>
      </c>
      <c r="CD73" s="202" cm="1">
        <f t="array" ref="CD73">_xlfn.IFS(CD$3&lt;$B$2,SUMPRODUCT(('PA Fees Actual'!$B$5:$B$749=$E73)*('PA Fees Actual'!$A$5:$A$749&gt;=CD$3)*('PA Fees Actual'!$A$5:$A$749&lt;=EOMONTH(CD$3,0))*'PA Fees Actual'!$D$5:$D$749),CD$3&gt;=EOMONTH($X73,-1)+1,$Y73,TRUE,0)</f>
        <v>0</v>
      </c>
      <c r="CE73" s="202" cm="1">
        <f t="array" ref="CE73">_xlfn.IFS(CE$3&lt;$B$2,SUMPRODUCT(('PA Fees Actual'!$B$5:$B$749=$E73)*('PA Fees Actual'!$A$5:$A$749&gt;=CE$3)*('PA Fees Actual'!$A$5:$A$749&lt;=EOMONTH(CE$3,0))*'PA Fees Actual'!$D$5:$D$749),CE$3&gt;=EOMONTH($X73,-1)+1,$Y73,TRUE,0)</f>
        <v>0</v>
      </c>
      <c r="CF73" s="202" cm="1">
        <f t="array" ref="CF73">_xlfn.IFS(CF$3&lt;$B$2,SUMPRODUCT(('PA Fees Actual'!$B$5:$B$749=$E73)*('PA Fees Actual'!$A$5:$A$749&gt;=CF$3)*('PA Fees Actual'!$A$5:$A$749&lt;=EOMONTH(CF$3,0))*'PA Fees Actual'!$D$5:$D$749),CF$3&gt;=EOMONTH($X73,-1)+1,$Y73,TRUE,0)</f>
        <v>0</v>
      </c>
      <c r="CG73" s="202" cm="1">
        <f t="array" ref="CG73">_xlfn.IFS(CG$3&lt;$B$2,SUMPRODUCT(('PA Fees Actual'!$B$5:$B$749=$E73)*('PA Fees Actual'!$A$5:$A$749&gt;=CG$3)*('PA Fees Actual'!$A$5:$A$749&lt;=EOMONTH(CG$3,0))*'PA Fees Actual'!$D$5:$D$749),CG$3&gt;=EOMONTH($X73,-1)+1,$Y73,TRUE,0)</f>
        <v>0</v>
      </c>
      <c r="CI73" s="202" cm="1">
        <f t="array" ref="CI73">_xlfn.IFS(CI$3&lt;=YEAR($B$2),SUMPRODUCT(($E$4:$E$79=$E73)*($Z$2:$CG$2=CI$3)*($Z$2:$CG$2&lt;CJ$3)*$Z$4:$CG$79),CI$3&lt;YEAR($X73),0,CI$3=YEAR($X73),DATEDIF($X73,DATE(CI$3,12,31),"m")*$Y73,AND(CI$3&gt;YEAR($X73),CI$3-YEAR($X73)&lt;20),$Y73*12,CI$3-YEAR($X73)=20,DATEDIF(DATE(YEAR($X73),1,1),$X73,"m")*$Y73,CI$3-YEAR($X73)&gt;20,0)</f>
        <v>0</v>
      </c>
      <c r="CJ73" s="202" cm="1">
        <f t="array" ref="CJ73">_xlfn.IFS(CJ$3&lt;=YEAR($B$2),SUMPRODUCT(($E$4:$E$79=$E73)*($Z$2:$CG$2=CJ$3)*($Z$2:$CG$2&lt;CK$3)*$Z$4:$CG$79),CJ$3&lt;YEAR($X73),0,CJ$3=YEAR($X73),DATEDIF($X73,DATE(CJ$3,12,31),"m")*$Y73,AND(CJ$3&gt;YEAR($X73),CJ$3-YEAR($X73)&lt;20),$Y73*12,CJ$3-YEAR($X73)=20,DATEDIF(DATE(YEAR($X73),1,1),$X73,"m")*$Y73,CJ$3-YEAR($X73)&gt;20,0)</f>
        <v>0</v>
      </c>
      <c r="CK73" s="202" cm="1">
        <f t="array" ref="CK73">_xlfn.IFS(CK$3&lt;=YEAR($B$2),SUMPRODUCT(($E$4:$E$79=$E73)*($Z$2:$CG$2=CK$3)*($Z$2:$CG$2&lt;CL$3)*$Z$4:$CG$79),CK$3&lt;YEAR($X73),0,CK$3=YEAR($X73),DATEDIF($X73,DATE(CK$3,12,31),"m")*$Y73,AND(CK$3&gt;YEAR($X73),CK$3-YEAR($X73)&lt;20),$Y73*12,CK$3-YEAR($X73)=20,DATEDIF(DATE(YEAR($X73),1,1),$X73,"m")*$Y73,CK$3-YEAR($X73)&gt;20,0)</f>
        <v>0</v>
      </c>
      <c r="CL73" s="202" cm="1">
        <f t="array" ref="CL73">_xlfn.IFS(CL$3&lt;=YEAR($B$2),SUMPRODUCT(($E$4:$E$79=$E73)*($Z$2:$CG$2=CL$3)*($Z$2:$CG$2&lt;CM$3)*$Z$4:$CG$79),CL$3&lt;YEAR($X73),0,CL$3=YEAR($X73),DATEDIF($X73,DATE(CL$3,12,31),"m")*$Y73,AND(CL$3&gt;YEAR($X73),CL$3-YEAR($X73)&lt;20),$Y73*12,CL$3-YEAR($X73)=20,DATEDIF(DATE(YEAR($X73),1,1),$X73,"m")*$Y73,CL$3-YEAR($X73)&gt;20,0)</f>
        <v>0</v>
      </c>
      <c r="CM73" s="202" cm="1">
        <f t="array" ref="CM73">_xlfn.IFS(CM$3&lt;=YEAR($B$2),SUMPRODUCT(($E$4:$E$79=$E73)*($Z$2:$CG$2=CM$3)*($Z$2:$CG$2&lt;CN$3)*$Z$4:$CG$79),CM$3&lt;YEAR($X73),0,CM$3=YEAR($X73),DATEDIF($X73,DATE(CM$3,12,31),"m")*$Y73,AND(CM$3&gt;YEAR($X73),CM$3-YEAR($X73)&lt;20),$Y73*12,CM$3-YEAR($X73)=20,DATEDIF(DATE(YEAR($X73),1,1),$X73,"m")*$Y73,CM$3-YEAR($X73)&gt;20,0)</f>
        <v>0</v>
      </c>
      <c r="CN73" s="202" cm="1">
        <f t="array" ref="CN73">_xlfn.IFS(CN$3&lt;=YEAR($B$2),SUMPRODUCT(($E$4:$E$79=$E73)*($Z$2:$CG$2=CN$3)*($Z$2:$CG$2&lt;CO$3)*$Z$4:$CG$79),CN$3&lt;YEAR($X73),0,CN$3=YEAR($X73),DATEDIF($X73,DATE(CN$3,12,31),"m")*$Y73,AND(CN$3&gt;YEAR($X73),CN$3-YEAR($X73)&lt;20),$Y73*12,CN$3-YEAR($X73)=20,DATEDIF(DATE(YEAR($X73),1,1),$X73,"m")*$Y73,CN$3-YEAR($X73)&gt;20,0)</f>
        <v>0</v>
      </c>
      <c r="CO73" s="202" cm="1">
        <f t="array" ref="CO73">_xlfn.IFS(CO$3&lt;=YEAR($B$2),SUMPRODUCT(($E$4:$E$79=$E73)*($Z$2:$CG$2=CO$3)*($Z$2:$CG$2&lt;CP$3)*$Z$4:$CG$79),CO$3&lt;YEAR($X73),0,CO$3=YEAR($X73),DATEDIF($X73,DATE(CO$3,12,31),"m")*$Y73,AND(CO$3&gt;YEAR($X73),CO$3-YEAR($X73)&lt;20),$Y73*12,CO$3-YEAR($X73)=20,DATEDIF(DATE(YEAR($X73),1,1),$X73,"m")*$Y73,CO$3-YEAR($X73)&gt;20,0)</f>
        <v>8032.5</v>
      </c>
      <c r="CP73" s="202" cm="1">
        <f t="array" ref="CP73">_xlfn.IFS(CP$3&lt;=YEAR($B$2),SUMPRODUCT(($E$4:$E$79=$E73)*($Z$2:$CG$2=CP$3)*($Z$2:$CG$2&lt;CQ$3)*$Z$4:$CG$79),CP$3&lt;YEAR($X73),0,CP$3=YEAR($X73),DATEDIF($X73,DATE(CP$3,12,31),"m")*$Y73,AND(CP$3&gt;YEAR($X73),CP$3-YEAR($X73)&lt;20),$Y73*12,CP$3-YEAR($X73)=20,DATEDIF(DATE(YEAR($X73),1,1),$X73,"m")*$Y73,CP$3-YEAR($X73)&gt;20,0)</f>
        <v>13770</v>
      </c>
      <c r="CQ73" s="202" cm="1">
        <f t="array" ref="CQ73">_xlfn.IFS(CQ$3&lt;=YEAR($B$2),SUMPRODUCT(($E$4:$E$79=$E73)*($Z$2:$CG$2=CQ$3)*($Z$2:$CG$2&lt;CR$3)*$Z$4:$CG$79),CQ$3&lt;YEAR($X73),0,CQ$3=YEAR($X73),DATEDIF($X73,DATE(CQ$3,12,31),"m")*$Y73,AND(CQ$3&gt;YEAR($X73),CQ$3-YEAR($X73)&lt;20),$Y73*12,CQ$3-YEAR($X73)=20,DATEDIF(DATE(YEAR($X73),1,1),$X73,"m")*$Y73,CQ$3-YEAR($X73)&gt;20,0)</f>
        <v>13770</v>
      </c>
      <c r="CR73" s="202" cm="1">
        <f t="array" ref="CR73">_xlfn.IFS(CR$3&lt;=YEAR($B$2),SUMPRODUCT(($E$4:$E$79=$E73)*($Z$2:$CG$2=CR$3)*($Z$2:$CG$2&lt;CS$3)*$Z$4:$CG$79),CR$3&lt;YEAR($X73),0,CR$3=YEAR($X73),DATEDIF($X73,DATE(CR$3,12,31),"m")*$Y73,AND(CR$3&gt;YEAR($X73),CR$3-YEAR($X73)&lt;20),$Y73*12,CR$3-YEAR($X73)=20,DATEDIF(DATE(YEAR($X73),1,1),$X73,"m")*$Y73,CR$3-YEAR($X73)&gt;20,0)</f>
        <v>13770</v>
      </c>
      <c r="CS73" s="202" cm="1">
        <f t="array" ref="CS73">_xlfn.IFS(CS$3&lt;=YEAR($B$2),SUMPRODUCT(($E$4:$E$79=$E73)*($Z$2:$CG$2=CS$3)*($Z$2:$CG$2&lt;CT$3)*$Z$4:$CG$79),CS$3&lt;YEAR($X73),0,CS$3=YEAR($X73),DATEDIF($X73,DATE(CS$3,12,31),"m")*$Y73,AND(CS$3&gt;YEAR($X73),CS$3-YEAR($X73)&lt;20),$Y73*12,CS$3-YEAR($X73)=20,DATEDIF(DATE(YEAR($X73),1,1),$X73,"m")*$Y73,CS$3-YEAR($X73)&gt;20,0)</f>
        <v>13770</v>
      </c>
      <c r="CT73" s="202" cm="1">
        <f t="array" ref="CT73">_xlfn.IFS(CT$3&lt;=YEAR($B$2),SUMPRODUCT(($E$4:$E$79=$E73)*($Z$2:$CG$2=CT$3)*($Z$2:$CG$2&lt;CU$3)*$Z$4:$CG$79),CT$3&lt;YEAR($X73),0,CT$3=YEAR($X73),DATEDIF($X73,DATE(CT$3,12,31),"m")*$Y73,AND(CT$3&gt;YEAR($X73),CT$3-YEAR($X73)&lt;20),$Y73*12,CT$3-YEAR($X73)=20,DATEDIF(DATE(YEAR($X73),1,1),$X73,"m")*$Y73,CT$3-YEAR($X73)&gt;20,0)</f>
        <v>13770</v>
      </c>
      <c r="CU73" s="202" cm="1">
        <f t="array" ref="CU73">_xlfn.IFS(CU$3&lt;=YEAR($B$2),SUMPRODUCT(($E$4:$E$79=$E73)*($Z$2:$CG$2=CU$3)*($Z$2:$CG$2&lt;CV$3)*$Z$4:$CG$79),CU$3&lt;YEAR($X73),0,CU$3=YEAR($X73),DATEDIF($X73,DATE(CU$3,12,31),"m")*$Y73,AND(CU$3&gt;YEAR($X73),CU$3-YEAR($X73)&lt;20),$Y73*12,CU$3-YEAR($X73)=20,DATEDIF(DATE(YEAR($X73),1,1),$X73,"m")*$Y73,CU$3-YEAR($X73)&gt;20,0)</f>
        <v>13770</v>
      </c>
      <c r="CV73" s="202" cm="1">
        <f t="array" ref="CV73">_xlfn.IFS(CV$3&lt;=YEAR($B$2),SUMPRODUCT(($E$4:$E$79=$E73)*($Z$2:$CG$2=CV$3)*($Z$2:$CG$2&lt;CW$3)*$Z$4:$CG$79),CV$3&lt;YEAR($X73),0,CV$3=YEAR($X73),DATEDIF($X73,DATE(CV$3,12,31),"m")*$Y73,AND(CV$3&gt;YEAR($X73),CV$3-YEAR($X73)&lt;20),$Y73*12,CV$3-YEAR($X73)=20,DATEDIF(DATE(YEAR($X73),1,1),$X73,"m")*$Y73,CV$3-YEAR($X73)&gt;20,0)</f>
        <v>13770</v>
      </c>
      <c r="CW73" s="202" cm="1">
        <f t="array" ref="CW73">_xlfn.IFS(CW$3&lt;=YEAR($B$2),SUMPRODUCT(($E$4:$E$79=$E73)*($Z$2:$CG$2=CW$3)*($Z$2:$CG$2&lt;CX$3)*$Z$4:$CG$79),CW$3&lt;YEAR($X73),0,CW$3=YEAR($X73),DATEDIF($X73,DATE(CW$3,12,31),"m")*$Y73,AND(CW$3&gt;YEAR($X73),CW$3-YEAR($X73)&lt;20),$Y73*12,CW$3-YEAR($X73)=20,DATEDIF(DATE(YEAR($X73),1,1),$X73,"m")*$Y73,CW$3-YEAR($X73)&gt;20,0)</f>
        <v>13770</v>
      </c>
      <c r="CX73" s="202" cm="1">
        <f t="array" ref="CX73">_xlfn.IFS(CX$3&lt;=YEAR($B$2),SUMPRODUCT(($E$4:$E$79=$E73)*($Z$2:$CG$2=CX$3)*($Z$2:$CG$2&lt;CY$3)*$Z$4:$CG$79),CX$3&lt;YEAR($X73),0,CX$3=YEAR($X73),DATEDIF($X73,DATE(CX$3,12,31),"m")*$Y73,AND(CX$3&gt;YEAR($X73),CX$3-YEAR($X73)&lt;20),$Y73*12,CX$3-YEAR($X73)=20,DATEDIF(DATE(YEAR($X73),1,1),$X73,"m")*$Y73,CX$3-YEAR($X73)&gt;20,0)</f>
        <v>13770</v>
      </c>
      <c r="CY73" s="202" cm="1">
        <f t="array" ref="CY73">_xlfn.IFS(CY$3&lt;=YEAR($B$2),SUMPRODUCT(($E$4:$E$79=$E73)*($Z$2:$CG$2=CY$3)*($Z$2:$CG$2&lt;CZ$3)*$Z$4:$CG$79),CY$3&lt;YEAR($X73),0,CY$3=YEAR($X73),DATEDIF($X73,DATE(CY$3,12,31),"m")*$Y73,AND(CY$3&gt;YEAR($X73),CY$3-YEAR($X73)&lt;20),$Y73*12,CY$3-YEAR($X73)=20,DATEDIF(DATE(YEAR($X73),1,1),$X73,"m")*$Y73,CY$3-YEAR($X73)&gt;20,0)</f>
        <v>13770</v>
      </c>
      <c r="CZ73" s="202" cm="1">
        <f t="array" ref="CZ73">_xlfn.IFS(CZ$3&lt;=YEAR($B$2),SUMPRODUCT(($E$4:$E$79=$E73)*($Z$2:$CG$2=CZ$3)*($Z$2:$CG$2&lt;DA$3)*$Z$4:$CG$79),CZ$3&lt;YEAR($X73),0,CZ$3=YEAR($X73),DATEDIF($X73,DATE(CZ$3,12,31),"m")*$Y73,AND(CZ$3&gt;YEAR($X73),CZ$3-YEAR($X73)&lt;20),$Y73*12,CZ$3-YEAR($X73)=20,DATEDIF(DATE(YEAR($X73),1,1),$X73,"m")*$Y73,CZ$3-YEAR($X73)&gt;20,0)</f>
        <v>13770</v>
      </c>
      <c r="DA73" s="202" cm="1">
        <f t="array" ref="DA73">_xlfn.IFS(DA$3&lt;=YEAR($B$2),SUMPRODUCT(($E$4:$E$79=$E73)*($Z$2:$CG$2=DA$3)*($Z$2:$CG$2&lt;DB$3)*$Z$4:$CG$79),DA$3&lt;YEAR($X73),0,DA$3=YEAR($X73),DATEDIF($X73,DATE(DA$3,12,31),"m")*$Y73,AND(DA$3&gt;YEAR($X73),DA$3-YEAR($X73)&lt;20),$Y73*12,DA$3-YEAR($X73)=20,DATEDIF(DATE(YEAR($X73),1,1),$X73,"m")*$Y73,DA$3-YEAR($X73)&gt;20,0)</f>
        <v>13770</v>
      </c>
      <c r="DB73" s="202" cm="1">
        <f t="array" ref="DB73">_xlfn.IFS(DB$3&lt;=YEAR($B$2),SUMPRODUCT(($E$4:$E$79=$E73)*($Z$2:$CG$2=DB$3)*($Z$2:$CG$2&lt;DC$3)*$Z$4:$CG$79),DB$3&lt;YEAR($X73),0,DB$3=YEAR($X73),DATEDIF($X73,DATE(DB$3,12,31),"m")*$Y73,AND(DB$3&gt;YEAR($X73),DB$3-YEAR($X73)&lt;20),$Y73*12,DB$3-YEAR($X73)=20,DATEDIF(DATE(YEAR($X73),1,1),$X73,"m")*$Y73,DB$3-YEAR($X73)&gt;20,0)</f>
        <v>13770</v>
      </c>
      <c r="DC73" s="202" cm="1">
        <f t="array" ref="DC73">_xlfn.IFS(DC$3&lt;=YEAR($B$2),SUMPRODUCT(($E$4:$E$79=$E73)*($Z$2:$CG$2=DC$3)*($Z$2:$CG$2&lt;DD$3)*$Z$4:$CG$79),DC$3&lt;YEAR($X73),0,DC$3=YEAR($X73),DATEDIF($X73,DATE(DC$3,12,31),"m")*$Y73,AND(DC$3&gt;YEAR($X73),DC$3-YEAR($X73)&lt;20),$Y73*12,DC$3-YEAR($X73)=20,DATEDIF(DATE(YEAR($X73),1,1),$X73,"m")*$Y73,DC$3-YEAR($X73)&gt;20,0)</f>
        <v>13770</v>
      </c>
      <c r="DD73" s="202" cm="1">
        <f t="array" ref="DD73">_xlfn.IFS(DD$3&lt;=YEAR($B$2),SUMPRODUCT(($E$4:$E$79=$E73)*($Z$2:$CG$2=DD$3)*($Z$2:$CG$2&lt;DE$3)*$Z$4:$CG$79),DD$3&lt;YEAR($X73),0,DD$3=YEAR($X73),DATEDIF($X73,DATE(DD$3,12,31),"m")*$Y73,AND(DD$3&gt;YEAR($X73),DD$3-YEAR($X73)&lt;20),$Y73*12,DD$3-YEAR($X73)=20,DATEDIF(DATE(YEAR($X73),1,1),$X73,"m")*$Y73,DD$3-YEAR($X73)&gt;20,0)</f>
        <v>13770</v>
      </c>
      <c r="DE73" s="202" cm="1">
        <f t="array" ref="DE73">_xlfn.IFS(DE$3&lt;=YEAR($B$2),SUMPRODUCT(($E$4:$E$79=$E73)*($Z$2:$CG$2=DE$3)*($Z$2:$CG$2&lt;DF$3)*$Z$4:$CG$79),DE$3&lt;YEAR($X73),0,DE$3=YEAR($X73),DATEDIF($X73,DATE(DE$3,12,31),"m")*$Y73,AND(DE$3&gt;YEAR($X73),DE$3-YEAR($X73)&lt;20),$Y73*12,DE$3-YEAR($X73)=20,DATEDIF(DATE(YEAR($X73),1,1),$X73,"m")*$Y73,DE$3-YEAR($X73)&gt;20,0)</f>
        <v>13770</v>
      </c>
      <c r="DF73" s="202" cm="1">
        <f t="array" ref="DF73">_xlfn.IFS(DF$3&lt;=YEAR($B$2),SUMPRODUCT(($E$4:$E$79=$E73)*($Z$2:$CG$2=DF$3)*($Z$2:$CG$2&lt;DG$3)*$Z$4:$CG$79),DF$3&lt;YEAR($X73),0,DF$3=YEAR($X73),DATEDIF($X73,DATE(DF$3,12,31),"m")*$Y73,AND(DF$3&gt;YEAR($X73),DF$3-YEAR($X73)&lt;20),$Y73*12,DF$3-YEAR($X73)=20,DATEDIF(DATE(YEAR($X73),1,1),$X73,"m")*$Y73,DF$3-YEAR($X73)&gt;20,0)</f>
        <v>13770</v>
      </c>
      <c r="DG73" s="202" cm="1">
        <f t="array" ref="DG73">_xlfn.IFS(DG$3&lt;=YEAR($B$2),SUMPRODUCT(($E$4:$E$79=$E73)*($Z$2:$CG$2=DG$3)*($Z$2:$CG$2&lt;DH$3)*$Z$4:$CG$79),DG$3&lt;YEAR($X73),0,DG$3=YEAR($X73),DATEDIF($X73,DATE(DG$3,12,31),"m")*$Y73,AND(DG$3&gt;YEAR($X73),DG$3-YEAR($X73)&lt;20),$Y73*12,DG$3-YEAR($X73)=20,DATEDIF(DATE(YEAR($X73),1,1),$X73,"m")*$Y73,DG$3-YEAR($X73)&gt;20,0)</f>
        <v>13770</v>
      </c>
      <c r="DH73" s="202" cm="1">
        <f t="array" ref="DH73">_xlfn.IFS(DH$3&lt;=YEAR($B$2),SUMPRODUCT(($E$4:$E$79=$E73)*($Z$2:$CG$2=DH$3)*($Z$2:$CG$2&lt;DI$3)*$Z$4:$CG$79),DH$3&lt;YEAR($X73),0,DH$3=YEAR($X73),DATEDIF($X73,DATE(DH$3,12,31),"m")*$Y73,AND(DH$3&gt;YEAR($X73),DH$3-YEAR($X73)&lt;20),$Y73*12,DH$3-YEAR($X73)=20,DATEDIF(DATE(YEAR($X73),1,1),$X73,"m")*$Y73,DH$3-YEAR($X73)&gt;20,0)</f>
        <v>13770</v>
      </c>
      <c r="DI73" s="202" cm="1">
        <f t="array" ref="DI73">_xlfn.IFS(DI$3&lt;=YEAR($B$2),SUMPRODUCT(($E$4:$E$79=$E73)*($Z$2:$CG$2=DI$3)*($Z$2:$CG$2&lt;DJ$3)*$Z$4:$CG$79),DI$3&lt;YEAR($X73),0,DI$3=YEAR($X73),DATEDIF($X73,DATE(DI$3,12,31),"m")*$Y73,AND(DI$3&gt;YEAR($X73),DI$3-YEAR($X73)&lt;20),$Y73*12,DI$3-YEAR($X73)=20,DATEDIF(DATE(YEAR($X73),1,1),$X73,"m")*$Y73,DI$3-YEAR($X73)&gt;20,0)</f>
        <v>4590</v>
      </c>
      <c r="DJ73" s="202" cm="1">
        <f t="array" ref="DJ73">_xlfn.IFS(DJ$3&lt;=YEAR($B$2),SUMPRODUCT(($E$4:$E$79=$E73)*($Z$2:$CG$2=DJ$3)*($Z$2:$CG$2&lt;DK$3)*$Z$4:$CG$79),DJ$3&lt;YEAR($X73),0,DJ$3=YEAR($X73),DATEDIF($X73,DATE(DJ$3,12,31),"m")*$Y73,AND(DJ$3&gt;YEAR($X73),DJ$3-YEAR($X73)&lt;20),$Y73*12,DJ$3-YEAR($X73)=20,DATEDIF(DATE(YEAR($X73),1,1),$X73,"m")*$Y73,DJ$3-YEAR($X73)&gt;20,0)</f>
        <v>0</v>
      </c>
      <c r="DK73" s="202" cm="1">
        <f t="array" ref="DK73">_xlfn.IFS(DK$3&lt;=YEAR($B$2),SUMPRODUCT(($E$4:$E$79=$E73)*($Z$2:$CG$2=DK$3)*($Z$2:$CG$2&lt;DL$3)*$Z$4:$CG$79),DK$3&lt;YEAR($X73),0,DK$3=YEAR($X73),DATEDIF($X73,DATE(DK$3,12,31),"m")*$Y73,AND(DK$3&gt;YEAR($X73),DK$3-YEAR($X73)&lt;20),$Y73*12,DK$3-YEAR($X73)=20,DATEDIF(DATE(YEAR($X73),1,1),$X73,"m")*$Y73,DK$3-YEAR($X73)&gt;20,0)</f>
        <v>0</v>
      </c>
      <c r="DL73" s="202" cm="1">
        <f t="array" ref="DL73">_xlfn.IFS(DL$3&lt;=YEAR($B$2),SUMPRODUCT(($E$4:$E$79=$E73)*($Z$2:$CG$2=DL$3)*($Z$2:$CG$2&lt;DM$3)*$Z$4:$CG$79),DL$3&lt;YEAR($X73),0,DL$3=YEAR($X73),DATEDIF($X73,DATE(DL$3,12,31),"m")*$Y73,AND(DL$3&gt;YEAR($X73),DL$3-YEAR($X73)&lt;20),$Y73*12,DL$3-YEAR($X73)=20,DATEDIF(DATE(YEAR($X73),1,1),$X73,"m")*$Y73,DL$3-YEAR($X73)&gt;20,0)</f>
        <v>0</v>
      </c>
    </row>
    <row r="74" spans="1:116">
      <c r="A74" s="155" t="str" cm="1">
        <f t="array" ref="A74">INDEX('Monthly Report July 2025'!C:C,MATCH(E74,'Monthly Report July 2025'!E:E,0),0)</f>
        <v>OCS098</v>
      </c>
      <c r="B74" s="155" t="str" cm="1">
        <f t="array" ref="B74">_xlfn.IFS(LEFT(E74,3)="PGE","PGE",LEFT(E74,2)="PP","PAC",TRUE,"IP")</f>
        <v>PAC</v>
      </c>
      <c r="C74" s="155" t="str">
        <f>IF(ISNA(MATCH(E74,'Monthly Report July 2025'!E:E,0)),"Missing","Present")</f>
        <v>Present</v>
      </c>
      <c r="D74" s="155" t="str">
        <f>IF(ISNA(MATCH(E74,'Project Operational Timelines'!C:C,0))=TRUE,"Missing","Present")</f>
        <v>Present</v>
      </c>
      <c r="E74" s="155" t="s">
        <v>182</v>
      </c>
      <c r="F74" s="155" t="str" cm="1">
        <f t="array" ref="F74">INDEX('Monthly Report July 2025'!F:F,MATCH(E74,'Monthly Report July 2025'!E:E,),0)</f>
        <v>Henley Road</v>
      </c>
      <c r="G74" s="155" t="str" cm="1">
        <f t="array" ref="G74">_xlfn.IFS(INDEX('Monthly Report July 2025'!O:O,MATCH(E74,'Monthly Report July 2025'!E:E,0),0)="Operational","Operational",INDEX('Monthly Report July 2025'!O:O,MATCH(E74,'Monthly Report July 2025'!E:E,0),0)="Certified","Certified",TRUE,"Pre-Certified")</f>
        <v>Pre-Certified</v>
      </c>
      <c r="H74" s="155" t="str" cm="1">
        <f t="array" ref="H74">INDEX('Monthly Report July 2025'!H:H,MATCH($E74,'Monthly Report July 2025'!$E:$E,0),0)</f>
        <v>SolaRay Farms, Inc</v>
      </c>
      <c r="I74" s="155" t="str" cm="1">
        <f t="array" ref="I74">INDEX('Monthly Report July 2025'!I:I,MATCH($E74,'Monthly Report July 2025'!$E:$E,0),0)</f>
        <v>SolaRay Farms, Inc</v>
      </c>
      <c r="J74" s="174" cm="1">
        <f t="array" ref="J74">INDEX('Monthly Report July 2025'!J:J,MATCH($E74,'Monthly Report July 2025'!$E:$E,0),0)</f>
        <v>2</v>
      </c>
      <c r="K74" s="174" t="str" cm="1">
        <f t="array" ref="K74">INDEX('Monthly Report July 2025'!K:K,MATCH($E74,'Monthly Report July 2025'!$E:$E,0),0)</f>
        <v>Yes</v>
      </c>
      <c r="L74" s="174" t="b" cm="1">
        <f t="array" ref="L74">INDEX('Monthly Report July 2025'!L:L,MATCH(E74,'Monthly Report July 2025'!E:E,0),0)=M74</f>
        <v>1</v>
      </c>
      <c r="M74" s="273" cm="1">
        <f t="array" ref="M74">INDEX('Monthly Report July 2025'!L:L,MATCH($E74,'Monthly Report July 2025'!$E:$E,0),0)</f>
        <v>332</v>
      </c>
      <c r="N74" s="175" cm="1">
        <f t="array" ref="N74">INDEX('Monthly Report July 2025'!M:M,MATCH($E74,'Monthly Report July 2025'!$E:$E,0),0)</f>
        <v>45733</v>
      </c>
      <c r="O74" s="175" cm="1">
        <f t="array" ref="O74">_xlfn.IFS(G74="Operational","Operational",G74="Certified","Certified",TRUE,INDEX('Monthly Report July 2025'!O:O,MATCH(E74,'Monthly Report July 2025'!E:E,0),0))</f>
        <v>46282</v>
      </c>
      <c r="Q74" s="175" t="str" cm="1">
        <f t="array" ref="Q74">IF(O74="Operational",INDEX('Monthly Report July 2025'!R:R,MATCH(E74,'Monthly Report July 2025'!E:E,0),0),"")</f>
        <v/>
      </c>
      <c r="R74" s="175" t="str" cm="1">
        <f t="array" ref="R74">INDEX('Monthly Report July 2025'!P:P,MATCH(E74,'Monthly Report July 2025'!E:E,0),0)</f>
        <v>Not Yet Certified</v>
      </c>
      <c r="T74" s="175" t="str" cm="1">
        <f t="array" ref="T74">INDEX('Monthly Report July 2025'!U:U,MATCH(E74,'Monthly Report July 2025'!E:E,0),0)</f>
        <v>Data Not Available</v>
      </c>
      <c r="U74" s="175" t="b">
        <f t="shared" si="34"/>
        <v>0</v>
      </c>
      <c r="V74" s="156">
        <f t="shared" si="29"/>
        <v>46282</v>
      </c>
      <c r="W74" s="156" t="str" cm="1">
        <f t="array" ref="W74">_xlfn.IFS(U74=TRUE,EDATE(O74,6),U74=FALSE,T74,O74="Operational",Q74,AND(O74="Certified",EDATE(R74,6)&gt;T74),EDATE(R74,6),TRUE,T74)</f>
        <v>Data Not Available</v>
      </c>
      <c r="X74" s="156">
        <f t="shared" si="33"/>
        <v>46524</v>
      </c>
      <c r="Y74" s="157">
        <f t="shared" si="35"/>
        <v>126.99</v>
      </c>
      <c r="Z74" s="202" cm="1">
        <f t="array" ref="Z74">_xlfn.IFS(Z$3&lt;$B$2,SUMPRODUCT(('PA Fees Actual'!$B$5:$B$882=$E74)*('PA Fees Actual'!$A$5:$A$882&gt;=Z$3)*('PA Fees Actual'!$A$5:$A$882&lt;=EOMONTH(Z$3,0))*'PA Fees Actual'!$D$5:$D$882),Z$3&gt;=EOMONTH($X74,-1)+1,$Y74,TRUE,0)</f>
        <v>0</v>
      </c>
      <c r="AA74" s="202" cm="1">
        <f t="array" ref="AA74">_xlfn.IFS(AA$3&lt;$B$2,SUMPRODUCT(('PA Fees Actual'!$B$5:$B$882=$E74)*('PA Fees Actual'!$A$5:$A$882&gt;=AA$3)*('PA Fees Actual'!$A$5:$A$882&lt;=EOMONTH(AA$3,0))*'PA Fees Actual'!$D$5:$D$882),AA$3&gt;=EOMONTH($X74,-1)+1,$Y74,TRUE,0)</f>
        <v>0</v>
      </c>
      <c r="AB74" s="202" cm="1">
        <f t="array" ref="AB74">_xlfn.IFS(AB$3&lt;$B$2,SUMPRODUCT(('PA Fees Actual'!$B$5:$B$882=$E74)*('PA Fees Actual'!$A$5:$A$882&gt;=AB$3)*('PA Fees Actual'!$A$5:$A$882&lt;=EOMONTH(AB$3,0))*'PA Fees Actual'!$D$5:$D$882),AB$3&gt;=EOMONTH($X74,-1)+1,$Y74,TRUE,0)</f>
        <v>0</v>
      </c>
      <c r="AC74" s="202" cm="1">
        <f t="array" ref="AC74">_xlfn.IFS(AC$3&lt;$B$2,SUMPRODUCT(('PA Fees Actual'!$B$5:$B$882=$E74)*('PA Fees Actual'!$A$5:$A$882&gt;=AC$3)*('PA Fees Actual'!$A$5:$A$882&lt;=EOMONTH(AC$3,0))*'PA Fees Actual'!$D$5:$D$882),AC$3&gt;=EOMONTH($X74,-1)+1,$Y74,TRUE,0)</f>
        <v>0</v>
      </c>
      <c r="AD74" s="202" cm="1">
        <f t="array" ref="AD74">_xlfn.IFS(AD$3&lt;$B$2,SUMPRODUCT(('PA Fees Actual'!$B$5:$B$882=$E74)*('PA Fees Actual'!$A$5:$A$882&gt;=AD$3)*('PA Fees Actual'!$A$5:$A$882&lt;=EOMONTH(AD$3,0))*'PA Fees Actual'!$D$5:$D$882),AD$3&gt;=EOMONTH($X74,-1)+1,$Y74,TRUE,0)</f>
        <v>0</v>
      </c>
      <c r="AE74" s="202" cm="1">
        <f t="array" ref="AE74">_xlfn.IFS(AE$3&lt;$B$2,SUMPRODUCT(('PA Fees Actual'!$B$5:$B$882=$E74)*('PA Fees Actual'!$A$5:$A$882&gt;=AE$3)*('PA Fees Actual'!$A$5:$A$882&lt;=EOMONTH(AE$3,0))*'PA Fees Actual'!$D$5:$D$882),AE$3&gt;=EOMONTH($X74,-1)+1,$Y74,TRUE,0)</f>
        <v>0</v>
      </c>
      <c r="AF74" s="202" cm="1">
        <f t="array" ref="AF74">_xlfn.IFS(AF$3&lt;$B$2,SUMPRODUCT(('PA Fees Actual'!$B$5:$B$882=$E74)*('PA Fees Actual'!$A$5:$A$882&gt;=AF$3)*('PA Fees Actual'!$A$5:$A$882&lt;=EOMONTH(AF$3,0))*'PA Fees Actual'!$D$5:$D$882),AF$3&gt;=EOMONTH($X74,-1)+1,$Y74,TRUE,0)</f>
        <v>0</v>
      </c>
      <c r="AG74" s="202" cm="1">
        <f t="array" ref="AG74">_xlfn.IFS(AG$3&lt;$B$2,SUMPRODUCT(('PA Fees Actual'!$B$5:$B$882=$E74)*('PA Fees Actual'!$A$5:$A$882&gt;=AG$3)*('PA Fees Actual'!$A$5:$A$882&lt;=EOMONTH(AG$3,0))*'PA Fees Actual'!$D$5:$D$882),AG$3&gt;=EOMONTH($X74,-1)+1,$Y74,TRUE,0)</f>
        <v>0</v>
      </c>
      <c r="AH74" s="202" cm="1">
        <f t="array" ref="AH74">_xlfn.IFS(AH$3&lt;$B$2,SUMPRODUCT(('PA Fees Actual'!$B$5:$B$882=$E74)*('PA Fees Actual'!$A$5:$A$882&gt;=AH$3)*('PA Fees Actual'!$A$5:$A$882&lt;=EOMONTH(AH$3,0))*'PA Fees Actual'!$D$5:$D$882),AH$3&gt;=EOMONTH($X74,-1)+1,$Y74,TRUE,0)</f>
        <v>0</v>
      </c>
      <c r="AI74" s="202" cm="1">
        <f t="array" ref="AI74">_xlfn.IFS(AI$3&lt;$B$2,SUMPRODUCT(('PA Fees Actual'!$B$5:$B$882=$E74)*('PA Fees Actual'!$A$5:$A$882&gt;=AI$3)*('PA Fees Actual'!$A$5:$A$882&lt;=EOMONTH(AI$3,0))*'PA Fees Actual'!$D$5:$D$882),AI$3&gt;=EOMONTH($X74,-1)+1,$Y74,TRUE,0)</f>
        <v>0</v>
      </c>
      <c r="AJ74" s="202" cm="1">
        <f t="array" ref="AJ74">_xlfn.IFS(AJ$3&lt;$B$2,SUMPRODUCT(('PA Fees Actual'!$B$5:$B$882=$E74)*('PA Fees Actual'!$A$5:$A$882&gt;=AJ$3)*('PA Fees Actual'!$A$5:$A$882&lt;=EOMONTH(AJ$3,0))*'PA Fees Actual'!$D$5:$D$882),AJ$3&gt;=EOMONTH($X74,-1)+1,$Y74,TRUE,0)</f>
        <v>0</v>
      </c>
      <c r="AK74" s="202" cm="1">
        <f t="array" ref="AK74">_xlfn.IFS(AK$3&lt;$B$2,SUMPRODUCT(('PA Fees Actual'!$B$5:$B$882=$E74)*('PA Fees Actual'!$A$5:$A$882&gt;=AK$3)*('PA Fees Actual'!$A$5:$A$882&lt;=EOMONTH(AK$3,0))*'PA Fees Actual'!$D$5:$D$882),AK$3&gt;=EOMONTH($X74,-1)+1,$Y74,TRUE,0)</f>
        <v>0</v>
      </c>
      <c r="AL74" s="202" cm="1">
        <f t="array" ref="AL74">_xlfn.IFS(AL$3&lt;$B$2,SUMPRODUCT(('PA Fees Actual'!$B$5:$B$882=$E74)*('PA Fees Actual'!$A$5:$A$882&gt;=AL$3)*('PA Fees Actual'!$A$5:$A$882&lt;=EOMONTH(AL$3,0))*'PA Fees Actual'!$D$5:$D$882),AL$3&gt;=EOMONTH($X74,-1)+1,$Y74,TRUE,0)</f>
        <v>0</v>
      </c>
      <c r="AM74" s="202" cm="1">
        <f t="array" ref="AM74">_xlfn.IFS(AM$3&lt;$B$2,SUMPRODUCT(('PA Fees Actual'!$B$5:$B$882=$E74)*('PA Fees Actual'!$A$5:$A$882&gt;=AM$3)*('PA Fees Actual'!$A$5:$A$882&lt;=EOMONTH(AM$3,0))*'PA Fees Actual'!$D$5:$D$882),AM$3&gt;=EOMONTH($X74,-1)+1,$Y74,TRUE,0)</f>
        <v>0</v>
      </c>
      <c r="AN74" s="202" cm="1">
        <f t="array" ref="AN74">_xlfn.IFS(AN$3&lt;$B$2,SUMPRODUCT(('PA Fees Actual'!$B$5:$B$882=$E74)*('PA Fees Actual'!$A$5:$A$882&gt;=AN$3)*('PA Fees Actual'!$A$5:$A$882&lt;=EOMONTH(AN$3,0))*'PA Fees Actual'!$D$5:$D$882),AN$3&gt;=EOMONTH($X74,-1)+1,$Y74,TRUE,0)</f>
        <v>0</v>
      </c>
      <c r="AO74" s="202" cm="1">
        <f t="array" ref="AO74">_xlfn.IFS(AO$3&lt;$B$2,SUMPRODUCT(('PA Fees Actual'!$B$5:$B$882=$E74)*('PA Fees Actual'!$A$5:$A$882&gt;=AO$3)*('PA Fees Actual'!$A$5:$A$882&lt;=EOMONTH(AO$3,0))*'PA Fees Actual'!$D$5:$D$882),AO$3&gt;=EOMONTH($X74,-1)+1,$Y74,TRUE,0)</f>
        <v>0</v>
      </c>
      <c r="AP74" s="202" cm="1">
        <f t="array" ref="AP74">_xlfn.IFS(AP$3&lt;$B$2,SUMPRODUCT(('PA Fees Actual'!$B$5:$B$882=$E74)*('PA Fees Actual'!$A$5:$A$882&gt;=AP$3)*('PA Fees Actual'!$A$5:$A$882&lt;=EOMONTH(AP$3,0))*'PA Fees Actual'!$D$5:$D$882),AP$3&gt;=EOMONTH($X74,-1)+1,$Y74,TRUE,0)</f>
        <v>0</v>
      </c>
      <c r="AQ74" s="202" cm="1">
        <f t="array" ref="AQ74">_xlfn.IFS(AQ$3&lt;$B$2,SUMPRODUCT(('PA Fees Actual'!$B$5:$B$882=$E74)*('PA Fees Actual'!$A$5:$A$882&gt;=AQ$3)*('PA Fees Actual'!$A$5:$A$882&lt;=EOMONTH(AQ$3,0))*'PA Fees Actual'!$D$5:$D$882),AQ$3&gt;=EOMONTH($X74,-1)+1,$Y74,TRUE,0)</f>
        <v>0</v>
      </c>
      <c r="AR74" s="202" cm="1">
        <f t="array" ref="AR74">_xlfn.IFS(AR$3&lt;$B$2,SUMPRODUCT(('PA Fees Actual'!$B$5:$B$882=$E74)*('PA Fees Actual'!$A$5:$A$882&gt;=AR$3)*('PA Fees Actual'!$A$5:$A$882&lt;=EOMONTH(AR$3,0))*'PA Fees Actual'!$D$5:$D$882),AR$3&gt;=EOMONTH($X74,-1)+1,$Y74,TRUE,0)</f>
        <v>0</v>
      </c>
      <c r="AS74" s="202" cm="1">
        <f t="array" ref="AS74">_xlfn.IFS(AS$3&lt;$B$2,SUMPRODUCT(('PA Fees Actual'!$B$5:$B$882=$E74)*('PA Fees Actual'!$A$5:$A$882&gt;=AS$3)*('PA Fees Actual'!$A$5:$A$882&lt;=EOMONTH(AS$3,0))*'PA Fees Actual'!$D$5:$D$882),AS$3&gt;=EOMONTH($X74,-1)+1,$Y74,TRUE,0)</f>
        <v>0</v>
      </c>
      <c r="AT74" s="202" cm="1">
        <f t="array" ref="AT74">_xlfn.IFS(AT$3&lt;$B$2,SUMPRODUCT(('PA Fees Actual'!$B$5:$B$882=$E74)*('PA Fees Actual'!$A$5:$A$882&gt;=AT$3)*('PA Fees Actual'!$A$5:$A$882&lt;=EOMONTH(AT$3,0))*'PA Fees Actual'!$D$5:$D$882),AT$3&gt;=EOMONTH($X74,-1)+1,$Y74,TRUE,0)</f>
        <v>0</v>
      </c>
      <c r="AU74" s="202" cm="1">
        <f t="array" ref="AU74">_xlfn.IFS(AU$3&lt;$B$2,SUMPRODUCT(('PA Fees Actual'!$B$5:$B$882=$E74)*('PA Fees Actual'!$A$5:$A$882&gt;=AU$3)*('PA Fees Actual'!$A$5:$A$882&lt;=EOMONTH(AU$3,0))*'PA Fees Actual'!$D$5:$D$882),AU$3&gt;=EOMONTH($X74,-1)+1,$Y74,TRUE,0)</f>
        <v>0</v>
      </c>
      <c r="AV74" s="202" cm="1">
        <f t="array" ref="AV74">_xlfn.IFS(AV$3&lt;$B$2,SUMPRODUCT(('PA Fees Actual'!$B$5:$B$882=$E74)*('PA Fees Actual'!$A$5:$A$882&gt;=AV$3)*('PA Fees Actual'!$A$5:$A$882&lt;=EOMONTH(AV$3,0))*'PA Fees Actual'!$D$5:$D$882),AV$3&gt;=EOMONTH($X74,-1)+1,$Y74,TRUE,0)</f>
        <v>0</v>
      </c>
      <c r="AW74" s="202" cm="1">
        <f t="array" ref="AW74">_xlfn.IFS(AW$3&lt;$B$2,SUMPRODUCT(('PA Fees Actual'!$B$5:$B$882=$E74)*('PA Fees Actual'!$A$5:$A$882&gt;=AW$3)*('PA Fees Actual'!$A$5:$A$882&lt;=EOMONTH(AW$3,0))*'PA Fees Actual'!$D$5:$D$882),AW$3&gt;=EOMONTH($X74,-1)+1,$Y74,TRUE,0)</f>
        <v>0</v>
      </c>
      <c r="AX74" s="202" cm="1">
        <f t="array" ref="AX74">_xlfn.IFS(AX$3&lt;$B$2,SUMPRODUCT(('PA Fees Actual'!$B$5:$B$882=$E74)*('PA Fees Actual'!$A$5:$A$882&gt;=AX$3)*('PA Fees Actual'!$A$5:$A$882&lt;=EOMONTH(AX$3,0))*'PA Fees Actual'!$D$5:$D$882),AX$3&gt;=EOMONTH($X74,-1)+1,$Y74,TRUE,0)</f>
        <v>0</v>
      </c>
      <c r="AY74" s="202" cm="1">
        <f t="array" ref="AY74">_xlfn.IFS(AY$3&lt;$B$2,SUMPRODUCT(('PA Fees Actual'!$B$5:$B$882=$E74)*('PA Fees Actual'!$A$5:$A$882&gt;=AY$3)*('PA Fees Actual'!$A$5:$A$882&lt;=EOMONTH(AY$3,0))*'PA Fees Actual'!$D$5:$D$882),AY$3&gt;=EOMONTH($X74,-1)+1,$Y74,TRUE,0)</f>
        <v>0</v>
      </c>
      <c r="AZ74" s="202" cm="1">
        <f t="array" ref="AZ74">_xlfn.IFS(AZ$3&lt;$B$2,SUMPRODUCT(('PA Fees Actual'!$B$5:$B$882=$E74)*('PA Fees Actual'!$A$5:$A$882&gt;=AZ$3)*('PA Fees Actual'!$A$5:$A$882&lt;=EOMONTH(AZ$3,0))*'PA Fees Actual'!$D$5:$D$882),AZ$3&gt;=EOMONTH($X74,-1)+1,$Y74,TRUE,0)</f>
        <v>0</v>
      </c>
      <c r="BA74" s="202" cm="1">
        <f t="array" ref="BA74">_xlfn.IFS(BA$3&lt;$B$2,SUMPRODUCT(('PA Fees Actual'!$B$5:$B$882=$E74)*('PA Fees Actual'!$A$5:$A$882&gt;=BA$3)*('PA Fees Actual'!$A$5:$A$882&lt;=EOMONTH(BA$3,0))*'PA Fees Actual'!$D$5:$D$882),BA$3&gt;=EOMONTH($X74,-1)+1,$Y74,TRUE,0)</f>
        <v>0</v>
      </c>
      <c r="BB74" s="202" cm="1">
        <f t="array" ref="BB74">_xlfn.IFS(BB$3&lt;$B$2,SUMPRODUCT(('PA Fees Actual'!$B$5:$B$882=$E74)*('PA Fees Actual'!$A$5:$A$882&gt;=BB$3)*('PA Fees Actual'!$A$5:$A$882&lt;=EOMONTH(BB$3,0))*'PA Fees Actual'!$D$5:$D$882),BB$3&gt;=EOMONTH($X74,-1)+1,$Y74,TRUE,0)</f>
        <v>0</v>
      </c>
      <c r="BC74" s="202" cm="1">
        <f t="array" ref="BC74">_xlfn.IFS(BC$3&lt;$B$2,SUMPRODUCT(('PA Fees Actual'!$B$5:$B$882=$E74)*('PA Fees Actual'!$A$5:$A$882&gt;=BC$3)*('PA Fees Actual'!$A$5:$A$882&lt;=EOMONTH(BC$3,0))*'PA Fees Actual'!$D$5:$D$882),BC$3&gt;=EOMONTH($X74,-1)+1,$Y74,TRUE,0)</f>
        <v>0</v>
      </c>
      <c r="BD74" s="202" cm="1">
        <f t="array" ref="BD74">_xlfn.IFS(BD$3&lt;$B$2,SUMPRODUCT(('PA Fees Actual'!$B$5:$B$882=$E74)*('PA Fees Actual'!$A$5:$A$882&gt;=BD$3)*('PA Fees Actual'!$A$5:$A$882&lt;=EOMONTH(BD$3,0))*'PA Fees Actual'!$D$5:$D$882),BD$3&gt;=EOMONTH($X74,-1)+1,$Y74,TRUE,0)</f>
        <v>0</v>
      </c>
      <c r="BE74" s="202" cm="1">
        <f t="array" ref="BE74">_xlfn.IFS(BE$3&lt;$B$2,SUMPRODUCT(('PA Fees Actual'!$B$5:$B$882=$E74)*('PA Fees Actual'!$A$5:$A$882&gt;=BE$3)*('PA Fees Actual'!$A$5:$A$882&lt;=EOMONTH(BE$3,0))*'PA Fees Actual'!$D$5:$D$882),BE$3&gt;=EOMONTH($X74,-1)+1,$Y74,TRUE,0)</f>
        <v>0</v>
      </c>
      <c r="BF74" s="202" cm="1">
        <f t="array" ref="BF74">_xlfn.IFS(BF$3&lt;$B$2,SUMPRODUCT(('PA Fees Actual'!$B$5:$B$882=$E74)*('PA Fees Actual'!$A$5:$A$882&gt;=BF$3)*('PA Fees Actual'!$A$5:$A$882&lt;=EOMONTH(BF$3,0))*'PA Fees Actual'!$D$5:$D$882),BF$3&gt;=EOMONTH($X74,-1)+1,$Y74,TRUE,0)</f>
        <v>0</v>
      </c>
      <c r="BG74" s="202" cm="1">
        <f t="array" ref="BG74">_xlfn.IFS(BG$3&lt;$B$2,SUMPRODUCT(('PA Fees Actual'!$B$5:$B$882=$E74)*('PA Fees Actual'!$A$5:$A$882&gt;=BG$3)*('PA Fees Actual'!$A$5:$A$882&lt;=EOMONTH(BG$3,0))*'PA Fees Actual'!$D$5:$D$882),BG$3&gt;=EOMONTH($X74,-1)+1,$Y74,TRUE,0)</f>
        <v>0</v>
      </c>
      <c r="BH74" s="202" cm="1">
        <f t="array" ref="BH74">_xlfn.IFS(BH$3&lt;$B$2,SUMPRODUCT(('PA Fees Actual'!$B$5:$B$882=$E74)*('PA Fees Actual'!$A$5:$A$882&gt;=BH$3)*('PA Fees Actual'!$A$5:$A$882&lt;=EOMONTH(BH$3,0))*'PA Fees Actual'!$D$5:$D$882),BH$3&gt;=EOMONTH($X74,-1)+1,$Y74,TRUE,0)</f>
        <v>0</v>
      </c>
      <c r="BI74" s="202" cm="1">
        <f t="array" ref="BI74">_xlfn.IFS(BI$3&lt;$B$2,SUMPRODUCT(('PA Fees Actual'!$B$5:$B$882=$E74)*('PA Fees Actual'!$A$5:$A$882&gt;=BI$3)*('PA Fees Actual'!$A$5:$A$882&lt;=EOMONTH(BI$3,0))*'PA Fees Actual'!$D$5:$D$882),BI$3&gt;=EOMONTH($X74,-1)+1,$Y74,TRUE,0)</f>
        <v>0</v>
      </c>
      <c r="BJ74" s="202" cm="1">
        <f t="array" ref="BJ74">_xlfn.IFS(BJ$3&lt;$B$2,SUMPRODUCT(('PA Fees Actual'!$B$5:$B$882=$E74)*('PA Fees Actual'!$A$5:$A$882&gt;=BJ$3)*('PA Fees Actual'!$A$5:$A$882&lt;=EOMONTH(BJ$3,0))*'PA Fees Actual'!$D$5:$D$882),BJ$3&gt;=EOMONTH($X74,-1)+1,$Y74,TRUE,0)</f>
        <v>0</v>
      </c>
      <c r="BK74" s="202" cm="1">
        <f t="array" ref="BK74">_xlfn.IFS(BK$3&lt;$B$2,SUMPRODUCT(('PA Fees Actual'!$B$5:$B$882=$E74)*('PA Fees Actual'!$A$5:$A$882&gt;=BK$3)*('PA Fees Actual'!$A$5:$A$882&lt;=EOMONTH(BK$3,0))*'PA Fees Actual'!$D$5:$D$882),BK$3&gt;=EOMONTH($X74,-1)+1,$Y74,TRUE,0)</f>
        <v>0</v>
      </c>
      <c r="BL74" s="202" cm="1">
        <f t="array" ref="BL74">_xlfn.IFS(BL$3&lt;$B$2,SUMPRODUCT(('PA Fees Actual'!$B$5:$B$882=$E74)*('PA Fees Actual'!$A$5:$A$882&gt;=BL$3)*('PA Fees Actual'!$A$5:$A$882&lt;=EOMONTH(BL$3,0))*'PA Fees Actual'!$D$5:$D$882),BL$3&gt;=EOMONTH($X74,-1)+1,$Y74,TRUE,0)</f>
        <v>0</v>
      </c>
      <c r="BM74" s="202" cm="1">
        <f t="array" ref="BM74">_xlfn.IFS(BM$3&lt;$B$2,SUMPRODUCT(('PA Fees Actual'!$B$5:$B$882=$E74)*('PA Fees Actual'!$A$5:$A$882&gt;=BM$3)*('PA Fees Actual'!$A$5:$A$882&lt;=EOMONTH(BM$3,0))*'PA Fees Actual'!$D$5:$D$882),BM$3&gt;=EOMONTH($X74,-1)+1,$Y74,TRUE,0)</f>
        <v>0</v>
      </c>
      <c r="BN74" s="202" cm="1">
        <f t="array" ref="BN74">_xlfn.IFS(BN$3&lt;$B$2,SUMPRODUCT(('PA Fees Actual'!$B$5:$B$882=$E74)*('PA Fees Actual'!$A$5:$A$882&gt;=BN$3)*('PA Fees Actual'!$A$5:$A$882&lt;=EOMONTH(BN$3,0))*'PA Fees Actual'!$D$5:$D$882),BN$3&gt;=EOMONTH($X74,-1)+1,$Y74,TRUE,0)</f>
        <v>0</v>
      </c>
      <c r="BO74" s="202" cm="1">
        <f t="array" ref="BO74">_xlfn.IFS(BO$3&lt;$B$2,SUMPRODUCT(('PA Fees Actual'!$B$5:$B$882=$E74)*('PA Fees Actual'!$A$5:$A$882&gt;=BO$3)*('PA Fees Actual'!$A$5:$A$882&lt;=EOMONTH(BO$3,0))*'PA Fees Actual'!$D$5:$D$882),BO$3&gt;=EOMONTH($X74,-1)+1,$Y74,TRUE,0)</f>
        <v>0</v>
      </c>
      <c r="BP74" s="202" cm="1">
        <f t="array" ref="BP74">_xlfn.IFS(BP$3&lt;$B$2,SUMPRODUCT(('PA Fees Actual'!$B$5:$B$882=$E74)*('PA Fees Actual'!$A$5:$A$882&gt;=BP$3)*('PA Fees Actual'!$A$5:$A$882&lt;=EOMONTH(BP$3,0))*'PA Fees Actual'!$D$5:$D$882),BP$3&gt;=EOMONTH($X74,-1)+1,$Y74,TRUE,0)</f>
        <v>0</v>
      </c>
      <c r="BQ74" s="202" cm="1">
        <f t="array" ref="BQ74">_xlfn.IFS(BQ$3&lt;$B$2,SUMPRODUCT(('PA Fees Actual'!$B$5:$B$882=$E74)*('PA Fees Actual'!$A$5:$A$882&gt;=BQ$3)*('PA Fees Actual'!$A$5:$A$882&lt;=EOMONTH(BQ$3,0))*'PA Fees Actual'!$D$5:$D$882),BQ$3&gt;=EOMONTH($X74,-1)+1,$Y74,TRUE,0)</f>
        <v>0</v>
      </c>
      <c r="BR74" s="202" cm="1">
        <f t="array" ref="BR74">_xlfn.IFS(BR$3&lt;$B$2,SUMPRODUCT(('PA Fees Actual'!$B$5:$B$882=$E74)*('PA Fees Actual'!$A$5:$A$882&gt;=BR$3)*('PA Fees Actual'!$A$5:$A$882&lt;=EOMONTH(BR$3,0))*'PA Fees Actual'!$D$5:$D$882),BR$3&gt;=EOMONTH($X74,-1)+1,$Y74,TRUE,0)</f>
        <v>0</v>
      </c>
      <c r="BS74" s="202" cm="1">
        <f t="array" ref="BS74">_xlfn.IFS(BS$3&lt;$B$2,SUMPRODUCT(('PA Fees Actual'!$B$5:$B$882=$E74)*('PA Fees Actual'!$A$5:$A$882&gt;=BS$3)*('PA Fees Actual'!$A$5:$A$882&lt;=EOMONTH(BS$3,0))*'PA Fees Actual'!$D$5:$D$882),BS$3&gt;=EOMONTH($X74,-1)+1,$Y74,TRUE,0)</f>
        <v>0</v>
      </c>
      <c r="BT74" s="202" cm="1">
        <f t="array" ref="BT74">_xlfn.IFS(BT$3&lt;$B$2,SUMPRODUCT(('PA Fees Actual'!$B$5:$B$882=$E74)*('PA Fees Actual'!$A$5:$A$882&gt;=BT$3)*('PA Fees Actual'!$A$5:$A$882&lt;=EOMONTH(BT$3,0))*'PA Fees Actual'!$D$5:$D$882),BT$3&gt;=EOMONTH($X74,-1)+1,$Y74,TRUE,0)</f>
        <v>0</v>
      </c>
      <c r="BU74" s="202" cm="1">
        <f t="array" ref="BU74">_xlfn.IFS(BU$3&lt;$B$2,SUMPRODUCT(('PA Fees Actual'!$B$5:$B$882=$E74)*('PA Fees Actual'!$A$5:$A$882&gt;=BU$3)*('PA Fees Actual'!$A$5:$A$882&lt;=EOMONTH(BU$3,0))*'PA Fees Actual'!$D$5:$D$882),BU$3&gt;=EOMONTH($X74,-1)+1,$Y74,TRUE,0)</f>
        <v>0</v>
      </c>
      <c r="BV74" s="202" cm="1">
        <f t="array" ref="BV74">_xlfn.IFS(BV$3&lt;$B$2,SUMPRODUCT(('PA Fees Actual'!$B$5:$B$882=$E74)*('PA Fees Actual'!$A$5:$A$882&gt;=BV$3)*('PA Fees Actual'!$A$5:$A$882&lt;=EOMONTH(BV$3,0))*'PA Fees Actual'!$D$5:$D$882),BV$3&gt;=EOMONTH($X74,-1)+1,$Y74,TRUE,0)</f>
        <v>0</v>
      </c>
      <c r="BW74" s="202" cm="1">
        <f t="array" ref="BW74">_xlfn.IFS(BW$3&lt;$B$2,SUMPRODUCT(('PA Fees Actual'!$B$5:$B$882=$E74)*('PA Fees Actual'!$A$5:$A$882&gt;=BW$3)*('PA Fees Actual'!$A$5:$A$882&lt;=EOMONTH(BW$3,0))*'PA Fees Actual'!$D$5:$D$882),BW$3&gt;=EOMONTH($X74,-1)+1,$Y74,TRUE,0)</f>
        <v>0</v>
      </c>
      <c r="BX74" s="202" cm="1">
        <f t="array" ref="BX74">_xlfn.IFS(BX$3&lt;$B$2,SUMPRODUCT(('PA Fees Actual'!$B$5:$B$882=$E74)*('PA Fees Actual'!$A$5:$A$882&gt;=BX$3)*('PA Fees Actual'!$A$5:$A$882&lt;=EOMONTH(BX$3,0))*'PA Fees Actual'!$D$5:$D$882),BX$3&gt;=EOMONTH($X74,-1)+1,$Y74,TRUE,0)</f>
        <v>0</v>
      </c>
      <c r="BY74" s="202" cm="1">
        <f t="array" ref="BY74">_xlfn.IFS(BY$3&lt;$B$2,SUMPRODUCT(('PA Fees Actual'!$B$5:$B$882=$E74)*('PA Fees Actual'!$A$5:$A$882&gt;=BY$3)*('PA Fees Actual'!$A$5:$A$882&lt;=EOMONTH(BY$3,0))*'PA Fees Actual'!$D$5:$D$882),BY$3&gt;=EOMONTH($X74,-1)+1,$Y74,TRUE,0)</f>
        <v>0</v>
      </c>
      <c r="BZ74" s="202" cm="1">
        <f t="array" ref="BZ74">_xlfn.IFS(BZ$3&lt;$B$2,SUMPRODUCT(('PA Fees Actual'!$B$5:$B$882=$E74)*('PA Fees Actual'!$A$5:$A$882&gt;=BZ$3)*('PA Fees Actual'!$A$5:$A$882&lt;=EOMONTH(BZ$3,0))*'PA Fees Actual'!$D$5:$D$882),BZ$3&gt;=EOMONTH($X74,-1)+1,$Y74,TRUE,0)</f>
        <v>0</v>
      </c>
      <c r="CA74" s="202" cm="1">
        <f t="array" ref="CA74">_xlfn.IFS(CA$3&lt;$B$2,SUMPRODUCT(('PA Fees Actual'!$B$5:$B$882=$E74)*('PA Fees Actual'!$A$5:$A$882&gt;=CA$3)*('PA Fees Actual'!$A$5:$A$882&lt;=EOMONTH(CA$3,0))*'PA Fees Actual'!$D$5:$D$882),CA$3&gt;=EOMONTH($X74,-1)+1,$Y74,TRUE,0)</f>
        <v>0</v>
      </c>
      <c r="CB74" s="202" cm="1">
        <f t="array" ref="CB74">_xlfn.IFS(CB$3&lt;$B$2,SUMPRODUCT(('PA Fees Actual'!$B$5:$B$749=$E74)*('PA Fees Actual'!$A$5:$A$749&gt;=CB$3)*('PA Fees Actual'!$A$5:$A$749&lt;=EOMONTH(CB$3,0))*'PA Fees Actual'!$D$5:$D$749),CB$3&gt;=EOMONTH($X74,-1)+1,$Y74,TRUE,0)</f>
        <v>0</v>
      </c>
      <c r="CC74" s="202" cm="1">
        <f t="array" ref="CC74">_xlfn.IFS(CC$3&lt;$B$2,SUMPRODUCT(('PA Fees Actual'!$B$5:$B$749=$E74)*('PA Fees Actual'!$A$5:$A$749&gt;=CC$3)*('PA Fees Actual'!$A$5:$A$749&lt;=EOMONTH(CC$3,0))*'PA Fees Actual'!$D$5:$D$749),CC$3&gt;=EOMONTH($X74,-1)+1,$Y74,TRUE,0)</f>
        <v>0</v>
      </c>
      <c r="CD74" s="202" cm="1">
        <f t="array" ref="CD74">_xlfn.IFS(CD$3&lt;$B$2,SUMPRODUCT(('PA Fees Actual'!$B$5:$B$749=$E74)*('PA Fees Actual'!$A$5:$A$749&gt;=CD$3)*('PA Fees Actual'!$A$5:$A$749&lt;=EOMONTH(CD$3,0))*'PA Fees Actual'!$D$5:$D$749),CD$3&gt;=EOMONTH($X74,-1)+1,$Y74,TRUE,0)</f>
        <v>0</v>
      </c>
      <c r="CE74" s="202" cm="1">
        <f t="array" ref="CE74">_xlfn.IFS(CE$3&lt;$B$2,SUMPRODUCT(('PA Fees Actual'!$B$5:$B$749=$E74)*('PA Fees Actual'!$A$5:$A$749&gt;=CE$3)*('PA Fees Actual'!$A$5:$A$749&lt;=EOMONTH(CE$3,0))*'PA Fees Actual'!$D$5:$D$749),CE$3&gt;=EOMONTH($X74,-1)+1,$Y74,TRUE,0)</f>
        <v>0</v>
      </c>
      <c r="CF74" s="202" cm="1">
        <f t="array" ref="CF74">_xlfn.IFS(CF$3&lt;$B$2,SUMPRODUCT(('PA Fees Actual'!$B$5:$B$749=$E74)*('PA Fees Actual'!$A$5:$A$749&gt;=CF$3)*('PA Fees Actual'!$A$5:$A$749&lt;=EOMONTH(CF$3,0))*'PA Fees Actual'!$D$5:$D$749),CF$3&gt;=EOMONTH($X74,-1)+1,$Y74,TRUE,0)</f>
        <v>0</v>
      </c>
      <c r="CG74" s="202" cm="1">
        <f t="array" ref="CG74">_xlfn.IFS(CG$3&lt;$B$2,SUMPRODUCT(('PA Fees Actual'!$B$5:$B$749=$E74)*('PA Fees Actual'!$A$5:$A$749&gt;=CG$3)*('PA Fees Actual'!$A$5:$A$749&lt;=EOMONTH(CG$3,0))*'PA Fees Actual'!$D$5:$D$749),CG$3&gt;=EOMONTH($X74,-1)+1,$Y74,TRUE,0)</f>
        <v>0</v>
      </c>
      <c r="CI74" s="202" cm="1">
        <f t="array" ref="CI74">_xlfn.IFS(CI$3&lt;=YEAR($B$2),SUMPRODUCT(($E$4:$E$79=$E74)*($Z$2:$CG$2=CI$3)*($Z$2:$CG$2&lt;CJ$3)*$Z$4:$CG$79),CI$3&lt;YEAR($X74),0,CI$3=YEAR($X74),DATEDIF($X74,DATE(CI$3,12,31),"m")*$Y74,AND(CI$3&gt;YEAR($X74),CI$3-YEAR($X74)&lt;20),$Y74*12,CI$3-YEAR($X74)=20,DATEDIF(DATE(YEAR($X74),1,1),$X74,"m")*$Y74,CI$3-YEAR($X74)&gt;20,0)</f>
        <v>0</v>
      </c>
      <c r="CJ74" s="202" cm="1">
        <f t="array" ref="CJ74">_xlfn.IFS(CJ$3&lt;=YEAR($B$2),SUMPRODUCT(($E$4:$E$79=$E74)*($Z$2:$CG$2=CJ$3)*($Z$2:$CG$2&lt;CK$3)*$Z$4:$CG$79),CJ$3&lt;YEAR($X74),0,CJ$3=YEAR($X74),DATEDIF($X74,DATE(CJ$3,12,31),"m")*$Y74,AND(CJ$3&gt;YEAR($X74),CJ$3-YEAR($X74)&lt;20),$Y74*12,CJ$3-YEAR($X74)=20,DATEDIF(DATE(YEAR($X74),1,1),$X74,"m")*$Y74,CJ$3-YEAR($X74)&gt;20,0)</f>
        <v>0</v>
      </c>
      <c r="CK74" s="202" cm="1">
        <f t="array" ref="CK74">_xlfn.IFS(CK$3&lt;=YEAR($B$2),SUMPRODUCT(($E$4:$E$79=$E74)*($Z$2:$CG$2=CK$3)*($Z$2:$CG$2&lt;CL$3)*$Z$4:$CG$79),CK$3&lt;YEAR($X74),0,CK$3=YEAR($X74),DATEDIF($X74,DATE(CK$3,12,31),"m")*$Y74,AND(CK$3&gt;YEAR($X74),CK$3-YEAR($X74)&lt;20),$Y74*12,CK$3-YEAR($X74)=20,DATEDIF(DATE(YEAR($X74),1,1),$X74,"m")*$Y74,CK$3-YEAR($X74)&gt;20,0)</f>
        <v>0</v>
      </c>
      <c r="CL74" s="202" cm="1">
        <f t="array" ref="CL74">_xlfn.IFS(CL$3&lt;=YEAR($B$2),SUMPRODUCT(($E$4:$E$79=$E74)*($Z$2:$CG$2=CL$3)*($Z$2:$CG$2&lt;CM$3)*$Z$4:$CG$79),CL$3&lt;YEAR($X74),0,CL$3=YEAR($X74),DATEDIF($X74,DATE(CL$3,12,31),"m")*$Y74,AND(CL$3&gt;YEAR($X74),CL$3-YEAR($X74)&lt;20),$Y74*12,CL$3-YEAR($X74)=20,DATEDIF(DATE(YEAR($X74),1,1),$X74,"m")*$Y74,CL$3-YEAR($X74)&gt;20,0)</f>
        <v>0</v>
      </c>
      <c r="CM74" s="202" cm="1">
        <f t="array" ref="CM74">_xlfn.IFS(CM$3&lt;=YEAR($B$2),SUMPRODUCT(($E$4:$E$79=$E74)*($Z$2:$CG$2=CM$3)*($Z$2:$CG$2&lt;CN$3)*$Z$4:$CG$79),CM$3&lt;YEAR($X74),0,CM$3=YEAR($X74),DATEDIF($X74,DATE(CM$3,12,31),"m")*$Y74,AND(CM$3&gt;YEAR($X74),CM$3-YEAR($X74)&lt;20),$Y74*12,CM$3-YEAR($X74)=20,DATEDIF(DATE(YEAR($X74),1,1),$X74,"m")*$Y74,CM$3-YEAR($X74)&gt;20,0)</f>
        <v>0</v>
      </c>
      <c r="CN74" s="202" cm="1">
        <f t="array" ref="CN74">_xlfn.IFS(CN$3&lt;=YEAR($B$2),SUMPRODUCT(($E$4:$E$79=$E74)*($Z$2:$CG$2=CN$3)*($Z$2:$CG$2&lt;CO$3)*$Z$4:$CG$79),CN$3&lt;YEAR($X74),0,CN$3=YEAR($X74),DATEDIF($X74,DATE(CN$3,12,31),"m")*$Y74,AND(CN$3&gt;YEAR($X74),CN$3-YEAR($X74)&lt;20),$Y74*12,CN$3-YEAR($X74)=20,DATEDIF(DATE(YEAR($X74),1,1),$X74,"m")*$Y74,CN$3-YEAR($X74)&gt;20,0)</f>
        <v>0</v>
      </c>
      <c r="CO74" s="202" cm="1">
        <f t="array" ref="CO74">_xlfn.IFS(CO$3&lt;=YEAR($B$2),SUMPRODUCT(($E$4:$E$79=$E74)*($Z$2:$CG$2=CO$3)*($Z$2:$CG$2&lt;CP$3)*$Z$4:$CG$79),CO$3&lt;YEAR($X74),0,CO$3=YEAR($X74),DATEDIF($X74,DATE(CO$3,12,31),"m")*$Y74,AND(CO$3&gt;YEAR($X74),CO$3-YEAR($X74)&lt;20),$Y74*12,CO$3-YEAR($X74)=20,DATEDIF(DATE(YEAR($X74),1,1),$X74,"m")*$Y74,CO$3-YEAR($X74)&gt;20,0)</f>
        <v>888.93</v>
      </c>
      <c r="CP74" s="202" cm="1">
        <f t="array" ref="CP74">_xlfn.IFS(CP$3&lt;=YEAR($B$2),SUMPRODUCT(($E$4:$E$79=$E74)*($Z$2:$CG$2=CP$3)*($Z$2:$CG$2&lt;CQ$3)*$Z$4:$CG$79),CP$3&lt;YEAR($X74),0,CP$3=YEAR($X74),DATEDIF($X74,DATE(CP$3,12,31),"m")*$Y74,AND(CP$3&gt;YEAR($X74),CP$3-YEAR($X74)&lt;20),$Y74*12,CP$3-YEAR($X74)=20,DATEDIF(DATE(YEAR($X74),1,1),$X74,"m")*$Y74,CP$3-YEAR($X74)&gt;20,0)</f>
        <v>1523.8799999999999</v>
      </c>
      <c r="CQ74" s="202" cm="1">
        <f t="array" ref="CQ74">_xlfn.IFS(CQ$3&lt;=YEAR($B$2),SUMPRODUCT(($E$4:$E$79=$E74)*($Z$2:$CG$2=CQ$3)*($Z$2:$CG$2&lt;CR$3)*$Z$4:$CG$79),CQ$3&lt;YEAR($X74),0,CQ$3=YEAR($X74),DATEDIF($X74,DATE(CQ$3,12,31),"m")*$Y74,AND(CQ$3&gt;YEAR($X74),CQ$3-YEAR($X74)&lt;20),$Y74*12,CQ$3-YEAR($X74)=20,DATEDIF(DATE(YEAR($X74),1,1),$X74,"m")*$Y74,CQ$3-YEAR($X74)&gt;20,0)</f>
        <v>1523.8799999999999</v>
      </c>
      <c r="CR74" s="202" cm="1">
        <f t="array" ref="CR74">_xlfn.IFS(CR$3&lt;=YEAR($B$2),SUMPRODUCT(($E$4:$E$79=$E74)*($Z$2:$CG$2=CR$3)*($Z$2:$CG$2&lt;CS$3)*$Z$4:$CG$79),CR$3&lt;YEAR($X74),0,CR$3=YEAR($X74),DATEDIF($X74,DATE(CR$3,12,31),"m")*$Y74,AND(CR$3&gt;YEAR($X74),CR$3-YEAR($X74)&lt;20),$Y74*12,CR$3-YEAR($X74)=20,DATEDIF(DATE(YEAR($X74),1,1),$X74,"m")*$Y74,CR$3-YEAR($X74)&gt;20,0)</f>
        <v>1523.8799999999999</v>
      </c>
      <c r="CS74" s="202" cm="1">
        <f t="array" ref="CS74">_xlfn.IFS(CS$3&lt;=YEAR($B$2),SUMPRODUCT(($E$4:$E$79=$E74)*($Z$2:$CG$2=CS$3)*($Z$2:$CG$2&lt;CT$3)*$Z$4:$CG$79),CS$3&lt;YEAR($X74),0,CS$3=YEAR($X74),DATEDIF($X74,DATE(CS$3,12,31),"m")*$Y74,AND(CS$3&gt;YEAR($X74),CS$3-YEAR($X74)&lt;20),$Y74*12,CS$3-YEAR($X74)=20,DATEDIF(DATE(YEAR($X74),1,1),$X74,"m")*$Y74,CS$3-YEAR($X74)&gt;20,0)</f>
        <v>1523.8799999999999</v>
      </c>
      <c r="CT74" s="202" cm="1">
        <f t="array" ref="CT74">_xlfn.IFS(CT$3&lt;=YEAR($B$2),SUMPRODUCT(($E$4:$E$79=$E74)*($Z$2:$CG$2=CT$3)*($Z$2:$CG$2&lt;CU$3)*$Z$4:$CG$79),CT$3&lt;YEAR($X74),0,CT$3=YEAR($X74),DATEDIF($X74,DATE(CT$3,12,31),"m")*$Y74,AND(CT$3&gt;YEAR($X74),CT$3-YEAR($X74)&lt;20),$Y74*12,CT$3-YEAR($X74)=20,DATEDIF(DATE(YEAR($X74),1,1),$X74,"m")*$Y74,CT$3-YEAR($X74)&gt;20,0)</f>
        <v>1523.8799999999999</v>
      </c>
      <c r="CU74" s="202" cm="1">
        <f t="array" ref="CU74">_xlfn.IFS(CU$3&lt;=YEAR($B$2),SUMPRODUCT(($E$4:$E$79=$E74)*($Z$2:$CG$2=CU$3)*($Z$2:$CG$2&lt;CV$3)*$Z$4:$CG$79),CU$3&lt;YEAR($X74),0,CU$3=YEAR($X74),DATEDIF($X74,DATE(CU$3,12,31),"m")*$Y74,AND(CU$3&gt;YEAR($X74),CU$3-YEAR($X74)&lt;20),$Y74*12,CU$3-YEAR($X74)=20,DATEDIF(DATE(YEAR($X74),1,1),$X74,"m")*$Y74,CU$3-YEAR($X74)&gt;20,0)</f>
        <v>1523.8799999999999</v>
      </c>
      <c r="CV74" s="202" cm="1">
        <f t="array" ref="CV74">_xlfn.IFS(CV$3&lt;=YEAR($B$2),SUMPRODUCT(($E$4:$E$79=$E74)*($Z$2:$CG$2=CV$3)*($Z$2:$CG$2&lt;CW$3)*$Z$4:$CG$79),CV$3&lt;YEAR($X74),0,CV$3=YEAR($X74),DATEDIF($X74,DATE(CV$3,12,31),"m")*$Y74,AND(CV$3&gt;YEAR($X74),CV$3-YEAR($X74)&lt;20),$Y74*12,CV$3-YEAR($X74)=20,DATEDIF(DATE(YEAR($X74),1,1),$X74,"m")*$Y74,CV$3-YEAR($X74)&gt;20,0)</f>
        <v>1523.8799999999999</v>
      </c>
      <c r="CW74" s="202" cm="1">
        <f t="array" ref="CW74">_xlfn.IFS(CW$3&lt;=YEAR($B$2),SUMPRODUCT(($E$4:$E$79=$E74)*($Z$2:$CG$2=CW$3)*($Z$2:$CG$2&lt;CX$3)*$Z$4:$CG$79),CW$3&lt;YEAR($X74),0,CW$3=YEAR($X74),DATEDIF($X74,DATE(CW$3,12,31),"m")*$Y74,AND(CW$3&gt;YEAR($X74),CW$3-YEAR($X74)&lt;20),$Y74*12,CW$3-YEAR($X74)=20,DATEDIF(DATE(YEAR($X74),1,1),$X74,"m")*$Y74,CW$3-YEAR($X74)&gt;20,0)</f>
        <v>1523.8799999999999</v>
      </c>
      <c r="CX74" s="202" cm="1">
        <f t="array" ref="CX74">_xlfn.IFS(CX$3&lt;=YEAR($B$2),SUMPRODUCT(($E$4:$E$79=$E74)*($Z$2:$CG$2=CX$3)*($Z$2:$CG$2&lt;CY$3)*$Z$4:$CG$79),CX$3&lt;YEAR($X74),0,CX$3=YEAR($X74),DATEDIF($X74,DATE(CX$3,12,31),"m")*$Y74,AND(CX$3&gt;YEAR($X74),CX$3-YEAR($X74)&lt;20),$Y74*12,CX$3-YEAR($X74)=20,DATEDIF(DATE(YEAR($X74),1,1),$X74,"m")*$Y74,CX$3-YEAR($X74)&gt;20,0)</f>
        <v>1523.8799999999999</v>
      </c>
      <c r="CY74" s="202" cm="1">
        <f t="array" ref="CY74">_xlfn.IFS(CY$3&lt;=YEAR($B$2),SUMPRODUCT(($E$4:$E$79=$E74)*($Z$2:$CG$2=CY$3)*($Z$2:$CG$2&lt;CZ$3)*$Z$4:$CG$79),CY$3&lt;YEAR($X74),0,CY$3=YEAR($X74),DATEDIF($X74,DATE(CY$3,12,31),"m")*$Y74,AND(CY$3&gt;YEAR($X74),CY$3-YEAR($X74)&lt;20),$Y74*12,CY$3-YEAR($X74)=20,DATEDIF(DATE(YEAR($X74),1,1),$X74,"m")*$Y74,CY$3-YEAR($X74)&gt;20,0)</f>
        <v>1523.8799999999999</v>
      </c>
      <c r="CZ74" s="202" cm="1">
        <f t="array" ref="CZ74">_xlfn.IFS(CZ$3&lt;=YEAR($B$2),SUMPRODUCT(($E$4:$E$79=$E74)*($Z$2:$CG$2=CZ$3)*($Z$2:$CG$2&lt;DA$3)*$Z$4:$CG$79),CZ$3&lt;YEAR($X74),0,CZ$3=YEAR($X74),DATEDIF($X74,DATE(CZ$3,12,31),"m")*$Y74,AND(CZ$3&gt;YEAR($X74),CZ$3-YEAR($X74)&lt;20),$Y74*12,CZ$3-YEAR($X74)=20,DATEDIF(DATE(YEAR($X74),1,1),$X74,"m")*$Y74,CZ$3-YEAR($X74)&gt;20,0)</f>
        <v>1523.8799999999999</v>
      </c>
      <c r="DA74" s="202" cm="1">
        <f t="array" ref="DA74">_xlfn.IFS(DA$3&lt;=YEAR($B$2),SUMPRODUCT(($E$4:$E$79=$E74)*($Z$2:$CG$2=DA$3)*($Z$2:$CG$2&lt;DB$3)*$Z$4:$CG$79),DA$3&lt;YEAR($X74),0,DA$3=YEAR($X74),DATEDIF($X74,DATE(DA$3,12,31),"m")*$Y74,AND(DA$3&gt;YEAR($X74),DA$3-YEAR($X74)&lt;20),$Y74*12,DA$3-YEAR($X74)=20,DATEDIF(DATE(YEAR($X74),1,1),$X74,"m")*$Y74,DA$3-YEAR($X74)&gt;20,0)</f>
        <v>1523.8799999999999</v>
      </c>
      <c r="DB74" s="202" cm="1">
        <f t="array" ref="DB74">_xlfn.IFS(DB$3&lt;=YEAR($B$2),SUMPRODUCT(($E$4:$E$79=$E74)*($Z$2:$CG$2=DB$3)*($Z$2:$CG$2&lt;DC$3)*$Z$4:$CG$79),DB$3&lt;YEAR($X74),0,DB$3=YEAR($X74),DATEDIF($X74,DATE(DB$3,12,31),"m")*$Y74,AND(DB$3&gt;YEAR($X74),DB$3-YEAR($X74)&lt;20),$Y74*12,DB$3-YEAR($X74)=20,DATEDIF(DATE(YEAR($X74),1,1),$X74,"m")*$Y74,DB$3-YEAR($X74)&gt;20,0)</f>
        <v>1523.8799999999999</v>
      </c>
      <c r="DC74" s="202" cm="1">
        <f t="array" ref="DC74">_xlfn.IFS(DC$3&lt;=YEAR($B$2),SUMPRODUCT(($E$4:$E$79=$E74)*($Z$2:$CG$2=DC$3)*($Z$2:$CG$2&lt;DD$3)*$Z$4:$CG$79),DC$3&lt;YEAR($X74),0,DC$3=YEAR($X74),DATEDIF($X74,DATE(DC$3,12,31),"m")*$Y74,AND(DC$3&gt;YEAR($X74),DC$3-YEAR($X74)&lt;20),$Y74*12,DC$3-YEAR($X74)=20,DATEDIF(DATE(YEAR($X74),1,1),$X74,"m")*$Y74,DC$3-YEAR($X74)&gt;20,0)</f>
        <v>1523.8799999999999</v>
      </c>
      <c r="DD74" s="202" cm="1">
        <f t="array" ref="DD74">_xlfn.IFS(DD$3&lt;=YEAR($B$2),SUMPRODUCT(($E$4:$E$79=$E74)*($Z$2:$CG$2=DD$3)*($Z$2:$CG$2&lt;DE$3)*$Z$4:$CG$79),DD$3&lt;YEAR($X74),0,DD$3=YEAR($X74),DATEDIF($X74,DATE(DD$3,12,31),"m")*$Y74,AND(DD$3&gt;YEAR($X74),DD$3-YEAR($X74)&lt;20),$Y74*12,DD$3-YEAR($X74)=20,DATEDIF(DATE(YEAR($X74),1,1),$X74,"m")*$Y74,DD$3-YEAR($X74)&gt;20,0)</f>
        <v>1523.8799999999999</v>
      </c>
      <c r="DE74" s="202" cm="1">
        <f t="array" ref="DE74">_xlfn.IFS(DE$3&lt;=YEAR($B$2),SUMPRODUCT(($E$4:$E$79=$E74)*($Z$2:$CG$2=DE$3)*($Z$2:$CG$2&lt;DF$3)*$Z$4:$CG$79),DE$3&lt;YEAR($X74),0,DE$3=YEAR($X74),DATEDIF($X74,DATE(DE$3,12,31),"m")*$Y74,AND(DE$3&gt;YEAR($X74),DE$3-YEAR($X74)&lt;20),$Y74*12,DE$3-YEAR($X74)=20,DATEDIF(DATE(YEAR($X74),1,1),$X74,"m")*$Y74,DE$3-YEAR($X74)&gt;20,0)</f>
        <v>1523.8799999999999</v>
      </c>
      <c r="DF74" s="202" cm="1">
        <f t="array" ref="DF74">_xlfn.IFS(DF$3&lt;=YEAR($B$2),SUMPRODUCT(($E$4:$E$79=$E74)*($Z$2:$CG$2=DF$3)*($Z$2:$CG$2&lt;DG$3)*$Z$4:$CG$79),DF$3&lt;YEAR($X74),0,DF$3=YEAR($X74),DATEDIF($X74,DATE(DF$3,12,31),"m")*$Y74,AND(DF$3&gt;YEAR($X74),DF$3-YEAR($X74)&lt;20),$Y74*12,DF$3-YEAR($X74)=20,DATEDIF(DATE(YEAR($X74),1,1),$X74,"m")*$Y74,DF$3-YEAR($X74)&gt;20,0)</f>
        <v>1523.8799999999999</v>
      </c>
      <c r="DG74" s="202" cm="1">
        <f t="array" ref="DG74">_xlfn.IFS(DG$3&lt;=YEAR($B$2),SUMPRODUCT(($E$4:$E$79=$E74)*($Z$2:$CG$2=DG$3)*($Z$2:$CG$2&lt;DH$3)*$Z$4:$CG$79),DG$3&lt;YEAR($X74),0,DG$3=YEAR($X74),DATEDIF($X74,DATE(DG$3,12,31),"m")*$Y74,AND(DG$3&gt;YEAR($X74),DG$3-YEAR($X74)&lt;20),$Y74*12,DG$3-YEAR($X74)=20,DATEDIF(DATE(YEAR($X74),1,1),$X74,"m")*$Y74,DG$3-YEAR($X74)&gt;20,0)</f>
        <v>1523.8799999999999</v>
      </c>
      <c r="DH74" s="202" cm="1">
        <f t="array" ref="DH74">_xlfn.IFS(DH$3&lt;=YEAR($B$2),SUMPRODUCT(($E$4:$E$79=$E74)*($Z$2:$CG$2=DH$3)*($Z$2:$CG$2&lt;DI$3)*$Z$4:$CG$79),DH$3&lt;YEAR($X74),0,DH$3=YEAR($X74),DATEDIF($X74,DATE(DH$3,12,31),"m")*$Y74,AND(DH$3&gt;YEAR($X74),DH$3-YEAR($X74)&lt;20),$Y74*12,DH$3-YEAR($X74)=20,DATEDIF(DATE(YEAR($X74),1,1),$X74,"m")*$Y74,DH$3-YEAR($X74)&gt;20,0)</f>
        <v>1523.8799999999999</v>
      </c>
      <c r="DI74" s="202" cm="1">
        <f t="array" ref="DI74">_xlfn.IFS(DI$3&lt;=YEAR($B$2),SUMPRODUCT(($E$4:$E$79=$E74)*($Z$2:$CG$2=DI$3)*($Z$2:$CG$2&lt;DJ$3)*$Z$4:$CG$79),DI$3&lt;YEAR($X74),0,DI$3=YEAR($X74),DATEDIF($X74,DATE(DI$3,12,31),"m")*$Y74,AND(DI$3&gt;YEAR($X74),DI$3-YEAR($X74)&lt;20),$Y74*12,DI$3-YEAR($X74)=20,DATEDIF(DATE(YEAR($X74),1,1),$X74,"m")*$Y74,DI$3-YEAR($X74)&gt;20,0)</f>
        <v>507.96</v>
      </c>
      <c r="DJ74" s="202" cm="1">
        <f t="array" ref="DJ74">_xlfn.IFS(DJ$3&lt;=YEAR($B$2),SUMPRODUCT(($E$4:$E$79=$E74)*($Z$2:$CG$2=DJ$3)*($Z$2:$CG$2&lt;DK$3)*$Z$4:$CG$79),DJ$3&lt;YEAR($X74),0,DJ$3=YEAR($X74),DATEDIF($X74,DATE(DJ$3,12,31),"m")*$Y74,AND(DJ$3&gt;YEAR($X74),DJ$3-YEAR($X74)&lt;20),$Y74*12,DJ$3-YEAR($X74)=20,DATEDIF(DATE(YEAR($X74),1,1),$X74,"m")*$Y74,DJ$3-YEAR($X74)&gt;20,0)</f>
        <v>0</v>
      </c>
      <c r="DK74" s="202" cm="1">
        <f t="array" ref="DK74">_xlfn.IFS(DK$3&lt;=YEAR($B$2),SUMPRODUCT(($E$4:$E$79=$E74)*($Z$2:$CG$2=DK$3)*($Z$2:$CG$2&lt;DL$3)*$Z$4:$CG$79),DK$3&lt;YEAR($X74),0,DK$3=YEAR($X74),DATEDIF($X74,DATE(DK$3,12,31),"m")*$Y74,AND(DK$3&gt;YEAR($X74),DK$3-YEAR($X74)&lt;20),$Y74*12,DK$3-YEAR($X74)=20,DATEDIF(DATE(YEAR($X74),1,1),$X74,"m")*$Y74,DK$3-YEAR($X74)&gt;20,0)</f>
        <v>0</v>
      </c>
      <c r="DL74" s="202" cm="1">
        <f t="array" ref="DL74">_xlfn.IFS(DL$3&lt;=YEAR($B$2),SUMPRODUCT(($E$4:$E$79=$E74)*($Z$2:$CG$2=DL$3)*($Z$2:$CG$2&lt;DM$3)*$Z$4:$CG$79),DL$3&lt;YEAR($X74),0,DL$3=YEAR($X74),DATEDIF($X74,DATE(DL$3,12,31),"m")*$Y74,AND(DL$3&gt;YEAR($X74),DL$3-YEAR($X74)&lt;20),$Y74*12,DL$3-YEAR($X74)=20,DATEDIF(DATE(YEAR($X74),1,1),$X74,"m")*$Y74,DL$3-YEAR($X74)&gt;20,0)</f>
        <v>0</v>
      </c>
    </row>
    <row r="75" spans="1:116">
      <c r="A75" s="155" t="str" cm="1">
        <f t="array" ref="A75">INDEX('Monthly Report July 2025'!C:C,MATCH(E75,'Monthly Report July 2025'!E:E,0),0)</f>
        <v>OCS095</v>
      </c>
      <c r="B75" s="155" t="str" cm="1">
        <f t="array" ref="B75">_xlfn.IFS(LEFT(E75,3)="PGE","PGE",LEFT(E75,2)="PP","PAC",TRUE,"IP")</f>
        <v>PAC</v>
      </c>
      <c r="C75" s="155" t="str">
        <f>IF(ISNA(MATCH(E75,'Monthly Report July 2025'!E:E,0)),"Missing","Present")</f>
        <v>Present</v>
      </c>
      <c r="D75" s="155" t="str">
        <f>IF(ISNA(MATCH(E75,'Project Operational Timelines'!C:C,0))=TRUE,"Missing","Present")</f>
        <v>Present</v>
      </c>
      <c r="E75" s="155" t="s">
        <v>183</v>
      </c>
      <c r="F75" s="155" t="str" cm="1">
        <f t="array" ref="F75">INDEX('Monthly Report July 2025'!F:F,MATCH(E75,'Monthly Report July 2025'!E:E,),0)</f>
        <v>Homedale Road</v>
      </c>
      <c r="G75" s="155" t="str" cm="1">
        <f t="array" ref="G75">_xlfn.IFS(INDEX('Monthly Report July 2025'!O:O,MATCH(E75,'Monthly Report July 2025'!E:E,0),0)="Operational","Operational",INDEX('Monthly Report July 2025'!O:O,MATCH(E75,'Monthly Report July 2025'!E:E,0),0)="Certified","Certified",TRUE,"Pre-Certified")</f>
        <v>Pre-Certified</v>
      </c>
      <c r="H75" s="155" t="str" cm="1">
        <f t="array" ref="H75">INDEX('Monthly Report July 2025'!H:H,MATCH($E75,'Monthly Report July 2025'!$E:$E,0),0)</f>
        <v>SolaRay Farms, Inc</v>
      </c>
      <c r="I75" s="155" t="str" cm="1">
        <f t="array" ref="I75">INDEX('Monthly Report July 2025'!I:I,MATCH($E75,'Monthly Report July 2025'!$E:$E,0),0)</f>
        <v>SolaRay Farms, Inc</v>
      </c>
      <c r="J75" s="174" cm="1">
        <f t="array" ref="J75">INDEX('Monthly Report July 2025'!J:J,MATCH($E75,'Monthly Report July 2025'!$E:$E,0),0)</f>
        <v>2</v>
      </c>
      <c r="K75" s="174" t="str" cm="1">
        <f t="array" ref="K75">INDEX('Monthly Report July 2025'!K:K,MATCH($E75,'Monthly Report July 2025'!$E:$E,0),0)</f>
        <v>Yes</v>
      </c>
      <c r="L75" s="174" t="b" cm="1">
        <f t="array" ref="L75">INDEX('Monthly Report July 2025'!L:L,MATCH(E75,'Monthly Report July 2025'!E:E,0),0)=M75</f>
        <v>1</v>
      </c>
      <c r="M75" s="273" cm="1">
        <f t="array" ref="M75">INDEX('Monthly Report July 2025'!L:L,MATCH($E75,'Monthly Report July 2025'!$E:$E,0),0)</f>
        <v>250</v>
      </c>
      <c r="N75" s="175" cm="1">
        <f t="array" ref="N75">INDEX('Monthly Report July 2025'!M:M,MATCH($E75,'Monthly Report July 2025'!$E:$E,0),0)</f>
        <v>45733</v>
      </c>
      <c r="O75" s="175" cm="1">
        <f t="array" ref="O75">_xlfn.IFS(G75="Operational","Operational",G75="Certified","Certified",TRUE,INDEX('Monthly Report July 2025'!O:O,MATCH(E75,'Monthly Report July 2025'!E:E,0),0))</f>
        <v>46282</v>
      </c>
      <c r="Q75" s="175" t="str" cm="1">
        <f t="array" ref="Q75">IF(O75="Operational",INDEX('Monthly Report July 2025'!R:R,MATCH(E75,'Monthly Report July 2025'!E:E,0),0),"")</f>
        <v/>
      </c>
      <c r="R75" s="175" t="str" cm="1">
        <f t="array" ref="R75">INDEX('Monthly Report July 2025'!P:P,MATCH(E75,'Monthly Report July 2025'!E:E,0),0)</f>
        <v>Not Yet Certified</v>
      </c>
      <c r="T75" s="175" t="str" cm="1">
        <f t="array" ref="T75">INDEX('Monthly Report July 2025'!U:U,MATCH(E75,'Monthly Report July 2025'!E:E,0),0)</f>
        <v>Data Not Available</v>
      </c>
      <c r="U75" s="175" t="b">
        <f t="shared" si="34"/>
        <v>0</v>
      </c>
      <c r="V75" s="156">
        <f t="shared" si="29"/>
        <v>46282</v>
      </c>
      <c r="W75" s="156" t="str" cm="1">
        <f t="array" ref="W75">_xlfn.IFS(U75=TRUE,EDATE(O75,6),U75=FALSE,T75,O75="Operational",Q75,AND(O75="Certified",EDATE(R75,6)&gt;T75),EDATE(R75,6),TRUE,T75)</f>
        <v>Data Not Available</v>
      </c>
      <c r="X75" s="156">
        <f t="shared" si="33"/>
        <v>46524</v>
      </c>
      <c r="Y75" s="157">
        <f t="shared" si="35"/>
        <v>95.625</v>
      </c>
      <c r="Z75" s="202" cm="1">
        <f t="array" ref="Z75">_xlfn.IFS(Z$3&lt;$B$2,SUMPRODUCT(('PA Fees Actual'!$B$5:$B$882=$E75)*('PA Fees Actual'!$A$5:$A$882&gt;=Z$3)*('PA Fees Actual'!$A$5:$A$882&lt;=EOMONTH(Z$3,0))*'PA Fees Actual'!$D$5:$D$882),Z$3&gt;=EOMONTH($X75,-1)+1,$Y75,TRUE,0)</f>
        <v>0</v>
      </c>
      <c r="AA75" s="202" cm="1">
        <f t="array" ref="AA75">_xlfn.IFS(AA$3&lt;$B$2,SUMPRODUCT(('PA Fees Actual'!$B$5:$B$882=$E75)*('PA Fees Actual'!$A$5:$A$882&gt;=AA$3)*('PA Fees Actual'!$A$5:$A$882&lt;=EOMONTH(AA$3,0))*'PA Fees Actual'!$D$5:$D$882),AA$3&gt;=EOMONTH($X75,-1)+1,$Y75,TRUE,0)</f>
        <v>0</v>
      </c>
      <c r="AB75" s="202" cm="1">
        <f t="array" ref="AB75">_xlfn.IFS(AB$3&lt;$B$2,SUMPRODUCT(('PA Fees Actual'!$B$5:$B$882=$E75)*('PA Fees Actual'!$A$5:$A$882&gt;=AB$3)*('PA Fees Actual'!$A$5:$A$882&lt;=EOMONTH(AB$3,0))*'PA Fees Actual'!$D$5:$D$882),AB$3&gt;=EOMONTH($X75,-1)+1,$Y75,TRUE,0)</f>
        <v>0</v>
      </c>
      <c r="AC75" s="202" cm="1">
        <f t="array" ref="AC75">_xlfn.IFS(AC$3&lt;$B$2,SUMPRODUCT(('PA Fees Actual'!$B$5:$B$882=$E75)*('PA Fees Actual'!$A$5:$A$882&gt;=AC$3)*('PA Fees Actual'!$A$5:$A$882&lt;=EOMONTH(AC$3,0))*'PA Fees Actual'!$D$5:$D$882),AC$3&gt;=EOMONTH($X75,-1)+1,$Y75,TRUE,0)</f>
        <v>0</v>
      </c>
      <c r="AD75" s="202" cm="1">
        <f t="array" ref="AD75">_xlfn.IFS(AD$3&lt;$B$2,SUMPRODUCT(('PA Fees Actual'!$B$5:$B$882=$E75)*('PA Fees Actual'!$A$5:$A$882&gt;=AD$3)*('PA Fees Actual'!$A$5:$A$882&lt;=EOMONTH(AD$3,0))*'PA Fees Actual'!$D$5:$D$882),AD$3&gt;=EOMONTH($X75,-1)+1,$Y75,TRUE,0)</f>
        <v>0</v>
      </c>
      <c r="AE75" s="202" cm="1">
        <f t="array" ref="AE75">_xlfn.IFS(AE$3&lt;$B$2,SUMPRODUCT(('PA Fees Actual'!$B$5:$B$882=$E75)*('PA Fees Actual'!$A$5:$A$882&gt;=AE$3)*('PA Fees Actual'!$A$5:$A$882&lt;=EOMONTH(AE$3,0))*'PA Fees Actual'!$D$5:$D$882),AE$3&gt;=EOMONTH($X75,-1)+1,$Y75,TRUE,0)</f>
        <v>0</v>
      </c>
      <c r="AF75" s="202" cm="1">
        <f t="array" ref="AF75">_xlfn.IFS(AF$3&lt;$B$2,SUMPRODUCT(('PA Fees Actual'!$B$5:$B$882=$E75)*('PA Fees Actual'!$A$5:$A$882&gt;=AF$3)*('PA Fees Actual'!$A$5:$A$882&lt;=EOMONTH(AF$3,0))*'PA Fees Actual'!$D$5:$D$882),AF$3&gt;=EOMONTH($X75,-1)+1,$Y75,TRUE,0)</f>
        <v>0</v>
      </c>
      <c r="AG75" s="202" cm="1">
        <f t="array" ref="AG75">_xlfn.IFS(AG$3&lt;$B$2,SUMPRODUCT(('PA Fees Actual'!$B$5:$B$882=$E75)*('PA Fees Actual'!$A$5:$A$882&gt;=AG$3)*('PA Fees Actual'!$A$5:$A$882&lt;=EOMONTH(AG$3,0))*'PA Fees Actual'!$D$5:$D$882),AG$3&gt;=EOMONTH($X75,-1)+1,$Y75,TRUE,0)</f>
        <v>0</v>
      </c>
      <c r="AH75" s="202" cm="1">
        <f t="array" ref="AH75">_xlfn.IFS(AH$3&lt;$B$2,SUMPRODUCT(('PA Fees Actual'!$B$5:$B$882=$E75)*('PA Fees Actual'!$A$5:$A$882&gt;=AH$3)*('PA Fees Actual'!$A$5:$A$882&lt;=EOMONTH(AH$3,0))*'PA Fees Actual'!$D$5:$D$882),AH$3&gt;=EOMONTH($X75,-1)+1,$Y75,TRUE,0)</f>
        <v>0</v>
      </c>
      <c r="AI75" s="202" cm="1">
        <f t="array" ref="AI75">_xlfn.IFS(AI$3&lt;$B$2,SUMPRODUCT(('PA Fees Actual'!$B$5:$B$882=$E75)*('PA Fees Actual'!$A$5:$A$882&gt;=AI$3)*('PA Fees Actual'!$A$5:$A$882&lt;=EOMONTH(AI$3,0))*'PA Fees Actual'!$D$5:$D$882),AI$3&gt;=EOMONTH($X75,-1)+1,$Y75,TRUE,0)</f>
        <v>0</v>
      </c>
      <c r="AJ75" s="202" cm="1">
        <f t="array" ref="AJ75">_xlfn.IFS(AJ$3&lt;$B$2,SUMPRODUCT(('PA Fees Actual'!$B$5:$B$882=$E75)*('PA Fees Actual'!$A$5:$A$882&gt;=AJ$3)*('PA Fees Actual'!$A$5:$A$882&lt;=EOMONTH(AJ$3,0))*'PA Fees Actual'!$D$5:$D$882),AJ$3&gt;=EOMONTH($X75,-1)+1,$Y75,TRUE,0)</f>
        <v>0</v>
      </c>
      <c r="AK75" s="202" cm="1">
        <f t="array" ref="AK75">_xlfn.IFS(AK$3&lt;$B$2,SUMPRODUCT(('PA Fees Actual'!$B$5:$B$882=$E75)*('PA Fees Actual'!$A$5:$A$882&gt;=AK$3)*('PA Fees Actual'!$A$5:$A$882&lt;=EOMONTH(AK$3,0))*'PA Fees Actual'!$D$5:$D$882),AK$3&gt;=EOMONTH($X75,-1)+1,$Y75,TRUE,0)</f>
        <v>0</v>
      </c>
      <c r="AL75" s="202" cm="1">
        <f t="array" ref="AL75">_xlfn.IFS(AL$3&lt;$B$2,SUMPRODUCT(('PA Fees Actual'!$B$5:$B$882=$E75)*('PA Fees Actual'!$A$5:$A$882&gt;=AL$3)*('PA Fees Actual'!$A$5:$A$882&lt;=EOMONTH(AL$3,0))*'PA Fees Actual'!$D$5:$D$882),AL$3&gt;=EOMONTH($X75,-1)+1,$Y75,TRUE,0)</f>
        <v>0</v>
      </c>
      <c r="AM75" s="202" cm="1">
        <f t="array" ref="AM75">_xlfn.IFS(AM$3&lt;$B$2,SUMPRODUCT(('PA Fees Actual'!$B$5:$B$882=$E75)*('PA Fees Actual'!$A$5:$A$882&gt;=AM$3)*('PA Fees Actual'!$A$5:$A$882&lt;=EOMONTH(AM$3,0))*'PA Fees Actual'!$D$5:$D$882),AM$3&gt;=EOMONTH($X75,-1)+1,$Y75,TRUE,0)</f>
        <v>0</v>
      </c>
      <c r="AN75" s="202" cm="1">
        <f t="array" ref="AN75">_xlfn.IFS(AN$3&lt;$B$2,SUMPRODUCT(('PA Fees Actual'!$B$5:$B$882=$E75)*('PA Fees Actual'!$A$5:$A$882&gt;=AN$3)*('PA Fees Actual'!$A$5:$A$882&lt;=EOMONTH(AN$3,0))*'PA Fees Actual'!$D$5:$D$882),AN$3&gt;=EOMONTH($X75,-1)+1,$Y75,TRUE,0)</f>
        <v>0</v>
      </c>
      <c r="AO75" s="202" cm="1">
        <f t="array" ref="AO75">_xlfn.IFS(AO$3&lt;$B$2,SUMPRODUCT(('PA Fees Actual'!$B$5:$B$882=$E75)*('PA Fees Actual'!$A$5:$A$882&gt;=AO$3)*('PA Fees Actual'!$A$5:$A$882&lt;=EOMONTH(AO$3,0))*'PA Fees Actual'!$D$5:$D$882),AO$3&gt;=EOMONTH($X75,-1)+1,$Y75,TRUE,0)</f>
        <v>0</v>
      </c>
      <c r="AP75" s="202" cm="1">
        <f t="array" ref="AP75">_xlfn.IFS(AP$3&lt;$B$2,SUMPRODUCT(('PA Fees Actual'!$B$5:$B$882=$E75)*('PA Fees Actual'!$A$5:$A$882&gt;=AP$3)*('PA Fees Actual'!$A$5:$A$882&lt;=EOMONTH(AP$3,0))*'PA Fees Actual'!$D$5:$D$882),AP$3&gt;=EOMONTH($X75,-1)+1,$Y75,TRUE,0)</f>
        <v>0</v>
      </c>
      <c r="AQ75" s="202" cm="1">
        <f t="array" ref="AQ75">_xlfn.IFS(AQ$3&lt;$B$2,SUMPRODUCT(('PA Fees Actual'!$B$5:$B$882=$E75)*('PA Fees Actual'!$A$5:$A$882&gt;=AQ$3)*('PA Fees Actual'!$A$5:$A$882&lt;=EOMONTH(AQ$3,0))*'PA Fees Actual'!$D$5:$D$882),AQ$3&gt;=EOMONTH($X75,-1)+1,$Y75,TRUE,0)</f>
        <v>0</v>
      </c>
      <c r="AR75" s="202" cm="1">
        <f t="array" ref="AR75">_xlfn.IFS(AR$3&lt;$B$2,SUMPRODUCT(('PA Fees Actual'!$B$5:$B$882=$E75)*('PA Fees Actual'!$A$5:$A$882&gt;=AR$3)*('PA Fees Actual'!$A$5:$A$882&lt;=EOMONTH(AR$3,0))*'PA Fees Actual'!$D$5:$D$882),AR$3&gt;=EOMONTH($X75,-1)+1,$Y75,TRUE,0)</f>
        <v>0</v>
      </c>
      <c r="AS75" s="202" cm="1">
        <f t="array" ref="AS75">_xlfn.IFS(AS$3&lt;$B$2,SUMPRODUCT(('PA Fees Actual'!$B$5:$B$882=$E75)*('PA Fees Actual'!$A$5:$A$882&gt;=AS$3)*('PA Fees Actual'!$A$5:$A$882&lt;=EOMONTH(AS$3,0))*'PA Fees Actual'!$D$5:$D$882),AS$3&gt;=EOMONTH($X75,-1)+1,$Y75,TRUE,0)</f>
        <v>0</v>
      </c>
      <c r="AT75" s="202" cm="1">
        <f t="array" ref="AT75">_xlfn.IFS(AT$3&lt;$B$2,SUMPRODUCT(('PA Fees Actual'!$B$5:$B$882=$E75)*('PA Fees Actual'!$A$5:$A$882&gt;=AT$3)*('PA Fees Actual'!$A$5:$A$882&lt;=EOMONTH(AT$3,0))*'PA Fees Actual'!$D$5:$D$882),AT$3&gt;=EOMONTH($X75,-1)+1,$Y75,TRUE,0)</f>
        <v>0</v>
      </c>
      <c r="AU75" s="202" cm="1">
        <f t="array" ref="AU75">_xlfn.IFS(AU$3&lt;$B$2,SUMPRODUCT(('PA Fees Actual'!$B$5:$B$882=$E75)*('PA Fees Actual'!$A$5:$A$882&gt;=AU$3)*('PA Fees Actual'!$A$5:$A$882&lt;=EOMONTH(AU$3,0))*'PA Fees Actual'!$D$5:$D$882),AU$3&gt;=EOMONTH($X75,-1)+1,$Y75,TRUE,0)</f>
        <v>0</v>
      </c>
      <c r="AV75" s="202" cm="1">
        <f t="array" ref="AV75">_xlfn.IFS(AV$3&lt;$B$2,SUMPRODUCT(('PA Fees Actual'!$B$5:$B$882=$E75)*('PA Fees Actual'!$A$5:$A$882&gt;=AV$3)*('PA Fees Actual'!$A$5:$A$882&lt;=EOMONTH(AV$3,0))*'PA Fees Actual'!$D$5:$D$882),AV$3&gt;=EOMONTH($X75,-1)+1,$Y75,TRUE,0)</f>
        <v>0</v>
      </c>
      <c r="AW75" s="202" cm="1">
        <f t="array" ref="AW75">_xlfn.IFS(AW$3&lt;$B$2,SUMPRODUCT(('PA Fees Actual'!$B$5:$B$882=$E75)*('PA Fees Actual'!$A$5:$A$882&gt;=AW$3)*('PA Fees Actual'!$A$5:$A$882&lt;=EOMONTH(AW$3,0))*'PA Fees Actual'!$D$5:$D$882),AW$3&gt;=EOMONTH($X75,-1)+1,$Y75,TRUE,0)</f>
        <v>0</v>
      </c>
      <c r="AX75" s="202" cm="1">
        <f t="array" ref="AX75">_xlfn.IFS(AX$3&lt;$B$2,SUMPRODUCT(('PA Fees Actual'!$B$5:$B$882=$E75)*('PA Fees Actual'!$A$5:$A$882&gt;=AX$3)*('PA Fees Actual'!$A$5:$A$882&lt;=EOMONTH(AX$3,0))*'PA Fees Actual'!$D$5:$D$882),AX$3&gt;=EOMONTH($X75,-1)+1,$Y75,TRUE,0)</f>
        <v>0</v>
      </c>
      <c r="AY75" s="202" cm="1">
        <f t="array" ref="AY75">_xlfn.IFS(AY$3&lt;$B$2,SUMPRODUCT(('PA Fees Actual'!$B$5:$B$882=$E75)*('PA Fees Actual'!$A$5:$A$882&gt;=AY$3)*('PA Fees Actual'!$A$5:$A$882&lt;=EOMONTH(AY$3,0))*'PA Fees Actual'!$D$5:$D$882),AY$3&gt;=EOMONTH($X75,-1)+1,$Y75,TRUE,0)</f>
        <v>0</v>
      </c>
      <c r="AZ75" s="202" cm="1">
        <f t="array" ref="AZ75">_xlfn.IFS(AZ$3&lt;$B$2,SUMPRODUCT(('PA Fees Actual'!$B$5:$B$882=$E75)*('PA Fees Actual'!$A$5:$A$882&gt;=AZ$3)*('PA Fees Actual'!$A$5:$A$882&lt;=EOMONTH(AZ$3,0))*'PA Fees Actual'!$D$5:$D$882),AZ$3&gt;=EOMONTH($X75,-1)+1,$Y75,TRUE,0)</f>
        <v>0</v>
      </c>
      <c r="BA75" s="202" cm="1">
        <f t="array" ref="BA75">_xlfn.IFS(BA$3&lt;$B$2,SUMPRODUCT(('PA Fees Actual'!$B$5:$B$882=$E75)*('PA Fees Actual'!$A$5:$A$882&gt;=BA$3)*('PA Fees Actual'!$A$5:$A$882&lt;=EOMONTH(BA$3,0))*'PA Fees Actual'!$D$5:$D$882),BA$3&gt;=EOMONTH($X75,-1)+1,$Y75,TRUE,0)</f>
        <v>0</v>
      </c>
      <c r="BB75" s="202" cm="1">
        <f t="array" ref="BB75">_xlfn.IFS(BB$3&lt;$B$2,SUMPRODUCT(('PA Fees Actual'!$B$5:$B$882=$E75)*('PA Fees Actual'!$A$5:$A$882&gt;=BB$3)*('PA Fees Actual'!$A$5:$A$882&lt;=EOMONTH(BB$3,0))*'PA Fees Actual'!$D$5:$D$882),BB$3&gt;=EOMONTH($X75,-1)+1,$Y75,TRUE,0)</f>
        <v>0</v>
      </c>
      <c r="BC75" s="202" cm="1">
        <f t="array" ref="BC75">_xlfn.IFS(BC$3&lt;$B$2,SUMPRODUCT(('PA Fees Actual'!$B$5:$B$882=$E75)*('PA Fees Actual'!$A$5:$A$882&gt;=BC$3)*('PA Fees Actual'!$A$5:$A$882&lt;=EOMONTH(BC$3,0))*'PA Fees Actual'!$D$5:$D$882),BC$3&gt;=EOMONTH($X75,-1)+1,$Y75,TRUE,0)</f>
        <v>0</v>
      </c>
      <c r="BD75" s="202" cm="1">
        <f t="array" ref="BD75">_xlfn.IFS(BD$3&lt;$B$2,SUMPRODUCT(('PA Fees Actual'!$B$5:$B$882=$E75)*('PA Fees Actual'!$A$5:$A$882&gt;=BD$3)*('PA Fees Actual'!$A$5:$A$882&lt;=EOMONTH(BD$3,0))*'PA Fees Actual'!$D$5:$D$882),BD$3&gt;=EOMONTH($X75,-1)+1,$Y75,TRUE,0)</f>
        <v>0</v>
      </c>
      <c r="BE75" s="202" cm="1">
        <f t="array" ref="BE75">_xlfn.IFS(BE$3&lt;$B$2,SUMPRODUCT(('PA Fees Actual'!$B$5:$B$882=$E75)*('PA Fees Actual'!$A$5:$A$882&gt;=BE$3)*('PA Fees Actual'!$A$5:$A$882&lt;=EOMONTH(BE$3,0))*'PA Fees Actual'!$D$5:$D$882),BE$3&gt;=EOMONTH($X75,-1)+1,$Y75,TRUE,0)</f>
        <v>0</v>
      </c>
      <c r="BF75" s="202" cm="1">
        <f t="array" ref="BF75">_xlfn.IFS(BF$3&lt;$B$2,SUMPRODUCT(('PA Fees Actual'!$B$5:$B$882=$E75)*('PA Fees Actual'!$A$5:$A$882&gt;=BF$3)*('PA Fees Actual'!$A$5:$A$882&lt;=EOMONTH(BF$3,0))*'PA Fees Actual'!$D$5:$D$882),BF$3&gt;=EOMONTH($X75,-1)+1,$Y75,TRUE,0)</f>
        <v>0</v>
      </c>
      <c r="BG75" s="202" cm="1">
        <f t="array" ref="BG75">_xlfn.IFS(BG$3&lt;$B$2,SUMPRODUCT(('PA Fees Actual'!$B$5:$B$882=$E75)*('PA Fees Actual'!$A$5:$A$882&gt;=BG$3)*('PA Fees Actual'!$A$5:$A$882&lt;=EOMONTH(BG$3,0))*'PA Fees Actual'!$D$5:$D$882),BG$3&gt;=EOMONTH($X75,-1)+1,$Y75,TRUE,0)</f>
        <v>0</v>
      </c>
      <c r="BH75" s="202" cm="1">
        <f t="array" ref="BH75">_xlfn.IFS(BH$3&lt;$B$2,SUMPRODUCT(('PA Fees Actual'!$B$5:$B$882=$E75)*('PA Fees Actual'!$A$5:$A$882&gt;=BH$3)*('PA Fees Actual'!$A$5:$A$882&lt;=EOMONTH(BH$3,0))*'PA Fees Actual'!$D$5:$D$882),BH$3&gt;=EOMONTH($X75,-1)+1,$Y75,TRUE,0)</f>
        <v>0</v>
      </c>
      <c r="BI75" s="202" cm="1">
        <f t="array" ref="BI75">_xlfn.IFS(BI$3&lt;$B$2,SUMPRODUCT(('PA Fees Actual'!$B$5:$B$882=$E75)*('PA Fees Actual'!$A$5:$A$882&gt;=BI$3)*('PA Fees Actual'!$A$5:$A$882&lt;=EOMONTH(BI$3,0))*'PA Fees Actual'!$D$5:$D$882),BI$3&gt;=EOMONTH($X75,-1)+1,$Y75,TRUE,0)</f>
        <v>0</v>
      </c>
      <c r="BJ75" s="202" cm="1">
        <f t="array" ref="BJ75">_xlfn.IFS(BJ$3&lt;$B$2,SUMPRODUCT(('PA Fees Actual'!$B$5:$B$882=$E75)*('PA Fees Actual'!$A$5:$A$882&gt;=BJ$3)*('PA Fees Actual'!$A$5:$A$882&lt;=EOMONTH(BJ$3,0))*'PA Fees Actual'!$D$5:$D$882),BJ$3&gt;=EOMONTH($X75,-1)+1,$Y75,TRUE,0)</f>
        <v>0</v>
      </c>
      <c r="BK75" s="202" cm="1">
        <f t="array" ref="BK75">_xlfn.IFS(BK$3&lt;$B$2,SUMPRODUCT(('PA Fees Actual'!$B$5:$B$882=$E75)*('PA Fees Actual'!$A$5:$A$882&gt;=BK$3)*('PA Fees Actual'!$A$5:$A$882&lt;=EOMONTH(BK$3,0))*'PA Fees Actual'!$D$5:$D$882),BK$3&gt;=EOMONTH($X75,-1)+1,$Y75,TRUE,0)</f>
        <v>0</v>
      </c>
      <c r="BL75" s="202" cm="1">
        <f t="array" ref="BL75">_xlfn.IFS(BL$3&lt;$B$2,SUMPRODUCT(('PA Fees Actual'!$B$5:$B$882=$E75)*('PA Fees Actual'!$A$5:$A$882&gt;=BL$3)*('PA Fees Actual'!$A$5:$A$882&lt;=EOMONTH(BL$3,0))*'PA Fees Actual'!$D$5:$D$882),BL$3&gt;=EOMONTH($X75,-1)+1,$Y75,TRUE,0)</f>
        <v>0</v>
      </c>
      <c r="BM75" s="202" cm="1">
        <f t="array" ref="BM75">_xlfn.IFS(BM$3&lt;$B$2,SUMPRODUCT(('PA Fees Actual'!$B$5:$B$882=$E75)*('PA Fees Actual'!$A$5:$A$882&gt;=BM$3)*('PA Fees Actual'!$A$5:$A$882&lt;=EOMONTH(BM$3,0))*'PA Fees Actual'!$D$5:$D$882),BM$3&gt;=EOMONTH($X75,-1)+1,$Y75,TRUE,0)</f>
        <v>0</v>
      </c>
      <c r="BN75" s="202" cm="1">
        <f t="array" ref="BN75">_xlfn.IFS(BN$3&lt;$B$2,SUMPRODUCT(('PA Fees Actual'!$B$5:$B$882=$E75)*('PA Fees Actual'!$A$5:$A$882&gt;=BN$3)*('PA Fees Actual'!$A$5:$A$882&lt;=EOMONTH(BN$3,0))*'PA Fees Actual'!$D$5:$D$882),BN$3&gt;=EOMONTH($X75,-1)+1,$Y75,TRUE,0)</f>
        <v>0</v>
      </c>
      <c r="BO75" s="202" cm="1">
        <f t="array" ref="BO75">_xlfn.IFS(BO$3&lt;$B$2,SUMPRODUCT(('PA Fees Actual'!$B$5:$B$882=$E75)*('PA Fees Actual'!$A$5:$A$882&gt;=BO$3)*('PA Fees Actual'!$A$5:$A$882&lt;=EOMONTH(BO$3,0))*'PA Fees Actual'!$D$5:$D$882),BO$3&gt;=EOMONTH($X75,-1)+1,$Y75,TRUE,0)</f>
        <v>0</v>
      </c>
      <c r="BP75" s="202" cm="1">
        <f t="array" ref="BP75">_xlfn.IFS(BP$3&lt;$B$2,SUMPRODUCT(('PA Fees Actual'!$B$5:$B$882=$E75)*('PA Fees Actual'!$A$5:$A$882&gt;=BP$3)*('PA Fees Actual'!$A$5:$A$882&lt;=EOMONTH(BP$3,0))*'PA Fees Actual'!$D$5:$D$882),BP$3&gt;=EOMONTH($X75,-1)+1,$Y75,TRUE,0)</f>
        <v>0</v>
      </c>
      <c r="BQ75" s="202" cm="1">
        <f t="array" ref="BQ75">_xlfn.IFS(BQ$3&lt;$B$2,SUMPRODUCT(('PA Fees Actual'!$B$5:$B$882=$E75)*('PA Fees Actual'!$A$5:$A$882&gt;=BQ$3)*('PA Fees Actual'!$A$5:$A$882&lt;=EOMONTH(BQ$3,0))*'PA Fees Actual'!$D$5:$D$882),BQ$3&gt;=EOMONTH($X75,-1)+1,$Y75,TRUE,0)</f>
        <v>0</v>
      </c>
      <c r="BR75" s="202" cm="1">
        <f t="array" ref="BR75">_xlfn.IFS(BR$3&lt;$B$2,SUMPRODUCT(('PA Fees Actual'!$B$5:$B$882=$E75)*('PA Fees Actual'!$A$5:$A$882&gt;=BR$3)*('PA Fees Actual'!$A$5:$A$882&lt;=EOMONTH(BR$3,0))*'PA Fees Actual'!$D$5:$D$882),BR$3&gt;=EOMONTH($X75,-1)+1,$Y75,TRUE,0)</f>
        <v>0</v>
      </c>
      <c r="BS75" s="202" cm="1">
        <f t="array" ref="BS75">_xlfn.IFS(BS$3&lt;$B$2,SUMPRODUCT(('PA Fees Actual'!$B$5:$B$882=$E75)*('PA Fees Actual'!$A$5:$A$882&gt;=BS$3)*('PA Fees Actual'!$A$5:$A$882&lt;=EOMONTH(BS$3,0))*'PA Fees Actual'!$D$5:$D$882),BS$3&gt;=EOMONTH($X75,-1)+1,$Y75,TRUE,0)</f>
        <v>0</v>
      </c>
      <c r="BT75" s="202" cm="1">
        <f t="array" ref="BT75">_xlfn.IFS(BT$3&lt;$B$2,SUMPRODUCT(('PA Fees Actual'!$B$5:$B$882=$E75)*('PA Fees Actual'!$A$5:$A$882&gt;=BT$3)*('PA Fees Actual'!$A$5:$A$882&lt;=EOMONTH(BT$3,0))*'PA Fees Actual'!$D$5:$D$882),BT$3&gt;=EOMONTH($X75,-1)+1,$Y75,TRUE,0)</f>
        <v>0</v>
      </c>
      <c r="BU75" s="202" cm="1">
        <f t="array" ref="BU75">_xlfn.IFS(BU$3&lt;$B$2,SUMPRODUCT(('PA Fees Actual'!$B$5:$B$882=$E75)*('PA Fees Actual'!$A$5:$A$882&gt;=BU$3)*('PA Fees Actual'!$A$5:$A$882&lt;=EOMONTH(BU$3,0))*'PA Fees Actual'!$D$5:$D$882),BU$3&gt;=EOMONTH($X75,-1)+1,$Y75,TRUE,0)</f>
        <v>0</v>
      </c>
      <c r="BV75" s="202" cm="1">
        <f t="array" ref="BV75">_xlfn.IFS(BV$3&lt;$B$2,SUMPRODUCT(('PA Fees Actual'!$B$5:$B$882=$E75)*('PA Fees Actual'!$A$5:$A$882&gt;=BV$3)*('PA Fees Actual'!$A$5:$A$882&lt;=EOMONTH(BV$3,0))*'PA Fees Actual'!$D$5:$D$882),BV$3&gt;=EOMONTH($X75,-1)+1,$Y75,TRUE,0)</f>
        <v>0</v>
      </c>
      <c r="BW75" s="202" cm="1">
        <f t="array" ref="BW75">_xlfn.IFS(BW$3&lt;$B$2,SUMPRODUCT(('PA Fees Actual'!$B$5:$B$882=$E75)*('PA Fees Actual'!$A$5:$A$882&gt;=BW$3)*('PA Fees Actual'!$A$5:$A$882&lt;=EOMONTH(BW$3,0))*'PA Fees Actual'!$D$5:$D$882),BW$3&gt;=EOMONTH($X75,-1)+1,$Y75,TRUE,0)</f>
        <v>0</v>
      </c>
      <c r="BX75" s="202" cm="1">
        <f t="array" ref="BX75">_xlfn.IFS(BX$3&lt;$B$2,SUMPRODUCT(('PA Fees Actual'!$B$5:$B$882=$E75)*('PA Fees Actual'!$A$5:$A$882&gt;=BX$3)*('PA Fees Actual'!$A$5:$A$882&lt;=EOMONTH(BX$3,0))*'PA Fees Actual'!$D$5:$D$882),BX$3&gt;=EOMONTH($X75,-1)+1,$Y75,TRUE,0)</f>
        <v>0</v>
      </c>
      <c r="BY75" s="202" cm="1">
        <f t="array" ref="BY75">_xlfn.IFS(BY$3&lt;$B$2,SUMPRODUCT(('PA Fees Actual'!$B$5:$B$882=$E75)*('PA Fees Actual'!$A$5:$A$882&gt;=BY$3)*('PA Fees Actual'!$A$5:$A$882&lt;=EOMONTH(BY$3,0))*'PA Fees Actual'!$D$5:$D$882),BY$3&gt;=EOMONTH($X75,-1)+1,$Y75,TRUE,0)</f>
        <v>0</v>
      </c>
      <c r="BZ75" s="202" cm="1">
        <f t="array" ref="BZ75">_xlfn.IFS(BZ$3&lt;$B$2,SUMPRODUCT(('PA Fees Actual'!$B$5:$B$882=$E75)*('PA Fees Actual'!$A$5:$A$882&gt;=BZ$3)*('PA Fees Actual'!$A$5:$A$882&lt;=EOMONTH(BZ$3,0))*'PA Fees Actual'!$D$5:$D$882),BZ$3&gt;=EOMONTH($X75,-1)+1,$Y75,TRUE,0)</f>
        <v>0</v>
      </c>
      <c r="CA75" s="202" cm="1">
        <f t="array" ref="CA75">_xlfn.IFS(CA$3&lt;$B$2,SUMPRODUCT(('PA Fees Actual'!$B$5:$B$882=$E75)*('PA Fees Actual'!$A$5:$A$882&gt;=CA$3)*('PA Fees Actual'!$A$5:$A$882&lt;=EOMONTH(CA$3,0))*'PA Fees Actual'!$D$5:$D$882),CA$3&gt;=EOMONTH($X75,-1)+1,$Y75,TRUE,0)</f>
        <v>0</v>
      </c>
      <c r="CB75" s="202" cm="1">
        <f t="array" ref="CB75">_xlfn.IFS(CB$3&lt;$B$2,SUMPRODUCT(('PA Fees Actual'!$B$5:$B$749=$E75)*('PA Fees Actual'!$A$5:$A$749&gt;=CB$3)*('PA Fees Actual'!$A$5:$A$749&lt;=EOMONTH(CB$3,0))*'PA Fees Actual'!$D$5:$D$749),CB$3&gt;=EOMONTH($X75,-1)+1,$Y75,TRUE,0)</f>
        <v>0</v>
      </c>
      <c r="CC75" s="202" cm="1">
        <f t="array" ref="CC75">_xlfn.IFS(CC$3&lt;$B$2,SUMPRODUCT(('PA Fees Actual'!$B$5:$B$749=$E75)*('PA Fees Actual'!$A$5:$A$749&gt;=CC$3)*('PA Fees Actual'!$A$5:$A$749&lt;=EOMONTH(CC$3,0))*'PA Fees Actual'!$D$5:$D$749),CC$3&gt;=EOMONTH($X75,-1)+1,$Y75,TRUE,0)</f>
        <v>0</v>
      </c>
      <c r="CD75" s="202" cm="1">
        <f t="array" ref="CD75">_xlfn.IFS(CD$3&lt;$B$2,SUMPRODUCT(('PA Fees Actual'!$B$5:$B$749=$E75)*('PA Fees Actual'!$A$5:$A$749&gt;=CD$3)*('PA Fees Actual'!$A$5:$A$749&lt;=EOMONTH(CD$3,0))*'PA Fees Actual'!$D$5:$D$749),CD$3&gt;=EOMONTH($X75,-1)+1,$Y75,TRUE,0)</f>
        <v>0</v>
      </c>
      <c r="CE75" s="202" cm="1">
        <f t="array" ref="CE75">_xlfn.IFS(CE$3&lt;$B$2,SUMPRODUCT(('PA Fees Actual'!$B$5:$B$749=$E75)*('PA Fees Actual'!$A$5:$A$749&gt;=CE$3)*('PA Fees Actual'!$A$5:$A$749&lt;=EOMONTH(CE$3,0))*'PA Fees Actual'!$D$5:$D$749),CE$3&gt;=EOMONTH($X75,-1)+1,$Y75,TRUE,0)</f>
        <v>0</v>
      </c>
      <c r="CF75" s="202" cm="1">
        <f t="array" ref="CF75">_xlfn.IFS(CF$3&lt;$B$2,SUMPRODUCT(('PA Fees Actual'!$B$5:$B$749=$E75)*('PA Fees Actual'!$A$5:$A$749&gt;=CF$3)*('PA Fees Actual'!$A$5:$A$749&lt;=EOMONTH(CF$3,0))*'PA Fees Actual'!$D$5:$D$749),CF$3&gt;=EOMONTH($X75,-1)+1,$Y75,TRUE,0)</f>
        <v>0</v>
      </c>
      <c r="CG75" s="202" cm="1">
        <f t="array" ref="CG75">_xlfn.IFS(CG$3&lt;$B$2,SUMPRODUCT(('PA Fees Actual'!$B$5:$B$749=$E75)*('PA Fees Actual'!$A$5:$A$749&gt;=CG$3)*('PA Fees Actual'!$A$5:$A$749&lt;=EOMONTH(CG$3,0))*'PA Fees Actual'!$D$5:$D$749),CG$3&gt;=EOMONTH($X75,-1)+1,$Y75,TRUE,0)</f>
        <v>0</v>
      </c>
      <c r="CI75" s="202" cm="1">
        <f t="array" ref="CI75">_xlfn.IFS(CI$3&lt;=YEAR($B$2),SUMPRODUCT(($E$4:$E$79=$E75)*($Z$2:$CG$2=CI$3)*($Z$2:$CG$2&lt;CJ$3)*$Z$4:$CG$79),CI$3&lt;YEAR($X75),0,CI$3=YEAR($X75),DATEDIF($X75,DATE(CI$3,12,31),"m")*$Y75,AND(CI$3&gt;YEAR($X75),CI$3-YEAR($X75)&lt;20),$Y75*12,CI$3-YEAR($X75)=20,DATEDIF(DATE(YEAR($X75),1,1),$X75,"m")*$Y75,CI$3-YEAR($X75)&gt;20,0)</f>
        <v>0</v>
      </c>
      <c r="CJ75" s="202" cm="1">
        <f t="array" ref="CJ75">_xlfn.IFS(CJ$3&lt;=YEAR($B$2),SUMPRODUCT(($E$4:$E$79=$E75)*($Z$2:$CG$2=CJ$3)*($Z$2:$CG$2&lt;CK$3)*$Z$4:$CG$79),CJ$3&lt;YEAR($X75),0,CJ$3=YEAR($X75),DATEDIF($X75,DATE(CJ$3,12,31),"m")*$Y75,AND(CJ$3&gt;YEAR($X75),CJ$3-YEAR($X75)&lt;20),$Y75*12,CJ$3-YEAR($X75)=20,DATEDIF(DATE(YEAR($X75),1,1),$X75,"m")*$Y75,CJ$3-YEAR($X75)&gt;20,0)</f>
        <v>0</v>
      </c>
      <c r="CK75" s="202" cm="1">
        <f t="array" ref="CK75">_xlfn.IFS(CK$3&lt;=YEAR($B$2),SUMPRODUCT(($E$4:$E$79=$E75)*($Z$2:$CG$2=CK$3)*($Z$2:$CG$2&lt;CL$3)*$Z$4:$CG$79),CK$3&lt;YEAR($X75),0,CK$3=YEAR($X75),DATEDIF($X75,DATE(CK$3,12,31),"m")*$Y75,AND(CK$3&gt;YEAR($X75),CK$3-YEAR($X75)&lt;20),$Y75*12,CK$3-YEAR($X75)=20,DATEDIF(DATE(YEAR($X75),1,1),$X75,"m")*$Y75,CK$3-YEAR($X75)&gt;20,0)</f>
        <v>0</v>
      </c>
      <c r="CL75" s="202" cm="1">
        <f t="array" ref="CL75">_xlfn.IFS(CL$3&lt;=YEAR($B$2),SUMPRODUCT(($E$4:$E$79=$E75)*($Z$2:$CG$2=CL$3)*($Z$2:$CG$2&lt;CM$3)*$Z$4:$CG$79),CL$3&lt;YEAR($X75),0,CL$3=YEAR($X75),DATEDIF($X75,DATE(CL$3,12,31),"m")*$Y75,AND(CL$3&gt;YEAR($X75),CL$3-YEAR($X75)&lt;20),$Y75*12,CL$3-YEAR($X75)=20,DATEDIF(DATE(YEAR($X75),1,1),$X75,"m")*$Y75,CL$3-YEAR($X75)&gt;20,0)</f>
        <v>0</v>
      </c>
      <c r="CM75" s="202" cm="1">
        <f t="array" ref="CM75">_xlfn.IFS(CM$3&lt;=YEAR($B$2),SUMPRODUCT(($E$4:$E$79=$E75)*($Z$2:$CG$2=CM$3)*($Z$2:$CG$2&lt;CN$3)*$Z$4:$CG$79),CM$3&lt;YEAR($X75),0,CM$3=YEAR($X75),DATEDIF($X75,DATE(CM$3,12,31),"m")*$Y75,AND(CM$3&gt;YEAR($X75),CM$3-YEAR($X75)&lt;20),$Y75*12,CM$3-YEAR($X75)=20,DATEDIF(DATE(YEAR($X75),1,1),$X75,"m")*$Y75,CM$3-YEAR($X75)&gt;20,0)</f>
        <v>0</v>
      </c>
      <c r="CN75" s="202" cm="1">
        <f t="array" ref="CN75">_xlfn.IFS(CN$3&lt;=YEAR($B$2),SUMPRODUCT(($E$4:$E$79=$E75)*($Z$2:$CG$2=CN$3)*($Z$2:$CG$2&lt;CO$3)*$Z$4:$CG$79),CN$3&lt;YEAR($X75),0,CN$3=YEAR($X75),DATEDIF($X75,DATE(CN$3,12,31),"m")*$Y75,AND(CN$3&gt;YEAR($X75),CN$3-YEAR($X75)&lt;20),$Y75*12,CN$3-YEAR($X75)=20,DATEDIF(DATE(YEAR($X75),1,1),$X75,"m")*$Y75,CN$3-YEAR($X75)&gt;20,0)</f>
        <v>0</v>
      </c>
      <c r="CO75" s="202" cm="1">
        <f t="array" ref="CO75">_xlfn.IFS(CO$3&lt;=YEAR($B$2),SUMPRODUCT(($E$4:$E$79=$E75)*($Z$2:$CG$2=CO$3)*($Z$2:$CG$2&lt;CP$3)*$Z$4:$CG$79),CO$3&lt;YEAR($X75),0,CO$3=YEAR($X75),DATEDIF($X75,DATE(CO$3,12,31),"m")*$Y75,AND(CO$3&gt;YEAR($X75),CO$3-YEAR($X75)&lt;20),$Y75*12,CO$3-YEAR($X75)=20,DATEDIF(DATE(YEAR($X75),1,1),$X75,"m")*$Y75,CO$3-YEAR($X75)&gt;20,0)</f>
        <v>669.375</v>
      </c>
      <c r="CP75" s="202" cm="1">
        <f t="array" ref="CP75">_xlfn.IFS(CP$3&lt;=YEAR($B$2),SUMPRODUCT(($E$4:$E$79=$E75)*($Z$2:$CG$2=CP$3)*($Z$2:$CG$2&lt;CQ$3)*$Z$4:$CG$79),CP$3&lt;YEAR($X75),0,CP$3=YEAR($X75),DATEDIF($X75,DATE(CP$3,12,31),"m")*$Y75,AND(CP$3&gt;YEAR($X75),CP$3-YEAR($X75)&lt;20),$Y75*12,CP$3-YEAR($X75)=20,DATEDIF(DATE(YEAR($X75),1,1),$X75,"m")*$Y75,CP$3-YEAR($X75)&gt;20,0)</f>
        <v>1147.5</v>
      </c>
      <c r="CQ75" s="202" cm="1">
        <f t="array" ref="CQ75">_xlfn.IFS(CQ$3&lt;=YEAR($B$2),SUMPRODUCT(($E$4:$E$79=$E75)*($Z$2:$CG$2=CQ$3)*($Z$2:$CG$2&lt;CR$3)*$Z$4:$CG$79),CQ$3&lt;YEAR($X75),0,CQ$3=YEAR($X75),DATEDIF($X75,DATE(CQ$3,12,31),"m")*$Y75,AND(CQ$3&gt;YEAR($X75),CQ$3-YEAR($X75)&lt;20),$Y75*12,CQ$3-YEAR($X75)=20,DATEDIF(DATE(YEAR($X75),1,1),$X75,"m")*$Y75,CQ$3-YEAR($X75)&gt;20,0)</f>
        <v>1147.5</v>
      </c>
      <c r="CR75" s="202" cm="1">
        <f t="array" ref="CR75">_xlfn.IFS(CR$3&lt;=YEAR($B$2),SUMPRODUCT(($E$4:$E$79=$E75)*($Z$2:$CG$2=CR$3)*($Z$2:$CG$2&lt;CS$3)*$Z$4:$CG$79),CR$3&lt;YEAR($X75),0,CR$3=YEAR($X75),DATEDIF($X75,DATE(CR$3,12,31),"m")*$Y75,AND(CR$3&gt;YEAR($X75),CR$3-YEAR($X75)&lt;20),$Y75*12,CR$3-YEAR($X75)=20,DATEDIF(DATE(YEAR($X75),1,1),$X75,"m")*$Y75,CR$3-YEAR($X75)&gt;20,0)</f>
        <v>1147.5</v>
      </c>
      <c r="CS75" s="202" cm="1">
        <f t="array" ref="CS75">_xlfn.IFS(CS$3&lt;=YEAR($B$2),SUMPRODUCT(($E$4:$E$79=$E75)*($Z$2:$CG$2=CS$3)*($Z$2:$CG$2&lt;CT$3)*$Z$4:$CG$79),CS$3&lt;YEAR($X75),0,CS$3=YEAR($X75),DATEDIF($X75,DATE(CS$3,12,31),"m")*$Y75,AND(CS$3&gt;YEAR($X75),CS$3-YEAR($X75)&lt;20),$Y75*12,CS$3-YEAR($X75)=20,DATEDIF(DATE(YEAR($X75),1,1),$X75,"m")*$Y75,CS$3-YEAR($X75)&gt;20,0)</f>
        <v>1147.5</v>
      </c>
      <c r="CT75" s="202" cm="1">
        <f t="array" ref="CT75">_xlfn.IFS(CT$3&lt;=YEAR($B$2),SUMPRODUCT(($E$4:$E$79=$E75)*($Z$2:$CG$2=CT$3)*($Z$2:$CG$2&lt;CU$3)*$Z$4:$CG$79),CT$3&lt;YEAR($X75),0,CT$3=YEAR($X75),DATEDIF($X75,DATE(CT$3,12,31),"m")*$Y75,AND(CT$3&gt;YEAR($X75),CT$3-YEAR($X75)&lt;20),$Y75*12,CT$3-YEAR($X75)=20,DATEDIF(DATE(YEAR($X75),1,1),$X75,"m")*$Y75,CT$3-YEAR($X75)&gt;20,0)</f>
        <v>1147.5</v>
      </c>
      <c r="CU75" s="202" cm="1">
        <f t="array" ref="CU75">_xlfn.IFS(CU$3&lt;=YEAR($B$2),SUMPRODUCT(($E$4:$E$79=$E75)*($Z$2:$CG$2=CU$3)*($Z$2:$CG$2&lt;CV$3)*$Z$4:$CG$79),CU$3&lt;YEAR($X75),0,CU$3=YEAR($X75),DATEDIF($X75,DATE(CU$3,12,31),"m")*$Y75,AND(CU$3&gt;YEAR($X75),CU$3-YEAR($X75)&lt;20),$Y75*12,CU$3-YEAR($X75)=20,DATEDIF(DATE(YEAR($X75),1,1),$X75,"m")*$Y75,CU$3-YEAR($X75)&gt;20,0)</f>
        <v>1147.5</v>
      </c>
      <c r="CV75" s="202" cm="1">
        <f t="array" ref="CV75">_xlfn.IFS(CV$3&lt;=YEAR($B$2),SUMPRODUCT(($E$4:$E$79=$E75)*($Z$2:$CG$2=CV$3)*($Z$2:$CG$2&lt;CW$3)*$Z$4:$CG$79),CV$3&lt;YEAR($X75),0,CV$3=YEAR($X75),DATEDIF($X75,DATE(CV$3,12,31),"m")*$Y75,AND(CV$3&gt;YEAR($X75),CV$3-YEAR($X75)&lt;20),$Y75*12,CV$3-YEAR($X75)=20,DATEDIF(DATE(YEAR($X75),1,1),$X75,"m")*$Y75,CV$3-YEAR($X75)&gt;20,0)</f>
        <v>1147.5</v>
      </c>
      <c r="CW75" s="202" cm="1">
        <f t="array" ref="CW75">_xlfn.IFS(CW$3&lt;=YEAR($B$2),SUMPRODUCT(($E$4:$E$79=$E75)*($Z$2:$CG$2=CW$3)*($Z$2:$CG$2&lt;CX$3)*$Z$4:$CG$79),CW$3&lt;YEAR($X75),0,CW$3=YEAR($X75),DATEDIF($X75,DATE(CW$3,12,31),"m")*$Y75,AND(CW$3&gt;YEAR($X75),CW$3-YEAR($X75)&lt;20),$Y75*12,CW$3-YEAR($X75)=20,DATEDIF(DATE(YEAR($X75),1,1),$X75,"m")*$Y75,CW$3-YEAR($X75)&gt;20,0)</f>
        <v>1147.5</v>
      </c>
      <c r="CX75" s="202" cm="1">
        <f t="array" ref="CX75">_xlfn.IFS(CX$3&lt;=YEAR($B$2),SUMPRODUCT(($E$4:$E$79=$E75)*($Z$2:$CG$2=CX$3)*($Z$2:$CG$2&lt;CY$3)*$Z$4:$CG$79),CX$3&lt;YEAR($X75),0,CX$3=YEAR($X75),DATEDIF($X75,DATE(CX$3,12,31),"m")*$Y75,AND(CX$3&gt;YEAR($X75),CX$3-YEAR($X75)&lt;20),$Y75*12,CX$3-YEAR($X75)=20,DATEDIF(DATE(YEAR($X75),1,1),$X75,"m")*$Y75,CX$3-YEAR($X75)&gt;20,0)</f>
        <v>1147.5</v>
      </c>
      <c r="CY75" s="202" cm="1">
        <f t="array" ref="CY75">_xlfn.IFS(CY$3&lt;=YEAR($B$2),SUMPRODUCT(($E$4:$E$79=$E75)*($Z$2:$CG$2=CY$3)*($Z$2:$CG$2&lt;CZ$3)*$Z$4:$CG$79),CY$3&lt;YEAR($X75),0,CY$3=YEAR($X75),DATEDIF($X75,DATE(CY$3,12,31),"m")*$Y75,AND(CY$3&gt;YEAR($X75),CY$3-YEAR($X75)&lt;20),$Y75*12,CY$3-YEAR($X75)=20,DATEDIF(DATE(YEAR($X75),1,1),$X75,"m")*$Y75,CY$3-YEAR($X75)&gt;20,0)</f>
        <v>1147.5</v>
      </c>
      <c r="CZ75" s="202" cm="1">
        <f t="array" ref="CZ75">_xlfn.IFS(CZ$3&lt;=YEAR($B$2),SUMPRODUCT(($E$4:$E$79=$E75)*($Z$2:$CG$2=CZ$3)*($Z$2:$CG$2&lt;DA$3)*$Z$4:$CG$79),CZ$3&lt;YEAR($X75),0,CZ$3=YEAR($X75),DATEDIF($X75,DATE(CZ$3,12,31),"m")*$Y75,AND(CZ$3&gt;YEAR($X75),CZ$3-YEAR($X75)&lt;20),$Y75*12,CZ$3-YEAR($X75)=20,DATEDIF(DATE(YEAR($X75),1,1),$X75,"m")*$Y75,CZ$3-YEAR($X75)&gt;20,0)</f>
        <v>1147.5</v>
      </c>
      <c r="DA75" s="202" cm="1">
        <f t="array" ref="DA75">_xlfn.IFS(DA$3&lt;=YEAR($B$2),SUMPRODUCT(($E$4:$E$79=$E75)*($Z$2:$CG$2=DA$3)*($Z$2:$CG$2&lt;DB$3)*$Z$4:$CG$79),DA$3&lt;YEAR($X75),0,DA$3=YEAR($X75),DATEDIF($X75,DATE(DA$3,12,31),"m")*$Y75,AND(DA$3&gt;YEAR($X75),DA$3-YEAR($X75)&lt;20),$Y75*12,DA$3-YEAR($X75)=20,DATEDIF(DATE(YEAR($X75),1,1),$X75,"m")*$Y75,DA$3-YEAR($X75)&gt;20,0)</f>
        <v>1147.5</v>
      </c>
      <c r="DB75" s="202" cm="1">
        <f t="array" ref="DB75">_xlfn.IFS(DB$3&lt;=YEAR($B$2),SUMPRODUCT(($E$4:$E$79=$E75)*($Z$2:$CG$2=DB$3)*($Z$2:$CG$2&lt;DC$3)*$Z$4:$CG$79),DB$3&lt;YEAR($X75),0,DB$3=YEAR($X75),DATEDIF($X75,DATE(DB$3,12,31),"m")*$Y75,AND(DB$3&gt;YEAR($X75),DB$3-YEAR($X75)&lt;20),$Y75*12,DB$3-YEAR($X75)=20,DATEDIF(DATE(YEAR($X75),1,1),$X75,"m")*$Y75,DB$3-YEAR($X75)&gt;20,0)</f>
        <v>1147.5</v>
      </c>
      <c r="DC75" s="202" cm="1">
        <f t="array" ref="DC75">_xlfn.IFS(DC$3&lt;=YEAR($B$2),SUMPRODUCT(($E$4:$E$79=$E75)*($Z$2:$CG$2=DC$3)*($Z$2:$CG$2&lt;DD$3)*$Z$4:$CG$79),DC$3&lt;YEAR($X75),0,DC$3=YEAR($X75),DATEDIF($X75,DATE(DC$3,12,31),"m")*$Y75,AND(DC$3&gt;YEAR($X75),DC$3-YEAR($X75)&lt;20),$Y75*12,DC$3-YEAR($X75)=20,DATEDIF(DATE(YEAR($X75),1,1),$X75,"m")*$Y75,DC$3-YEAR($X75)&gt;20,0)</f>
        <v>1147.5</v>
      </c>
      <c r="DD75" s="202" cm="1">
        <f t="array" ref="DD75">_xlfn.IFS(DD$3&lt;=YEAR($B$2),SUMPRODUCT(($E$4:$E$79=$E75)*($Z$2:$CG$2=DD$3)*($Z$2:$CG$2&lt;DE$3)*$Z$4:$CG$79),DD$3&lt;YEAR($X75),0,DD$3=YEAR($X75),DATEDIF($X75,DATE(DD$3,12,31),"m")*$Y75,AND(DD$3&gt;YEAR($X75),DD$3-YEAR($X75)&lt;20),$Y75*12,DD$3-YEAR($X75)=20,DATEDIF(DATE(YEAR($X75),1,1),$X75,"m")*$Y75,DD$3-YEAR($X75)&gt;20,0)</f>
        <v>1147.5</v>
      </c>
      <c r="DE75" s="202" cm="1">
        <f t="array" ref="DE75">_xlfn.IFS(DE$3&lt;=YEAR($B$2),SUMPRODUCT(($E$4:$E$79=$E75)*($Z$2:$CG$2=DE$3)*($Z$2:$CG$2&lt;DF$3)*$Z$4:$CG$79),DE$3&lt;YEAR($X75),0,DE$3=YEAR($X75),DATEDIF($X75,DATE(DE$3,12,31),"m")*$Y75,AND(DE$3&gt;YEAR($X75),DE$3-YEAR($X75)&lt;20),$Y75*12,DE$3-YEAR($X75)=20,DATEDIF(DATE(YEAR($X75),1,1),$X75,"m")*$Y75,DE$3-YEAR($X75)&gt;20,0)</f>
        <v>1147.5</v>
      </c>
      <c r="DF75" s="202" cm="1">
        <f t="array" ref="DF75">_xlfn.IFS(DF$3&lt;=YEAR($B$2),SUMPRODUCT(($E$4:$E$79=$E75)*($Z$2:$CG$2=DF$3)*($Z$2:$CG$2&lt;DG$3)*$Z$4:$CG$79),DF$3&lt;YEAR($X75),0,DF$3=YEAR($X75),DATEDIF($X75,DATE(DF$3,12,31),"m")*$Y75,AND(DF$3&gt;YEAR($X75),DF$3-YEAR($X75)&lt;20),$Y75*12,DF$3-YEAR($X75)=20,DATEDIF(DATE(YEAR($X75),1,1),$X75,"m")*$Y75,DF$3-YEAR($X75)&gt;20,0)</f>
        <v>1147.5</v>
      </c>
      <c r="DG75" s="202" cm="1">
        <f t="array" ref="DG75">_xlfn.IFS(DG$3&lt;=YEAR($B$2),SUMPRODUCT(($E$4:$E$79=$E75)*($Z$2:$CG$2=DG$3)*($Z$2:$CG$2&lt;DH$3)*$Z$4:$CG$79),DG$3&lt;YEAR($X75),0,DG$3=YEAR($X75),DATEDIF($X75,DATE(DG$3,12,31),"m")*$Y75,AND(DG$3&gt;YEAR($X75),DG$3-YEAR($X75)&lt;20),$Y75*12,DG$3-YEAR($X75)=20,DATEDIF(DATE(YEAR($X75),1,1),$X75,"m")*$Y75,DG$3-YEAR($X75)&gt;20,0)</f>
        <v>1147.5</v>
      </c>
      <c r="DH75" s="202" cm="1">
        <f t="array" ref="DH75">_xlfn.IFS(DH$3&lt;=YEAR($B$2),SUMPRODUCT(($E$4:$E$79=$E75)*($Z$2:$CG$2=DH$3)*($Z$2:$CG$2&lt;DI$3)*$Z$4:$CG$79),DH$3&lt;YEAR($X75),0,DH$3=YEAR($X75),DATEDIF($X75,DATE(DH$3,12,31),"m")*$Y75,AND(DH$3&gt;YEAR($X75),DH$3-YEAR($X75)&lt;20),$Y75*12,DH$3-YEAR($X75)=20,DATEDIF(DATE(YEAR($X75),1,1),$X75,"m")*$Y75,DH$3-YEAR($X75)&gt;20,0)</f>
        <v>1147.5</v>
      </c>
      <c r="DI75" s="202" cm="1">
        <f t="array" ref="DI75">_xlfn.IFS(DI$3&lt;=YEAR($B$2),SUMPRODUCT(($E$4:$E$79=$E75)*($Z$2:$CG$2=DI$3)*($Z$2:$CG$2&lt;DJ$3)*$Z$4:$CG$79),DI$3&lt;YEAR($X75),0,DI$3=YEAR($X75),DATEDIF($X75,DATE(DI$3,12,31),"m")*$Y75,AND(DI$3&gt;YEAR($X75),DI$3-YEAR($X75)&lt;20),$Y75*12,DI$3-YEAR($X75)=20,DATEDIF(DATE(YEAR($X75),1,1),$X75,"m")*$Y75,DI$3-YEAR($X75)&gt;20,0)</f>
        <v>382.5</v>
      </c>
      <c r="DJ75" s="202" cm="1">
        <f t="array" ref="DJ75">_xlfn.IFS(DJ$3&lt;=YEAR($B$2),SUMPRODUCT(($E$4:$E$79=$E75)*($Z$2:$CG$2=DJ$3)*($Z$2:$CG$2&lt;DK$3)*$Z$4:$CG$79),DJ$3&lt;YEAR($X75),0,DJ$3=YEAR($X75),DATEDIF($X75,DATE(DJ$3,12,31),"m")*$Y75,AND(DJ$3&gt;YEAR($X75),DJ$3-YEAR($X75)&lt;20),$Y75*12,DJ$3-YEAR($X75)=20,DATEDIF(DATE(YEAR($X75),1,1),$X75,"m")*$Y75,DJ$3-YEAR($X75)&gt;20,0)</f>
        <v>0</v>
      </c>
      <c r="DK75" s="202" cm="1">
        <f t="array" ref="DK75">_xlfn.IFS(DK$3&lt;=YEAR($B$2),SUMPRODUCT(($E$4:$E$79=$E75)*($Z$2:$CG$2=DK$3)*($Z$2:$CG$2&lt;DL$3)*$Z$4:$CG$79),DK$3&lt;YEAR($X75),0,DK$3=YEAR($X75),DATEDIF($X75,DATE(DK$3,12,31),"m")*$Y75,AND(DK$3&gt;YEAR($X75),DK$3-YEAR($X75)&lt;20),$Y75*12,DK$3-YEAR($X75)=20,DATEDIF(DATE(YEAR($X75),1,1),$X75,"m")*$Y75,DK$3-YEAR($X75)&gt;20,0)</f>
        <v>0</v>
      </c>
      <c r="DL75" s="202" cm="1">
        <f t="array" ref="DL75">_xlfn.IFS(DL$3&lt;=YEAR($B$2),SUMPRODUCT(($E$4:$E$79=$E75)*($Z$2:$CG$2=DL$3)*($Z$2:$CG$2&lt;DM$3)*$Z$4:$CG$79),DL$3&lt;YEAR($X75),0,DL$3=YEAR($X75),DATEDIF($X75,DATE(DL$3,12,31),"m")*$Y75,AND(DL$3&gt;YEAR($X75),DL$3-YEAR($X75)&lt;20),$Y75*12,DL$3-YEAR($X75)=20,DATEDIF(DATE(YEAR($X75),1,1),$X75,"m")*$Y75,DL$3-YEAR($X75)&gt;20,0)</f>
        <v>0</v>
      </c>
    </row>
    <row r="76" spans="1:116">
      <c r="A76" s="155" t="str" cm="1">
        <f t="array" ref="A76">INDEX('Monthly Report July 2025'!C:C,MATCH(E76,'Monthly Report July 2025'!E:E,0),0)</f>
        <v>OCS078</v>
      </c>
      <c r="B76" s="155" t="str" cm="1">
        <f t="array" ref="B76">_xlfn.IFS(LEFT(E76,3)="PGE","PGE",LEFT(E76,2)="PP","PAC",TRUE,"IP")</f>
        <v>PAC</v>
      </c>
      <c r="C76" s="155" t="str">
        <f>IF(ISNA(MATCH(E76,'Monthly Report July 2025'!E:E,0)),"Missing","Present")</f>
        <v>Present</v>
      </c>
      <c r="D76" s="155" t="str">
        <f>IF(ISNA(MATCH(E76,'Project Operational Timelines'!C:C,0))=TRUE,"Missing","Present")</f>
        <v>Present</v>
      </c>
      <c r="E76" s="155" t="s">
        <v>184</v>
      </c>
      <c r="F76" s="155" t="str" cm="1">
        <f t="array" ref="F76">INDEX('Monthly Report July 2025'!F:F,MATCH(E76,'Monthly Report July 2025'!E:E,),0)</f>
        <v xml:space="preserve">Lomaside Solar </v>
      </c>
      <c r="G76" s="155" t="str" cm="1">
        <f t="array" ref="G76">_xlfn.IFS(INDEX('Monthly Report July 2025'!O:O,MATCH(E76,'Monthly Report July 2025'!E:E,0),0)="Operational","Operational",INDEX('Monthly Report July 2025'!O:O,MATCH(E76,'Monthly Report July 2025'!E:E,0),0)="Certified","Certified",TRUE,"Pre-Certified")</f>
        <v>Pre-Certified</v>
      </c>
      <c r="H76" s="155" t="str" cm="1">
        <f t="array" ref="H76">INDEX('Monthly Report July 2025'!H:H,MATCH($E76,'Monthly Report July 2025'!$E:$E,0),0)</f>
        <v>Hawthorne Renewables LLC</v>
      </c>
      <c r="I76" s="155" t="str" cm="1">
        <f t="array" ref="I76">INDEX('Monthly Report July 2025'!I:I,MATCH($E76,'Monthly Report July 2025'!$E:$E,0),0)</f>
        <v>Evergreen</v>
      </c>
      <c r="J76" s="174" cm="1">
        <f t="array" ref="J76">INDEX('Monthly Report July 2025'!J:J,MATCH($E76,'Monthly Report July 2025'!$E:$E,0),0)</f>
        <v>2</v>
      </c>
      <c r="K76" s="174" t="str" cm="1">
        <f t="array" ref="K76">INDEX('Monthly Report July 2025'!K:K,MATCH($E76,'Monthly Report July 2025'!$E:$E,0),0)</f>
        <v>Yes</v>
      </c>
      <c r="L76" s="174" t="b" cm="1">
        <f t="array" ref="L76">INDEX('Monthly Report July 2025'!L:L,MATCH(E76,'Monthly Report July 2025'!E:E,0),0)=M76</f>
        <v>1</v>
      </c>
      <c r="M76" s="273" cm="1">
        <f t="array" ref="M76">INDEX('Monthly Report July 2025'!L:L,MATCH($E76,'Monthly Report July 2025'!$E:$E,0),0)</f>
        <v>1100</v>
      </c>
      <c r="N76" s="175" cm="1">
        <f t="array" ref="N76">INDEX('Monthly Report July 2025'!M:M,MATCH($E76,'Monthly Report July 2025'!$E:$E,0),0)</f>
        <v>45604</v>
      </c>
      <c r="O76" s="175" cm="1">
        <f t="array" ref="O76">_xlfn.IFS(G76="Operational","Operational",G76="Certified","Certified",TRUE,INDEX('Monthly Report July 2025'!O:O,MATCH(E76,'Monthly Report July 2025'!E:E,0),0))</f>
        <v>46150</v>
      </c>
      <c r="Q76" s="175" t="str" cm="1">
        <f t="array" ref="Q76">IF(O76="Operational",INDEX('Monthly Report July 2025'!R:R,MATCH(E76,'Monthly Report July 2025'!E:E,0),0),"")</f>
        <v/>
      </c>
      <c r="R76" s="175" t="str" cm="1">
        <f t="array" ref="R76">INDEX('Monthly Report July 2025'!P:P,MATCH(E76,'Monthly Report July 2025'!E:E,0),0)</f>
        <v>Not Yet Certified</v>
      </c>
      <c r="T76" s="175" cm="1">
        <f t="array" ref="T76">INDEX('Monthly Report July 2025'!U:U,MATCH(E76,'Monthly Report July 2025'!E:E,0),0)</f>
        <v>46010</v>
      </c>
      <c r="U76" s="175" t="b">
        <f t="shared" si="34"/>
        <v>1</v>
      </c>
      <c r="V76" s="156">
        <f t="shared" si="29"/>
        <v>46150</v>
      </c>
      <c r="W76" s="156" cm="1">
        <f t="array" ref="W76">_xlfn.IFS(U76=TRUE,EDATE(O76,6),U76=FALSE,T76,O76="Operational",Q76,AND(O76="Certified",EDATE(R76,6)&gt;T76),EDATE(R76,6),TRUE,T76)</f>
        <v>46334</v>
      </c>
      <c r="X76" s="156">
        <f t="shared" si="33"/>
        <v>46395</v>
      </c>
      <c r="Y76" s="157">
        <f t="shared" si="35"/>
        <v>420.75</v>
      </c>
      <c r="Z76" s="202" cm="1">
        <f t="array" ref="Z76">_xlfn.IFS(Z$3&lt;$B$2,SUMPRODUCT(('PA Fees Actual'!$B$5:$B$882=$E76)*('PA Fees Actual'!$A$5:$A$882&gt;=Z$3)*('PA Fees Actual'!$A$5:$A$882&lt;=EOMONTH(Z$3,0))*'PA Fees Actual'!$D$5:$D$882),Z$3&gt;=EOMONTH($X76,-1)+1,$Y76,TRUE,0)</f>
        <v>0</v>
      </c>
      <c r="AA76" s="202" cm="1">
        <f t="array" ref="AA76">_xlfn.IFS(AA$3&lt;$B$2,SUMPRODUCT(('PA Fees Actual'!$B$5:$B$882=$E76)*('PA Fees Actual'!$A$5:$A$882&gt;=AA$3)*('PA Fees Actual'!$A$5:$A$882&lt;=EOMONTH(AA$3,0))*'PA Fees Actual'!$D$5:$D$882),AA$3&gt;=EOMONTH($X76,-1)+1,$Y76,TRUE,0)</f>
        <v>0</v>
      </c>
      <c r="AB76" s="202" cm="1">
        <f t="array" ref="AB76">_xlfn.IFS(AB$3&lt;$B$2,SUMPRODUCT(('PA Fees Actual'!$B$5:$B$882=$E76)*('PA Fees Actual'!$A$5:$A$882&gt;=AB$3)*('PA Fees Actual'!$A$5:$A$882&lt;=EOMONTH(AB$3,0))*'PA Fees Actual'!$D$5:$D$882),AB$3&gt;=EOMONTH($X76,-1)+1,$Y76,TRUE,0)</f>
        <v>0</v>
      </c>
      <c r="AC76" s="202" cm="1">
        <f t="array" ref="AC76">_xlfn.IFS(AC$3&lt;$B$2,SUMPRODUCT(('PA Fees Actual'!$B$5:$B$882=$E76)*('PA Fees Actual'!$A$5:$A$882&gt;=AC$3)*('PA Fees Actual'!$A$5:$A$882&lt;=EOMONTH(AC$3,0))*'PA Fees Actual'!$D$5:$D$882),AC$3&gt;=EOMONTH($X76,-1)+1,$Y76,TRUE,0)</f>
        <v>0</v>
      </c>
      <c r="AD76" s="202" cm="1">
        <f t="array" ref="AD76">_xlfn.IFS(AD$3&lt;$B$2,SUMPRODUCT(('PA Fees Actual'!$B$5:$B$882=$E76)*('PA Fees Actual'!$A$5:$A$882&gt;=AD$3)*('PA Fees Actual'!$A$5:$A$882&lt;=EOMONTH(AD$3,0))*'PA Fees Actual'!$D$5:$D$882),AD$3&gt;=EOMONTH($X76,-1)+1,$Y76,TRUE,0)</f>
        <v>0</v>
      </c>
      <c r="AE76" s="202" cm="1">
        <f t="array" ref="AE76">_xlfn.IFS(AE$3&lt;$B$2,SUMPRODUCT(('PA Fees Actual'!$B$5:$B$882=$E76)*('PA Fees Actual'!$A$5:$A$882&gt;=AE$3)*('PA Fees Actual'!$A$5:$A$882&lt;=EOMONTH(AE$3,0))*'PA Fees Actual'!$D$5:$D$882),AE$3&gt;=EOMONTH($X76,-1)+1,$Y76,TRUE,0)</f>
        <v>0</v>
      </c>
      <c r="AF76" s="202" cm="1">
        <f t="array" ref="AF76">_xlfn.IFS(AF$3&lt;$B$2,SUMPRODUCT(('PA Fees Actual'!$B$5:$B$882=$E76)*('PA Fees Actual'!$A$5:$A$882&gt;=AF$3)*('PA Fees Actual'!$A$5:$A$882&lt;=EOMONTH(AF$3,0))*'PA Fees Actual'!$D$5:$D$882),AF$3&gt;=EOMONTH($X76,-1)+1,$Y76,TRUE,0)</f>
        <v>0</v>
      </c>
      <c r="AG76" s="202" cm="1">
        <f t="array" ref="AG76">_xlfn.IFS(AG$3&lt;$B$2,SUMPRODUCT(('PA Fees Actual'!$B$5:$B$882=$E76)*('PA Fees Actual'!$A$5:$A$882&gt;=AG$3)*('PA Fees Actual'!$A$5:$A$882&lt;=EOMONTH(AG$3,0))*'PA Fees Actual'!$D$5:$D$882),AG$3&gt;=EOMONTH($X76,-1)+1,$Y76,TRUE,0)</f>
        <v>0</v>
      </c>
      <c r="AH76" s="202" cm="1">
        <f t="array" ref="AH76">_xlfn.IFS(AH$3&lt;$B$2,SUMPRODUCT(('PA Fees Actual'!$B$5:$B$882=$E76)*('PA Fees Actual'!$A$5:$A$882&gt;=AH$3)*('PA Fees Actual'!$A$5:$A$882&lt;=EOMONTH(AH$3,0))*'PA Fees Actual'!$D$5:$D$882),AH$3&gt;=EOMONTH($X76,-1)+1,$Y76,TRUE,0)</f>
        <v>0</v>
      </c>
      <c r="AI76" s="202" cm="1">
        <f t="array" ref="AI76">_xlfn.IFS(AI$3&lt;$B$2,SUMPRODUCT(('PA Fees Actual'!$B$5:$B$882=$E76)*('PA Fees Actual'!$A$5:$A$882&gt;=AI$3)*('PA Fees Actual'!$A$5:$A$882&lt;=EOMONTH(AI$3,0))*'PA Fees Actual'!$D$5:$D$882),AI$3&gt;=EOMONTH($X76,-1)+1,$Y76,TRUE,0)</f>
        <v>0</v>
      </c>
      <c r="AJ76" s="202" cm="1">
        <f t="array" ref="AJ76">_xlfn.IFS(AJ$3&lt;$B$2,SUMPRODUCT(('PA Fees Actual'!$B$5:$B$882=$E76)*('PA Fees Actual'!$A$5:$A$882&gt;=AJ$3)*('PA Fees Actual'!$A$5:$A$882&lt;=EOMONTH(AJ$3,0))*'PA Fees Actual'!$D$5:$D$882),AJ$3&gt;=EOMONTH($X76,-1)+1,$Y76,TRUE,0)</f>
        <v>0</v>
      </c>
      <c r="AK76" s="202" cm="1">
        <f t="array" ref="AK76">_xlfn.IFS(AK$3&lt;$B$2,SUMPRODUCT(('PA Fees Actual'!$B$5:$B$882=$E76)*('PA Fees Actual'!$A$5:$A$882&gt;=AK$3)*('PA Fees Actual'!$A$5:$A$882&lt;=EOMONTH(AK$3,0))*'PA Fees Actual'!$D$5:$D$882),AK$3&gt;=EOMONTH($X76,-1)+1,$Y76,TRUE,0)</f>
        <v>0</v>
      </c>
      <c r="AL76" s="202" cm="1">
        <f t="array" ref="AL76">_xlfn.IFS(AL$3&lt;$B$2,SUMPRODUCT(('PA Fees Actual'!$B$5:$B$882=$E76)*('PA Fees Actual'!$A$5:$A$882&gt;=AL$3)*('PA Fees Actual'!$A$5:$A$882&lt;=EOMONTH(AL$3,0))*'PA Fees Actual'!$D$5:$D$882),AL$3&gt;=EOMONTH($X76,-1)+1,$Y76,TRUE,0)</f>
        <v>0</v>
      </c>
      <c r="AM76" s="202" cm="1">
        <f t="array" ref="AM76">_xlfn.IFS(AM$3&lt;$B$2,SUMPRODUCT(('PA Fees Actual'!$B$5:$B$882=$E76)*('PA Fees Actual'!$A$5:$A$882&gt;=AM$3)*('PA Fees Actual'!$A$5:$A$882&lt;=EOMONTH(AM$3,0))*'PA Fees Actual'!$D$5:$D$882),AM$3&gt;=EOMONTH($X76,-1)+1,$Y76,TRUE,0)</f>
        <v>0</v>
      </c>
      <c r="AN76" s="202" cm="1">
        <f t="array" ref="AN76">_xlfn.IFS(AN$3&lt;$B$2,SUMPRODUCT(('PA Fees Actual'!$B$5:$B$882=$E76)*('PA Fees Actual'!$A$5:$A$882&gt;=AN$3)*('PA Fees Actual'!$A$5:$A$882&lt;=EOMONTH(AN$3,0))*'PA Fees Actual'!$D$5:$D$882),AN$3&gt;=EOMONTH($X76,-1)+1,$Y76,TRUE,0)</f>
        <v>0</v>
      </c>
      <c r="AO76" s="202" cm="1">
        <f t="array" ref="AO76">_xlfn.IFS(AO$3&lt;$B$2,SUMPRODUCT(('PA Fees Actual'!$B$5:$B$882=$E76)*('PA Fees Actual'!$A$5:$A$882&gt;=AO$3)*('PA Fees Actual'!$A$5:$A$882&lt;=EOMONTH(AO$3,0))*'PA Fees Actual'!$D$5:$D$882),AO$3&gt;=EOMONTH($X76,-1)+1,$Y76,TRUE,0)</f>
        <v>0</v>
      </c>
      <c r="AP76" s="202" cm="1">
        <f t="array" ref="AP76">_xlfn.IFS(AP$3&lt;$B$2,SUMPRODUCT(('PA Fees Actual'!$B$5:$B$882=$E76)*('PA Fees Actual'!$A$5:$A$882&gt;=AP$3)*('PA Fees Actual'!$A$5:$A$882&lt;=EOMONTH(AP$3,0))*'PA Fees Actual'!$D$5:$D$882),AP$3&gt;=EOMONTH($X76,-1)+1,$Y76,TRUE,0)</f>
        <v>0</v>
      </c>
      <c r="AQ76" s="202" cm="1">
        <f t="array" ref="AQ76">_xlfn.IFS(AQ$3&lt;$B$2,SUMPRODUCT(('PA Fees Actual'!$B$5:$B$882=$E76)*('PA Fees Actual'!$A$5:$A$882&gt;=AQ$3)*('PA Fees Actual'!$A$5:$A$882&lt;=EOMONTH(AQ$3,0))*'PA Fees Actual'!$D$5:$D$882),AQ$3&gt;=EOMONTH($X76,-1)+1,$Y76,TRUE,0)</f>
        <v>0</v>
      </c>
      <c r="AR76" s="202" cm="1">
        <f t="array" ref="AR76">_xlfn.IFS(AR$3&lt;$B$2,SUMPRODUCT(('PA Fees Actual'!$B$5:$B$882=$E76)*('PA Fees Actual'!$A$5:$A$882&gt;=AR$3)*('PA Fees Actual'!$A$5:$A$882&lt;=EOMONTH(AR$3,0))*'PA Fees Actual'!$D$5:$D$882),AR$3&gt;=EOMONTH($X76,-1)+1,$Y76,TRUE,0)</f>
        <v>0</v>
      </c>
      <c r="AS76" s="202" cm="1">
        <f t="array" ref="AS76">_xlfn.IFS(AS$3&lt;$B$2,SUMPRODUCT(('PA Fees Actual'!$B$5:$B$882=$E76)*('PA Fees Actual'!$A$5:$A$882&gt;=AS$3)*('PA Fees Actual'!$A$5:$A$882&lt;=EOMONTH(AS$3,0))*'PA Fees Actual'!$D$5:$D$882),AS$3&gt;=EOMONTH($X76,-1)+1,$Y76,TRUE,0)</f>
        <v>0</v>
      </c>
      <c r="AT76" s="202" cm="1">
        <f t="array" ref="AT76">_xlfn.IFS(AT$3&lt;$B$2,SUMPRODUCT(('PA Fees Actual'!$B$5:$B$882=$E76)*('PA Fees Actual'!$A$5:$A$882&gt;=AT$3)*('PA Fees Actual'!$A$5:$A$882&lt;=EOMONTH(AT$3,0))*'PA Fees Actual'!$D$5:$D$882),AT$3&gt;=EOMONTH($X76,-1)+1,$Y76,TRUE,0)</f>
        <v>0</v>
      </c>
      <c r="AU76" s="202" cm="1">
        <f t="array" ref="AU76">_xlfn.IFS(AU$3&lt;$B$2,SUMPRODUCT(('PA Fees Actual'!$B$5:$B$882=$E76)*('PA Fees Actual'!$A$5:$A$882&gt;=AU$3)*('PA Fees Actual'!$A$5:$A$882&lt;=EOMONTH(AU$3,0))*'PA Fees Actual'!$D$5:$D$882),AU$3&gt;=EOMONTH($X76,-1)+1,$Y76,TRUE,0)</f>
        <v>0</v>
      </c>
      <c r="AV76" s="202" cm="1">
        <f t="array" ref="AV76">_xlfn.IFS(AV$3&lt;$B$2,SUMPRODUCT(('PA Fees Actual'!$B$5:$B$882=$E76)*('PA Fees Actual'!$A$5:$A$882&gt;=AV$3)*('PA Fees Actual'!$A$5:$A$882&lt;=EOMONTH(AV$3,0))*'PA Fees Actual'!$D$5:$D$882),AV$3&gt;=EOMONTH($X76,-1)+1,$Y76,TRUE,0)</f>
        <v>0</v>
      </c>
      <c r="AW76" s="202" cm="1">
        <f t="array" ref="AW76">_xlfn.IFS(AW$3&lt;$B$2,SUMPRODUCT(('PA Fees Actual'!$B$5:$B$882=$E76)*('PA Fees Actual'!$A$5:$A$882&gt;=AW$3)*('PA Fees Actual'!$A$5:$A$882&lt;=EOMONTH(AW$3,0))*'PA Fees Actual'!$D$5:$D$882),AW$3&gt;=EOMONTH($X76,-1)+1,$Y76,TRUE,0)</f>
        <v>0</v>
      </c>
      <c r="AX76" s="202" cm="1">
        <f t="array" ref="AX76">_xlfn.IFS(AX$3&lt;$B$2,SUMPRODUCT(('PA Fees Actual'!$B$5:$B$882=$E76)*('PA Fees Actual'!$A$5:$A$882&gt;=AX$3)*('PA Fees Actual'!$A$5:$A$882&lt;=EOMONTH(AX$3,0))*'PA Fees Actual'!$D$5:$D$882),AX$3&gt;=EOMONTH($X76,-1)+1,$Y76,TRUE,0)</f>
        <v>0</v>
      </c>
      <c r="AY76" s="202" cm="1">
        <f t="array" ref="AY76">_xlfn.IFS(AY$3&lt;$B$2,SUMPRODUCT(('PA Fees Actual'!$B$5:$B$882=$E76)*('PA Fees Actual'!$A$5:$A$882&gt;=AY$3)*('PA Fees Actual'!$A$5:$A$882&lt;=EOMONTH(AY$3,0))*'PA Fees Actual'!$D$5:$D$882),AY$3&gt;=EOMONTH($X76,-1)+1,$Y76,TRUE,0)</f>
        <v>0</v>
      </c>
      <c r="AZ76" s="202" cm="1">
        <f t="array" ref="AZ76">_xlfn.IFS(AZ$3&lt;$B$2,SUMPRODUCT(('PA Fees Actual'!$B$5:$B$882=$E76)*('PA Fees Actual'!$A$5:$A$882&gt;=AZ$3)*('PA Fees Actual'!$A$5:$A$882&lt;=EOMONTH(AZ$3,0))*'PA Fees Actual'!$D$5:$D$882),AZ$3&gt;=EOMONTH($X76,-1)+1,$Y76,TRUE,0)</f>
        <v>0</v>
      </c>
      <c r="BA76" s="202" cm="1">
        <f t="array" ref="BA76">_xlfn.IFS(BA$3&lt;$B$2,SUMPRODUCT(('PA Fees Actual'!$B$5:$B$882=$E76)*('PA Fees Actual'!$A$5:$A$882&gt;=BA$3)*('PA Fees Actual'!$A$5:$A$882&lt;=EOMONTH(BA$3,0))*'PA Fees Actual'!$D$5:$D$882),BA$3&gt;=EOMONTH($X76,-1)+1,$Y76,TRUE,0)</f>
        <v>0</v>
      </c>
      <c r="BB76" s="202" cm="1">
        <f t="array" ref="BB76">_xlfn.IFS(BB$3&lt;$B$2,SUMPRODUCT(('PA Fees Actual'!$B$5:$B$882=$E76)*('PA Fees Actual'!$A$5:$A$882&gt;=BB$3)*('PA Fees Actual'!$A$5:$A$882&lt;=EOMONTH(BB$3,0))*'PA Fees Actual'!$D$5:$D$882),BB$3&gt;=EOMONTH($X76,-1)+1,$Y76,TRUE,0)</f>
        <v>0</v>
      </c>
      <c r="BC76" s="202" cm="1">
        <f t="array" ref="BC76">_xlfn.IFS(BC$3&lt;$B$2,SUMPRODUCT(('PA Fees Actual'!$B$5:$B$882=$E76)*('PA Fees Actual'!$A$5:$A$882&gt;=BC$3)*('PA Fees Actual'!$A$5:$A$882&lt;=EOMONTH(BC$3,0))*'PA Fees Actual'!$D$5:$D$882),BC$3&gt;=EOMONTH($X76,-1)+1,$Y76,TRUE,0)</f>
        <v>0</v>
      </c>
      <c r="BD76" s="202" cm="1">
        <f t="array" ref="BD76">_xlfn.IFS(BD$3&lt;$B$2,SUMPRODUCT(('PA Fees Actual'!$B$5:$B$882=$E76)*('PA Fees Actual'!$A$5:$A$882&gt;=BD$3)*('PA Fees Actual'!$A$5:$A$882&lt;=EOMONTH(BD$3,0))*'PA Fees Actual'!$D$5:$D$882),BD$3&gt;=EOMONTH($X76,-1)+1,$Y76,TRUE,0)</f>
        <v>0</v>
      </c>
      <c r="BE76" s="202" cm="1">
        <f t="array" ref="BE76">_xlfn.IFS(BE$3&lt;$B$2,SUMPRODUCT(('PA Fees Actual'!$B$5:$B$882=$E76)*('PA Fees Actual'!$A$5:$A$882&gt;=BE$3)*('PA Fees Actual'!$A$5:$A$882&lt;=EOMONTH(BE$3,0))*'PA Fees Actual'!$D$5:$D$882),BE$3&gt;=EOMONTH($X76,-1)+1,$Y76,TRUE,0)</f>
        <v>0</v>
      </c>
      <c r="BF76" s="202" cm="1">
        <f t="array" ref="BF76">_xlfn.IFS(BF$3&lt;$B$2,SUMPRODUCT(('PA Fees Actual'!$B$5:$B$882=$E76)*('PA Fees Actual'!$A$5:$A$882&gt;=BF$3)*('PA Fees Actual'!$A$5:$A$882&lt;=EOMONTH(BF$3,0))*'PA Fees Actual'!$D$5:$D$882),BF$3&gt;=EOMONTH($X76,-1)+1,$Y76,TRUE,0)</f>
        <v>0</v>
      </c>
      <c r="BG76" s="202" cm="1">
        <f t="array" ref="BG76">_xlfn.IFS(BG$3&lt;$B$2,SUMPRODUCT(('PA Fees Actual'!$B$5:$B$882=$E76)*('PA Fees Actual'!$A$5:$A$882&gt;=BG$3)*('PA Fees Actual'!$A$5:$A$882&lt;=EOMONTH(BG$3,0))*'PA Fees Actual'!$D$5:$D$882),BG$3&gt;=EOMONTH($X76,-1)+1,$Y76,TRUE,0)</f>
        <v>0</v>
      </c>
      <c r="BH76" s="202" cm="1">
        <f t="array" ref="BH76">_xlfn.IFS(BH$3&lt;$B$2,SUMPRODUCT(('PA Fees Actual'!$B$5:$B$882=$E76)*('PA Fees Actual'!$A$5:$A$882&gt;=BH$3)*('PA Fees Actual'!$A$5:$A$882&lt;=EOMONTH(BH$3,0))*'PA Fees Actual'!$D$5:$D$882),BH$3&gt;=EOMONTH($X76,-1)+1,$Y76,TRUE,0)</f>
        <v>0</v>
      </c>
      <c r="BI76" s="202" cm="1">
        <f t="array" ref="BI76">_xlfn.IFS(BI$3&lt;$B$2,SUMPRODUCT(('PA Fees Actual'!$B$5:$B$882=$E76)*('PA Fees Actual'!$A$5:$A$882&gt;=BI$3)*('PA Fees Actual'!$A$5:$A$882&lt;=EOMONTH(BI$3,0))*'PA Fees Actual'!$D$5:$D$882),BI$3&gt;=EOMONTH($X76,-1)+1,$Y76,TRUE,0)</f>
        <v>0</v>
      </c>
      <c r="BJ76" s="202" cm="1">
        <f t="array" ref="BJ76">_xlfn.IFS(BJ$3&lt;$B$2,SUMPRODUCT(('PA Fees Actual'!$B$5:$B$882=$E76)*('PA Fees Actual'!$A$5:$A$882&gt;=BJ$3)*('PA Fees Actual'!$A$5:$A$882&lt;=EOMONTH(BJ$3,0))*'PA Fees Actual'!$D$5:$D$882),BJ$3&gt;=EOMONTH($X76,-1)+1,$Y76,TRUE,0)</f>
        <v>0</v>
      </c>
      <c r="BK76" s="202" cm="1">
        <f t="array" ref="BK76">_xlfn.IFS(BK$3&lt;$B$2,SUMPRODUCT(('PA Fees Actual'!$B$5:$B$882=$E76)*('PA Fees Actual'!$A$5:$A$882&gt;=BK$3)*('PA Fees Actual'!$A$5:$A$882&lt;=EOMONTH(BK$3,0))*'PA Fees Actual'!$D$5:$D$882),BK$3&gt;=EOMONTH($X76,-1)+1,$Y76,TRUE,0)</f>
        <v>0</v>
      </c>
      <c r="BL76" s="202" cm="1">
        <f t="array" ref="BL76">_xlfn.IFS(BL$3&lt;$B$2,SUMPRODUCT(('PA Fees Actual'!$B$5:$B$882=$E76)*('PA Fees Actual'!$A$5:$A$882&gt;=BL$3)*('PA Fees Actual'!$A$5:$A$882&lt;=EOMONTH(BL$3,0))*'PA Fees Actual'!$D$5:$D$882),BL$3&gt;=EOMONTH($X76,-1)+1,$Y76,TRUE,0)</f>
        <v>0</v>
      </c>
      <c r="BM76" s="202" cm="1">
        <f t="array" ref="BM76">_xlfn.IFS(BM$3&lt;$B$2,SUMPRODUCT(('PA Fees Actual'!$B$5:$B$882=$E76)*('PA Fees Actual'!$A$5:$A$882&gt;=BM$3)*('PA Fees Actual'!$A$5:$A$882&lt;=EOMONTH(BM$3,0))*'PA Fees Actual'!$D$5:$D$882),BM$3&gt;=EOMONTH($X76,-1)+1,$Y76,TRUE,0)</f>
        <v>0</v>
      </c>
      <c r="BN76" s="202" cm="1">
        <f t="array" ref="BN76">_xlfn.IFS(BN$3&lt;$B$2,SUMPRODUCT(('PA Fees Actual'!$B$5:$B$882=$E76)*('PA Fees Actual'!$A$5:$A$882&gt;=BN$3)*('PA Fees Actual'!$A$5:$A$882&lt;=EOMONTH(BN$3,0))*'PA Fees Actual'!$D$5:$D$882),BN$3&gt;=EOMONTH($X76,-1)+1,$Y76,TRUE,0)</f>
        <v>0</v>
      </c>
      <c r="BO76" s="202" cm="1">
        <f t="array" ref="BO76">_xlfn.IFS(BO$3&lt;$B$2,SUMPRODUCT(('PA Fees Actual'!$B$5:$B$882=$E76)*('PA Fees Actual'!$A$5:$A$882&gt;=BO$3)*('PA Fees Actual'!$A$5:$A$882&lt;=EOMONTH(BO$3,0))*'PA Fees Actual'!$D$5:$D$882),BO$3&gt;=EOMONTH($X76,-1)+1,$Y76,TRUE,0)</f>
        <v>0</v>
      </c>
      <c r="BP76" s="202" cm="1">
        <f t="array" ref="BP76">_xlfn.IFS(BP$3&lt;$B$2,SUMPRODUCT(('PA Fees Actual'!$B$5:$B$882=$E76)*('PA Fees Actual'!$A$5:$A$882&gt;=BP$3)*('PA Fees Actual'!$A$5:$A$882&lt;=EOMONTH(BP$3,0))*'PA Fees Actual'!$D$5:$D$882),BP$3&gt;=EOMONTH($X76,-1)+1,$Y76,TRUE,0)</f>
        <v>0</v>
      </c>
      <c r="BQ76" s="202" cm="1">
        <f t="array" ref="BQ76">_xlfn.IFS(BQ$3&lt;$B$2,SUMPRODUCT(('PA Fees Actual'!$B$5:$B$882=$E76)*('PA Fees Actual'!$A$5:$A$882&gt;=BQ$3)*('PA Fees Actual'!$A$5:$A$882&lt;=EOMONTH(BQ$3,0))*'PA Fees Actual'!$D$5:$D$882),BQ$3&gt;=EOMONTH($X76,-1)+1,$Y76,TRUE,0)</f>
        <v>0</v>
      </c>
      <c r="BR76" s="202" cm="1">
        <f t="array" ref="BR76">_xlfn.IFS(BR$3&lt;$B$2,SUMPRODUCT(('PA Fees Actual'!$B$5:$B$882=$E76)*('PA Fees Actual'!$A$5:$A$882&gt;=BR$3)*('PA Fees Actual'!$A$5:$A$882&lt;=EOMONTH(BR$3,0))*'PA Fees Actual'!$D$5:$D$882),BR$3&gt;=EOMONTH($X76,-1)+1,$Y76,TRUE,0)</f>
        <v>0</v>
      </c>
      <c r="BS76" s="202" cm="1">
        <f t="array" ref="BS76">_xlfn.IFS(BS$3&lt;$B$2,SUMPRODUCT(('PA Fees Actual'!$B$5:$B$882=$E76)*('PA Fees Actual'!$A$5:$A$882&gt;=BS$3)*('PA Fees Actual'!$A$5:$A$882&lt;=EOMONTH(BS$3,0))*'PA Fees Actual'!$D$5:$D$882),BS$3&gt;=EOMONTH($X76,-1)+1,$Y76,TRUE,0)</f>
        <v>0</v>
      </c>
      <c r="BT76" s="202" cm="1">
        <f t="array" ref="BT76">_xlfn.IFS(BT$3&lt;$B$2,SUMPRODUCT(('PA Fees Actual'!$B$5:$B$882=$E76)*('PA Fees Actual'!$A$5:$A$882&gt;=BT$3)*('PA Fees Actual'!$A$5:$A$882&lt;=EOMONTH(BT$3,0))*'PA Fees Actual'!$D$5:$D$882),BT$3&gt;=EOMONTH($X76,-1)+1,$Y76,TRUE,0)</f>
        <v>0</v>
      </c>
      <c r="BU76" s="202" cm="1">
        <f t="array" ref="BU76">_xlfn.IFS(BU$3&lt;$B$2,SUMPRODUCT(('PA Fees Actual'!$B$5:$B$882=$E76)*('PA Fees Actual'!$A$5:$A$882&gt;=BU$3)*('PA Fees Actual'!$A$5:$A$882&lt;=EOMONTH(BU$3,0))*'PA Fees Actual'!$D$5:$D$882),BU$3&gt;=EOMONTH($X76,-1)+1,$Y76,TRUE,0)</f>
        <v>0</v>
      </c>
      <c r="BV76" s="202" cm="1">
        <f t="array" ref="BV76">_xlfn.IFS(BV$3&lt;$B$2,SUMPRODUCT(('PA Fees Actual'!$B$5:$B$882=$E76)*('PA Fees Actual'!$A$5:$A$882&gt;=BV$3)*('PA Fees Actual'!$A$5:$A$882&lt;=EOMONTH(BV$3,0))*'PA Fees Actual'!$D$5:$D$882),BV$3&gt;=EOMONTH($X76,-1)+1,$Y76,TRUE,0)</f>
        <v>0</v>
      </c>
      <c r="BW76" s="202" cm="1">
        <f t="array" ref="BW76">_xlfn.IFS(BW$3&lt;$B$2,SUMPRODUCT(('PA Fees Actual'!$B$5:$B$882=$E76)*('PA Fees Actual'!$A$5:$A$882&gt;=BW$3)*('PA Fees Actual'!$A$5:$A$882&lt;=EOMONTH(BW$3,0))*'PA Fees Actual'!$D$5:$D$882),BW$3&gt;=EOMONTH($X76,-1)+1,$Y76,TRUE,0)</f>
        <v>0</v>
      </c>
      <c r="BX76" s="202" cm="1">
        <f t="array" ref="BX76">_xlfn.IFS(BX$3&lt;$B$2,SUMPRODUCT(('PA Fees Actual'!$B$5:$B$882=$E76)*('PA Fees Actual'!$A$5:$A$882&gt;=BX$3)*('PA Fees Actual'!$A$5:$A$882&lt;=EOMONTH(BX$3,0))*'PA Fees Actual'!$D$5:$D$882),BX$3&gt;=EOMONTH($X76,-1)+1,$Y76,TRUE,0)</f>
        <v>0</v>
      </c>
      <c r="BY76" s="202" cm="1">
        <f t="array" ref="BY76">_xlfn.IFS(BY$3&lt;$B$2,SUMPRODUCT(('PA Fees Actual'!$B$5:$B$882=$E76)*('PA Fees Actual'!$A$5:$A$882&gt;=BY$3)*('PA Fees Actual'!$A$5:$A$882&lt;=EOMONTH(BY$3,0))*'PA Fees Actual'!$D$5:$D$882),BY$3&gt;=EOMONTH($X76,-1)+1,$Y76,TRUE,0)</f>
        <v>0</v>
      </c>
      <c r="BZ76" s="202" cm="1">
        <f t="array" ref="BZ76">_xlfn.IFS(BZ$3&lt;$B$2,SUMPRODUCT(('PA Fees Actual'!$B$5:$B$882=$E76)*('PA Fees Actual'!$A$5:$A$882&gt;=BZ$3)*('PA Fees Actual'!$A$5:$A$882&lt;=EOMONTH(BZ$3,0))*'PA Fees Actual'!$D$5:$D$882),BZ$3&gt;=EOMONTH($X76,-1)+1,$Y76,TRUE,0)</f>
        <v>0</v>
      </c>
      <c r="CA76" s="202" cm="1">
        <f t="array" ref="CA76">_xlfn.IFS(CA$3&lt;$B$2,SUMPRODUCT(('PA Fees Actual'!$B$5:$B$882=$E76)*('PA Fees Actual'!$A$5:$A$882&gt;=CA$3)*('PA Fees Actual'!$A$5:$A$882&lt;=EOMONTH(CA$3,0))*'PA Fees Actual'!$D$5:$D$882),CA$3&gt;=EOMONTH($X76,-1)+1,$Y76,TRUE,0)</f>
        <v>0</v>
      </c>
      <c r="CB76" s="202" cm="1">
        <f t="array" ref="CB76">_xlfn.IFS(CB$3&lt;$B$2,SUMPRODUCT(('PA Fees Actual'!$B$5:$B$749=$E76)*('PA Fees Actual'!$A$5:$A$749&gt;=CB$3)*('PA Fees Actual'!$A$5:$A$749&lt;=EOMONTH(CB$3,0))*'PA Fees Actual'!$D$5:$D$749),CB$3&gt;=EOMONTH($X76,-1)+1,$Y76,TRUE,0)</f>
        <v>0</v>
      </c>
      <c r="CC76" s="202" cm="1">
        <f t="array" ref="CC76">_xlfn.IFS(CC$3&lt;$B$2,SUMPRODUCT(('PA Fees Actual'!$B$5:$B$749=$E76)*('PA Fees Actual'!$A$5:$A$749&gt;=CC$3)*('PA Fees Actual'!$A$5:$A$749&lt;=EOMONTH(CC$3,0))*'PA Fees Actual'!$D$5:$D$749),CC$3&gt;=EOMONTH($X76,-1)+1,$Y76,TRUE,0)</f>
        <v>0</v>
      </c>
      <c r="CD76" s="202" cm="1">
        <f t="array" ref="CD76">_xlfn.IFS(CD$3&lt;$B$2,SUMPRODUCT(('PA Fees Actual'!$B$5:$B$749=$E76)*('PA Fees Actual'!$A$5:$A$749&gt;=CD$3)*('PA Fees Actual'!$A$5:$A$749&lt;=EOMONTH(CD$3,0))*'PA Fees Actual'!$D$5:$D$749),CD$3&gt;=EOMONTH($X76,-1)+1,$Y76,TRUE,0)</f>
        <v>0</v>
      </c>
      <c r="CE76" s="202" cm="1">
        <f t="array" ref="CE76">_xlfn.IFS(CE$3&lt;$B$2,SUMPRODUCT(('PA Fees Actual'!$B$5:$B$749=$E76)*('PA Fees Actual'!$A$5:$A$749&gt;=CE$3)*('PA Fees Actual'!$A$5:$A$749&lt;=EOMONTH(CE$3,0))*'PA Fees Actual'!$D$5:$D$749),CE$3&gt;=EOMONTH($X76,-1)+1,$Y76,TRUE,0)</f>
        <v>0</v>
      </c>
      <c r="CF76" s="202" cm="1">
        <f t="array" ref="CF76">_xlfn.IFS(CF$3&lt;$B$2,SUMPRODUCT(('PA Fees Actual'!$B$5:$B$749=$E76)*('PA Fees Actual'!$A$5:$A$749&gt;=CF$3)*('PA Fees Actual'!$A$5:$A$749&lt;=EOMONTH(CF$3,0))*'PA Fees Actual'!$D$5:$D$749),CF$3&gt;=EOMONTH($X76,-1)+1,$Y76,TRUE,0)</f>
        <v>0</v>
      </c>
      <c r="CG76" s="202" cm="1">
        <f t="array" ref="CG76">_xlfn.IFS(CG$3&lt;$B$2,SUMPRODUCT(('PA Fees Actual'!$B$5:$B$749=$E76)*('PA Fees Actual'!$A$5:$A$749&gt;=CG$3)*('PA Fees Actual'!$A$5:$A$749&lt;=EOMONTH(CG$3,0))*'PA Fees Actual'!$D$5:$D$749),CG$3&gt;=EOMONTH($X76,-1)+1,$Y76,TRUE,0)</f>
        <v>0</v>
      </c>
      <c r="CI76" s="202" cm="1">
        <f t="array" ref="CI76">_xlfn.IFS(CI$3&lt;=YEAR($B$2),SUMPRODUCT(($E$4:$E$79=$E76)*($Z$2:$CG$2=CI$3)*($Z$2:$CG$2&lt;CJ$3)*$Z$4:$CG$79),CI$3&lt;YEAR($X76),0,CI$3=YEAR($X76),DATEDIF($X76,DATE(CI$3,12,31),"m")*$Y76,AND(CI$3&gt;YEAR($X76),CI$3-YEAR($X76)&lt;20),$Y76*12,CI$3-YEAR($X76)=20,DATEDIF(DATE(YEAR($X76),1,1),$X76,"m")*$Y76,CI$3-YEAR($X76)&gt;20,0)</f>
        <v>0</v>
      </c>
      <c r="CJ76" s="202" cm="1">
        <f t="array" ref="CJ76">_xlfn.IFS(CJ$3&lt;=YEAR($B$2),SUMPRODUCT(($E$4:$E$79=$E76)*($Z$2:$CG$2=CJ$3)*($Z$2:$CG$2&lt;CK$3)*$Z$4:$CG$79),CJ$3&lt;YEAR($X76),0,CJ$3=YEAR($X76),DATEDIF($X76,DATE(CJ$3,12,31),"m")*$Y76,AND(CJ$3&gt;YEAR($X76),CJ$3-YEAR($X76)&lt;20),$Y76*12,CJ$3-YEAR($X76)=20,DATEDIF(DATE(YEAR($X76),1,1),$X76,"m")*$Y76,CJ$3-YEAR($X76)&gt;20,0)</f>
        <v>0</v>
      </c>
      <c r="CK76" s="202" cm="1">
        <f t="array" ref="CK76">_xlfn.IFS(CK$3&lt;=YEAR($B$2),SUMPRODUCT(($E$4:$E$79=$E76)*($Z$2:$CG$2=CK$3)*($Z$2:$CG$2&lt;CL$3)*$Z$4:$CG$79),CK$3&lt;YEAR($X76),0,CK$3=YEAR($X76),DATEDIF($X76,DATE(CK$3,12,31),"m")*$Y76,AND(CK$3&gt;YEAR($X76),CK$3-YEAR($X76)&lt;20),$Y76*12,CK$3-YEAR($X76)=20,DATEDIF(DATE(YEAR($X76),1,1),$X76,"m")*$Y76,CK$3-YEAR($X76)&gt;20,0)</f>
        <v>0</v>
      </c>
      <c r="CL76" s="202" cm="1">
        <f t="array" ref="CL76">_xlfn.IFS(CL$3&lt;=YEAR($B$2),SUMPRODUCT(($E$4:$E$79=$E76)*($Z$2:$CG$2=CL$3)*($Z$2:$CG$2&lt;CM$3)*$Z$4:$CG$79),CL$3&lt;YEAR($X76),0,CL$3=YEAR($X76),DATEDIF($X76,DATE(CL$3,12,31),"m")*$Y76,AND(CL$3&gt;YEAR($X76),CL$3-YEAR($X76)&lt;20),$Y76*12,CL$3-YEAR($X76)=20,DATEDIF(DATE(YEAR($X76),1,1),$X76,"m")*$Y76,CL$3-YEAR($X76)&gt;20,0)</f>
        <v>0</v>
      </c>
      <c r="CM76" s="202" cm="1">
        <f t="array" ref="CM76">_xlfn.IFS(CM$3&lt;=YEAR($B$2),SUMPRODUCT(($E$4:$E$79=$E76)*($Z$2:$CG$2=CM$3)*($Z$2:$CG$2&lt;CN$3)*$Z$4:$CG$79),CM$3&lt;YEAR($X76),0,CM$3=YEAR($X76),DATEDIF($X76,DATE(CM$3,12,31),"m")*$Y76,AND(CM$3&gt;YEAR($X76),CM$3-YEAR($X76)&lt;20),$Y76*12,CM$3-YEAR($X76)=20,DATEDIF(DATE(YEAR($X76),1,1),$X76,"m")*$Y76,CM$3-YEAR($X76)&gt;20,0)</f>
        <v>0</v>
      </c>
      <c r="CN76" s="202" cm="1">
        <f t="array" ref="CN76">_xlfn.IFS(CN$3&lt;=YEAR($B$2),SUMPRODUCT(($E$4:$E$79=$E76)*($Z$2:$CG$2=CN$3)*($Z$2:$CG$2&lt;CO$3)*$Z$4:$CG$79),CN$3&lt;YEAR($X76),0,CN$3=YEAR($X76),DATEDIF($X76,DATE(CN$3,12,31),"m")*$Y76,AND(CN$3&gt;YEAR($X76),CN$3-YEAR($X76)&lt;20),$Y76*12,CN$3-YEAR($X76)=20,DATEDIF(DATE(YEAR($X76),1,1),$X76,"m")*$Y76,CN$3-YEAR($X76)&gt;20,0)</f>
        <v>0</v>
      </c>
      <c r="CO76" s="202" cm="1">
        <f t="array" ref="CO76">_xlfn.IFS(CO$3&lt;=YEAR($B$2),SUMPRODUCT(($E$4:$E$79=$E76)*($Z$2:$CG$2=CO$3)*($Z$2:$CG$2&lt;CP$3)*$Z$4:$CG$79),CO$3&lt;YEAR($X76),0,CO$3=YEAR($X76),DATEDIF($X76,DATE(CO$3,12,31),"m")*$Y76,AND(CO$3&gt;YEAR($X76),CO$3-YEAR($X76)&lt;20),$Y76*12,CO$3-YEAR($X76)=20,DATEDIF(DATE(YEAR($X76),1,1),$X76,"m")*$Y76,CO$3-YEAR($X76)&gt;20,0)</f>
        <v>4628.25</v>
      </c>
      <c r="CP76" s="202" cm="1">
        <f t="array" ref="CP76">_xlfn.IFS(CP$3&lt;=YEAR($B$2),SUMPRODUCT(($E$4:$E$79=$E76)*($Z$2:$CG$2=CP$3)*($Z$2:$CG$2&lt;CQ$3)*$Z$4:$CG$79),CP$3&lt;YEAR($X76),0,CP$3=YEAR($X76),DATEDIF($X76,DATE(CP$3,12,31),"m")*$Y76,AND(CP$3&gt;YEAR($X76),CP$3-YEAR($X76)&lt;20),$Y76*12,CP$3-YEAR($X76)=20,DATEDIF(DATE(YEAR($X76),1,1),$X76,"m")*$Y76,CP$3-YEAR($X76)&gt;20,0)</f>
        <v>5049</v>
      </c>
      <c r="CQ76" s="202" cm="1">
        <f t="array" ref="CQ76">_xlfn.IFS(CQ$3&lt;=YEAR($B$2),SUMPRODUCT(($E$4:$E$79=$E76)*($Z$2:$CG$2=CQ$3)*($Z$2:$CG$2&lt;CR$3)*$Z$4:$CG$79),CQ$3&lt;YEAR($X76),0,CQ$3=YEAR($X76),DATEDIF($X76,DATE(CQ$3,12,31),"m")*$Y76,AND(CQ$3&gt;YEAR($X76),CQ$3-YEAR($X76)&lt;20),$Y76*12,CQ$3-YEAR($X76)=20,DATEDIF(DATE(YEAR($X76),1,1),$X76,"m")*$Y76,CQ$3-YEAR($X76)&gt;20,0)</f>
        <v>5049</v>
      </c>
      <c r="CR76" s="202" cm="1">
        <f t="array" ref="CR76">_xlfn.IFS(CR$3&lt;=YEAR($B$2),SUMPRODUCT(($E$4:$E$79=$E76)*($Z$2:$CG$2=CR$3)*($Z$2:$CG$2&lt;CS$3)*$Z$4:$CG$79),CR$3&lt;YEAR($X76),0,CR$3=YEAR($X76),DATEDIF($X76,DATE(CR$3,12,31),"m")*$Y76,AND(CR$3&gt;YEAR($X76),CR$3-YEAR($X76)&lt;20),$Y76*12,CR$3-YEAR($X76)=20,DATEDIF(DATE(YEAR($X76),1,1),$X76,"m")*$Y76,CR$3-YEAR($X76)&gt;20,0)</f>
        <v>5049</v>
      </c>
      <c r="CS76" s="202" cm="1">
        <f t="array" ref="CS76">_xlfn.IFS(CS$3&lt;=YEAR($B$2),SUMPRODUCT(($E$4:$E$79=$E76)*($Z$2:$CG$2=CS$3)*($Z$2:$CG$2&lt;CT$3)*$Z$4:$CG$79),CS$3&lt;YEAR($X76),0,CS$3=YEAR($X76),DATEDIF($X76,DATE(CS$3,12,31),"m")*$Y76,AND(CS$3&gt;YEAR($X76),CS$3-YEAR($X76)&lt;20),$Y76*12,CS$3-YEAR($X76)=20,DATEDIF(DATE(YEAR($X76),1,1),$X76,"m")*$Y76,CS$3-YEAR($X76)&gt;20,0)</f>
        <v>5049</v>
      </c>
      <c r="CT76" s="202" cm="1">
        <f t="array" ref="CT76">_xlfn.IFS(CT$3&lt;=YEAR($B$2),SUMPRODUCT(($E$4:$E$79=$E76)*($Z$2:$CG$2=CT$3)*($Z$2:$CG$2&lt;CU$3)*$Z$4:$CG$79),CT$3&lt;YEAR($X76),0,CT$3=YEAR($X76),DATEDIF($X76,DATE(CT$3,12,31),"m")*$Y76,AND(CT$3&gt;YEAR($X76),CT$3-YEAR($X76)&lt;20),$Y76*12,CT$3-YEAR($X76)=20,DATEDIF(DATE(YEAR($X76),1,1),$X76,"m")*$Y76,CT$3-YEAR($X76)&gt;20,0)</f>
        <v>5049</v>
      </c>
      <c r="CU76" s="202" cm="1">
        <f t="array" ref="CU76">_xlfn.IFS(CU$3&lt;=YEAR($B$2),SUMPRODUCT(($E$4:$E$79=$E76)*($Z$2:$CG$2=CU$3)*($Z$2:$CG$2&lt;CV$3)*$Z$4:$CG$79),CU$3&lt;YEAR($X76),0,CU$3=YEAR($X76),DATEDIF($X76,DATE(CU$3,12,31),"m")*$Y76,AND(CU$3&gt;YEAR($X76),CU$3-YEAR($X76)&lt;20),$Y76*12,CU$3-YEAR($X76)=20,DATEDIF(DATE(YEAR($X76),1,1),$X76,"m")*$Y76,CU$3-YEAR($X76)&gt;20,0)</f>
        <v>5049</v>
      </c>
      <c r="CV76" s="202" cm="1">
        <f t="array" ref="CV76">_xlfn.IFS(CV$3&lt;=YEAR($B$2),SUMPRODUCT(($E$4:$E$79=$E76)*($Z$2:$CG$2=CV$3)*($Z$2:$CG$2&lt;CW$3)*$Z$4:$CG$79),CV$3&lt;YEAR($X76),0,CV$3=YEAR($X76),DATEDIF($X76,DATE(CV$3,12,31),"m")*$Y76,AND(CV$3&gt;YEAR($X76),CV$3-YEAR($X76)&lt;20),$Y76*12,CV$3-YEAR($X76)=20,DATEDIF(DATE(YEAR($X76),1,1),$X76,"m")*$Y76,CV$3-YEAR($X76)&gt;20,0)</f>
        <v>5049</v>
      </c>
      <c r="CW76" s="202" cm="1">
        <f t="array" ref="CW76">_xlfn.IFS(CW$3&lt;=YEAR($B$2),SUMPRODUCT(($E$4:$E$79=$E76)*($Z$2:$CG$2=CW$3)*($Z$2:$CG$2&lt;CX$3)*$Z$4:$CG$79),CW$3&lt;YEAR($X76),0,CW$3=YEAR($X76),DATEDIF($X76,DATE(CW$3,12,31),"m")*$Y76,AND(CW$3&gt;YEAR($X76),CW$3-YEAR($X76)&lt;20),$Y76*12,CW$3-YEAR($X76)=20,DATEDIF(DATE(YEAR($X76),1,1),$X76,"m")*$Y76,CW$3-YEAR($X76)&gt;20,0)</f>
        <v>5049</v>
      </c>
      <c r="CX76" s="202" cm="1">
        <f t="array" ref="CX76">_xlfn.IFS(CX$3&lt;=YEAR($B$2),SUMPRODUCT(($E$4:$E$79=$E76)*($Z$2:$CG$2=CX$3)*($Z$2:$CG$2&lt;CY$3)*$Z$4:$CG$79),CX$3&lt;YEAR($X76),0,CX$3=YEAR($X76),DATEDIF($X76,DATE(CX$3,12,31),"m")*$Y76,AND(CX$3&gt;YEAR($X76),CX$3-YEAR($X76)&lt;20),$Y76*12,CX$3-YEAR($X76)=20,DATEDIF(DATE(YEAR($X76),1,1),$X76,"m")*$Y76,CX$3-YEAR($X76)&gt;20,0)</f>
        <v>5049</v>
      </c>
      <c r="CY76" s="202" cm="1">
        <f t="array" ref="CY76">_xlfn.IFS(CY$3&lt;=YEAR($B$2),SUMPRODUCT(($E$4:$E$79=$E76)*($Z$2:$CG$2=CY$3)*($Z$2:$CG$2&lt;CZ$3)*$Z$4:$CG$79),CY$3&lt;YEAR($X76),0,CY$3=YEAR($X76),DATEDIF($X76,DATE(CY$3,12,31),"m")*$Y76,AND(CY$3&gt;YEAR($X76),CY$3-YEAR($X76)&lt;20),$Y76*12,CY$3-YEAR($X76)=20,DATEDIF(DATE(YEAR($X76),1,1),$X76,"m")*$Y76,CY$3-YEAR($X76)&gt;20,0)</f>
        <v>5049</v>
      </c>
      <c r="CZ76" s="202" cm="1">
        <f t="array" ref="CZ76">_xlfn.IFS(CZ$3&lt;=YEAR($B$2),SUMPRODUCT(($E$4:$E$79=$E76)*($Z$2:$CG$2=CZ$3)*($Z$2:$CG$2&lt;DA$3)*$Z$4:$CG$79),CZ$3&lt;YEAR($X76),0,CZ$3=YEAR($X76),DATEDIF($X76,DATE(CZ$3,12,31),"m")*$Y76,AND(CZ$3&gt;YEAR($X76),CZ$3-YEAR($X76)&lt;20),$Y76*12,CZ$3-YEAR($X76)=20,DATEDIF(DATE(YEAR($X76),1,1),$X76,"m")*$Y76,CZ$3-YEAR($X76)&gt;20,0)</f>
        <v>5049</v>
      </c>
      <c r="DA76" s="202" cm="1">
        <f t="array" ref="DA76">_xlfn.IFS(DA$3&lt;=YEAR($B$2),SUMPRODUCT(($E$4:$E$79=$E76)*($Z$2:$CG$2=DA$3)*($Z$2:$CG$2&lt;DB$3)*$Z$4:$CG$79),DA$3&lt;YEAR($X76),0,DA$3=YEAR($X76),DATEDIF($X76,DATE(DA$3,12,31),"m")*$Y76,AND(DA$3&gt;YEAR($X76),DA$3-YEAR($X76)&lt;20),$Y76*12,DA$3-YEAR($X76)=20,DATEDIF(DATE(YEAR($X76),1,1),$X76,"m")*$Y76,DA$3-YEAR($X76)&gt;20,0)</f>
        <v>5049</v>
      </c>
      <c r="DB76" s="202" cm="1">
        <f t="array" ref="DB76">_xlfn.IFS(DB$3&lt;=YEAR($B$2),SUMPRODUCT(($E$4:$E$79=$E76)*($Z$2:$CG$2=DB$3)*($Z$2:$CG$2&lt;DC$3)*$Z$4:$CG$79),DB$3&lt;YEAR($X76),0,DB$3=YEAR($X76),DATEDIF($X76,DATE(DB$3,12,31),"m")*$Y76,AND(DB$3&gt;YEAR($X76),DB$3-YEAR($X76)&lt;20),$Y76*12,DB$3-YEAR($X76)=20,DATEDIF(DATE(YEAR($X76),1,1),$X76,"m")*$Y76,DB$3-YEAR($X76)&gt;20,0)</f>
        <v>5049</v>
      </c>
      <c r="DC76" s="202" cm="1">
        <f t="array" ref="DC76">_xlfn.IFS(DC$3&lt;=YEAR($B$2),SUMPRODUCT(($E$4:$E$79=$E76)*($Z$2:$CG$2=DC$3)*($Z$2:$CG$2&lt;DD$3)*$Z$4:$CG$79),DC$3&lt;YEAR($X76),0,DC$3=YEAR($X76),DATEDIF($X76,DATE(DC$3,12,31),"m")*$Y76,AND(DC$3&gt;YEAR($X76),DC$3-YEAR($X76)&lt;20),$Y76*12,DC$3-YEAR($X76)=20,DATEDIF(DATE(YEAR($X76),1,1),$X76,"m")*$Y76,DC$3-YEAR($X76)&gt;20,0)</f>
        <v>5049</v>
      </c>
      <c r="DD76" s="202" cm="1">
        <f t="array" ref="DD76">_xlfn.IFS(DD$3&lt;=YEAR($B$2),SUMPRODUCT(($E$4:$E$79=$E76)*($Z$2:$CG$2=DD$3)*($Z$2:$CG$2&lt;DE$3)*$Z$4:$CG$79),DD$3&lt;YEAR($X76),0,DD$3=YEAR($X76),DATEDIF($X76,DATE(DD$3,12,31),"m")*$Y76,AND(DD$3&gt;YEAR($X76),DD$3-YEAR($X76)&lt;20),$Y76*12,DD$3-YEAR($X76)=20,DATEDIF(DATE(YEAR($X76),1,1),$X76,"m")*$Y76,DD$3-YEAR($X76)&gt;20,0)</f>
        <v>5049</v>
      </c>
      <c r="DE76" s="202" cm="1">
        <f t="array" ref="DE76">_xlfn.IFS(DE$3&lt;=YEAR($B$2),SUMPRODUCT(($E$4:$E$79=$E76)*($Z$2:$CG$2=DE$3)*($Z$2:$CG$2&lt;DF$3)*$Z$4:$CG$79),DE$3&lt;YEAR($X76),0,DE$3=YEAR($X76),DATEDIF($X76,DATE(DE$3,12,31),"m")*$Y76,AND(DE$3&gt;YEAR($X76),DE$3-YEAR($X76)&lt;20),$Y76*12,DE$3-YEAR($X76)=20,DATEDIF(DATE(YEAR($X76),1,1),$X76,"m")*$Y76,DE$3-YEAR($X76)&gt;20,0)</f>
        <v>5049</v>
      </c>
      <c r="DF76" s="202" cm="1">
        <f t="array" ref="DF76">_xlfn.IFS(DF$3&lt;=YEAR($B$2),SUMPRODUCT(($E$4:$E$79=$E76)*($Z$2:$CG$2=DF$3)*($Z$2:$CG$2&lt;DG$3)*$Z$4:$CG$79),DF$3&lt;YEAR($X76),0,DF$3=YEAR($X76),DATEDIF($X76,DATE(DF$3,12,31),"m")*$Y76,AND(DF$3&gt;YEAR($X76),DF$3-YEAR($X76)&lt;20),$Y76*12,DF$3-YEAR($X76)=20,DATEDIF(DATE(YEAR($X76),1,1),$X76,"m")*$Y76,DF$3-YEAR($X76)&gt;20,0)</f>
        <v>5049</v>
      </c>
      <c r="DG76" s="202" cm="1">
        <f t="array" ref="DG76">_xlfn.IFS(DG$3&lt;=YEAR($B$2),SUMPRODUCT(($E$4:$E$79=$E76)*($Z$2:$CG$2=DG$3)*($Z$2:$CG$2&lt;DH$3)*$Z$4:$CG$79),DG$3&lt;YEAR($X76),0,DG$3=YEAR($X76),DATEDIF($X76,DATE(DG$3,12,31),"m")*$Y76,AND(DG$3&gt;YEAR($X76),DG$3-YEAR($X76)&lt;20),$Y76*12,DG$3-YEAR($X76)=20,DATEDIF(DATE(YEAR($X76),1,1),$X76,"m")*$Y76,DG$3-YEAR($X76)&gt;20,0)</f>
        <v>5049</v>
      </c>
      <c r="DH76" s="202" cm="1">
        <f t="array" ref="DH76">_xlfn.IFS(DH$3&lt;=YEAR($B$2),SUMPRODUCT(($E$4:$E$79=$E76)*($Z$2:$CG$2=DH$3)*($Z$2:$CG$2&lt;DI$3)*$Z$4:$CG$79),DH$3&lt;YEAR($X76),0,DH$3=YEAR($X76),DATEDIF($X76,DATE(DH$3,12,31),"m")*$Y76,AND(DH$3&gt;YEAR($X76),DH$3-YEAR($X76)&lt;20),$Y76*12,DH$3-YEAR($X76)=20,DATEDIF(DATE(YEAR($X76),1,1),$X76,"m")*$Y76,DH$3-YEAR($X76)&gt;20,0)</f>
        <v>5049</v>
      </c>
      <c r="DI76" s="202" cm="1">
        <f t="array" ref="DI76">_xlfn.IFS(DI$3&lt;=YEAR($B$2),SUMPRODUCT(($E$4:$E$79=$E76)*($Z$2:$CG$2=DI$3)*($Z$2:$CG$2&lt;DJ$3)*$Z$4:$CG$79),DI$3&lt;YEAR($X76),0,DI$3=YEAR($X76),DATEDIF($X76,DATE(DI$3,12,31),"m")*$Y76,AND(DI$3&gt;YEAR($X76),DI$3-YEAR($X76)&lt;20),$Y76*12,DI$3-YEAR($X76)=20,DATEDIF(DATE(YEAR($X76),1,1),$X76,"m")*$Y76,DI$3-YEAR($X76)&gt;20,0)</f>
        <v>0</v>
      </c>
      <c r="DJ76" s="202" cm="1">
        <f t="array" ref="DJ76">_xlfn.IFS(DJ$3&lt;=YEAR($B$2),SUMPRODUCT(($E$4:$E$79=$E76)*($Z$2:$CG$2=DJ$3)*($Z$2:$CG$2&lt;DK$3)*$Z$4:$CG$79),DJ$3&lt;YEAR($X76),0,DJ$3=YEAR($X76),DATEDIF($X76,DATE(DJ$3,12,31),"m")*$Y76,AND(DJ$3&gt;YEAR($X76),DJ$3-YEAR($X76)&lt;20),$Y76*12,DJ$3-YEAR($X76)=20,DATEDIF(DATE(YEAR($X76),1,1),$X76,"m")*$Y76,DJ$3-YEAR($X76)&gt;20,0)</f>
        <v>0</v>
      </c>
      <c r="DK76" s="202" cm="1">
        <f t="array" ref="DK76">_xlfn.IFS(DK$3&lt;=YEAR($B$2),SUMPRODUCT(($E$4:$E$79=$E76)*($Z$2:$CG$2=DK$3)*($Z$2:$CG$2&lt;DL$3)*$Z$4:$CG$79),DK$3&lt;YEAR($X76),0,DK$3=YEAR($X76),DATEDIF($X76,DATE(DK$3,12,31),"m")*$Y76,AND(DK$3&gt;YEAR($X76),DK$3-YEAR($X76)&lt;20),$Y76*12,DK$3-YEAR($X76)=20,DATEDIF(DATE(YEAR($X76),1,1),$X76,"m")*$Y76,DK$3-YEAR($X76)&gt;20,0)</f>
        <v>0</v>
      </c>
      <c r="DL76" s="202" cm="1">
        <f t="array" ref="DL76">_xlfn.IFS(DL$3&lt;=YEAR($B$2),SUMPRODUCT(($E$4:$E$79=$E76)*($Z$2:$CG$2=DL$3)*($Z$2:$CG$2&lt;DM$3)*$Z$4:$CG$79),DL$3&lt;YEAR($X76),0,DL$3=YEAR($X76),DATEDIF($X76,DATE(DL$3,12,31),"m")*$Y76,AND(DL$3&gt;YEAR($X76),DL$3-YEAR($X76)&lt;20),$Y76*12,DL$3-YEAR($X76)=20,DATEDIF(DATE(YEAR($X76),1,1),$X76,"m")*$Y76,DL$3-YEAR($X76)&gt;20,0)</f>
        <v>0</v>
      </c>
    </row>
    <row r="77" spans="1:116">
      <c r="A77" s="155" t="str" cm="1">
        <f t="array" ref="A77">INDEX('Monthly Report July 2025'!C:C,MATCH(E77,'Monthly Report July 2025'!E:E,0),0)</f>
        <v>OCS086</v>
      </c>
      <c r="B77" s="155" t="str" cm="1">
        <f t="array" ref="B77">_xlfn.IFS(LEFT(E77,3)="PGE","PGE",LEFT(E77,2)="PP","PAC",TRUE,"IP")</f>
        <v>PAC</v>
      </c>
      <c r="C77" s="155" t="str">
        <f>IF(ISNA(MATCH(E77,'Monthly Report July 2025'!E:E,0)),"Missing","Present")</f>
        <v>Present</v>
      </c>
      <c r="D77" s="155" t="str">
        <f>IF(ISNA(MATCH(E77,'Project Operational Timelines'!C:C,0))=TRUE,"Missing","Present")</f>
        <v>Present</v>
      </c>
      <c r="E77" s="155" t="s">
        <v>185</v>
      </c>
      <c r="F77" s="155" t="str" cm="1">
        <f t="array" ref="F77">INDEX('Monthly Report July 2025'!F:F,MATCH(E77,'Monthly Report July 2025'!E:E,),0)</f>
        <v>Medford Irrigation District</v>
      </c>
      <c r="G77" s="155" t="str" cm="1">
        <f t="array" ref="G77">_xlfn.IFS(INDEX('Monthly Report July 2025'!O:O,MATCH(E77,'Monthly Report July 2025'!E:E,0),0)="Operational","Operational",INDEX('Monthly Report July 2025'!O:O,MATCH(E77,'Monthly Report July 2025'!E:E,0),0)="Certified","Certified",TRUE,"Pre-Certified")</f>
        <v>Pre-Certified</v>
      </c>
      <c r="H77" s="155" t="str" cm="1">
        <f t="array" ref="H77">INDEX('Monthly Report July 2025'!H:H,MATCH($E77,'Monthly Report July 2025'!$E:$E,0),0)</f>
        <v>Bonneville Environmental Foundation</v>
      </c>
      <c r="I77" s="155" t="str" cm="1">
        <f t="array" ref="I77">INDEX('Monthly Report July 2025'!I:I,MATCH($E77,'Monthly Report July 2025'!$E:$E,0),0)</f>
        <v>Bonneville Environmental Foundation</v>
      </c>
      <c r="J77" s="174" cm="1">
        <f t="array" ref="J77">INDEX('Monthly Report July 2025'!J:J,MATCH($E77,'Monthly Report July 2025'!$E:$E,0),0)</f>
        <v>2</v>
      </c>
      <c r="K77" s="174" t="str" cm="1">
        <f t="array" ref="K77">INDEX('Monthly Report July 2025'!K:K,MATCH($E77,'Monthly Report July 2025'!$E:$E,0),0)</f>
        <v>Yes</v>
      </c>
      <c r="L77" s="174" t="b" cm="1">
        <f t="array" ref="L77">INDEX('Monthly Report July 2025'!L:L,MATCH(E77,'Monthly Report July 2025'!E:E,0),0)=M77</f>
        <v>1</v>
      </c>
      <c r="M77" s="273" cm="1">
        <f t="array" ref="M77">INDEX('Monthly Report July 2025'!L:L,MATCH($E77,'Monthly Report July 2025'!$E:$E,0),0)</f>
        <v>800</v>
      </c>
      <c r="N77" s="175" cm="1">
        <f t="array" ref="N77">INDEX('Monthly Report July 2025'!M:M,MATCH($E77,'Monthly Report July 2025'!$E:$E,0),0)</f>
        <v>45733</v>
      </c>
      <c r="O77" s="175" cm="1">
        <f t="array" ref="O77">_xlfn.IFS(G77="Operational","Operational",G77="Certified","Certified",TRUE,INDEX('Monthly Report July 2025'!O:O,MATCH(E77,'Monthly Report July 2025'!E:E,0),0))</f>
        <v>46282</v>
      </c>
      <c r="Q77" s="175" t="str" cm="1">
        <f t="array" ref="Q77">IF(O77="Operational",INDEX('Monthly Report July 2025'!R:R,MATCH(E77,'Monthly Report July 2025'!E:E,0),0),"")</f>
        <v/>
      </c>
      <c r="R77" s="175" t="str" cm="1">
        <f t="array" ref="R77">INDEX('Monthly Report July 2025'!P:P,MATCH(E77,'Monthly Report July 2025'!E:E,0),0)</f>
        <v>Not Yet Certified</v>
      </c>
      <c r="T77" s="175" t="str" cm="1">
        <f t="array" ref="T77">INDEX('Monthly Report July 2025'!U:U,MATCH(E77,'Monthly Report July 2025'!E:E,0),0)</f>
        <v>Data Not Available</v>
      </c>
      <c r="U77" s="175" t="b">
        <f t="shared" si="34"/>
        <v>0</v>
      </c>
      <c r="V77" s="156">
        <f t="shared" si="29"/>
        <v>46282</v>
      </c>
      <c r="W77" s="156" t="str" cm="1">
        <f t="array" ref="W77">_xlfn.IFS(U77=TRUE,EDATE(O77,6),U77=FALSE,T77,O77="Operational",Q77,AND(O77="Certified",EDATE(R77,6)&gt;T77),EDATE(R77,6),TRUE,T77)</f>
        <v>Data Not Available</v>
      </c>
      <c r="X77" s="156">
        <f t="shared" si="33"/>
        <v>46524</v>
      </c>
      <c r="Y77" s="157">
        <f t="shared" si="35"/>
        <v>306</v>
      </c>
      <c r="Z77" s="202" cm="1">
        <f t="array" ref="Z77">_xlfn.IFS(Z$3&lt;$B$2,SUMPRODUCT(('PA Fees Actual'!$B$5:$B$882=$E77)*('PA Fees Actual'!$A$5:$A$882&gt;=Z$3)*('PA Fees Actual'!$A$5:$A$882&lt;=EOMONTH(Z$3,0))*'PA Fees Actual'!$D$5:$D$882),Z$3&gt;=EOMONTH($X77,-1)+1,$Y77,TRUE,0)</f>
        <v>0</v>
      </c>
      <c r="AA77" s="202" cm="1">
        <f t="array" ref="AA77">_xlfn.IFS(AA$3&lt;$B$2,SUMPRODUCT(('PA Fees Actual'!$B$5:$B$882=$E77)*('PA Fees Actual'!$A$5:$A$882&gt;=AA$3)*('PA Fees Actual'!$A$5:$A$882&lt;=EOMONTH(AA$3,0))*'PA Fees Actual'!$D$5:$D$882),AA$3&gt;=EOMONTH($X77,-1)+1,$Y77,TRUE,0)</f>
        <v>0</v>
      </c>
      <c r="AB77" s="202" cm="1">
        <f t="array" ref="AB77">_xlfn.IFS(AB$3&lt;$B$2,SUMPRODUCT(('PA Fees Actual'!$B$5:$B$882=$E77)*('PA Fees Actual'!$A$5:$A$882&gt;=AB$3)*('PA Fees Actual'!$A$5:$A$882&lt;=EOMONTH(AB$3,0))*'PA Fees Actual'!$D$5:$D$882),AB$3&gt;=EOMONTH($X77,-1)+1,$Y77,TRUE,0)</f>
        <v>0</v>
      </c>
      <c r="AC77" s="202" cm="1">
        <f t="array" ref="AC77">_xlfn.IFS(AC$3&lt;$B$2,SUMPRODUCT(('PA Fees Actual'!$B$5:$B$882=$E77)*('PA Fees Actual'!$A$5:$A$882&gt;=AC$3)*('PA Fees Actual'!$A$5:$A$882&lt;=EOMONTH(AC$3,0))*'PA Fees Actual'!$D$5:$D$882),AC$3&gt;=EOMONTH($X77,-1)+1,$Y77,TRUE,0)</f>
        <v>0</v>
      </c>
      <c r="AD77" s="202" cm="1">
        <f t="array" ref="AD77">_xlfn.IFS(AD$3&lt;$B$2,SUMPRODUCT(('PA Fees Actual'!$B$5:$B$882=$E77)*('PA Fees Actual'!$A$5:$A$882&gt;=AD$3)*('PA Fees Actual'!$A$5:$A$882&lt;=EOMONTH(AD$3,0))*'PA Fees Actual'!$D$5:$D$882),AD$3&gt;=EOMONTH($X77,-1)+1,$Y77,TRUE,0)</f>
        <v>0</v>
      </c>
      <c r="AE77" s="202" cm="1">
        <f t="array" ref="AE77">_xlfn.IFS(AE$3&lt;$B$2,SUMPRODUCT(('PA Fees Actual'!$B$5:$B$882=$E77)*('PA Fees Actual'!$A$5:$A$882&gt;=AE$3)*('PA Fees Actual'!$A$5:$A$882&lt;=EOMONTH(AE$3,0))*'PA Fees Actual'!$D$5:$D$882),AE$3&gt;=EOMONTH($X77,-1)+1,$Y77,TRUE,0)</f>
        <v>0</v>
      </c>
      <c r="AF77" s="202" cm="1">
        <f t="array" ref="AF77">_xlfn.IFS(AF$3&lt;$B$2,SUMPRODUCT(('PA Fees Actual'!$B$5:$B$882=$E77)*('PA Fees Actual'!$A$5:$A$882&gt;=AF$3)*('PA Fees Actual'!$A$5:$A$882&lt;=EOMONTH(AF$3,0))*'PA Fees Actual'!$D$5:$D$882),AF$3&gt;=EOMONTH($X77,-1)+1,$Y77,TRUE,0)</f>
        <v>0</v>
      </c>
      <c r="AG77" s="202" cm="1">
        <f t="array" ref="AG77">_xlfn.IFS(AG$3&lt;$B$2,SUMPRODUCT(('PA Fees Actual'!$B$5:$B$882=$E77)*('PA Fees Actual'!$A$5:$A$882&gt;=AG$3)*('PA Fees Actual'!$A$5:$A$882&lt;=EOMONTH(AG$3,0))*'PA Fees Actual'!$D$5:$D$882),AG$3&gt;=EOMONTH($X77,-1)+1,$Y77,TRUE,0)</f>
        <v>0</v>
      </c>
      <c r="AH77" s="202" cm="1">
        <f t="array" ref="AH77">_xlfn.IFS(AH$3&lt;$B$2,SUMPRODUCT(('PA Fees Actual'!$B$5:$B$882=$E77)*('PA Fees Actual'!$A$5:$A$882&gt;=AH$3)*('PA Fees Actual'!$A$5:$A$882&lt;=EOMONTH(AH$3,0))*'PA Fees Actual'!$D$5:$D$882),AH$3&gt;=EOMONTH($X77,-1)+1,$Y77,TRUE,0)</f>
        <v>0</v>
      </c>
      <c r="AI77" s="202" cm="1">
        <f t="array" ref="AI77">_xlfn.IFS(AI$3&lt;$B$2,SUMPRODUCT(('PA Fees Actual'!$B$5:$B$882=$E77)*('PA Fees Actual'!$A$5:$A$882&gt;=AI$3)*('PA Fees Actual'!$A$5:$A$882&lt;=EOMONTH(AI$3,0))*'PA Fees Actual'!$D$5:$D$882),AI$3&gt;=EOMONTH($X77,-1)+1,$Y77,TRUE,0)</f>
        <v>0</v>
      </c>
      <c r="AJ77" s="202" cm="1">
        <f t="array" ref="AJ77">_xlfn.IFS(AJ$3&lt;$B$2,SUMPRODUCT(('PA Fees Actual'!$B$5:$B$882=$E77)*('PA Fees Actual'!$A$5:$A$882&gt;=AJ$3)*('PA Fees Actual'!$A$5:$A$882&lt;=EOMONTH(AJ$3,0))*'PA Fees Actual'!$D$5:$D$882),AJ$3&gt;=EOMONTH($X77,-1)+1,$Y77,TRUE,0)</f>
        <v>0</v>
      </c>
      <c r="AK77" s="202" cm="1">
        <f t="array" ref="AK77">_xlfn.IFS(AK$3&lt;$B$2,SUMPRODUCT(('PA Fees Actual'!$B$5:$B$882=$E77)*('PA Fees Actual'!$A$5:$A$882&gt;=AK$3)*('PA Fees Actual'!$A$5:$A$882&lt;=EOMONTH(AK$3,0))*'PA Fees Actual'!$D$5:$D$882),AK$3&gt;=EOMONTH($X77,-1)+1,$Y77,TRUE,0)</f>
        <v>0</v>
      </c>
      <c r="AL77" s="202" cm="1">
        <f t="array" ref="AL77">_xlfn.IFS(AL$3&lt;$B$2,SUMPRODUCT(('PA Fees Actual'!$B$5:$B$882=$E77)*('PA Fees Actual'!$A$5:$A$882&gt;=AL$3)*('PA Fees Actual'!$A$5:$A$882&lt;=EOMONTH(AL$3,0))*'PA Fees Actual'!$D$5:$D$882),AL$3&gt;=EOMONTH($X77,-1)+1,$Y77,TRUE,0)</f>
        <v>0</v>
      </c>
      <c r="AM77" s="202" cm="1">
        <f t="array" ref="AM77">_xlfn.IFS(AM$3&lt;$B$2,SUMPRODUCT(('PA Fees Actual'!$B$5:$B$882=$E77)*('PA Fees Actual'!$A$5:$A$882&gt;=AM$3)*('PA Fees Actual'!$A$5:$A$882&lt;=EOMONTH(AM$3,0))*'PA Fees Actual'!$D$5:$D$882),AM$3&gt;=EOMONTH($X77,-1)+1,$Y77,TRUE,0)</f>
        <v>0</v>
      </c>
      <c r="AN77" s="202" cm="1">
        <f t="array" ref="AN77">_xlfn.IFS(AN$3&lt;$B$2,SUMPRODUCT(('PA Fees Actual'!$B$5:$B$882=$E77)*('PA Fees Actual'!$A$5:$A$882&gt;=AN$3)*('PA Fees Actual'!$A$5:$A$882&lt;=EOMONTH(AN$3,0))*'PA Fees Actual'!$D$5:$D$882),AN$3&gt;=EOMONTH($X77,-1)+1,$Y77,TRUE,0)</f>
        <v>0</v>
      </c>
      <c r="AO77" s="202" cm="1">
        <f t="array" ref="AO77">_xlfn.IFS(AO$3&lt;$B$2,SUMPRODUCT(('PA Fees Actual'!$B$5:$B$882=$E77)*('PA Fees Actual'!$A$5:$A$882&gt;=AO$3)*('PA Fees Actual'!$A$5:$A$882&lt;=EOMONTH(AO$3,0))*'PA Fees Actual'!$D$5:$D$882),AO$3&gt;=EOMONTH($X77,-1)+1,$Y77,TRUE,0)</f>
        <v>0</v>
      </c>
      <c r="AP77" s="202" cm="1">
        <f t="array" ref="AP77">_xlfn.IFS(AP$3&lt;$B$2,SUMPRODUCT(('PA Fees Actual'!$B$5:$B$882=$E77)*('PA Fees Actual'!$A$5:$A$882&gt;=AP$3)*('PA Fees Actual'!$A$5:$A$882&lt;=EOMONTH(AP$3,0))*'PA Fees Actual'!$D$5:$D$882),AP$3&gt;=EOMONTH($X77,-1)+1,$Y77,TRUE,0)</f>
        <v>0</v>
      </c>
      <c r="AQ77" s="202" cm="1">
        <f t="array" ref="AQ77">_xlfn.IFS(AQ$3&lt;$B$2,SUMPRODUCT(('PA Fees Actual'!$B$5:$B$882=$E77)*('PA Fees Actual'!$A$5:$A$882&gt;=AQ$3)*('PA Fees Actual'!$A$5:$A$882&lt;=EOMONTH(AQ$3,0))*'PA Fees Actual'!$D$5:$D$882),AQ$3&gt;=EOMONTH($X77,-1)+1,$Y77,TRUE,0)</f>
        <v>0</v>
      </c>
      <c r="AR77" s="202" cm="1">
        <f t="array" ref="AR77">_xlfn.IFS(AR$3&lt;$B$2,SUMPRODUCT(('PA Fees Actual'!$B$5:$B$882=$E77)*('PA Fees Actual'!$A$5:$A$882&gt;=AR$3)*('PA Fees Actual'!$A$5:$A$882&lt;=EOMONTH(AR$3,0))*'PA Fees Actual'!$D$5:$D$882),AR$3&gt;=EOMONTH($X77,-1)+1,$Y77,TRUE,0)</f>
        <v>0</v>
      </c>
      <c r="AS77" s="202" cm="1">
        <f t="array" ref="AS77">_xlfn.IFS(AS$3&lt;$B$2,SUMPRODUCT(('PA Fees Actual'!$B$5:$B$882=$E77)*('PA Fees Actual'!$A$5:$A$882&gt;=AS$3)*('PA Fees Actual'!$A$5:$A$882&lt;=EOMONTH(AS$3,0))*'PA Fees Actual'!$D$5:$D$882),AS$3&gt;=EOMONTH($X77,-1)+1,$Y77,TRUE,0)</f>
        <v>0</v>
      </c>
      <c r="AT77" s="202" cm="1">
        <f t="array" ref="AT77">_xlfn.IFS(AT$3&lt;$B$2,SUMPRODUCT(('PA Fees Actual'!$B$5:$B$882=$E77)*('PA Fees Actual'!$A$5:$A$882&gt;=AT$3)*('PA Fees Actual'!$A$5:$A$882&lt;=EOMONTH(AT$3,0))*'PA Fees Actual'!$D$5:$D$882),AT$3&gt;=EOMONTH($X77,-1)+1,$Y77,TRUE,0)</f>
        <v>0</v>
      </c>
      <c r="AU77" s="202" cm="1">
        <f t="array" ref="AU77">_xlfn.IFS(AU$3&lt;$B$2,SUMPRODUCT(('PA Fees Actual'!$B$5:$B$882=$E77)*('PA Fees Actual'!$A$5:$A$882&gt;=AU$3)*('PA Fees Actual'!$A$5:$A$882&lt;=EOMONTH(AU$3,0))*'PA Fees Actual'!$D$5:$D$882),AU$3&gt;=EOMONTH($X77,-1)+1,$Y77,TRUE,0)</f>
        <v>0</v>
      </c>
      <c r="AV77" s="202" cm="1">
        <f t="array" ref="AV77">_xlfn.IFS(AV$3&lt;$B$2,SUMPRODUCT(('PA Fees Actual'!$B$5:$B$882=$E77)*('PA Fees Actual'!$A$5:$A$882&gt;=AV$3)*('PA Fees Actual'!$A$5:$A$882&lt;=EOMONTH(AV$3,0))*'PA Fees Actual'!$D$5:$D$882),AV$3&gt;=EOMONTH($X77,-1)+1,$Y77,TRUE,0)</f>
        <v>0</v>
      </c>
      <c r="AW77" s="202" cm="1">
        <f t="array" ref="AW77">_xlfn.IFS(AW$3&lt;$B$2,SUMPRODUCT(('PA Fees Actual'!$B$5:$B$882=$E77)*('PA Fees Actual'!$A$5:$A$882&gt;=AW$3)*('PA Fees Actual'!$A$5:$A$882&lt;=EOMONTH(AW$3,0))*'PA Fees Actual'!$D$5:$D$882),AW$3&gt;=EOMONTH($X77,-1)+1,$Y77,TRUE,0)</f>
        <v>0</v>
      </c>
      <c r="AX77" s="202" cm="1">
        <f t="array" ref="AX77">_xlfn.IFS(AX$3&lt;$B$2,SUMPRODUCT(('PA Fees Actual'!$B$5:$B$882=$E77)*('PA Fees Actual'!$A$5:$A$882&gt;=AX$3)*('PA Fees Actual'!$A$5:$A$882&lt;=EOMONTH(AX$3,0))*'PA Fees Actual'!$D$5:$D$882),AX$3&gt;=EOMONTH($X77,-1)+1,$Y77,TRUE,0)</f>
        <v>0</v>
      </c>
      <c r="AY77" s="202" cm="1">
        <f t="array" ref="AY77">_xlfn.IFS(AY$3&lt;$B$2,SUMPRODUCT(('PA Fees Actual'!$B$5:$B$882=$E77)*('PA Fees Actual'!$A$5:$A$882&gt;=AY$3)*('PA Fees Actual'!$A$5:$A$882&lt;=EOMONTH(AY$3,0))*'PA Fees Actual'!$D$5:$D$882),AY$3&gt;=EOMONTH($X77,-1)+1,$Y77,TRUE,0)</f>
        <v>0</v>
      </c>
      <c r="AZ77" s="202" cm="1">
        <f t="array" ref="AZ77">_xlfn.IFS(AZ$3&lt;$B$2,SUMPRODUCT(('PA Fees Actual'!$B$5:$B$882=$E77)*('PA Fees Actual'!$A$5:$A$882&gt;=AZ$3)*('PA Fees Actual'!$A$5:$A$882&lt;=EOMONTH(AZ$3,0))*'PA Fees Actual'!$D$5:$D$882),AZ$3&gt;=EOMONTH($X77,-1)+1,$Y77,TRUE,0)</f>
        <v>0</v>
      </c>
      <c r="BA77" s="202" cm="1">
        <f t="array" ref="BA77">_xlfn.IFS(BA$3&lt;$B$2,SUMPRODUCT(('PA Fees Actual'!$B$5:$B$882=$E77)*('PA Fees Actual'!$A$5:$A$882&gt;=BA$3)*('PA Fees Actual'!$A$5:$A$882&lt;=EOMONTH(BA$3,0))*'PA Fees Actual'!$D$5:$D$882),BA$3&gt;=EOMONTH($X77,-1)+1,$Y77,TRUE,0)</f>
        <v>0</v>
      </c>
      <c r="BB77" s="202" cm="1">
        <f t="array" ref="BB77">_xlfn.IFS(BB$3&lt;$B$2,SUMPRODUCT(('PA Fees Actual'!$B$5:$B$882=$E77)*('PA Fees Actual'!$A$5:$A$882&gt;=BB$3)*('PA Fees Actual'!$A$5:$A$882&lt;=EOMONTH(BB$3,0))*'PA Fees Actual'!$D$5:$D$882),BB$3&gt;=EOMONTH($X77,-1)+1,$Y77,TRUE,0)</f>
        <v>0</v>
      </c>
      <c r="BC77" s="202" cm="1">
        <f t="array" ref="BC77">_xlfn.IFS(BC$3&lt;$B$2,SUMPRODUCT(('PA Fees Actual'!$B$5:$B$882=$E77)*('PA Fees Actual'!$A$5:$A$882&gt;=BC$3)*('PA Fees Actual'!$A$5:$A$882&lt;=EOMONTH(BC$3,0))*'PA Fees Actual'!$D$5:$D$882),BC$3&gt;=EOMONTH($X77,-1)+1,$Y77,TRUE,0)</f>
        <v>0</v>
      </c>
      <c r="BD77" s="202" cm="1">
        <f t="array" ref="BD77">_xlfn.IFS(BD$3&lt;$B$2,SUMPRODUCT(('PA Fees Actual'!$B$5:$B$882=$E77)*('PA Fees Actual'!$A$5:$A$882&gt;=BD$3)*('PA Fees Actual'!$A$5:$A$882&lt;=EOMONTH(BD$3,0))*'PA Fees Actual'!$D$5:$D$882),BD$3&gt;=EOMONTH($X77,-1)+1,$Y77,TRUE,0)</f>
        <v>0</v>
      </c>
      <c r="BE77" s="202" cm="1">
        <f t="array" ref="BE77">_xlfn.IFS(BE$3&lt;$B$2,SUMPRODUCT(('PA Fees Actual'!$B$5:$B$882=$E77)*('PA Fees Actual'!$A$5:$A$882&gt;=BE$3)*('PA Fees Actual'!$A$5:$A$882&lt;=EOMONTH(BE$3,0))*'PA Fees Actual'!$D$5:$D$882),BE$3&gt;=EOMONTH($X77,-1)+1,$Y77,TRUE,0)</f>
        <v>0</v>
      </c>
      <c r="BF77" s="202" cm="1">
        <f t="array" ref="BF77">_xlfn.IFS(BF$3&lt;$B$2,SUMPRODUCT(('PA Fees Actual'!$B$5:$B$882=$E77)*('PA Fees Actual'!$A$5:$A$882&gt;=BF$3)*('PA Fees Actual'!$A$5:$A$882&lt;=EOMONTH(BF$3,0))*'PA Fees Actual'!$D$5:$D$882),BF$3&gt;=EOMONTH($X77,-1)+1,$Y77,TRUE,0)</f>
        <v>0</v>
      </c>
      <c r="BG77" s="202" cm="1">
        <f t="array" ref="BG77">_xlfn.IFS(BG$3&lt;$B$2,SUMPRODUCT(('PA Fees Actual'!$B$5:$B$882=$E77)*('PA Fees Actual'!$A$5:$A$882&gt;=BG$3)*('PA Fees Actual'!$A$5:$A$882&lt;=EOMONTH(BG$3,0))*'PA Fees Actual'!$D$5:$D$882),BG$3&gt;=EOMONTH($X77,-1)+1,$Y77,TRUE,0)</f>
        <v>0</v>
      </c>
      <c r="BH77" s="202" cm="1">
        <f t="array" ref="BH77">_xlfn.IFS(BH$3&lt;$B$2,SUMPRODUCT(('PA Fees Actual'!$B$5:$B$882=$E77)*('PA Fees Actual'!$A$5:$A$882&gt;=BH$3)*('PA Fees Actual'!$A$5:$A$882&lt;=EOMONTH(BH$3,0))*'PA Fees Actual'!$D$5:$D$882),BH$3&gt;=EOMONTH($X77,-1)+1,$Y77,TRUE,0)</f>
        <v>0</v>
      </c>
      <c r="BI77" s="202" cm="1">
        <f t="array" ref="BI77">_xlfn.IFS(BI$3&lt;$B$2,SUMPRODUCT(('PA Fees Actual'!$B$5:$B$882=$E77)*('PA Fees Actual'!$A$5:$A$882&gt;=BI$3)*('PA Fees Actual'!$A$5:$A$882&lt;=EOMONTH(BI$3,0))*'PA Fees Actual'!$D$5:$D$882),BI$3&gt;=EOMONTH($X77,-1)+1,$Y77,TRUE,0)</f>
        <v>0</v>
      </c>
      <c r="BJ77" s="202" cm="1">
        <f t="array" ref="BJ77">_xlfn.IFS(BJ$3&lt;$B$2,SUMPRODUCT(('PA Fees Actual'!$B$5:$B$882=$E77)*('PA Fees Actual'!$A$5:$A$882&gt;=BJ$3)*('PA Fees Actual'!$A$5:$A$882&lt;=EOMONTH(BJ$3,0))*'PA Fees Actual'!$D$5:$D$882),BJ$3&gt;=EOMONTH($X77,-1)+1,$Y77,TRUE,0)</f>
        <v>0</v>
      </c>
      <c r="BK77" s="202" cm="1">
        <f t="array" ref="BK77">_xlfn.IFS(BK$3&lt;$B$2,SUMPRODUCT(('PA Fees Actual'!$B$5:$B$882=$E77)*('PA Fees Actual'!$A$5:$A$882&gt;=BK$3)*('PA Fees Actual'!$A$5:$A$882&lt;=EOMONTH(BK$3,0))*'PA Fees Actual'!$D$5:$D$882),BK$3&gt;=EOMONTH($X77,-1)+1,$Y77,TRUE,0)</f>
        <v>0</v>
      </c>
      <c r="BL77" s="202" cm="1">
        <f t="array" ref="BL77">_xlfn.IFS(BL$3&lt;$B$2,SUMPRODUCT(('PA Fees Actual'!$B$5:$B$882=$E77)*('PA Fees Actual'!$A$5:$A$882&gt;=BL$3)*('PA Fees Actual'!$A$5:$A$882&lt;=EOMONTH(BL$3,0))*'PA Fees Actual'!$D$5:$D$882),BL$3&gt;=EOMONTH($X77,-1)+1,$Y77,TRUE,0)</f>
        <v>0</v>
      </c>
      <c r="BM77" s="202" cm="1">
        <f t="array" ref="BM77">_xlfn.IFS(BM$3&lt;$B$2,SUMPRODUCT(('PA Fees Actual'!$B$5:$B$882=$E77)*('PA Fees Actual'!$A$5:$A$882&gt;=BM$3)*('PA Fees Actual'!$A$5:$A$882&lt;=EOMONTH(BM$3,0))*'PA Fees Actual'!$D$5:$D$882),BM$3&gt;=EOMONTH($X77,-1)+1,$Y77,TRUE,0)</f>
        <v>0</v>
      </c>
      <c r="BN77" s="202" cm="1">
        <f t="array" ref="BN77">_xlfn.IFS(BN$3&lt;$B$2,SUMPRODUCT(('PA Fees Actual'!$B$5:$B$882=$E77)*('PA Fees Actual'!$A$5:$A$882&gt;=BN$3)*('PA Fees Actual'!$A$5:$A$882&lt;=EOMONTH(BN$3,0))*'PA Fees Actual'!$D$5:$D$882),BN$3&gt;=EOMONTH($X77,-1)+1,$Y77,TRUE,0)</f>
        <v>0</v>
      </c>
      <c r="BO77" s="202" cm="1">
        <f t="array" ref="BO77">_xlfn.IFS(BO$3&lt;$B$2,SUMPRODUCT(('PA Fees Actual'!$B$5:$B$882=$E77)*('PA Fees Actual'!$A$5:$A$882&gt;=BO$3)*('PA Fees Actual'!$A$5:$A$882&lt;=EOMONTH(BO$3,0))*'PA Fees Actual'!$D$5:$D$882),BO$3&gt;=EOMONTH($X77,-1)+1,$Y77,TRUE,0)</f>
        <v>0</v>
      </c>
      <c r="BP77" s="202" cm="1">
        <f t="array" ref="BP77">_xlfn.IFS(BP$3&lt;$B$2,SUMPRODUCT(('PA Fees Actual'!$B$5:$B$882=$E77)*('PA Fees Actual'!$A$5:$A$882&gt;=BP$3)*('PA Fees Actual'!$A$5:$A$882&lt;=EOMONTH(BP$3,0))*'PA Fees Actual'!$D$5:$D$882),BP$3&gt;=EOMONTH($X77,-1)+1,$Y77,TRUE,0)</f>
        <v>0</v>
      </c>
      <c r="BQ77" s="202" cm="1">
        <f t="array" ref="BQ77">_xlfn.IFS(BQ$3&lt;$B$2,SUMPRODUCT(('PA Fees Actual'!$B$5:$B$882=$E77)*('PA Fees Actual'!$A$5:$A$882&gt;=BQ$3)*('PA Fees Actual'!$A$5:$A$882&lt;=EOMONTH(BQ$3,0))*'PA Fees Actual'!$D$5:$D$882),BQ$3&gt;=EOMONTH($X77,-1)+1,$Y77,TRUE,0)</f>
        <v>0</v>
      </c>
      <c r="BR77" s="202" cm="1">
        <f t="array" ref="BR77">_xlfn.IFS(BR$3&lt;$B$2,SUMPRODUCT(('PA Fees Actual'!$B$5:$B$882=$E77)*('PA Fees Actual'!$A$5:$A$882&gt;=BR$3)*('PA Fees Actual'!$A$5:$A$882&lt;=EOMONTH(BR$3,0))*'PA Fees Actual'!$D$5:$D$882),BR$3&gt;=EOMONTH($X77,-1)+1,$Y77,TRUE,0)</f>
        <v>0</v>
      </c>
      <c r="BS77" s="202" cm="1">
        <f t="array" ref="BS77">_xlfn.IFS(BS$3&lt;$B$2,SUMPRODUCT(('PA Fees Actual'!$B$5:$B$882=$E77)*('PA Fees Actual'!$A$5:$A$882&gt;=BS$3)*('PA Fees Actual'!$A$5:$A$882&lt;=EOMONTH(BS$3,0))*'PA Fees Actual'!$D$5:$D$882),BS$3&gt;=EOMONTH($X77,-1)+1,$Y77,TRUE,0)</f>
        <v>0</v>
      </c>
      <c r="BT77" s="202" cm="1">
        <f t="array" ref="BT77">_xlfn.IFS(BT$3&lt;$B$2,SUMPRODUCT(('PA Fees Actual'!$B$5:$B$882=$E77)*('PA Fees Actual'!$A$5:$A$882&gt;=BT$3)*('PA Fees Actual'!$A$5:$A$882&lt;=EOMONTH(BT$3,0))*'PA Fees Actual'!$D$5:$D$882),BT$3&gt;=EOMONTH($X77,-1)+1,$Y77,TRUE,0)</f>
        <v>0</v>
      </c>
      <c r="BU77" s="202" cm="1">
        <f t="array" ref="BU77">_xlfn.IFS(BU$3&lt;$B$2,SUMPRODUCT(('PA Fees Actual'!$B$5:$B$882=$E77)*('PA Fees Actual'!$A$5:$A$882&gt;=BU$3)*('PA Fees Actual'!$A$5:$A$882&lt;=EOMONTH(BU$3,0))*'PA Fees Actual'!$D$5:$D$882),BU$3&gt;=EOMONTH($X77,-1)+1,$Y77,TRUE,0)</f>
        <v>0</v>
      </c>
      <c r="BV77" s="202" cm="1">
        <f t="array" ref="BV77">_xlfn.IFS(BV$3&lt;$B$2,SUMPRODUCT(('PA Fees Actual'!$B$5:$B$882=$E77)*('PA Fees Actual'!$A$5:$A$882&gt;=BV$3)*('PA Fees Actual'!$A$5:$A$882&lt;=EOMONTH(BV$3,0))*'PA Fees Actual'!$D$5:$D$882),BV$3&gt;=EOMONTH($X77,-1)+1,$Y77,TRUE,0)</f>
        <v>0</v>
      </c>
      <c r="BW77" s="202" cm="1">
        <f t="array" ref="BW77">_xlfn.IFS(BW$3&lt;$B$2,SUMPRODUCT(('PA Fees Actual'!$B$5:$B$882=$E77)*('PA Fees Actual'!$A$5:$A$882&gt;=BW$3)*('PA Fees Actual'!$A$5:$A$882&lt;=EOMONTH(BW$3,0))*'PA Fees Actual'!$D$5:$D$882),BW$3&gt;=EOMONTH($X77,-1)+1,$Y77,TRUE,0)</f>
        <v>0</v>
      </c>
      <c r="BX77" s="202" cm="1">
        <f t="array" ref="BX77">_xlfn.IFS(BX$3&lt;$B$2,SUMPRODUCT(('PA Fees Actual'!$B$5:$B$882=$E77)*('PA Fees Actual'!$A$5:$A$882&gt;=BX$3)*('PA Fees Actual'!$A$5:$A$882&lt;=EOMONTH(BX$3,0))*'PA Fees Actual'!$D$5:$D$882),BX$3&gt;=EOMONTH($X77,-1)+1,$Y77,TRUE,0)</f>
        <v>0</v>
      </c>
      <c r="BY77" s="202" cm="1">
        <f t="array" ref="BY77">_xlfn.IFS(BY$3&lt;$B$2,SUMPRODUCT(('PA Fees Actual'!$B$5:$B$882=$E77)*('PA Fees Actual'!$A$5:$A$882&gt;=BY$3)*('PA Fees Actual'!$A$5:$A$882&lt;=EOMONTH(BY$3,0))*'PA Fees Actual'!$D$5:$D$882),BY$3&gt;=EOMONTH($X77,-1)+1,$Y77,TRUE,0)</f>
        <v>0</v>
      </c>
      <c r="BZ77" s="202" cm="1">
        <f t="array" ref="BZ77">_xlfn.IFS(BZ$3&lt;$B$2,SUMPRODUCT(('PA Fees Actual'!$B$5:$B$882=$E77)*('PA Fees Actual'!$A$5:$A$882&gt;=BZ$3)*('PA Fees Actual'!$A$5:$A$882&lt;=EOMONTH(BZ$3,0))*'PA Fees Actual'!$D$5:$D$882),BZ$3&gt;=EOMONTH($X77,-1)+1,$Y77,TRUE,0)</f>
        <v>0</v>
      </c>
      <c r="CA77" s="202" cm="1">
        <f t="array" ref="CA77">_xlfn.IFS(CA$3&lt;$B$2,SUMPRODUCT(('PA Fees Actual'!$B$5:$B$882=$E77)*('PA Fees Actual'!$A$5:$A$882&gt;=CA$3)*('PA Fees Actual'!$A$5:$A$882&lt;=EOMONTH(CA$3,0))*'PA Fees Actual'!$D$5:$D$882),CA$3&gt;=EOMONTH($X77,-1)+1,$Y77,TRUE,0)</f>
        <v>0</v>
      </c>
      <c r="CB77" s="202" cm="1">
        <f t="array" ref="CB77">_xlfn.IFS(CB$3&lt;$B$2,SUMPRODUCT(('PA Fees Actual'!$B$5:$B$749=$E77)*('PA Fees Actual'!$A$5:$A$749&gt;=CB$3)*('PA Fees Actual'!$A$5:$A$749&lt;=EOMONTH(CB$3,0))*'PA Fees Actual'!$D$5:$D$749),CB$3&gt;=EOMONTH($X77,-1)+1,$Y77,TRUE,0)</f>
        <v>0</v>
      </c>
      <c r="CC77" s="202" cm="1">
        <f t="array" ref="CC77">_xlfn.IFS(CC$3&lt;$B$2,SUMPRODUCT(('PA Fees Actual'!$B$5:$B$749=$E77)*('PA Fees Actual'!$A$5:$A$749&gt;=CC$3)*('PA Fees Actual'!$A$5:$A$749&lt;=EOMONTH(CC$3,0))*'PA Fees Actual'!$D$5:$D$749),CC$3&gt;=EOMONTH($X77,-1)+1,$Y77,TRUE,0)</f>
        <v>0</v>
      </c>
      <c r="CD77" s="202" cm="1">
        <f t="array" ref="CD77">_xlfn.IFS(CD$3&lt;$B$2,SUMPRODUCT(('PA Fees Actual'!$B$5:$B$749=$E77)*('PA Fees Actual'!$A$5:$A$749&gt;=CD$3)*('PA Fees Actual'!$A$5:$A$749&lt;=EOMONTH(CD$3,0))*'PA Fees Actual'!$D$5:$D$749),CD$3&gt;=EOMONTH($X77,-1)+1,$Y77,TRUE,0)</f>
        <v>0</v>
      </c>
      <c r="CE77" s="202" cm="1">
        <f t="array" ref="CE77">_xlfn.IFS(CE$3&lt;$B$2,SUMPRODUCT(('PA Fees Actual'!$B$5:$B$749=$E77)*('PA Fees Actual'!$A$5:$A$749&gt;=CE$3)*('PA Fees Actual'!$A$5:$A$749&lt;=EOMONTH(CE$3,0))*'PA Fees Actual'!$D$5:$D$749),CE$3&gt;=EOMONTH($X77,-1)+1,$Y77,TRUE,0)</f>
        <v>0</v>
      </c>
      <c r="CF77" s="202" cm="1">
        <f t="array" ref="CF77">_xlfn.IFS(CF$3&lt;$B$2,SUMPRODUCT(('PA Fees Actual'!$B$5:$B$749=$E77)*('PA Fees Actual'!$A$5:$A$749&gt;=CF$3)*('PA Fees Actual'!$A$5:$A$749&lt;=EOMONTH(CF$3,0))*'PA Fees Actual'!$D$5:$D$749),CF$3&gt;=EOMONTH($X77,-1)+1,$Y77,TRUE,0)</f>
        <v>0</v>
      </c>
      <c r="CG77" s="202" cm="1">
        <f t="array" ref="CG77">_xlfn.IFS(CG$3&lt;$B$2,SUMPRODUCT(('PA Fees Actual'!$B$5:$B$749=$E77)*('PA Fees Actual'!$A$5:$A$749&gt;=CG$3)*('PA Fees Actual'!$A$5:$A$749&lt;=EOMONTH(CG$3,0))*'PA Fees Actual'!$D$5:$D$749),CG$3&gt;=EOMONTH($X77,-1)+1,$Y77,TRUE,0)</f>
        <v>0</v>
      </c>
      <c r="CI77" s="202" cm="1">
        <f t="array" ref="CI77">_xlfn.IFS(CI$3&lt;=YEAR($B$2),SUMPRODUCT(($E$4:$E$79=$E77)*($Z$2:$CG$2=CI$3)*($Z$2:$CG$2&lt;CJ$3)*$Z$4:$CG$79),CI$3&lt;YEAR($X77),0,CI$3=YEAR($X77),DATEDIF($X77,DATE(CI$3,12,31),"m")*$Y77,AND(CI$3&gt;YEAR($X77),CI$3-YEAR($X77)&lt;20),$Y77*12,CI$3-YEAR($X77)=20,DATEDIF(DATE(YEAR($X77),1,1),$X77,"m")*$Y77,CI$3-YEAR($X77)&gt;20,0)</f>
        <v>0</v>
      </c>
      <c r="CJ77" s="202" cm="1">
        <f t="array" ref="CJ77">_xlfn.IFS(CJ$3&lt;=YEAR($B$2),SUMPRODUCT(($E$4:$E$79=$E77)*($Z$2:$CG$2=CJ$3)*($Z$2:$CG$2&lt;CK$3)*$Z$4:$CG$79),CJ$3&lt;YEAR($X77),0,CJ$3=YEAR($X77),DATEDIF($X77,DATE(CJ$3,12,31),"m")*$Y77,AND(CJ$3&gt;YEAR($X77),CJ$3-YEAR($X77)&lt;20),$Y77*12,CJ$3-YEAR($X77)=20,DATEDIF(DATE(YEAR($X77),1,1),$X77,"m")*$Y77,CJ$3-YEAR($X77)&gt;20,0)</f>
        <v>0</v>
      </c>
      <c r="CK77" s="202" cm="1">
        <f t="array" ref="CK77">_xlfn.IFS(CK$3&lt;=YEAR($B$2),SUMPRODUCT(($E$4:$E$79=$E77)*($Z$2:$CG$2=CK$3)*($Z$2:$CG$2&lt;CL$3)*$Z$4:$CG$79),CK$3&lt;YEAR($X77),0,CK$3=YEAR($X77),DATEDIF($X77,DATE(CK$3,12,31),"m")*$Y77,AND(CK$3&gt;YEAR($X77),CK$3-YEAR($X77)&lt;20),$Y77*12,CK$3-YEAR($X77)=20,DATEDIF(DATE(YEAR($X77),1,1),$X77,"m")*$Y77,CK$3-YEAR($X77)&gt;20,0)</f>
        <v>0</v>
      </c>
      <c r="CL77" s="202" cm="1">
        <f t="array" ref="CL77">_xlfn.IFS(CL$3&lt;=YEAR($B$2),SUMPRODUCT(($E$4:$E$79=$E77)*($Z$2:$CG$2=CL$3)*($Z$2:$CG$2&lt;CM$3)*$Z$4:$CG$79),CL$3&lt;YEAR($X77),0,CL$3=YEAR($X77),DATEDIF($X77,DATE(CL$3,12,31),"m")*$Y77,AND(CL$3&gt;YEAR($X77),CL$3-YEAR($X77)&lt;20),$Y77*12,CL$3-YEAR($X77)=20,DATEDIF(DATE(YEAR($X77),1,1),$X77,"m")*$Y77,CL$3-YEAR($X77)&gt;20,0)</f>
        <v>0</v>
      </c>
      <c r="CM77" s="202" cm="1">
        <f t="array" ref="CM77">_xlfn.IFS(CM$3&lt;=YEAR($B$2),SUMPRODUCT(($E$4:$E$79=$E77)*($Z$2:$CG$2=CM$3)*($Z$2:$CG$2&lt;CN$3)*$Z$4:$CG$79),CM$3&lt;YEAR($X77),0,CM$3=YEAR($X77),DATEDIF($X77,DATE(CM$3,12,31),"m")*$Y77,AND(CM$3&gt;YEAR($X77),CM$3-YEAR($X77)&lt;20),$Y77*12,CM$3-YEAR($X77)=20,DATEDIF(DATE(YEAR($X77),1,1),$X77,"m")*$Y77,CM$3-YEAR($X77)&gt;20,0)</f>
        <v>0</v>
      </c>
      <c r="CN77" s="202" cm="1">
        <f t="array" ref="CN77">_xlfn.IFS(CN$3&lt;=YEAR($B$2),SUMPRODUCT(($E$4:$E$79=$E77)*($Z$2:$CG$2=CN$3)*($Z$2:$CG$2&lt;CO$3)*$Z$4:$CG$79),CN$3&lt;YEAR($X77),0,CN$3=YEAR($X77),DATEDIF($X77,DATE(CN$3,12,31),"m")*$Y77,AND(CN$3&gt;YEAR($X77),CN$3-YEAR($X77)&lt;20),$Y77*12,CN$3-YEAR($X77)=20,DATEDIF(DATE(YEAR($X77),1,1),$X77,"m")*$Y77,CN$3-YEAR($X77)&gt;20,0)</f>
        <v>0</v>
      </c>
      <c r="CO77" s="202" cm="1">
        <f t="array" ref="CO77">_xlfn.IFS(CO$3&lt;=YEAR($B$2),SUMPRODUCT(($E$4:$E$79=$E77)*($Z$2:$CG$2=CO$3)*($Z$2:$CG$2&lt;CP$3)*$Z$4:$CG$79),CO$3&lt;YEAR($X77),0,CO$3=YEAR($X77),DATEDIF($X77,DATE(CO$3,12,31),"m")*$Y77,AND(CO$3&gt;YEAR($X77),CO$3-YEAR($X77)&lt;20),$Y77*12,CO$3-YEAR($X77)=20,DATEDIF(DATE(YEAR($X77),1,1),$X77,"m")*$Y77,CO$3-YEAR($X77)&gt;20,0)</f>
        <v>2142</v>
      </c>
      <c r="CP77" s="202" cm="1">
        <f t="array" ref="CP77">_xlfn.IFS(CP$3&lt;=YEAR($B$2),SUMPRODUCT(($E$4:$E$79=$E77)*($Z$2:$CG$2=CP$3)*($Z$2:$CG$2&lt;CQ$3)*$Z$4:$CG$79),CP$3&lt;YEAR($X77),0,CP$3=YEAR($X77),DATEDIF($X77,DATE(CP$3,12,31),"m")*$Y77,AND(CP$3&gt;YEAR($X77),CP$3-YEAR($X77)&lt;20),$Y77*12,CP$3-YEAR($X77)=20,DATEDIF(DATE(YEAR($X77),1,1),$X77,"m")*$Y77,CP$3-YEAR($X77)&gt;20,0)</f>
        <v>3672</v>
      </c>
      <c r="CQ77" s="202" cm="1">
        <f t="array" ref="CQ77">_xlfn.IFS(CQ$3&lt;=YEAR($B$2),SUMPRODUCT(($E$4:$E$79=$E77)*($Z$2:$CG$2=CQ$3)*($Z$2:$CG$2&lt;CR$3)*$Z$4:$CG$79),CQ$3&lt;YEAR($X77),0,CQ$3=YEAR($X77),DATEDIF($X77,DATE(CQ$3,12,31),"m")*$Y77,AND(CQ$3&gt;YEAR($X77),CQ$3-YEAR($X77)&lt;20),$Y77*12,CQ$3-YEAR($X77)=20,DATEDIF(DATE(YEAR($X77),1,1),$X77,"m")*$Y77,CQ$3-YEAR($X77)&gt;20,0)</f>
        <v>3672</v>
      </c>
      <c r="CR77" s="202" cm="1">
        <f t="array" ref="CR77">_xlfn.IFS(CR$3&lt;=YEAR($B$2),SUMPRODUCT(($E$4:$E$79=$E77)*($Z$2:$CG$2=CR$3)*($Z$2:$CG$2&lt;CS$3)*$Z$4:$CG$79),CR$3&lt;YEAR($X77),0,CR$3=YEAR($X77),DATEDIF($X77,DATE(CR$3,12,31),"m")*$Y77,AND(CR$3&gt;YEAR($X77),CR$3-YEAR($X77)&lt;20),$Y77*12,CR$3-YEAR($X77)=20,DATEDIF(DATE(YEAR($X77),1,1),$X77,"m")*$Y77,CR$3-YEAR($X77)&gt;20,0)</f>
        <v>3672</v>
      </c>
      <c r="CS77" s="202" cm="1">
        <f t="array" ref="CS77">_xlfn.IFS(CS$3&lt;=YEAR($B$2),SUMPRODUCT(($E$4:$E$79=$E77)*($Z$2:$CG$2=CS$3)*($Z$2:$CG$2&lt;CT$3)*$Z$4:$CG$79),CS$3&lt;YEAR($X77),0,CS$3=YEAR($X77),DATEDIF($X77,DATE(CS$3,12,31),"m")*$Y77,AND(CS$3&gt;YEAR($X77),CS$3-YEAR($X77)&lt;20),$Y77*12,CS$3-YEAR($X77)=20,DATEDIF(DATE(YEAR($X77),1,1),$X77,"m")*$Y77,CS$3-YEAR($X77)&gt;20,0)</f>
        <v>3672</v>
      </c>
      <c r="CT77" s="202" cm="1">
        <f t="array" ref="CT77">_xlfn.IFS(CT$3&lt;=YEAR($B$2),SUMPRODUCT(($E$4:$E$79=$E77)*($Z$2:$CG$2=CT$3)*($Z$2:$CG$2&lt;CU$3)*$Z$4:$CG$79),CT$3&lt;YEAR($X77),0,CT$3=YEAR($X77),DATEDIF($X77,DATE(CT$3,12,31),"m")*$Y77,AND(CT$3&gt;YEAR($X77),CT$3-YEAR($X77)&lt;20),$Y77*12,CT$3-YEAR($X77)=20,DATEDIF(DATE(YEAR($X77),1,1),$X77,"m")*$Y77,CT$3-YEAR($X77)&gt;20,0)</f>
        <v>3672</v>
      </c>
      <c r="CU77" s="202" cm="1">
        <f t="array" ref="CU77">_xlfn.IFS(CU$3&lt;=YEAR($B$2),SUMPRODUCT(($E$4:$E$79=$E77)*($Z$2:$CG$2=CU$3)*($Z$2:$CG$2&lt;CV$3)*$Z$4:$CG$79),CU$3&lt;YEAR($X77),0,CU$3=YEAR($X77),DATEDIF($X77,DATE(CU$3,12,31),"m")*$Y77,AND(CU$3&gt;YEAR($X77),CU$3-YEAR($X77)&lt;20),$Y77*12,CU$3-YEAR($X77)=20,DATEDIF(DATE(YEAR($X77),1,1),$X77,"m")*$Y77,CU$3-YEAR($X77)&gt;20,0)</f>
        <v>3672</v>
      </c>
      <c r="CV77" s="202" cm="1">
        <f t="array" ref="CV77">_xlfn.IFS(CV$3&lt;=YEAR($B$2),SUMPRODUCT(($E$4:$E$79=$E77)*($Z$2:$CG$2=CV$3)*($Z$2:$CG$2&lt;CW$3)*$Z$4:$CG$79),CV$3&lt;YEAR($X77),0,CV$3=YEAR($X77),DATEDIF($X77,DATE(CV$3,12,31),"m")*$Y77,AND(CV$3&gt;YEAR($X77),CV$3-YEAR($X77)&lt;20),$Y77*12,CV$3-YEAR($X77)=20,DATEDIF(DATE(YEAR($X77),1,1),$X77,"m")*$Y77,CV$3-YEAR($X77)&gt;20,0)</f>
        <v>3672</v>
      </c>
      <c r="CW77" s="202" cm="1">
        <f t="array" ref="CW77">_xlfn.IFS(CW$3&lt;=YEAR($B$2),SUMPRODUCT(($E$4:$E$79=$E77)*($Z$2:$CG$2=CW$3)*($Z$2:$CG$2&lt;CX$3)*$Z$4:$CG$79),CW$3&lt;YEAR($X77),0,CW$3=YEAR($X77),DATEDIF($X77,DATE(CW$3,12,31),"m")*$Y77,AND(CW$3&gt;YEAR($X77),CW$3-YEAR($X77)&lt;20),$Y77*12,CW$3-YEAR($X77)=20,DATEDIF(DATE(YEAR($X77),1,1),$X77,"m")*$Y77,CW$3-YEAR($X77)&gt;20,0)</f>
        <v>3672</v>
      </c>
      <c r="CX77" s="202" cm="1">
        <f t="array" ref="CX77">_xlfn.IFS(CX$3&lt;=YEAR($B$2),SUMPRODUCT(($E$4:$E$79=$E77)*($Z$2:$CG$2=CX$3)*($Z$2:$CG$2&lt;CY$3)*$Z$4:$CG$79),CX$3&lt;YEAR($X77),0,CX$3=YEAR($X77),DATEDIF($X77,DATE(CX$3,12,31),"m")*$Y77,AND(CX$3&gt;YEAR($X77),CX$3-YEAR($X77)&lt;20),$Y77*12,CX$3-YEAR($X77)=20,DATEDIF(DATE(YEAR($X77),1,1),$X77,"m")*$Y77,CX$3-YEAR($X77)&gt;20,0)</f>
        <v>3672</v>
      </c>
      <c r="CY77" s="202" cm="1">
        <f t="array" ref="CY77">_xlfn.IFS(CY$3&lt;=YEAR($B$2),SUMPRODUCT(($E$4:$E$79=$E77)*($Z$2:$CG$2=CY$3)*($Z$2:$CG$2&lt;CZ$3)*$Z$4:$CG$79),CY$3&lt;YEAR($X77),0,CY$3=YEAR($X77),DATEDIF($X77,DATE(CY$3,12,31),"m")*$Y77,AND(CY$3&gt;YEAR($X77),CY$3-YEAR($X77)&lt;20),$Y77*12,CY$3-YEAR($X77)=20,DATEDIF(DATE(YEAR($X77),1,1),$X77,"m")*$Y77,CY$3-YEAR($X77)&gt;20,0)</f>
        <v>3672</v>
      </c>
      <c r="CZ77" s="202" cm="1">
        <f t="array" ref="CZ77">_xlfn.IFS(CZ$3&lt;=YEAR($B$2),SUMPRODUCT(($E$4:$E$79=$E77)*($Z$2:$CG$2=CZ$3)*($Z$2:$CG$2&lt;DA$3)*$Z$4:$CG$79),CZ$3&lt;YEAR($X77),0,CZ$3=YEAR($X77),DATEDIF($X77,DATE(CZ$3,12,31),"m")*$Y77,AND(CZ$3&gt;YEAR($X77),CZ$3-YEAR($X77)&lt;20),$Y77*12,CZ$3-YEAR($X77)=20,DATEDIF(DATE(YEAR($X77),1,1),$X77,"m")*$Y77,CZ$3-YEAR($X77)&gt;20,0)</f>
        <v>3672</v>
      </c>
      <c r="DA77" s="202" cm="1">
        <f t="array" ref="DA77">_xlfn.IFS(DA$3&lt;=YEAR($B$2),SUMPRODUCT(($E$4:$E$79=$E77)*($Z$2:$CG$2=DA$3)*($Z$2:$CG$2&lt;DB$3)*$Z$4:$CG$79),DA$3&lt;YEAR($X77),0,DA$3=YEAR($X77),DATEDIF($X77,DATE(DA$3,12,31),"m")*$Y77,AND(DA$3&gt;YEAR($X77),DA$3-YEAR($X77)&lt;20),$Y77*12,DA$3-YEAR($X77)=20,DATEDIF(DATE(YEAR($X77),1,1),$X77,"m")*$Y77,DA$3-YEAR($X77)&gt;20,0)</f>
        <v>3672</v>
      </c>
      <c r="DB77" s="202" cm="1">
        <f t="array" ref="DB77">_xlfn.IFS(DB$3&lt;=YEAR($B$2),SUMPRODUCT(($E$4:$E$79=$E77)*($Z$2:$CG$2=DB$3)*($Z$2:$CG$2&lt;DC$3)*$Z$4:$CG$79),DB$3&lt;YEAR($X77),0,DB$3=YEAR($X77),DATEDIF($X77,DATE(DB$3,12,31),"m")*$Y77,AND(DB$3&gt;YEAR($X77),DB$3-YEAR($X77)&lt;20),$Y77*12,DB$3-YEAR($X77)=20,DATEDIF(DATE(YEAR($X77),1,1),$X77,"m")*$Y77,DB$3-YEAR($X77)&gt;20,0)</f>
        <v>3672</v>
      </c>
      <c r="DC77" s="202" cm="1">
        <f t="array" ref="DC77">_xlfn.IFS(DC$3&lt;=YEAR($B$2),SUMPRODUCT(($E$4:$E$79=$E77)*($Z$2:$CG$2=DC$3)*($Z$2:$CG$2&lt;DD$3)*$Z$4:$CG$79),DC$3&lt;YEAR($X77),0,DC$3=YEAR($X77),DATEDIF($X77,DATE(DC$3,12,31),"m")*$Y77,AND(DC$3&gt;YEAR($X77),DC$3-YEAR($X77)&lt;20),$Y77*12,DC$3-YEAR($X77)=20,DATEDIF(DATE(YEAR($X77),1,1),$X77,"m")*$Y77,DC$3-YEAR($X77)&gt;20,0)</f>
        <v>3672</v>
      </c>
      <c r="DD77" s="202" cm="1">
        <f t="array" ref="DD77">_xlfn.IFS(DD$3&lt;=YEAR($B$2),SUMPRODUCT(($E$4:$E$79=$E77)*($Z$2:$CG$2=DD$3)*($Z$2:$CG$2&lt;DE$3)*$Z$4:$CG$79),DD$3&lt;YEAR($X77),0,DD$3=YEAR($X77),DATEDIF($X77,DATE(DD$3,12,31),"m")*$Y77,AND(DD$3&gt;YEAR($X77),DD$3-YEAR($X77)&lt;20),$Y77*12,DD$3-YEAR($X77)=20,DATEDIF(DATE(YEAR($X77),1,1),$X77,"m")*$Y77,DD$3-YEAR($X77)&gt;20,0)</f>
        <v>3672</v>
      </c>
      <c r="DE77" s="202" cm="1">
        <f t="array" ref="DE77">_xlfn.IFS(DE$3&lt;=YEAR($B$2),SUMPRODUCT(($E$4:$E$79=$E77)*($Z$2:$CG$2=DE$3)*($Z$2:$CG$2&lt;DF$3)*$Z$4:$CG$79),DE$3&lt;YEAR($X77),0,DE$3=YEAR($X77),DATEDIF($X77,DATE(DE$3,12,31),"m")*$Y77,AND(DE$3&gt;YEAR($X77),DE$3-YEAR($X77)&lt;20),$Y77*12,DE$3-YEAR($X77)=20,DATEDIF(DATE(YEAR($X77),1,1),$X77,"m")*$Y77,DE$3-YEAR($X77)&gt;20,0)</f>
        <v>3672</v>
      </c>
      <c r="DF77" s="202" cm="1">
        <f t="array" ref="DF77">_xlfn.IFS(DF$3&lt;=YEAR($B$2),SUMPRODUCT(($E$4:$E$79=$E77)*($Z$2:$CG$2=DF$3)*($Z$2:$CG$2&lt;DG$3)*$Z$4:$CG$79),DF$3&lt;YEAR($X77),0,DF$3=YEAR($X77),DATEDIF($X77,DATE(DF$3,12,31),"m")*$Y77,AND(DF$3&gt;YEAR($X77),DF$3-YEAR($X77)&lt;20),$Y77*12,DF$3-YEAR($X77)=20,DATEDIF(DATE(YEAR($X77),1,1),$X77,"m")*$Y77,DF$3-YEAR($X77)&gt;20,0)</f>
        <v>3672</v>
      </c>
      <c r="DG77" s="202" cm="1">
        <f t="array" ref="DG77">_xlfn.IFS(DG$3&lt;=YEAR($B$2),SUMPRODUCT(($E$4:$E$79=$E77)*($Z$2:$CG$2=DG$3)*($Z$2:$CG$2&lt;DH$3)*$Z$4:$CG$79),DG$3&lt;YEAR($X77),0,DG$3=YEAR($X77),DATEDIF($X77,DATE(DG$3,12,31),"m")*$Y77,AND(DG$3&gt;YEAR($X77),DG$3-YEAR($X77)&lt;20),$Y77*12,DG$3-YEAR($X77)=20,DATEDIF(DATE(YEAR($X77),1,1),$X77,"m")*$Y77,DG$3-YEAR($X77)&gt;20,0)</f>
        <v>3672</v>
      </c>
      <c r="DH77" s="202" cm="1">
        <f t="array" ref="DH77">_xlfn.IFS(DH$3&lt;=YEAR($B$2),SUMPRODUCT(($E$4:$E$79=$E77)*($Z$2:$CG$2=DH$3)*($Z$2:$CG$2&lt;DI$3)*$Z$4:$CG$79),DH$3&lt;YEAR($X77),0,DH$3=YEAR($X77),DATEDIF($X77,DATE(DH$3,12,31),"m")*$Y77,AND(DH$3&gt;YEAR($X77),DH$3-YEAR($X77)&lt;20),$Y77*12,DH$3-YEAR($X77)=20,DATEDIF(DATE(YEAR($X77),1,1),$X77,"m")*$Y77,DH$3-YEAR($X77)&gt;20,0)</f>
        <v>3672</v>
      </c>
      <c r="DI77" s="202" cm="1">
        <f t="array" ref="DI77">_xlfn.IFS(DI$3&lt;=YEAR($B$2),SUMPRODUCT(($E$4:$E$79=$E77)*($Z$2:$CG$2=DI$3)*($Z$2:$CG$2&lt;DJ$3)*$Z$4:$CG$79),DI$3&lt;YEAR($X77),0,DI$3=YEAR($X77),DATEDIF($X77,DATE(DI$3,12,31),"m")*$Y77,AND(DI$3&gt;YEAR($X77),DI$3-YEAR($X77)&lt;20),$Y77*12,DI$3-YEAR($X77)=20,DATEDIF(DATE(YEAR($X77),1,1),$X77,"m")*$Y77,DI$3-YEAR($X77)&gt;20,0)</f>
        <v>1224</v>
      </c>
      <c r="DJ77" s="202" cm="1">
        <f t="array" ref="DJ77">_xlfn.IFS(DJ$3&lt;=YEAR($B$2),SUMPRODUCT(($E$4:$E$79=$E77)*($Z$2:$CG$2=DJ$3)*($Z$2:$CG$2&lt;DK$3)*$Z$4:$CG$79),DJ$3&lt;YEAR($X77),0,DJ$3=YEAR($X77),DATEDIF($X77,DATE(DJ$3,12,31),"m")*$Y77,AND(DJ$3&gt;YEAR($X77),DJ$3-YEAR($X77)&lt;20),$Y77*12,DJ$3-YEAR($X77)=20,DATEDIF(DATE(YEAR($X77),1,1),$X77,"m")*$Y77,DJ$3-YEAR($X77)&gt;20,0)</f>
        <v>0</v>
      </c>
      <c r="DK77" s="202" cm="1">
        <f t="array" ref="DK77">_xlfn.IFS(DK$3&lt;=YEAR($B$2),SUMPRODUCT(($E$4:$E$79=$E77)*($Z$2:$CG$2=DK$3)*($Z$2:$CG$2&lt;DL$3)*$Z$4:$CG$79),DK$3&lt;YEAR($X77),0,DK$3=YEAR($X77),DATEDIF($X77,DATE(DK$3,12,31),"m")*$Y77,AND(DK$3&gt;YEAR($X77),DK$3-YEAR($X77)&lt;20),$Y77*12,DK$3-YEAR($X77)=20,DATEDIF(DATE(YEAR($X77),1,1),$X77,"m")*$Y77,DK$3-YEAR($X77)&gt;20,0)</f>
        <v>0</v>
      </c>
      <c r="DL77" s="202" cm="1">
        <f t="array" ref="DL77">_xlfn.IFS(DL$3&lt;=YEAR($B$2),SUMPRODUCT(($E$4:$E$79=$E77)*($Z$2:$CG$2=DL$3)*($Z$2:$CG$2&lt;DM$3)*$Z$4:$CG$79),DL$3&lt;YEAR($X77),0,DL$3=YEAR($X77),DATEDIF($X77,DATE(DL$3,12,31),"m")*$Y77,AND(DL$3&gt;YEAR($X77),DL$3-YEAR($X77)&lt;20),$Y77*12,DL$3-YEAR($X77)=20,DATEDIF(DATE(YEAR($X77),1,1),$X77,"m")*$Y77,DL$3-YEAR($X77)&gt;20,0)</f>
        <v>0</v>
      </c>
    </row>
    <row r="78" spans="1:116">
      <c r="A78" s="155" t="str" cm="1">
        <f t="array" ref="A78">INDEX('Monthly Report July 2025'!C:C,MATCH(E78,'Monthly Report July 2025'!E:E,0),0)</f>
        <v>OCS061</v>
      </c>
      <c r="B78" s="155" t="str" cm="1">
        <f t="array" ref="B78">_xlfn.IFS(LEFT(E78,3)="PGE","PGE",LEFT(E78,2)="PP","PAC",TRUE,"IP")</f>
        <v>PAC</v>
      </c>
      <c r="C78" s="155" t="str">
        <f>IF(ISNA(MATCH(E78,'Monthly Report July 2025'!E:E,0)),"Missing","Present")</f>
        <v>Present</v>
      </c>
      <c r="D78" s="155" t="str">
        <f>IF(ISNA(MATCH(E78,'Project Operational Timelines'!C:C,0))=TRUE,"Missing","Present")</f>
        <v>Present</v>
      </c>
      <c r="E78" s="155" t="s">
        <v>186</v>
      </c>
      <c r="F78" s="155" t="str" cm="1">
        <f t="array" ref="F78">INDEX('Monthly Report July 2025'!F:F,MATCH(E78,'Monthly Report July 2025'!E:E,),0)</f>
        <v>Reservoir Solar LLC</v>
      </c>
      <c r="G78" s="155" t="str" cm="1">
        <f t="array" ref="G78">_xlfn.IFS(INDEX('Monthly Report July 2025'!O:O,MATCH(E78,'Monthly Report July 2025'!E:E,0),0)="Operational","Operational",INDEX('Monthly Report July 2025'!O:O,MATCH(E78,'Monthly Report July 2025'!E:E,0),0)="Certified","Certified",TRUE,"Pre-Certified")</f>
        <v>Pre-Certified</v>
      </c>
      <c r="H78" s="155" t="str" cm="1">
        <f t="array" ref="H78">INDEX('Monthly Report July 2025'!H:H,MATCH($E78,'Monthly Report July 2025'!$E:$E,0),0)</f>
        <v>Hawthorne Renewables LLC</v>
      </c>
      <c r="I78" s="155" t="str" cm="1">
        <f t="array" ref="I78">INDEX('Monthly Report July 2025'!I:I,MATCH($E78,'Monthly Report July 2025'!$E:$E,0),0)</f>
        <v>Hawthorne Renewables LLC</v>
      </c>
      <c r="J78" s="174" cm="1">
        <f t="array" ref="J78">INDEX('Monthly Report July 2025'!J:J,MATCH($E78,'Monthly Report July 2025'!$E:$E,0),0)</f>
        <v>2</v>
      </c>
      <c r="K78" s="174" t="str" cm="1">
        <f t="array" ref="K78">INDEX('Monthly Report July 2025'!K:K,MATCH($E78,'Monthly Report July 2025'!$E:$E,0),0)</f>
        <v>Yes</v>
      </c>
      <c r="L78" s="174" t="b" cm="1">
        <f t="array" ref="L78">INDEX('Monthly Report July 2025'!L:L,MATCH(E78,'Monthly Report July 2025'!E:E,0),0)=M78</f>
        <v>1</v>
      </c>
      <c r="M78" s="273" cm="1">
        <f t="array" ref="M78">INDEX('Monthly Report July 2025'!L:L,MATCH($E78,'Monthly Report July 2025'!$E:$E,0),0)</f>
        <v>875</v>
      </c>
      <c r="N78" s="175" cm="1">
        <f t="array" ref="N78">INDEX('Monthly Report July 2025'!M:M,MATCH($E78,'Monthly Report July 2025'!$E:$E,0),0)</f>
        <v>45619</v>
      </c>
      <c r="O78" s="175" cm="1">
        <f t="array" ref="O78">_xlfn.IFS(G78="Operational","Operational",G78="Certified","Certified",TRUE,INDEX('Monthly Report July 2025'!O:O,MATCH(E78,'Monthly Report July 2025'!E:E,0),0))</f>
        <v>46165</v>
      </c>
      <c r="Q78" s="175" t="str" cm="1">
        <f t="array" ref="Q78">IF(O78="Operational",INDEX('Monthly Report July 2025'!R:R,MATCH(E78,'Monthly Report July 2025'!E:E,0),0),"")</f>
        <v/>
      </c>
      <c r="R78" s="175" t="str" cm="1">
        <f t="array" ref="R78">INDEX('Monthly Report July 2025'!P:P,MATCH(E78,'Monthly Report July 2025'!E:E,0),0)</f>
        <v>Not Yet Certified</v>
      </c>
      <c r="T78" s="175" cm="1">
        <f t="array" ref="T78">INDEX('Monthly Report July 2025'!U:U,MATCH(E78,'Monthly Report July 2025'!E:E,0),0)</f>
        <v>46200</v>
      </c>
      <c r="U78" s="175" t="b">
        <f t="shared" si="34"/>
        <v>1</v>
      </c>
      <c r="V78" s="156">
        <f t="shared" si="29"/>
        <v>46165</v>
      </c>
      <c r="W78" s="156" cm="1">
        <f t="array" ref="W78">_xlfn.IFS(U78=TRUE,EDATE(O78,6),U78=FALSE,T78,O78="Operational",Q78,AND(O78="Certified",EDATE(R78,6)&gt;T78),EDATE(R78,6),TRUE,T78)</f>
        <v>46349</v>
      </c>
      <c r="X78" s="156">
        <f t="shared" si="33"/>
        <v>46410</v>
      </c>
      <c r="Y78" s="157">
        <f t="shared" si="35"/>
        <v>334.6875</v>
      </c>
      <c r="Z78" s="202" cm="1">
        <f t="array" ref="Z78">_xlfn.IFS(Z$3&lt;$B$2,SUMPRODUCT(('PA Fees Actual'!$B$5:$B$882=$E78)*('PA Fees Actual'!$A$5:$A$882&gt;=Z$3)*('PA Fees Actual'!$A$5:$A$882&lt;=EOMONTH(Z$3,0))*'PA Fees Actual'!$D$5:$D$882),Z$3&gt;=EOMONTH($X78,-1)+1,$Y78,TRUE,0)</f>
        <v>0</v>
      </c>
      <c r="AA78" s="202" cm="1">
        <f t="array" ref="AA78">_xlfn.IFS(AA$3&lt;$B$2,SUMPRODUCT(('PA Fees Actual'!$B$5:$B$882=$E78)*('PA Fees Actual'!$A$5:$A$882&gt;=AA$3)*('PA Fees Actual'!$A$5:$A$882&lt;=EOMONTH(AA$3,0))*'PA Fees Actual'!$D$5:$D$882),AA$3&gt;=EOMONTH($X78,-1)+1,$Y78,TRUE,0)</f>
        <v>0</v>
      </c>
      <c r="AB78" s="202" cm="1">
        <f t="array" ref="AB78">_xlfn.IFS(AB$3&lt;$B$2,SUMPRODUCT(('PA Fees Actual'!$B$5:$B$882=$E78)*('PA Fees Actual'!$A$5:$A$882&gt;=AB$3)*('PA Fees Actual'!$A$5:$A$882&lt;=EOMONTH(AB$3,0))*'PA Fees Actual'!$D$5:$D$882),AB$3&gt;=EOMONTH($X78,-1)+1,$Y78,TRUE,0)</f>
        <v>0</v>
      </c>
      <c r="AC78" s="202" cm="1">
        <f t="array" ref="AC78">_xlfn.IFS(AC$3&lt;$B$2,SUMPRODUCT(('PA Fees Actual'!$B$5:$B$882=$E78)*('PA Fees Actual'!$A$5:$A$882&gt;=AC$3)*('PA Fees Actual'!$A$5:$A$882&lt;=EOMONTH(AC$3,0))*'PA Fees Actual'!$D$5:$D$882),AC$3&gt;=EOMONTH($X78,-1)+1,$Y78,TRUE,0)</f>
        <v>0</v>
      </c>
      <c r="AD78" s="202" cm="1">
        <f t="array" ref="AD78">_xlfn.IFS(AD$3&lt;$B$2,SUMPRODUCT(('PA Fees Actual'!$B$5:$B$882=$E78)*('PA Fees Actual'!$A$5:$A$882&gt;=AD$3)*('PA Fees Actual'!$A$5:$A$882&lt;=EOMONTH(AD$3,0))*'PA Fees Actual'!$D$5:$D$882),AD$3&gt;=EOMONTH($X78,-1)+1,$Y78,TRUE,0)</f>
        <v>0</v>
      </c>
      <c r="AE78" s="202" cm="1">
        <f t="array" ref="AE78">_xlfn.IFS(AE$3&lt;$B$2,SUMPRODUCT(('PA Fees Actual'!$B$5:$B$882=$E78)*('PA Fees Actual'!$A$5:$A$882&gt;=AE$3)*('PA Fees Actual'!$A$5:$A$882&lt;=EOMONTH(AE$3,0))*'PA Fees Actual'!$D$5:$D$882),AE$3&gt;=EOMONTH($X78,-1)+1,$Y78,TRUE,0)</f>
        <v>0</v>
      </c>
      <c r="AF78" s="202" cm="1">
        <f t="array" ref="AF78">_xlfn.IFS(AF$3&lt;$B$2,SUMPRODUCT(('PA Fees Actual'!$B$5:$B$882=$E78)*('PA Fees Actual'!$A$5:$A$882&gt;=AF$3)*('PA Fees Actual'!$A$5:$A$882&lt;=EOMONTH(AF$3,0))*'PA Fees Actual'!$D$5:$D$882),AF$3&gt;=EOMONTH($X78,-1)+1,$Y78,TRUE,0)</f>
        <v>0</v>
      </c>
      <c r="AG78" s="202" cm="1">
        <f t="array" ref="AG78">_xlfn.IFS(AG$3&lt;$B$2,SUMPRODUCT(('PA Fees Actual'!$B$5:$B$882=$E78)*('PA Fees Actual'!$A$5:$A$882&gt;=AG$3)*('PA Fees Actual'!$A$5:$A$882&lt;=EOMONTH(AG$3,0))*'PA Fees Actual'!$D$5:$D$882),AG$3&gt;=EOMONTH($X78,-1)+1,$Y78,TRUE,0)</f>
        <v>0</v>
      </c>
      <c r="AH78" s="202" cm="1">
        <f t="array" ref="AH78">_xlfn.IFS(AH$3&lt;$B$2,SUMPRODUCT(('PA Fees Actual'!$B$5:$B$882=$E78)*('PA Fees Actual'!$A$5:$A$882&gt;=AH$3)*('PA Fees Actual'!$A$5:$A$882&lt;=EOMONTH(AH$3,0))*'PA Fees Actual'!$D$5:$D$882),AH$3&gt;=EOMONTH($X78,-1)+1,$Y78,TRUE,0)</f>
        <v>0</v>
      </c>
      <c r="AI78" s="202" cm="1">
        <f t="array" ref="AI78">_xlfn.IFS(AI$3&lt;$B$2,SUMPRODUCT(('PA Fees Actual'!$B$5:$B$882=$E78)*('PA Fees Actual'!$A$5:$A$882&gt;=AI$3)*('PA Fees Actual'!$A$5:$A$882&lt;=EOMONTH(AI$3,0))*'PA Fees Actual'!$D$5:$D$882),AI$3&gt;=EOMONTH($X78,-1)+1,$Y78,TRUE,0)</f>
        <v>0</v>
      </c>
      <c r="AJ78" s="202" cm="1">
        <f t="array" ref="AJ78">_xlfn.IFS(AJ$3&lt;$B$2,SUMPRODUCT(('PA Fees Actual'!$B$5:$B$882=$E78)*('PA Fees Actual'!$A$5:$A$882&gt;=AJ$3)*('PA Fees Actual'!$A$5:$A$882&lt;=EOMONTH(AJ$3,0))*'PA Fees Actual'!$D$5:$D$882),AJ$3&gt;=EOMONTH($X78,-1)+1,$Y78,TRUE,0)</f>
        <v>0</v>
      </c>
      <c r="AK78" s="202" cm="1">
        <f t="array" ref="AK78">_xlfn.IFS(AK$3&lt;$B$2,SUMPRODUCT(('PA Fees Actual'!$B$5:$B$882=$E78)*('PA Fees Actual'!$A$5:$A$882&gt;=AK$3)*('PA Fees Actual'!$A$5:$A$882&lt;=EOMONTH(AK$3,0))*'PA Fees Actual'!$D$5:$D$882),AK$3&gt;=EOMONTH($X78,-1)+1,$Y78,TRUE,0)</f>
        <v>0</v>
      </c>
      <c r="AL78" s="202" cm="1">
        <f t="array" ref="AL78">_xlfn.IFS(AL$3&lt;$B$2,SUMPRODUCT(('PA Fees Actual'!$B$5:$B$882=$E78)*('PA Fees Actual'!$A$5:$A$882&gt;=AL$3)*('PA Fees Actual'!$A$5:$A$882&lt;=EOMONTH(AL$3,0))*'PA Fees Actual'!$D$5:$D$882),AL$3&gt;=EOMONTH($X78,-1)+1,$Y78,TRUE,0)</f>
        <v>0</v>
      </c>
      <c r="AM78" s="202" cm="1">
        <f t="array" ref="AM78">_xlfn.IFS(AM$3&lt;$B$2,SUMPRODUCT(('PA Fees Actual'!$B$5:$B$882=$E78)*('PA Fees Actual'!$A$5:$A$882&gt;=AM$3)*('PA Fees Actual'!$A$5:$A$882&lt;=EOMONTH(AM$3,0))*'PA Fees Actual'!$D$5:$D$882),AM$3&gt;=EOMONTH($X78,-1)+1,$Y78,TRUE,0)</f>
        <v>0</v>
      </c>
      <c r="AN78" s="202" cm="1">
        <f t="array" ref="AN78">_xlfn.IFS(AN$3&lt;$B$2,SUMPRODUCT(('PA Fees Actual'!$B$5:$B$882=$E78)*('PA Fees Actual'!$A$5:$A$882&gt;=AN$3)*('PA Fees Actual'!$A$5:$A$882&lt;=EOMONTH(AN$3,0))*'PA Fees Actual'!$D$5:$D$882),AN$3&gt;=EOMONTH($X78,-1)+1,$Y78,TRUE,0)</f>
        <v>0</v>
      </c>
      <c r="AO78" s="202" cm="1">
        <f t="array" ref="AO78">_xlfn.IFS(AO$3&lt;$B$2,SUMPRODUCT(('PA Fees Actual'!$B$5:$B$882=$E78)*('PA Fees Actual'!$A$5:$A$882&gt;=AO$3)*('PA Fees Actual'!$A$5:$A$882&lt;=EOMONTH(AO$3,0))*'PA Fees Actual'!$D$5:$D$882),AO$3&gt;=EOMONTH($X78,-1)+1,$Y78,TRUE,0)</f>
        <v>0</v>
      </c>
      <c r="AP78" s="202" cm="1">
        <f t="array" ref="AP78">_xlfn.IFS(AP$3&lt;$B$2,SUMPRODUCT(('PA Fees Actual'!$B$5:$B$882=$E78)*('PA Fees Actual'!$A$5:$A$882&gt;=AP$3)*('PA Fees Actual'!$A$5:$A$882&lt;=EOMONTH(AP$3,0))*'PA Fees Actual'!$D$5:$D$882),AP$3&gt;=EOMONTH($X78,-1)+1,$Y78,TRUE,0)</f>
        <v>0</v>
      </c>
      <c r="AQ78" s="202" cm="1">
        <f t="array" ref="AQ78">_xlfn.IFS(AQ$3&lt;$B$2,SUMPRODUCT(('PA Fees Actual'!$B$5:$B$882=$E78)*('PA Fees Actual'!$A$5:$A$882&gt;=AQ$3)*('PA Fees Actual'!$A$5:$A$882&lt;=EOMONTH(AQ$3,0))*'PA Fees Actual'!$D$5:$D$882),AQ$3&gt;=EOMONTH($X78,-1)+1,$Y78,TRUE,0)</f>
        <v>0</v>
      </c>
      <c r="AR78" s="202" cm="1">
        <f t="array" ref="AR78">_xlfn.IFS(AR$3&lt;$B$2,SUMPRODUCT(('PA Fees Actual'!$B$5:$B$882=$E78)*('PA Fees Actual'!$A$5:$A$882&gt;=AR$3)*('PA Fees Actual'!$A$5:$A$882&lt;=EOMONTH(AR$3,0))*'PA Fees Actual'!$D$5:$D$882),AR$3&gt;=EOMONTH($X78,-1)+1,$Y78,TRUE,0)</f>
        <v>0</v>
      </c>
      <c r="AS78" s="202" cm="1">
        <f t="array" ref="AS78">_xlfn.IFS(AS$3&lt;$B$2,SUMPRODUCT(('PA Fees Actual'!$B$5:$B$882=$E78)*('PA Fees Actual'!$A$5:$A$882&gt;=AS$3)*('PA Fees Actual'!$A$5:$A$882&lt;=EOMONTH(AS$3,0))*'PA Fees Actual'!$D$5:$D$882),AS$3&gt;=EOMONTH($X78,-1)+1,$Y78,TRUE,0)</f>
        <v>0</v>
      </c>
      <c r="AT78" s="202" cm="1">
        <f t="array" ref="AT78">_xlfn.IFS(AT$3&lt;$B$2,SUMPRODUCT(('PA Fees Actual'!$B$5:$B$882=$E78)*('PA Fees Actual'!$A$5:$A$882&gt;=AT$3)*('PA Fees Actual'!$A$5:$A$882&lt;=EOMONTH(AT$3,0))*'PA Fees Actual'!$D$5:$D$882),AT$3&gt;=EOMONTH($X78,-1)+1,$Y78,TRUE,0)</f>
        <v>0</v>
      </c>
      <c r="AU78" s="202" cm="1">
        <f t="array" ref="AU78">_xlfn.IFS(AU$3&lt;$B$2,SUMPRODUCT(('PA Fees Actual'!$B$5:$B$882=$E78)*('PA Fees Actual'!$A$5:$A$882&gt;=AU$3)*('PA Fees Actual'!$A$5:$A$882&lt;=EOMONTH(AU$3,0))*'PA Fees Actual'!$D$5:$D$882),AU$3&gt;=EOMONTH($X78,-1)+1,$Y78,TRUE,0)</f>
        <v>0</v>
      </c>
      <c r="AV78" s="202" cm="1">
        <f t="array" ref="AV78">_xlfn.IFS(AV$3&lt;$B$2,SUMPRODUCT(('PA Fees Actual'!$B$5:$B$882=$E78)*('PA Fees Actual'!$A$5:$A$882&gt;=AV$3)*('PA Fees Actual'!$A$5:$A$882&lt;=EOMONTH(AV$3,0))*'PA Fees Actual'!$D$5:$D$882),AV$3&gt;=EOMONTH($X78,-1)+1,$Y78,TRUE,0)</f>
        <v>0</v>
      </c>
      <c r="AW78" s="202" cm="1">
        <f t="array" ref="AW78">_xlfn.IFS(AW$3&lt;$B$2,SUMPRODUCT(('PA Fees Actual'!$B$5:$B$882=$E78)*('PA Fees Actual'!$A$5:$A$882&gt;=AW$3)*('PA Fees Actual'!$A$5:$A$882&lt;=EOMONTH(AW$3,0))*'PA Fees Actual'!$D$5:$D$882),AW$3&gt;=EOMONTH($X78,-1)+1,$Y78,TRUE,0)</f>
        <v>0</v>
      </c>
      <c r="AX78" s="202" cm="1">
        <f t="array" ref="AX78">_xlfn.IFS(AX$3&lt;$B$2,SUMPRODUCT(('PA Fees Actual'!$B$5:$B$882=$E78)*('PA Fees Actual'!$A$5:$A$882&gt;=AX$3)*('PA Fees Actual'!$A$5:$A$882&lt;=EOMONTH(AX$3,0))*'PA Fees Actual'!$D$5:$D$882),AX$3&gt;=EOMONTH($X78,-1)+1,$Y78,TRUE,0)</f>
        <v>0</v>
      </c>
      <c r="AY78" s="202" cm="1">
        <f t="array" ref="AY78">_xlfn.IFS(AY$3&lt;$B$2,SUMPRODUCT(('PA Fees Actual'!$B$5:$B$882=$E78)*('PA Fees Actual'!$A$5:$A$882&gt;=AY$3)*('PA Fees Actual'!$A$5:$A$882&lt;=EOMONTH(AY$3,0))*'PA Fees Actual'!$D$5:$D$882),AY$3&gt;=EOMONTH($X78,-1)+1,$Y78,TRUE,0)</f>
        <v>0</v>
      </c>
      <c r="AZ78" s="202" cm="1">
        <f t="array" ref="AZ78">_xlfn.IFS(AZ$3&lt;$B$2,SUMPRODUCT(('PA Fees Actual'!$B$5:$B$882=$E78)*('PA Fees Actual'!$A$5:$A$882&gt;=AZ$3)*('PA Fees Actual'!$A$5:$A$882&lt;=EOMONTH(AZ$3,0))*'PA Fees Actual'!$D$5:$D$882),AZ$3&gt;=EOMONTH($X78,-1)+1,$Y78,TRUE,0)</f>
        <v>0</v>
      </c>
      <c r="BA78" s="202" cm="1">
        <f t="array" ref="BA78">_xlfn.IFS(BA$3&lt;$B$2,SUMPRODUCT(('PA Fees Actual'!$B$5:$B$882=$E78)*('PA Fees Actual'!$A$5:$A$882&gt;=BA$3)*('PA Fees Actual'!$A$5:$A$882&lt;=EOMONTH(BA$3,0))*'PA Fees Actual'!$D$5:$D$882),BA$3&gt;=EOMONTH($X78,-1)+1,$Y78,TRUE,0)</f>
        <v>0</v>
      </c>
      <c r="BB78" s="202" cm="1">
        <f t="array" ref="BB78">_xlfn.IFS(BB$3&lt;$B$2,SUMPRODUCT(('PA Fees Actual'!$B$5:$B$882=$E78)*('PA Fees Actual'!$A$5:$A$882&gt;=BB$3)*('PA Fees Actual'!$A$5:$A$882&lt;=EOMONTH(BB$3,0))*'PA Fees Actual'!$D$5:$D$882),BB$3&gt;=EOMONTH($X78,-1)+1,$Y78,TRUE,0)</f>
        <v>0</v>
      </c>
      <c r="BC78" s="202" cm="1">
        <f t="array" ref="BC78">_xlfn.IFS(BC$3&lt;$B$2,SUMPRODUCT(('PA Fees Actual'!$B$5:$B$882=$E78)*('PA Fees Actual'!$A$5:$A$882&gt;=BC$3)*('PA Fees Actual'!$A$5:$A$882&lt;=EOMONTH(BC$3,0))*'PA Fees Actual'!$D$5:$D$882),BC$3&gt;=EOMONTH($X78,-1)+1,$Y78,TRUE,0)</f>
        <v>0</v>
      </c>
      <c r="BD78" s="202" cm="1">
        <f t="array" ref="BD78">_xlfn.IFS(BD$3&lt;$B$2,SUMPRODUCT(('PA Fees Actual'!$B$5:$B$882=$E78)*('PA Fees Actual'!$A$5:$A$882&gt;=BD$3)*('PA Fees Actual'!$A$5:$A$882&lt;=EOMONTH(BD$3,0))*'PA Fees Actual'!$D$5:$D$882),BD$3&gt;=EOMONTH($X78,-1)+1,$Y78,TRUE,0)</f>
        <v>0</v>
      </c>
      <c r="BE78" s="202" cm="1">
        <f t="array" ref="BE78">_xlfn.IFS(BE$3&lt;$B$2,SUMPRODUCT(('PA Fees Actual'!$B$5:$B$882=$E78)*('PA Fees Actual'!$A$5:$A$882&gt;=BE$3)*('PA Fees Actual'!$A$5:$A$882&lt;=EOMONTH(BE$3,0))*'PA Fees Actual'!$D$5:$D$882),BE$3&gt;=EOMONTH($X78,-1)+1,$Y78,TRUE,0)</f>
        <v>0</v>
      </c>
      <c r="BF78" s="202" cm="1">
        <f t="array" ref="BF78">_xlfn.IFS(BF$3&lt;$B$2,SUMPRODUCT(('PA Fees Actual'!$B$5:$B$882=$E78)*('PA Fees Actual'!$A$5:$A$882&gt;=BF$3)*('PA Fees Actual'!$A$5:$A$882&lt;=EOMONTH(BF$3,0))*'PA Fees Actual'!$D$5:$D$882),BF$3&gt;=EOMONTH($X78,-1)+1,$Y78,TRUE,0)</f>
        <v>0</v>
      </c>
      <c r="BG78" s="202" cm="1">
        <f t="array" ref="BG78">_xlfn.IFS(BG$3&lt;$B$2,SUMPRODUCT(('PA Fees Actual'!$B$5:$B$882=$E78)*('PA Fees Actual'!$A$5:$A$882&gt;=BG$3)*('PA Fees Actual'!$A$5:$A$882&lt;=EOMONTH(BG$3,0))*'PA Fees Actual'!$D$5:$D$882),BG$3&gt;=EOMONTH($X78,-1)+1,$Y78,TRUE,0)</f>
        <v>0</v>
      </c>
      <c r="BH78" s="202" cm="1">
        <f t="array" ref="BH78">_xlfn.IFS(BH$3&lt;$B$2,SUMPRODUCT(('PA Fees Actual'!$B$5:$B$882=$E78)*('PA Fees Actual'!$A$5:$A$882&gt;=BH$3)*('PA Fees Actual'!$A$5:$A$882&lt;=EOMONTH(BH$3,0))*'PA Fees Actual'!$D$5:$D$882),BH$3&gt;=EOMONTH($X78,-1)+1,$Y78,TRUE,0)</f>
        <v>0</v>
      </c>
      <c r="BI78" s="202" cm="1">
        <f t="array" ref="BI78">_xlfn.IFS(BI$3&lt;$B$2,SUMPRODUCT(('PA Fees Actual'!$B$5:$B$882=$E78)*('PA Fees Actual'!$A$5:$A$882&gt;=BI$3)*('PA Fees Actual'!$A$5:$A$882&lt;=EOMONTH(BI$3,0))*'PA Fees Actual'!$D$5:$D$882),BI$3&gt;=EOMONTH($X78,-1)+1,$Y78,TRUE,0)</f>
        <v>0</v>
      </c>
      <c r="BJ78" s="202" cm="1">
        <f t="array" ref="BJ78">_xlfn.IFS(BJ$3&lt;$B$2,SUMPRODUCT(('PA Fees Actual'!$B$5:$B$882=$E78)*('PA Fees Actual'!$A$5:$A$882&gt;=BJ$3)*('PA Fees Actual'!$A$5:$A$882&lt;=EOMONTH(BJ$3,0))*'PA Fees Actual'!$D$5:$D$882),BJ$3&gt;=EOMONTH($X78,-1)+1,$Y78,TRUE,0)</f>
        <v>0</v>
      </c>
      <c r="BK78" s="202" cm="1">
        <f t="array" ref="BK78">_xlfn.IFS(BK$3&lt;$B$2,SUMPRODUCT(('PA Fees Actual'!$B$5:$B$882=$E78)*('PA Fees Actual'!$A$5:$A$882&gt;=BK$3)*('PA Fees Actual'!$A$5:$A$882&lt;=EOMONTH(BK$3,0))*'PA Fees Actual'!$D$5:$D$882),BK$3&gt;=EOMONTH($X78,-1)+1,$Y78,TRUE,0)</f>
        <v>0</v>
      </c>
      <c r="BL78" s="202" cm="1">
        <f t="array" ref="BL78">_xlfn.IFS(BL$3&lt;$B$2,SUMPRODUCT(('PA Fees Actual'!$B$5:$B$882=$E78)*('PA Fees Actual'!$A$5:$A$882&gt;=BL$3)*('PA Fees Actual'!$A$5:$A$882&lt;=EOMONTH(BL$3,0))*'PA Fees Actual'!$D$5:$D$882),BL$3&gt;=EOMONTH($X78,-1)+1,$Y78,TRUE,0)</f>
        <v>0</v>
      </c>
      <c r="BM78" s="202" cm="1">
        <f t="array" ref="BM78">_xlfn.IFS(BM$3&lt;$B$2,SUMPRODUCT(('PA Fees Actual'!$B$5:$B$882=$E78)*('PA Fees Actual'!$A$5:$A$882&gt;=BM$3)*('PA Fees Actual'!$A$5:$A$882&lt;=EOMONTH(BM$3,0))*'PA Fees Actual'!$D$5:$D$882),BM$3&gt;=EOMONTH($X78,-1)+1,$Y78,TRUE,0)</f>
        <v>0</v>
      </c>
      <c r="BN78" s="202" cm="1">
        <f t="array" ref="BN78">_xlfn.IFS(BN$3&lt;$B$2,SUMPRODUCT(('PA Fees Actual'!$B$5:$B$882=$E78)*('PA Fees Actual'!$A$5:$A$882&gt;=BN$3)*('PA Fees Actual'!$A$5:$A$882&lt;=EOMONTH(BN$3,0))*'PA Fees Actual'!$D$5:$D$882),BN$3&gt;=EOMONTH($X78,-1)+1,$Y78,TRUE,0)</f>
        <v>0</v>
      </c>
      <c r="BO78" s="202" cm="1">
        <f t="array" ref="BO78">_xlfn.IFS(BO$3&lt;$B$2,SUMPRODUCT(('PA Fees Actual'!$B$5:$B$882=$E78)*('PA Fees Actual'!$A$5:$A$882&gt;=BO$3)*('PA Fees Actual'!$A$5:$A$882&lt;=EOMONTH(BO$3,0))*'PA Fees Actual'!$D$5:$D$882),BO$3&gt;=EOMONTH($X78,-1)+1,$Y78,TRUE,0)</f>
        <v>0</v>
      </c>
      <c r="BP78" s="202" cm="1">
        <f t="array" ref="BP78">_xlfn.IFS(BP$3&lt;$B$2,SUMPRODUCT(('PA Fees Actual'!$B$5:$B$882=$E78)*('PA Fees Actual'!$A$5:$A$882&gt;=BP$3)*('PA Fees Actual'!$A$5:$A$882&lt;=EOMONTH(BP$3,0))*'PA Fees Actual'!$D$5:$D$882),BP$3&gt;=EOMONTH($X78,-1)+1,$Y78,TRUE,0)</f>
        <v>0</v>
      </c>
      <c r="BQ78" s="202" cm="1">
        <f t="array" ref="BQ78">_xlfn.IFS(BQ$3&lt;$B$2,SUMPRODUCT(('PA Fees Actual'!$B$5:$B$882=$E78)*('PA Fees Actual'!$A$5:$A$882&gt;=BQ$3)*('PA Fees Actual'!$A$5:$A$882&lt;=EOMONTH(BQ$3,0))*'PA Fees Actual'!$D$5:$D$882),BQ$3&gt;=EOMONTH($X78,-1)+1,$Y78,TRUE,0)</f>
        <v>0</v>
      </c>
      <c r="BR78" s="202" cm="1">
        <f t="array" ref="BR78">_xlfn.IFS(BR$3&lt;$B$2,SUMPRODUCT(('PA Fees Actual'!$B$5:$B$882=$E78)*('PA Fees Actual'!$A$5:$A$882&gt;=BR$3)*('PA Fees Actual'!$A$5:$A$882&lt;=EOMONTH(BR$3,0))*'PA Fees Actual'!$D$5:$D$882),BR$3&gt;=EOMONTH($X78,-1)+1,$Y78,TRUE,0)</f>
        <v>0</v>
      </c>
      <c r="BS78" s="202" cm="1">
        <f t="array" ref="BS78">_xlfn.IFS(BS$3&lt;$B$2,SUMPRODUCT(('PA Fees Actual'!$B$5:$B$882=$E78)*('PA Fees Actual'!$A$5:$A$882&gt;=BS$3)*('PA Fees Actual'!$A$5:$A$882&lt;=EOMONTH(BS$3,0))*'PA Fees Actual'!$D$5:$D$882),BS$3&gt;=EOMONTH($X78,-1)+1,$Y78,TRUE,0)</f>
        <v>0</v>
      </c>
      <c r="BT78" s="202" cm="1">
        <f t="array" ref="BT78">_xlfn.IFS(BT$3&lt;$B$2,SUMPRODUCT(('PA Fees Actual'!$B$5:$B$882=$E78)*('PA Fees Actual'!$A$5:$A$882&gt;=BT$3)*('PA Fees Actual'!$A$5:$A$882&lt;=EOMONTH(BT$3,0))*'PA Fees Actual'!$D$5:$D$882),BT$3&gt;=EOMONTH($X78,-1)+1,$Y78,TRUE,0)</f>
        <v>0</v>
      </c>
      <c r="BU78" s="202" cm="1">
        <f t="array" ref="BU78">_xlfn.IFS(BU$3&lt;$B$2,SUMPRODUCT(('PA Fees Actual'!$B$5:$B$882=$E78)*('PA Fees Actual'!$A$5:$A$882&gt;=BU$3)*('PA Fees Actual'!$A$5:$A$882&lt;=EOMONTH(BU$3,0))*'PA Fees Actual'!$D$5:$D$882),BU$3&gt;=EOMONTH($X78,-1)+1,$Y78,TRUE,0)</f>
        <v>0</v>
      </c>
      <c r="BV78" s="202" cm="1">
        <f t="array" ref="BV78">_xlfn.IFS(BV$3&lt;$B$2,SUMPRODUCT(('PA Fees Actual'!$B$5:$B$882=$E78)*('PA Fees Actual'!$A$5:$A$882&gt;=BV$3)*('PA Fees Actual'!$A$5:$A$882&lt;=EOMONTH(BV$3,0))*'PA Fees Actual'!$D$5:$D$882),BV$3&gt;=EOMONTH($X78,-1)+1,$Y78,TRUE,0)</f>
        <v>0</v>
      </c>
      <c r="BW78" s="202" cm="1">
        <f t="array" ref="BW78">_xlfn.IFS(BW$3&lt;$B$2,SUMPRODUCT(('PA Fees Actual'!$B$5:$B$882=$E78)*('PA Fees Actual'!$A$5:$A$882&gt;=BW$3)*('PA Fees Actual'!$A$5:$A$882&lt;=EOMONTH(BW$3,0))*'PA Fees Actual'!$D$5:$D$882),BW$3&gt;=EOMONTH($X78,-1)+1,$Y78,TRUE,0)</f>
        <v>0</v>
      </c>
      <c r="BX78" s="202" cm="1">
        <f t="array" ref="BX78">_xlfn.IFS(BX$3&lt;$B$2,SUMPRODUCT(('PA Fees Actual'!$B$5:$B$882=$E78)*('PA Fees Actual'!$A$5:$A$882&gt;=BX$3)*('PA Fees Actual'!$A$5:$A$882&lt;=EOMONTH(BX$3,0))*'PA Fees Actual'!$D$5:$D$882),BX$3&gt;=EOMONTH($X78,-1)+1,$Y78,TRUE,0)</f>
        <v>0</v>
      </c>
      <c r="BY78" s="202" cm="1">
        <f t="array" ref="BY78">_xlfn.IFS(BY$3&lt;$B$2,SUMPRODUCT(('PA Fees Actual'!$B$5:$B$882=$E78)*('PA Fees Actual'!$A$5:$A$882&gt;=BY$3)*('PA Fees Actual'!$A$5:$A$882&lt;=EOMONTH(BY$3,0))*'PA Fees Actual'!$D$5:$D$882),BY$3&gt;=EOMONTH($X78,-1)+1,$Y78,TRUE,0)</f>
        <v>0</v>
      </c>
      <c r="BZ78" s="202" cm="1">
        <f t="array" ref="BZ78">_xlfn.IFS(BZ$3&lt;$B$2,SUMPRODUCT(('PA Fees Actual'!$B$5:$B$882=$E78)*('PA Fees Actual'!$A$5:$A$882&gt;=BZ$3)*('PA Fees Actual'!$A$5:$A$882&lt;=EOMONTH(BZ$3,0))*'PA Fees Actual'!$D$5:$D$882),BZ$3&gt;=EOMONTH($X78,-1)+1,$Y78,TRUE,0)</f>
        <v>0</v>
      </c>
      <c r="CA78" s="202" cm="1">
        <f t="array" ref="CA78">_xlfn.IFS(CA$3&lt;$B$2,SUMPRODUCT(('PA Fees Actual'!$B$5:$B$882=$E78)*('PA Fees Actual'!$A$5:$A$882&gt;=CA$3)*('PA Fees Actual'!$A$5:$A$882&lt;=EOMONTH(CA$3,0))*'PA Fees Actual'!$D$5:$D$882),CA$3&gt;=EOMONTH($X78,-1)+1,$Y78,TRUE,0)</f>
        <v>0</v>
      </c>
      <c r="CB78" s="202" cm="1">
        <f t="array" ref="CB78">_xlfn.IFS(CB$3&lt;$B$2,SUMPRODUCT(('PA Fees Actual'!$B$5:$B$749=$E78)*('PA Fees Actual'!$A$5:$A$749&gt;=CB$3)*('PA Fees Actual'!$A$5:$A$749&lt;=EOMONTH(CB$3,0))*'PA Fees Actual'!$D$5:$D$749),CB$3&gt;=EOMONTH($X78,-1)+1,$Y78,TRUE,0)</f>
        <v>0</v>
      </c>
      <c r="CC78" s="202" cm="1">
        <f t="array" ref="CC78">_xlfn.IFS(CC$3&lt;$B$2,SUMPRODUCT(('PA Fees Actual'!$B$5:$B$749=$E78)*('PA Fees Actual'!$A$5:$A$749&gt;=CC$3)*('PA Fees Actual'!$A$5:$A$749&lt;=EOMONTH(CC$3,0))*'PA Fees Actual'!$D$5:$D$749),CC$3&gt;=EOMONTH($X78,-1)+1,$Y78,TRUE,0)</f>
        <v>0</v>
      </c>
      <c r="CD78" s="202" cm="1">
        <f t="array" ref="CD78">_xlfn.IFS(CD$3&lt;$B$2,SUMPRODUCT(('PA Fees Actual'!$B$5:$B$749=$E78)*('PA Fees Actual'!$A$5:$A$749&gt;=CD$3)*('PA Fees Actual'!$A$5:$A$749&lt;=EOMONTH(CD$3,0))*'PA Fees Actual'!$D$5:$D$749),CD$3&gt;=EOMONTH($X78,-1)+1,$Y78,TRUE,0)</f>
        <v>0</v>
      </c>
      <c r="CE78" s="202" cm="1">
        <f t="array" ref="CE78">_xlfn.IFS(CE$3&lt;$B$2,SUMPRODUCT(('PA Fees Actual'!$B$5:$B$749=$E78)*('PA Fees Actual'!$A$5:$A$749&gt;=CE$3)*('PA Fees Actual'!$A$5:$A$749&lt;=EOMONTH(CE$3,0))*'PA Fees Actual'!$D$5:$D$749),CE$3&gt;=EOMONTH($X78,-1)+1,$Y78,TRUE,0)</f>
        <v>0</v>
      </c>
      <c r="CF78" s="202" cm="1">
        <f t="array" ref="CF78">_xlfn.IFS(CF$3&lt;$B$2,SUMPRODUCT(('PA Fees Actual'!$B$5:$B$749=$E78)*('PA Fees Actual'!$A$5:$A$749&gt;=CF$3)*('PA Fees Actual'!$A$5:$A$749&lt;=EOMONTH(CF$3,0))*'PA Fees Actual'!$D$5:$D$749),CF$3&gt;=EOMONTH($X78,-1)+1,$Y78,TRUE,0)</f>
        <v>0</v>
      </c>
      <c r="CG78" s="202" cm="1">
        <f t="array" ref="CG78">_xlfn.IFS(CG$3&lt;$B$2,SUMPRODUCT(('PA Fees Actual'!$B$5:$B$749=$E78)*('PA Fees Actual'!$A$5:$A$749&gt;=CG$3)*('PA Fees Actual'!$A$5:$A$749&lt;=EOMONTH(CG$3,0))*'PA Fees Actual'!$D$5:$D$749),CG$3&gt;=EOMONTH($X78,-1)+1,$Y78,TRUE,0)</f>
        <v>0</v>
      </c>
      <c r="CI78" s="202" cm="1">
        <f t="array" ref="CI78">_xlfn.IFS(CI$3&lt;=YEAR($B$2),SUMPRODUCT(($E$4:$E$79=$E78)*($Z$2:$CG$2=CI$3)*($Z$2:$CG$2&lt;CJ$3)*$Z$4:$CG$79),CI$3&lt;YEAR($X78),0,CI$3=YEAR($X78),DATEDIF($X78,DATE(CI$3,12,31),"m")*$Y78,AND(CI$3&gt;YEAR($X78),CI$3-YEAR($X78)&lt;20),$Y78*12,CI$3-YEAR($X78)=20,DATEDIF(DATE(YEAR($X78),1,1),$X78,"m")*$Y78,CI$3-YEAR($X78)&gt;20,0)</f>
        <v>0</v>
      </c>
      <c r="CJ78" s="202" cm="1">
        <f t="array" ref="CJ78">_xlfn.IFS(CJ$3&lt;=YEAR($B$2),SUMPRODUCT(($E$4:$E$79=$E78)*($Z$2:$CG$2=CJ$3)*($Z$2:$CG$2&lt;CK$3)*$Z$4:$CG$79),CJ$3&lt;YEAR($X78),0,CJ$3=YEAR($X78),DATEDIF($X78,DATE(CJ$3,12,31),"m")*$Y78,AND(CJ$3&gt;YEAR($X78),CJ$3-YEAR($X78)&lt;20),$Y78*12,CJ$3-YEAR($X78)=20,DATEDIF(DATE(YEAR($X78),1,1),$X78,"m")*$Y78,CJ$3-YEAR($X78)&gt;20,0)</f>
        <v>0</v>
      </c>
      <c r="CK78" s="202" cm="1">
        <f t="array" ref="CK78">_xlfn.IFS(CK$3&lt;=YEAR($B$2),SUMPRODUCT(($E$4:$E$79=$E78)*($Z$2:$CG$2=CK$3)*($Z$2:$CG$2&lt;CL$3)*$Z$4:$CG$79),CK$3&lt;YEAR($X78),0,CK$3=YEAR($X78),DATEDIF($X78,DATE(CK$3,12,31),"m")*$Y78,AND(CK$3&gt;YEAR($X78),CK$3-YEAR($X78)&lt;20),$Y78*12,CK$3-YEAR($X78)=20,DATEDIF(DATE(YEAR($X78),1,1),$X78,"m")*$Y78,CK$3-YEAR($X78)&gt;20,0)</f>
        <v>0</v>
      </c>
      <c r="CL78" s="202" cm="1">
        <f t="array" ref="CL78">_xlfn.IFS(CL$3&lt;=YEAR($B$2),SUMPRODUCT(($E$4:$E$79=$E78)*($Z$2:$CG$2=CL$3)*($Z$2:$CG$2&lt;CM$3)*$Z$4:$CG$79),CL$3&lt;YEAR($X78),0,CL$3=YEAR($X78),DATEDIF($X78,DATE(CL$3,12,31),"m")*$Y78,AND(CL$3&gt;YEAR($X78),CL$3-YEAR($X78)&lt;20),$Y78*12,CL$3-YEAR($X78)=20,DATEDIF(DATE(YEAR($X78),1,1),$X78,"m")*$Y78,CL$3-YEAR($X78)&gt;20,0)</f>
        <v>0</v>
      </c>
      <c r="CM78" s="202" cm="1">
        <f t="array" ref="CM78">_xlfn.IFS(CM$3&lt;=YEAR($B$2),SUMPRODUCT(($E$4:$E$79=$E78)*($Z$2:$CG$2=CM$3)*($Z$2:$CG$2&lt;CN$3)*$Z$4:$CG$79),CM$3&lt;YEAR($X78),0,CM$3=YEAR($X78),DATEDIF($X78,DATE(CM$3,12,31),"m")*$Y78,AND(CM$3&gt;YEAR($X78),CM$3-YEAR($X78)&lt;20),$Y78*12,CM$3-YEAR($X78)=20,DATEDIF(DATE(YEAR($X78),1,1),$X78,"m")*$Y78,CM$3-YEAR($X78)&gt;20,0)</f>
        <v>0</v>
      </c>
      <c r="CN78" s="202" cm="1">
        <f t="array" ref="CN78">_xlfn.IFS(CN$3&lt;=YEAR($B$2),SUMPRODUCT(($E$4:$E$79=$E78)*($Z$2:$CG$2=CN$3)*($Z$2:$CG$2&lt;CO$3)*$Z$4:$CG$79),CN$3&lt;YEAR($X78),0,CN$3=YEAR($X78),DATEDIF($X78,DATE(CN$3,12,31),"m")*$Y78,AND(CN$3&gt;YEAR($X78),CN$3-YEAR($X78)&lt;20),$Y78*12,CN$3-YEAR($X78)=20,DATEDIF(DATE(YEAR($X78),1,1),$X78,"m")*$Y78,CN$3-YEAR($X78)&gt;20,0)</f>
        <v>0</v>
      </c>
      <c r="CO78" s="202" cm="1">
        <f t="array" ref="CO78">_xlfn.IFS(CO$3&lt;=YEAR($B$2),SUMPRODUCT(($E$4:$E$79=$E78)*($Z$2:$CG$2=CO$3)*($Z$2:$CG$2&lt;CP$3)*$Z$4:$CG$79),CO$3&lt;YEAR($X78),0,CO$3=YEAR($X78),DATEDIF($X78,DATE(CO$3,12,31),"m")*$Y78,AND(CO$3&gt;YEAR($X78),CO$3-YEAR($X78)&lt;20),$Y78*12,CO$3-YEAR($X78)=20,DATEDIF(DATE(YEAR($X78),1,1),$X78,"m")*$Y78,CO$3-YEAR($X78)&gt;20,0)</f>
        <v>3681.5625</v>
      </c>
      <c r="CP78" s="202" cm="1">
        <f t="array" ref="CP78">_xlfn.IFS(CP$3&lt;=YEAR($B$2),SUMPRODUCT(($E$4:$E$79=$E78)*($Z$2:$CG$2=CP$3)*($Z$2:$CG$2&lt;CQ$3)*$Z$4:$CG$79),CP$3&lt;YEAR($X78),0,CP$3=YEAR($X78),DATEDIF($X78,DATE(CP$3,12,31),"m")*$Y78,AND(CP$3&gt;YEAR($X78),CP$3-YEAR($X78)&lt;20),$Y78*12,CP$3-YEAR($X78)=20,DATEDIF(DATE(YEAR($X78),1,1),$X78,"m")*$Y78,CP$3-YEAR($X78)&gt;20,0)</f>
        <v>4016.25</v>
      </c>
      <c r="CQ78" s="202" cm="1">
        <f t="array" ref="CQ78">_xlfn.IFS(CQ$3&lt;=YEAR($B$2),SUMPRODUCT(($E$4:$E$79=$E78)*($Z$2:$CG$2=CQ$3)*($Z$2:$CG$2&lt;CR$3)*$Z$4:$CG$79),CQ$3&lt;YEAR($X78),0,CQ$3=YEAR($X78),DATEDIF($X78,DATE(CQ$3,12,31),"m")*$Y78,AND(CQ$3&gt;YEAR($X78),CQ$3-YEAR($X78)&lt;20),$Y78*12,CQ$3-YEAR($X78)=20,DATEDIF(DATE(YEAR($X78),1,1),$X78,"m")*$Y78,CQ$3-YEAR($X78)&gt;20,0)</f>
        <v>4016.25</v>
      </c>
      <c r="CR78" s="202" cm="1">
        <f t="array" ref="CR78">_xlfn.IFS(CR$3&lt;=YEAR($B$2),SUMPRODUCT(($E$4:$E$79=$E78)*($Z$2:$CG$2=CR$3)*($Z$2:$CG$2&lt;CS$3)*$Z$4:$CG$79),CR$3&lt;YEAR($X78),0,CR$3=YEAR($X78),DATEDIF($X78,DATE(CR$3,12,31),"m")*$Y78,AND(CR$3&gt;YEAR($X78),CR$3-YEAR($X78)&lt;20),$Y78*12,CR$3-YEAR($X78)=20,DATEDIF(DATE(YEAR($X78),1,1),$X78,"m")*$Y78,CR$3-YEAR($X78)&gt;20,0)</f>
        <v>4016.25</v>
      </c>
      <c r="CS78" s="202" cm="1">
        <f t="array" ref="CS78">_xlfn.IFS(CS$3&lt;=YEAR($B$2),SUMPRODUCT(($E$4:$E$79=$E78)*($Z$2:$CG$2=CS$3)*($Z$2:$CG$2&lt;CT$3)*$Z$4:$CG$79),CS$3&lt;YEAR($X78),0,CS$3=YEAR($X78),DATEDIF($X78,DATE(CS$3,12,31),"m")*$Y78,AND(CS$3&gt;YEAR($X78),CS$3-YEAR($X78)&lt;20),$Y78*12,CS$3-YEAR($X78)=20,DATEDIF(DATE(YEAR($X78),1,1),$X78,"m")*$Y78,CS$3-YEAR($X78)&gt;20,0)</f>
        <v>4016.25</v>
      </c>
      <c r="CT78" s="202" cm="1">
        <f t="array" ref="CT78">_xlfn.IFS(CT$3&lt;=YEAR($B$2),SUMPRODUCT(($E$4:$E$79=$E78)*($Z$2:$CG$2=CT$3)*($Z$2:$CG$2&lt;CU$3)*$Z$4:$CG$79),CT$3&lt;YEAR($X78),0,CT$3=YEAR($X78),DATEDIF($X78,DATE(CT$3,12,31),"m")*$Y78,AND(CT$3&gt;YEAR($X78),CT$3-YEAR($X78)&lt;20),$Y78*12,CT$3-YEAR($X78)=20,DATEDIF(DATE(YEAR($X78),1,1),$X78,"m")*$Y78,CT$3-YEAR($X78)&gt;20,0)</f>
        <v>4016.25</v>
      </c>
      <c r="CU78" s="202" cm="1">
        <f t="array" ref="CU78">_xlfn.IFS(CU$3&lt;=YEAR($B$2),SUMPRODUCT(($E$4:$E$79=$E78)*($Z$2:$CG$2=CU$3)*($Z$2:$CG$2&lt;CV$3)*$Z$4:$CG$79),CU$3&lt;YEAR($X78),0,CU$3=YEAR($X78),DATEDIF($X78,DATE(CU$3,12,31),"m")*$Y78,AND(CU$3&gt;YEAR($X78),CU$3-YEAR($X78)&lt;20),$Y78*12,CU$3-YEAR($X78)=20,DATEDIF(DATE(YEAR($X78),1,1),$X78,"m")*$Y78,CU$3-YEAR($X78)&gt;20,0)</f>
        <v>4016.25</v>
      </c>
      <c r="CV78" s="202" cm="1">
        <f t="array" ref="CV78">_xlfn.IFS(CV$3&lt;=YEAR($B$2),SUMPRODUCT(($E$4:$E$79=$E78)*($Z$2:$CG$2=CV$3)*($Z$2:$CG$2&lt;CW$3)*$Z$4:$CG$79),CV$3&lt;YEAR($X78),0,CV$3=YEAR($X78),DATEDIF($X78,DATE(CV$3,12,31),"m")*$Y78,AND(CV$3&gt;YEAR($X78),CV$3-YEAR($X78)&lt;20),$Y78*12,CV$3-YEAR($X78)=20,DATEDIF(DATE(YEAR($X78),1,1),$X78,"m")*$Y78,CV$3-YEAR($X78)&gt;20,0)</f>
        <v>4016.25</v>
      </c>
      <c r="CW78" s="202" cm="1">
        <f t="array" ref="CW78">_xlfn.IFS(CW$3&lt;=YEAR($B$2),SUMPRODUCT(($E$4:$E$79=$E78)*($Z$2:$CG$2=CW$3)*($Z$2:$CG$2&lt;CX$3)*$Z$4:$CG$79),CW$3&lt;YEAR($X78),0,CW$3=YEAR($X78),DATEDIF($X78,DATE(CW$3,12,31),"m")*$Y78,AND(CW$3&gt;YEAR($X78),CW$3-YEAR($X78)&lt;20),$Y78*12,CW$3-YEAR($X78)=20,DATEDIF(DATE(YEAR($X78),1,1),$X78,"m")*$Y78,CW$3-YEAR($X78)&gt;20,0)</f>
        <v>4016.25</v>
      </c>
      <c r="CX78" s="202" cm="1">
        <f t="array" ref="CX78">_xlfn.IFS(CX$3&lt;=YEAR($B$2),SUMPRODUCT(($E$4:$E$79=$E78)*($Z$2:$CG$2=CX$3)*($Z$2:$CG$2&lt;CY$3)*$Z$4:$CG$79),CX$3&lt;YEAR($X78),0,CX$3=YEAR($X78),DATEDIF($X78,DATE(CX$3,12,31),"m")*$Y78,AND(CX$3&gt;YEAR($X78),CX$3-YEAR($X78)&lt;20),$Y78*12,CX$3-YEAR($X78)=20,DATEDIF(DATE(YEAR($X78),1,1),$X78,"m")*$Y78,CX$3-YEAR($X78)&gt;20,0)</f>
        <v>4016.25</v>
      </c>
      <c r="CY78" s="202" cm="1">
        <f t="array" ref="CY78">_xlfn.IFS(CY$3&lt;=YEAR($B$2),SUMPRODUCT(($E$4:$E$79=$E78)*($Z$2:$CG$2=CY$3)*($Z$2:$CG$2&lt;CZ$3)*$Z$4:$CG$79),CY$3&lt;YEAR($X78),0,CY$3=YEAR($X78),DATEDIF($X78,DATE(CY$3,12,31),"m")*$Y78,AND(CY$3&gt;YEAR($X78),CY$3-YEAR($X78)&lt;20),$Y78*12,CY$3-YEAR($X78)=20,DATEDIF(DATE(YEAR($X78),1,1),$X78,"m")*$Y78,CY$3-YEAR($X78)&gt;20,0)</f>
        <v>4016.25</v>
      </c>
      <c r="CZ78" s="202" cm="1">
        <f t="array" ref="CZ78">_xlfn.IFS(CZ$3&lt;=YEAR($B$2),SUMPRODUCT(($E$4:$E$79=$E78)*($Z$2:$CG$2=CZ$3)*($Z$2:$CG$2&lt;DA$3)*$Z$4:$CG$79),CZ$3&lt;YEAR($X78),0,CZ$3=YEAR($X78),DATEDIF($X78,DATE(CZ$3,12,31),"m")*$Y78,AND(CZ$3&gt;YEAR($X78),CZ$3-YEAR($X78)&lt;20),$Y78*12,CZ$3-YEAR($X78)=20,DATEDIF(DATE(YEAR($X78),1,1),$X78,"m")*$Y78,CZ$3-YEAR($X78)&gt;20,0)</f>
        <v>4016.25</v>
      </c>
      <c r="DA78" s="202" cm="1">
        <f t="array" ref="DA78">_xlfn.IFS(DA$3&lt;=YEAR($B$2),SUMPRODUCT(($E$4:$E$79=$E78)*($Z$2:$CG$2=DA$3)*($Z$2:$CG$2&lt;DB$3)*$Z$4:$CG$79),DA$3&lt;YEAR($X78),0,DA$3=YEAR($X78),DATEDIF($X78,DATE(DA$3,12,31),"m")*$Y78,AND(DA$3&gt;YEAR($X78),DA$3-YEAR($X78)&lt;20),$Y78*12,DA$3-YEAR($X78)=20,DATEDIF(DATE(YEAR($X78),1,1),$X78,"m")*$Y78,DA$3-YEAR($X78)&gt;20,0)</f>
        <v>4016.25</v>
      </c>
      <c r="DB78" s="202" cm="1">
        <f t="array" ref="DB78">_xlfn.IFS(DB$3&lt;=YEAR($B$2),SUMPRODUCT(($E$4:$E$79=$E78)*($Z$2:$CG$2=DB$3)*($Z$2:$CG$2&lt;DC$3)*$Z$4:$CG$79),DB$3&lt;YEAR($X78),0,DB$3=YEAR($X78),DATEDIF($X78,DATE(DB$3,12,31),"m")*$Y78,AND(DB$3&gt;YEAR($X78),DB$3-YEAR($X78)&lt;20),$Y78*12,DB$3-YEAR($X78)=20,DATEDIF(DATE(YEAR($X78),1,1),$X78,"m")*$Y78,DB$3-YEAR($X78)&gt;20,0)</f>
        <v>4016.25</v>
      </c>
      <c r="DC78" s="202" cm="1">
        <f t="array" ref="DC78">_xlfn.IFS(DC$3&lt;=YEAR($B$2),SUMPRODUCT(($E$4:$E$79=$E78)*($Z$2:$CG$2=DC$3)*($Z$2:$CG$2&lt;DD$3)*$Z$4:$CG$79),DC$3&lt;YEAR($X78),0,DC$3=YEAR($X78),DATEDIF($X78,DATE(DC$3,12,31),"m")*$Y78,AND(DC$3&gt;YEAR($X78),DC$3-YEAR($X78)&lt;20),$Y78*12,DC$3-YEAR($X78)=20,DATEDIF(DATE(YEAR($X78),1,1),$X78,"m")*$Y78,DC$3-YEAR($X78)&gt;20,0)</f>
        <v>4016.25</v>
      </c>
      <c r="DD78" s="202" cm="1">
        <f t="array" ref="DD78">_xlfn.IFS(DD$3&lt;=YEAR($B$2),SUMPRODUCT(($E$4:$E$79=$E78)*($Z$2:$CG$2=DD$3)*($Z$2:$CG$2&lt;DE$3)*$Z$4:$CG$79),DD$3&lt;YEAR($X78),0,DD$3=YEAR($X78),DATEDIF($X78,DATE(DD$3,12,31),"m")*$Y78,AND(DD$3&gt;YEAR($X78),DD$3-YEAR($X78)&lt;20),$Y78*12,DD$3-YEAR($X78)=20,DATEDIF(DATE(YEAR($X78),1,1),$X78,"m")*$Y78,DD$3-YEAR($X78)&gt;20,0)</f>
        <v>4016.25</v>
      </c>
      <c r="DE78" s="202" cm="1">
        <f t="array" ref="DE78">_xlfn.IFS(DE$3&lt;=YEAR($B$2),SUMPRODUCT(($E$4:$E$79=$E78)*($Z$2:$CG$2=DE$3)*($Z$2:$CG$2&lt;DF$3)*$Z$4:$CG$79),DE$3&lt;YEAR($X78),0,DE$3=YEAR($X78),DATEDIF($X78,DATE(DE$3,12,31),"m")*$Y78,AND(DE$3&gt;YEAR($X78),DE$3-YEAR($X78)&lt;20),$Y78*12,DE$3-YEAR($X78)=20,DATEDIF(DATE(YEAR($X78),1,1),$X78,"m")*$Y78,DE$3-YEAR($X78)&gt;20,0)</f>
        <v>4016.25</v>
      </c>
      <c r="DF78" s="202" cm="1">
        <f t="array" ref="DF78">_xlfn.IFS(DF$3&lt;=YEAR($B$2),SUMPRODUCT(($E$4:$E$79=$E78)*($Z$2:$CG$2=DF$3)*($Z$2:$CG$2&lt;DG$3)*$Z$4:$CG$79),DF$3&lt;YEAR($X78),0,DF$3=YEAR($X78),DATEDIF($X78,DATE(DF$3,12,31),"m")*$Y78,AND(DF$3&gt;YEAR($X78),DF$3-YEAR($X78)&lt;20),$Y78*12,DF$3-YEAR($X78)=20,DATEDIF(DATE(YEAR($X78),1,1),$X78,"m")*$Y78,DF$3-YEAR($X78)&gt;20,0)</f>
        <v>4016.25</v>
      </c>
      <c r="DG78" s="202" cm="1">
        <f t="array" ref="DG78">_xlfn.IFS(DG$3&lt;=YEAR($B$2),SUMPRODUCT(($E$4:$E$79=$E78)*($Z$2:$CG$2=DG$3)*($Z$2:$CG$2&lt;DH$3)*$Z$4:$CG$79),DG$3&lt;YEAR($X78),0,DG$3=YEAR($X78),DATEDIF($X78,DATE(DG$3,12,31),"m")*$Y78,AND(DG$3&gt;YEAR($X78),DG$3-YEAR($X78)&lt;20),$Y78*12,DG$3-YEAR($X78)=20,DATEDIF(DATE(YEAR($X78),1,1),$X78,"m")*$Y78,DG$3-YEAR($X78)&gt;20,0)</f>
        <v>4016.25</v>
      </c>
      <c r="DH78" s="202" cm="1">
        <f t="array" ref="DH78">_xlfn.IFS(DH$3&lt;=YEAR($B$2),SUMPRODUCT(($E$4:$E$79=$E78)*($Z$2:$CG$2=DH$3)*($Z$2:$CG$2&lt;DI$3)*$Z$4:$CG$79),DH$3&lt;YEAR($X78),0,DH$3=YEAR($X78),DATEDIF($X78,DATE(DH$3,12,31),"m")*$Y78,AND(DH$3&gt;YEAR($X78),DH$3-YEAR($X78)&lt;20),$Y78*12,DH$3-YEAR($X78)=20,DATEDIF(DATE(YEAR($X78),1,1),$X78,"m")*$Y78,DH$3-YEAR($X78)&gt;20,0)</f>
        <v>4016.25</v>
      </c>
      <c r="DI78" s="202" cm="1">
        <f t="array" ref="DI78">_xlfn.IFS(DI$3&lt;=YEAR($B$2),SUMPRODUCT(($E$4:$E$79=$E78)*($Z$2:$CG$2=DI$3)*($Z$2:$CG$2&lt;DJ$3)*$Z$4:$CG$79),DI$3&lt;YEAR($X78),0,DI$3=YEAR($X78),DATEDIF($X78,DATE(DI$3,12,31),"m")*$Y78,AND(DI$3&gt;YEAR($X78),DI$3-YEAR($X78)&lt;20),$Y78*12,DI$3-YEAR($X78)=20,DATEDIF(DATE(YEAR($X78),1,1),$X78,"m")*$Y78,DI$3-YEAR($X78)&gt;20,0)</f>
        <v>0</v>
      </c>
      <c r="DJ78" s="202" cm="1">
        <f t="array" ref="DJ78">_xlfn.IFS(DJ$3&lt;=YEAR($B$2),SUMPRODUCT(($E$4:$E$79=$E78)*($Z$2:$CG$2=DJ$3)*($Z$2:$CG$2&lt;DK$3)*$Z$4:$CG$79),DJ$3&lt;YEAR($X78),0,DJ$3=YEAR($X78),DATEDIF($X78,DATE(DJ$3,12,31),"m")*$Y78,AND(DJ$3&gt;YEAR($X78),DJ$3-YEAR($X78)&lt;20),$Y78*12,DJ$3-YEAR($X78)=20,DATEDIF(DATE(YEAR($X78),1,1),$X78,"m")*$Y78,DJ$3-YEAR($X78)&gt;20,0)</f>
        <v>0</v>
      </c>
      <c r="DK78" s="202" cm="1">
        <f t="array" ref="DK78">_xlfn.IFS(DK$3&lt;=YEAR($B$2),SUMPRODUCT(($E$4:$E$79=$E78)*($Z$2:$CG$2=DK$3)*($Z$2:$CG$2&lt;DL$3)*$Z$4:$CG$79),DK$3&lt;YEAR($X78),0,DK$3=YEAR($X78),DATEDIF($X78,DATE(DK$3,12,31),"m")*$Y78,AND(DK$3&gt;YEAR($X78),DK$3-YEAR($X78)&lt;20),$Y78*12,DK$3-YEAR($X78)=20,DATEDIF(DATE(YEAR($X78),1,1),$X78,"m")*$Y78,DK$3-YEAR($X78)&gt;20,0)</f>
        <v>0</v>
      </c>
      <c r="DL78" s="202" cm="1">
        <f t="array" ref="DL78">_xlfn.IFS(DL$3&lt;=YEAR($B$2),SUMPRODUCT(($E$4:$E$79=$E78)*($Z$2:$CG$2=DL$3)*($Z$2:$CG$2&lt;DM$3)*$Z$4:$CG$79),DL$3&lt;YEAR($X78),0,DL$3=YEAR($X78),DATEDIF($X78,DATE(DL$3,12,31),"m")*$Y78,AND(DL$3&gt;YEAR($X78),DL$3-YEAR($X78)&lt;20),$Y78*12,DL$3-YEAR($X78)=20,DATEDIF(DATE(YEAR($X78),1,1),$X78,"m")*$Y78,DL$3-YEAR($X78)&gt;20,0)</f>
        <v>0</v>
      </c>
    </row>
    <row r="79" spans="1:116">
      <c r="A79" s="155" t="str" cm="1">
        <f t="array" ref="A79">INDEX('Monthly Report July 2025'!C:C,MATCH(E79,'Monthly Report July 2025'!E:E,0),0)</f>
        <v>CSQ0013</v>
      </c>
      <c r="B79" s="155" t="str" cm="1">
        <f t="array" ref="B79">_xlfn.IFS(LEFT(E79,3)="PGE","PGE",LEFT(E79,2)="PP","PAC",TRUE,"IP")</f>
        <v>PGE</v>
      </c>
      <c r="C79" s="155" t="str">
        <f>IF(ISNA(MATCH(E79,'Monthly Report July 2025'!E:E,0)),"Missing","Present")</f>
        <v>Present</v>
      </c>
      <c r="D79" s="155" t="str">
        <f>IF(ISNA(MATCH(E79,'Project Operational Timelines'!C:C,0))=TRUE,"Missing","Present")</f>
        <v>Present</v>
      </c>
      <c r="E79" s="155" t="s">
        <v>187</v>
      </c>
      <c r="F79" s="155" t="str" cm="1">
        <f t="array" ref="F79">INDEX('Monthly Report July 2025'!F:F,MATCH(E79,'Monthly Report July 2025'!E:E,),0)</f>
        <v>Rosa Community Solar</v>
      </c>
      <c r="G79" s="155" t="str" cm="1">
        <f t="array" ref="G79">_xlfn.IFS(INDEX('Monthly Report July 2025'!O:O,MATCH(E79,'Monthly Report July 2025'!E:E,0),0)="Operational","Operational",INDEX('Monthly Report July 2025'!O:O,MATCH(E79,'Monthly Report July 2025'!E:E,0),0)="Certified","Certified",TRUE,"Pre-Certified")</f>
        <v>Pre-Certified</v>
      </c>
      <c r="H79" s="155" t="str" cm="1">
        <f t="array" ref="H79">INDEX('Monthly Report July 2025'!H:H,MATCH($E79,'Monthly Report July 2025'!$E:$E,0),0)</f>
        <v>Oregon Clean Power Cooperative</v>
      </c>
      <c r="I79" s="155" t="str" cm="1">
        <f t="array" ref="I79">INDEX('Monthly Report July 2025'!I:I,MATCH($E79,'Monthly Report July 2025'!$E:$E,0),0)</f>
        <v>Oregon Clean Power Cooperative</v>
      </c>
      <c r="J79" s="174" cm="1">
        <f t="array" ref="J79">INDEX('Monthly Report July 2025'!J:J,MATCH($E79,'Monthly Report July 2025'!$E:$E,0),0)</f>
        <v>2</v>
      </c>
      <c r="K79" s="174" t="str" cm="1">
        <f t="array" ref="K79">INDEX('Monthly Report July 2025'!K:K,MATCH($E79,'Monthly Report July 2025'!$E:$E,0),0)</f>
        <v>Yes</v>
      </c>
      <c r="L79" s="174" t="b" cm="1">
        <f t="array" ref="L79">INDEX('Monthly Report July 2025'!L:L,MATCH(E79,'Monthly Report July 2025'!E:E,0),0)=M79</f>
        <v>1</v>
      </c>
      <c r="M79" s="273" cm="1">
        <f t="array" ref="M79">INDEX('Monthly Report July 2025'!L:L,MATCH($E79,'Monthly Report July 2025'!$E:$E,0),0)</f>
        <v>720</v>
      </c>
      <c r="N79" s="175" cm="1">
        <f t="array" ref="N79">INDEX('Monthly Report July 2025'!M:M,MATCH($E79,'Monthly Report July 2025'!$E:$E,0),0)</f>
        <v>45559</v>
      </c>
      <c r="O79" s="175" cm="1">
        <f t="array" ref="O79">_xlfn.IFS(G79="Operational","Operational",G79="Certified","Certified",TRUE,INDEX('Monthly Report July 2025'!O:O,MATCH(E79,'Monthly Report July 2025'!E:E,0),0))</f>
        <v>46105</v>
      </c>
      <c r="Q79" s="175" t="str" cm="1">
        <f t="array" ref="Q79">IF(O79="Operational",INDEX('Monthly Report July 2025'!R:R,MATCH(E79,'Monthly Report July 2025'!E:E,0),0),"")</f>
        <v/>
      </c>
      <c r="R79" s="175" t="str" cm="1">
        <f t="array" ref="R79">INDEX('Monthly Report July 2025'!P:P,MATCH(E79,'Monthly Report July 2025'!E:E,0),0)</f>
        <v>Not Yet Certified</v>
      </c>
      <c r="T79" s="175" cm="1">
        <f t="array" ref="T79">INDEX('Monthly Report July 2025'!U:U,MATCH(E79,'Monthly Report July 2025'!E:E,0),0)</f>
        <v>45261</v>
      </c>
      <c r="U79" s="175" t="b">
        <f t="shared" si="34"/>
        <v>1</v>
      </c>
      <c r="V79" s="156">
        <f t="shared" si="29"/>
        <v>46105</v>
      </c>
      <c r="W79" s="156" cm="1">
        <f t="array" ref="W79">_xlfn.IFS(U79=TRUE,EDATE(O79,6),U79=FALSE,T79,O79="Operational",Q79,AND(O79="Certified",EDATE(R79,6)&gt;T79),EDATE(R79,6),TRUE,T79)</f>
        <v>46289</v>
      </c>
      <c r="X79" s="156">
        <f t="shared" si="33"/>
        <v>46350</v>
      </c>
      <c r="Y79" s="157">
        <f t="shared" si="35"/>
        <v>275.40000000000003</v>
      </c>
      <c r="Z79" s="202" cm="1">
        <f t="array" ref="Z79">_xlfn.IFS(Z$3&lt;$B$2,SUMPRODUCT(('PA Fees Actual'!$B$5:$B$882=$E79)*('PA Fees Actual'!$A$5:$A$882&gt;=Z$3)*('PA Fees Actual'!$A$5:$A$882&lt;=EOMONTH(Z$3,0))*'PA Fees Actual'!$D$5:$D$882),Z$3&gt;=EOMONTH($X79,-1)+1,$Y79,TRUE,0)</f>
        <v>0</v>
      </c>
      <c r="AA79" s="202" cm="1">
        <f t="array" ref="AA79">_xlfn.IFS(AA$3&lt;$B$2,SUMPRODUCT(('PA Fees Actual'!$B$5:$B$882=$E79)*('PA Fees Actual'!$A$5:$A$882&gt;=AA$3)*('PA Fees Actual'!$A$5:$A$882&lt;=EOMONTH(AA$3,0))*'PA Fees Actual'!$D$5:$D$882),AA$3&gt;=EOMONTH($X79,-1)+1,$Y79,TRUE,0)</f>
        <v>0</v>
      </c>
      <c r="AB79" s="202" cm="1">
        <f t="array" ref="AB79">_xlfn.IFS(AB$3&lt;$B$2,SUMPRODUCT(('PA Fees Actual'!$B$5:$B$882=$E79)*('PA Fees Actual'!$A$5:$A$882&gt;=AB$3)*('PA Fees Actual'!$A$5:$A$882&lt;=EOMONTH(AB$3,0))*'PA Fees Actual'!$D$5:$D$882),AB$3&gt;=EOMONTH($X79,-1)+1,$Y79,TRUE,0)</f>
        <v>0</v>
      </c>
      <c r="AC79" s="202" cm="1">
        <f t="array" ref="AC79">_xlfn.IFS(AC$3&lt;$B$2,SUMPRODUCT(('PA Fees Actual'!$B$5:$B$882=$E79)*('PA Fees Actual'!$A$5:$A$882&gt;=AC$3)*('PA Fees Actual'!$A$5:$A$882&lt;=EOMONTH(AC$3,0))*'PA Fees Actual'!$D$5:$D$882),AC$3&gt;=EOMONTH($X79,-1)+1,$Y79,TRUE,0)</f>
        <v>0</v>
      </c>
      <c r="AD79" s="202" cm="1">
        <f t="array" ref="AD79">_xlfn.IFS(AD$3&lt;$B$2,SUMPRODUCT(('PA Fees Actual'!$B$5:$B$882=$E79)*('PA Fees Actual'!$A$5:$A$882&gt;=AD$3)*('PA Fees Actual'!$A$5:$A$882&lt;=EOMONTH(AD$3,0))*'PA Fees Actual'!$D$5:$D$882),AD$3&gt;=EOMONTH($X79,-1)+1,$Y79,TRUE,0)</f>
        <v>0</v>
      </c>
      <c r="AE79" s="202" cm="1">
        <f t="array" ref="AE79">_xlfn.IFS(AE$3&lt;$B$2,SUMPRODUCT(('PA Fees Actual'!$B$5:$B$882=$E79)*('PA Fees Actual'!$A$5:$A$882&gt;=AE$3)*('PA Fees Actual'!$A$5:$A$882&lt;=EOMONTH(AE$3,0))*'PA Fees Actual'!$D$5:$D$882),AE$3&gt;=EOMONTH($X79,-1)+1,$Y79,TRUE,0)</f>
        <v>0</v>
      </c>
      <c r="AF79" s="202" cm="1">
        <f t="array" ref="AF79">_xlfn.IFS(AF$3&lt;$B$2,SUMPRODUCT(('PA Fees Actual'!$B$5:$B$882=$E79)*('PA Fees Actual'!$A$5:$A$882&gt;=AF$3)*('PA Fees Actual'!$A$5:$A$882&lt;=EOMONTH(AF$3,0))*'PA Fees Actual'!$D$5:$D$882),AF$3&gt;=EOMONTH($X79,-1)+1,$Y79,TRUE,0)</f>
        <v>0</v>
      </c>
      <c r="AG79" s="202" cm="1">
        <f t="array" ref="AG79">_xlfn.IFS(AG$3&lt;$B$2,SUMPRODUCT(('PA Fees Actual'!$B$5:$B$882=$E79)*('PA Fees Actual'!$A$5:$A$882&gt;=AG$3)*('PA Fees Actual'!$A$5:$A$882&lt;=EOMONTH(AG$3,0))*'PA Fees Actual'!$D$5:$D$882),AG$3&gt;=EOMONTH($X79,-1)+1,$Y79,TRUE,0)</f>
        <v>0</v>
      </c>
      <c r="AH79" s="202" cm="1">
        <f t="array" ref="AH79">_xlfn.IFS(AH$3&lt;$B$2,SUMPRODUCT(('PA Fees Actual'!$B$5:$B$882=$E79)*('PA Fees Actual'!$A$5:$A$882&gt;=AH$3)*('PA Fees Actual'!$A$5:$A$882&lt;=EOMONTH(AH$3,0))*'PA Fees Actual'!$D$5:$D$882),AH$3&gt;=EOMONTH($X79,-1)+1,$Y79,TRUE,0)</f>
        <v>0</v>
      </c>
      <c r="AI79" s="202" cm="1">
        <f t="array" ref="AI79">_xlfn.IFS(AI$3&lt;$B$2,SUMPRODUCT(('PA Fees Actual'!$B$5:$B$882=$E79)*('PA Fees Actual'!$A$5:$A$882&gt;=AI$3)*('PA Fees Actual'!$A$5:$A$882&lt;=EOMONTH(AI$3,0))*'PA Fees Actual'!$D$5:$D$882),AI$3&gt;=EOMONTH($X79,-1)+1,$Y79,TRUE,0)</f>
        <v>0</v>
      </c>
      <c r="AJ79" s="202" cm="1">
        <f t="array" ref="AJ79">_xlfn.IFS(AJ$3&lt;$B$2,SUMPRODUCT(('PA Fees Actual'!$B$5:$B$882=$E79)*('PA Fees Actual'!$A$5:$A$882&gt;=AJ$3)*('PA Fees Actual'!$A$5:$A$882&lt;=EOMONTH(AJ$3,0))*'PA Fees Actual'!$D$5:$D$882),AJ$3&gt;=EOMONTH($X79,-1)+1,$Y79,TRUE,0)</f>
        <v>0</v>
      </c>
      <c r="AK79" s="202" cm="1">
        <f t="array" ref="AK79">_xlfn.IFS(AK$3&lt;$B$2,SUMPRODUCT(('PA Fees Actual'!$B$5:$B$882=$E79)*('PA Fees Actual'!$A$5:$A$882&gt;=AK$3)*('PA Fees Actual'!$A$5:$A$882&lt;=EOMONTH(AK$3,0))*'PA Fees Actual'!$D$5:$D$882),AK$3&gt;=EOMONTH($X79,-1)+1,$Y79,TRUE,0)</f>
        <v>0</v>
      </c>
      <c r="AL79" s="202" cm="1">
        <f t="array" ref="AL79">_xlfn.IFS(AL$3&lt;$B$2,SUMPRODUCT(('PA Fees Actual'!$B$5:$B$882=$E79)*('PA Fees Actual'!$A$5:$A$882&gt;=AL$3)*('PA Fees Actual'!$A$5:$A$882&lt;=EOMONTH(AL$3,0))*'PA Fees Actual'!$D$5:$D$882),AL$3&gt;=EOMONTH($X79,-1)+1,$Y79,TRUE,0)</f>
        <v>0</v>
      </c>
      <c r="AM79" s="202" cm="1">
        <f t="array" ref="AM79">_xlfn.IFS(AM$3&lt;$B$2,SUMPRODUCT(('PA Fees Actual'!$B$5:$B$882=$E79)*('PA Fees Actual'!$A$5:$A$882&gt;=AM$3)*('PA Fees Actual'!$A$5:$A$882&lt;=EOMONTH(AM$3,0))*'PA Fees Actual'!$D$5:$D$882),AM$3&gt;=EOMONTH($X79,-1)+1,$Y79,TRUE,0)</f>
        <v>0</v>
      </c>
      <c r="AN79" s="202" cm="1">
        <f t="array" ref="AN79">_xlfn.IFS(AN$3&lt;$B$2,SUMPRODUCT(('PA Fees Actual'!$B$5:$B$882=$E79)*('PA Fees Actual'!$A$5:$A$882&gt;=AN$3)*('PA Fees Actual'!$A$5:$A$882&lt;=EOMONTH(AN$3,0))*'PA Fees Actual'!$D$5:$D$882),AN$3&gt;=EOMONTH($X79,-1)+1,$Y79,TRUE,0)</f>
        <v>0</v>
      </c>
      <c r="AO79" s="202" cm="1">
        <f t="array" ref="AO79">_xlfn.IFS(AO$3&lt;$B$2,SUMPRODUCT(('PA Fees Actual'!$B$5:$B$882=$E79)*('PA Fees Actual'!$A$5:$A$882&gt;=AO$3)*('PA Fees Actual'!$A$5:$A$882&lt;=EOMONTH(AO$3,0))*'PA Fees Actual'!$D$5:$D$882),AO$3&gt;=EOMONTH($X79,-1)+1,$Y79,TRUE,0)</f>
        <v>0</v>
      </c>
      <c r="AP79" s="202" cm="1">
        <f t="array" ref="AP79">_xlfn.IFS(AP$3&lt;$B$2,SUMPRODUCT(('PA Fees Actual'!$B$5:$B$882=$E79)*('PA Fees Actual'!$A$5:$A$882&gt;=AP$3)*('PA Fees Actual'!$A$5:$A$882&lt;=EOMONTH(AP$3,0))*'PA Fees Actual'!$D$5:$D$882),AP$3&gt;=EOMONTH($X79,-1)+1,$Y79,TRUE,0)</f>
        <v>0</v>
      </c>
      <c r="AQ79" s="202" cm="1">
        <f t="array" ref="AQ79">_xlfn.IFS(AQ$3&lt;$B$2,SUMPRODUCT(('PA Fees Actual'!$B$5:$B$882=$E79)*('PA Fees Actual'!$A$5:$A$882&gt;=AQ$3)*('PA Fees Actual'!$A$5:$A$882&lt;=EOMONTH(AQ$3,0))*'PA Fees Actual'!$D$5:$D$882),AQ$3&gt;=EOMONTH($X79,-1)+1,$Y79,TRUE,0)</f>
        <v>0</v>
      </c>
      <c r="AR79" s="202" cm="1">
        <f t="array" ref="AR79">_xlfn.IFS(AR$3&lt;$B$2,SUMPRODUCT(('PA Fees Actual'!$B$5:$B$882=$E79)*('PA Fees Actual'!$A$5:$A$882&gt;=AR$3)*('PA Fees Actual'!$A$5:$A$882&lt;=EOMONTH(AR$3,0))*'PA Fees Actual'!$D$5:$D$882),AR$3&gt;=EOMONTH($X79,-1)+1,$Y79,TRUE,0)</f>
        <v>0</v>
      </c>
      <c r="AS79" s="202" cm="1">
        <f t="array" ref="AS79">_xlfn.IFS(AS$3&lt;$B$2,SUMPRODUCT(('PA Fees Actual'!$B$5:$B$882=$E79)*('PA Fees Actual'!$A$5:$A$882&gt;=AS$3)*('PA Fees Actual'!$A$5:$A$882&lt;=EOMONTH(AS$3,0))*'PA Fees Actual'!$D$5:$D$882),AS$3&gt;=EOMONTH($X79,-1)+1,$Y79,TRUE,0)</f>
        <v>0</v>
      </c>
      <c r="AT79" s="202" cm="1">
        <f t="array" ref="AT79">_xlfn.IFS(AT$3&lt;$B$2,SUMPRODUCT(('PA Fees Actual'!$B$5:$B$882=$E79)*('PA Fees Actual'!$A$5:$A$882&gt;=AT$3)*('PA Fees Actual'!$A$5:$A$882&lt;=EOMONTH(AT$3,0))*'PA Fees Actual'!$D$5:$D$882),AT$3&gt;=EOMONTH($X79,-1)+1,$Y79,TRUE,0)</f>
        <v>0</v>
      </c>
      <c r="AU79" s="202" cm="1">
        <f t="array" ref="AU79">_xlfn.IFS(AU$3&lt;$B$2,SUMPRODUCT(('PA Fees Actual'!$B$5:$B$882=$E79)*('PA Fees Actual'!$A$5:$A$882&gt;=AU$3)*('PA Fees Actual'!$A$5:$A$882&lt;=EOMONTH(AU$3,0))*'PA Fees Actual'!$D$5:$D$882),AU$3&gt;=EOMONTH($X79,-1)+1,$Y79,TRUE,0)</f>
        <v>0</v>
      </c>
      <c r="AV79" s="202" cm="1">
        <f t="array" ref="AV79">_xlfn.IFS(AV$3&lt;$B$2,SUMPRODUCT(('PA Fees Actual'!$B$5:$B$882=$E79)*('PA Fees Actual'!$A$5:$A$882&gt;=AV$3)*('PA Fees Actual'!$A$5:$A$882&lt;=EOMONTH(AV$3,0))*'PA Fees Actual'!$D$5:$D$882),AV$3&gt;=EOMONTH($X79,-1)+1,$Y79,TRUE,0)</f>
        <v>0</v>
      </c>
      <c r="AW79" s="202" cm="1">
        <f t="array" ref="AW79">_xlfn.IFS(AW$3&lt;$B$2,SUMPRODUCT(('PA Fees Actual'!$B$5:$B$882=$E79)*('PA Fees Actual'!$A$5:$A$882&gt;=AW$3)*('PA Fees Actual'!$A$5:$A$882&lt;=EOMONTH(AW$3,0))*'PA Fees Actual'!$D$5:$D$882),AW$3&gt;=EOMONTH($X79,-1)+1,$Y79,TRUE,0)</f>
        <v>0</v>
      </c>
      <c r="AX79" s="202" cm="1">
        <f t="array" ref="AX79">_xlfn.IFS(AX$3&lt;$B$2,SUMPRODUCT(('PA Fees Actual'!$B$5:$B$882=$E79)*('PA Fees Actual'!$A$5:$A$882&gt;=AX$3)*('PA Fees Actual'!$A$5:$A$882&lt;=EOMONTH(AX$3,0))*'PA Fees Actual'!$D$5:$D$882),AX$3&gt;=EOMONTH($X79,-1)+1,$Y79,TRUE,0)</f>
        <v>0</v>
      </c>
      <c r="AY79" s="202" cm="1">
        <f t="array" ref="AY79">_xlfn.IFS(AY$3&lt;$B$2,SUMPRODUCT(('PA Fees Actual'!$B$5:$B$882=$E79)*('PA Fees Actual'!$A$5:$A$882&gt;=AY$3)*('PA Fees Actual'!$A$5:$A$882&lt;=EOMONTH(AY$3,0))*'PA Fees Actual'!$D$5:$D$882),AY$3&gt;=EOMONTH($X79,-1)+1,$Y79,TRUE,0)</f>
        <v>0</v>
      </c>
      <c r="AZ79" s="202" cm="1">
        <f t="array" ref="AZ79">_xlfn.IFS(AZ$3&lt;$B$2,SUMPRODUCT(('PA Fees Actual'!$B$5:$B$882=$E79)*('PA Fees Actual'!$A$5:$A$882&gt;=AZ$3)*('PA Fees Actual'!$A$5:$A$882&lt;=EOMONTH(AZ$3,0))*'PA Fees Actual'!$D$5:$D$882),AZ$3&gt;=EOMONTH($X79,-1)+1,$Y79,TRUE,0)</f>
        <v>0</v>
      </c>
      <c r="BA79" s="202" cm="1">
        <f t="array" ref="BA79">_xlfn.IFS(BA$3&lt;$B$2,SUMPRODUCT(('PA Fees Actual'!$B$5:$B$882=$E79)*('PA Fees Actual'!$A$5:$A$882&gt;=BA$3)*('PA Fees Actual'!$A$5:$A$882&lt;=EOMONTH(BA$3,0))*'PA Fees Actual'!$D$5:$D$882),BA$3&gt;=EOMONTH($X79,-1)+1,$Y79,TRUE,0)</f>
        <v>0</v>
      </c>
      <c r="BB79" s="202" cm="1">
        <f t="array" ref="BB79">_xlfn.IFS(BB$3&lt;$B$2,SUMPRODUCT(('PA Fees Actual'!$B$5:$B$882=$E79)*('PA Fees Actual'!$A$5:$A$882&gt;=BB$3)*('PA Fees Actual'!$A$5:$A$882&lt;=EOMONTH(BB$3,0))*'PA Fees Actual'!$D$5:$D$882),BB$3&gt;=EOMONTH($X79,-1)+1,$Y79,TRUE,0)</f>
        <v>0</v>
      </c>
      <c r="BC79" s="202" cm="1">
        <f t="array" ref="BC79">_xlfn.IFS(BC$3&lt;$B$2,SUMPRODUCT(('PA Fees Actual'!$B$5:$B$882=$E79)*('PA Fees Actual'!$A$5:$A$882&gt;=BC$3)*('PA Fees Actual'!$A$5:$A$882&lt;=EOMONTH(BC$3,0))*'PA Fees Actual'!$D$5:$D$882),BC$3&gt;=EOMONTH($X79,-1)+1,$Y79,TRUE,0)</f>
        <v>0</v>
      </c>
      <c r="BD79" s="202" cm="1">
        <f t="array" ref="BD79">_xlfn.IFS(BD$3&lt;$B$2,SUMPRODUCT(('PA Fees Actual'!$B$5:$B$882=$E79)*('PA Fees Actual'!$A$5:$A$882&gt;=BD$3)*('PA Fees Actual'!$A$5:$A$882&lt;=EOMONTH(BD$3,0))*'PA Fees Actual'!$D$5:$D$882),BD$3&gt;=EOMONTH($X79,-1)+1,$Y79,TRUE,0)</f>
        <v>0</v>
      </c>
      <c r="BE79" s="202" cm="1">
        <f t="array" ref="BE79">_xlfn.IFS(BE$3&lt;$B$2,SUMPRODUCT(('PA Fees Actual'!$B$5:$B$882=$E79)*('PA Fees Actual'!$A$5:$A$882&gt;=BE$3)*('PA Fees Actual'!$A$5:$A$882&lt;=EOMONTH(BE$3,0))*'PA Fees Actual'!$D$5:$D$882),BE$3&gt;=EOMONTH($X79,-1)+1,$Y79,TRUE,0)</f>
        <v>0</v>
      </c>
      <c r="BF79" s="202" cm="1">
        <f t="array" ref="BF79">_xlfn.IFS(BF$3&lt;$B$2,SUMPRODUCT(('PA Fees Actual'!$B$5:$B$882=$E79)*('PA Fees Actual'!$A$5:$A$882&gt;=BF$3)*('PA Fees Actual'!$A$5:$A$882&lt;=EOMONTH(BF$3,0))*'PA Fees Actual'!$D$5:$D$882),BF$3&gt;=EOMONTH($X79,-1)+1,$Y79,TRUE,0)</f>
        <v>0</v>
      </c>
      <c r="BG79" s="202" cm="1">
        <f t="array" ref="BG79">_xlfn.IFS(BG$3&lt;$B$2,SUMPRODUCT(('PA Fees Actual'!$B$5:$B$882=$E79)*('PA Fees Actual'!$A$5:$A$882&gt;=BG$3)*('PA Fees Actual'!$A$5:$A$882&lt;=EOMONTH(BG$3,0))*'PA Fees Actual'!$D$5:$D$882),BG$3&gt;=EOMONTH($X79,-1)+1,$Y79,TRUE,0)</f>
        <v>0</v>
      </c>
      <c r="BH79" s="202" cm="1">
        <f t="array" ref="BH79">_xlfn.IFS(BH$3&lt;$B$2,SUMPRODUCT(('PA Fees Actual'!$B$5:$B$882=$E79)*('PA Fees Actual'!$A$5:$A$882&gt;=BH$3)*('PA Fees Actual'!$A$5:$A$882&lt;=EOMONTH(BH$3,0))*'PA Fees Actual'!$D$5:$D$882),BH$3&gt;=EOMONTH($X79,-1)+1,$Y79,TRUE,0)</f>
        <v>0</v>
      </c>
      <c r="BI79" s="202" cm="1">
        <f t="array" ref="BI79">_xlfn.IFS(BI$3&lt;$B$2,SUMPRODUCT(('PA Fees Actual'!$B$5:$B$882=$E79)*('PA Fees Actual'!$A$5:$A$882&gt;=BI$3)*('PA Fees Actual'!$A$5:$A$882&lt;=EOMONTH(BI$3,0))*'PA Fees Actual'!$D$5:$D$882),BI$3&gt;=EOMONTH($X79,-1)+1,$Y79,TRUE,0)</f>
        <v>0</v>
      </c>
      <c r="BJ79" s="202" cm="1">
        <f t="array" ref="BJ79">_xlfn.IFS(BJ$3&lt;$B$2,SUMPRODUCT(('PA Fees Actual'!$B$5:$B$882=$E79)*('PA Fees Actual'!$A$5:$A$882&gt;=BJ$3)*('PA Fees Actual'!$A$5:$A$882&lt;=EOMONTH(BJ$3,0))*'PA Fees Actual'!$D$5:$D$882),BJ$3&gt;=EOMONTH($X79,-1)+1,$Y79,TRUE,0)</f>
        <v>0</v>
      </c>
      <c r="BK79" s="202" cm="1">
        <f t="array" ref="BK79">_xlfn.IFS(BK$3&lt;$B$2,SUMPRODUCT(('PA Fees Actual'!$B$5:$B$882=$E79)*('PA Fees Actual'!$A$5:$A$882&gt;=BK$3)*('PA Fees Actual'!$A$5:$A$882&lt;=EOMONTH(BK$3,0))*'PA Fees Actual'!$D$5:$D$882),BK$3&gt;=EOMONTH($X79,-1)+1,$Y79,TRUE,0)</f>
        <v>0</v>
      </c>
      <c r="BL79" s="202" cm="1">
        <f t="array" ref="BL79">_xlfn.IFS(BL$3&lt;$B$2,SUMPRODUCT(('PA Fees Actual'!$B$5:$B$882=$E79)*('PA Fees Actual'!$A$5:$A$882&gt;=BL$3)*('PA Fees Actual'!$A$5:$A$882&lt;=EOMONTH(BL$3,0))*'PA Fees Actual'!$D$5:$D$882),BL$3&gt;=EOMONTH($X79,-1)+1,$Y79,TRUE,0)</f>
        <v>0</v>
      </c>
      <c r="BM79" s="202" cm="1">
        <f t="array" ref="BM79">_xlfn.IFS(BM$3&lt;$B$2,SUMPRODUCT(('PA Fees Actual'!$B$5:$B$882=$E79)*('PA Fees Actual'!$A$5:$A$882&gt;=BM$3)*('PA Fees Actual'!$A$5:$A$882&lt;=EOMONTH(BM$3,0))*'PA Fees Actual'!$D$5:$D$882),BM$3&gt;=EOMONTH($X79,-1)+1,$Y79,TRUE,0)</f>
        <v>0</v>
      </c>
      <c r="BN79" s="202" cm="1">
        <f t="array" ref="BN79">_xlfn.IFS(BN$3&lt;$B$2,SUMPRODUCT(('PA Fees Actual'!$B$5:$B$882=$E79)*('PA Fees Actual'!$A$5:$A$882&gt;=BN$3)*('PA Fees Actual'!$A$5:$A$882&lt;=EOMONTH(BN$3,0))*'PA Fees Actual'!$D$5:$D$882),BN$3&gt;=EOMONTH($X79,-1)+1,$Y79,TRUE,0)</f>
        <v>0</v>
      </c>
      <c r="BO79" s="202" cm="1">
        <f t="array" ref="BO79">_xlfn.IFS(BO$3&lt;$B$2,SUMPRODUCT(('PA Fees Actual'!$B$5:$B$882=$E79)*('PA Fees Actual'!$A$5:$A$882&gt;=BO$3)*('PA Fees Actual'!$A$5:$A$882&lt;=EOMONTH(BO$3,0))*'PA Fees Actual'!$D$5:$D$882),BO$3&gt;=EOMONTH($X79,-1)+1,$Y79,TRUE,0)</f>
        <v>0</v>
      </c>
      <c r="BP79" s="202" cm="1">
        <f t="array" ref="BP79">_xlfn.IFS(BP$3&lt;$B$2,SUMPRODUCT(('PA Fees Actual'!$B$5:$B$882=$E79)*('PA Fees Actual'!$A$5:$A$882&gt;=BP$3)*('PA Fees Actual'!$A$5:$A$882&lt;=EOMONTH(BP$3,0))*'PA Fees Actual'!$D$5:$D$882),BP$3&gt;=EOMONTH($X79,-1)+1,$Y79,TRUE,0)</f>
        <v>0</v>
      </c>
      <c r="BQ79" s="202" cm="1">
        <f t="array" ref="BQ79">_xlfn.IFS(BQ$3&lt;$B$2,SUMPRODUCT(('PA Fees Actual'!$B$5:$B$882=$E79)*('PA Fees Actual'!$A$5:$A$882&gt;=BQ$3)*('PA Fees Actual'!$A$5:$A$882&lt;=EOMONTH(BQ$3,0))*'PA Fees Actual'!$D$5:$D$882),BQ$3&gt;=EOMONTH($X79,-1)+1,$Y79,TRUE,0)</f>
        <v>0</v>
      </c>
      <c r="BR79" s="202" cm="1">
        <f t="array" ref="BR79">_xlfn.IFS(BR$3&lt;$B$2,SUMPRODUCT(('PA Fees Actual'!$B$5:$B$882=$E79)*('PA Fees Actual'!$A$5:$A$882&gt;=BR$3)*('PA Fees Actual'!$A$5:$A$882&lt;=EOMONTH(BR$3,0))*'PA Fees Actual'!$D$5:$D$882),BR$3&gt;=EOMONTH($X79,-1)+1,$Y79,TRUE,0)</f>
        <v>0</v>
      </c>
      <c r="BS79" s="202" cm="1">
        <f t="array" ref="BS79">_xlfn.IFS(BS$3&lt;$B$2,SUMPRODUCT(('PA Fees Actual'!$B$5:$B$882=$E79)*('PA Fees Actual'!$A$5:$A$882&gt;=BS$3)*('PA Fees Actual'!$A$5:$A$882&lt;=EOMONTH(BS$3,0))*'PA Fees Actual'!$D$5:$D$882),BS$3&gt;=EOMONTH($X79,-1)+1,$Y79,TRUE,0)</f>
        <v>0</v>
      </c>
      <c r="BT79" s="202" cm="1">
        <f t="array" ref="BT79">_xlfn.IFS(BT$3&lt;$B$2,SUMPRODUCT(('PA Fees Actual'!$B$5:$B$882=$E79)*('PA Fees Actual'!$A$5:$A$882&gt;=BT$3)*('PA Fees Actual'!$A$5:$A$882&lt;=EOMONTH(BT$3,0))*'PA Fees Actual'!$D$5:$D$882),BT$3&gt;=EOMONTH($X79,-1)+1,$Y79,TRUE,0)</f>
        <v>0</v>
      </c>
      <c r="BU79" s="202" cm="1">
        <f t="array" ref="BU79">_xlfn.IFS(BU$3&lt;$B$2,SUMPRODUCT(('PA Fees Actual'!$B$5:$B$882=$E79)*('PA Fees Actual'!$A$5:$A$882&gt;=BU$3)*('PA Fees Actual'!$A$5:$A$882&lt;=EOMONTH(BU$3,0))*'PA Fees Actual'!$D$5:$D$882),BU$3&gt;=EOMONTH($X79,-1)+1,$Y79,TRUE,0)</f>
        <v>0</v>
      </c>
      <c r="BV79" s="202" cm="1">
        <f t="array" ref="BV79">_xlfn.IFS(BV$3&lt;$B$2,SUMPRODUCT(('PA Fees Actual'!$B$5:$B$882=$E79)*('PA Fees Actual'!$A$5:$A$882&gt;=BV$3)*('PA Fees Actual'!$A$5:$A$882&lt;=EOMONTH(BV$3,0))*'PA Fees Actual'!$D$5:$D$882),BV$3&gt;=EOMONTH($X79,-1)+1,$Y79,TRUE,0)</f>
        <v>0</v>
      </c>
      <c r="BW79" s="202" cm="1">
        <f t="array" ref="BW79">_xlfn.IFS(BW$3&lt;$B$2,SUMPRODUCT(('PA Fees Actual'!$B$5:$B$882=$E79)*('PA Fees Actual'!$A$5:$A$882&gt;=BW$3)*('PA Fees Actual'!$A$5:$A$882&lt;=EOMONTH(BW$3,0))*'PA Fees Actual'!$D$5:$D$882),BW$3&gt;=EOMONTH($X79,-1)+1,$Y79,TRUE,0)</f>
        <v>0</v>
      </c>
      <c r="BX79" s="202" cm="1">
        <f t="array" ref="BX79">_xlfn.IFS(BX$3&lt;$B$2,SUMPRODUCT(('PA Fees Actual'!$B$5:$B$882=$E79)*('PA Fees Actual'!$A$5:$A$882&gt;=BX$3)*('PA Fees Actual'!$A$5:$A$882&lt;=EOMONTH(BX$3,0))*'PA Fees Actual'!$D$5:$D$882),BX$3&gt;=EOMONTH($X79,-1)+1,$Y79,TRUE,0)</f>
        <v>0</v>
      </c>
      <c r="BY79" s="202" cm="1">
        <f t="array" ref="BY79">_xlfn.IFS(BY$3&lt;$B$2,SUMPRODUCT(('PA Fees Actual'!$B$5:$B$882=$E79)*('PA Fees Actual'!$A$5:$A$882&gt;=BY$3)*('PA Fees Actual'!$A$5:$A$882&lt;=EOMONTH(BY$3,0))*'PA Fees Actual'!$D$5:$D$882),BY$3&gt;=EOMONTH($X79,-1)+1,$Y79,TRUE,0)</f>
        <v>0</v>
      </c>
      <c r="BZ79" s="202" cm="1">
        <f t="array" ref="BZ79">_xlfn.IFS(BZ$3&lt;$B$2,SUMPRODUCT(('PA Fees Actual'!$B$5:$B$882=$E79)*('PA Fees Actual'!$A$5:$A$882&gt;=BZ$3)*('PA Fees Actual'!$A$5:$A$882&lt;=EOMONTH(BZ$3,0))*'PA Fees Actual'!$D$5:$D$882),BZ$3&gt;=EOMONTH($X79,-1)+1,$Y79,TRUE,0)</f>
        <v>0</v>
      </c>
      <c r="CA79" s="202" cm="1">
        <f t="array" ref="CA79">_xlfn.IFS(CA$3&lt;$B$2,SUMPRODUCT(('PA Fees Actual'!$B$5:$B$882=$E79)*('PA Fees Actual'!$A$5:$A$882&gt;=CA$3)*('PA Fees Actual'!$A$5:$A$882&lt;=EOMONTH(CA$3,0))*'PA Fees Actual'!$D$5:$D$882),CA$3&gt;=EOMONTH($X79,-1)+1,$Y79,TRUE,0)</f>
        <v>0</v>
      </c>
      <c r="CB79" s="202" cm="1">
        <f t="array" ref="CB79">_xlfn.IFS(CB$3&lt;$B$2,SUMPRODUCT(('PA Fees Actual'!$B$5:$B$749=$E79)*('PA Fees Actual'!$A$5:$A$749&gt;=CB$3)*('PA Fees Actual'!$A$5:$A$749&lt;=EOMONTH(CB$3,0))*'PA Fees Actual'!$D$5:$D$749),CB$3&gt;=EOMONTH($X79,-1)+1,$Y79,TRUE,0)</f>
        <v>0</v>
      </c>
      <c r="CC79" s="202" cm="1">
        <f t="array" ref="CC79">_xlfn.IFS(CC$3&lt;$B$2,SUMPRODUCT(('PA Fees Actual'!$B$5:$B$749=$E79)*('PA Fees Actual'!$A$5:$A$749&gt;=CC$3)*('PA Fees Actual'!$A$5:$A$749&lt;=EOMONTH(CC$3,0))*'PA Fees Actual'!$D$5:$D$749),CC$3&gt;=EOMONTH($X79,-1)+1,$Y79,TRUE,0)</f>
        <v>0</v>
      </c>
      <c r="CD79" s="202" cm="1">
        <f t="array" ref="CD79">_xlfn.IFS(CD$3&lt;$B$2,SUMPRODUCT(('PA Fees Actual'!$B$5:$B$749=$E79)*('PA Fees Actual'!$A$5:$A$749&gt;=CD$3)*('PA Fees Actual'!$A$5:$A$749&lt;=EOMONTH(CD$3,0))*'PA Fees Actual'!$D$5:$D$749),CD$3&gt;=EOMONTH($X79,-1)+1,$Y79,TRUE,0)</f>
        <v>0</v>
      </c>
      <c r="CE79" s="202" cm="1">
        <f t="array" ref="CE79">_xlfn.IFS(CE$3&lt;$B$2,SUMPRODUCT(('PA Fees Actual'!$B$5:$B$749=$E79)*('PA Fees Actual'!$A$5:$A$749&gt;=CE$3)*('PA Fees Actual'!$A$5:$A$749&lt;=EOMONTH(CE$3,0))*'PA Fees Actual'!$D$5:$D$749),CE$3&gt;=EOMONTH($X79,-1)+1,$Y79,TRUE,0)</f>
        <v>0</v>
      </c>
      <c r="CF79" s="202" cm="1">
        <f t="array" ref="CF79">_xlfn.IFS(CF$3&lt;$B$2,SUMPRODUCT(('PA Fees Actual'!$B$5:$B$749=$E79)*('PA Fees Actual'!$A$5:$A$749&gt;=CF$3)*('PA Fees Actual'!$A$5:$A$749&lt;=EOMONTH(CF$3,0))*'PA Fees Actual'!$D$5:$D$749),CF$3&gt;=EOMONTH($X79,-1)+1,$Y79,TRUE,0)</f>
        <v>0</v>
      </c>
      <c r="CG79" s="202" cm="1">
        <f t="array" ref="CG79">_xlfn.IFS(CG$3&lt;$B$2,SUMPRODUCT(('PA Fees Actual'!$B$5:$B$749=$E79)*('PA Fees Actual'!$A$5:$A$749&gt;=CG$3)*('PA Fees Actual'!$A$5:$A$749&lt;=EOMONTH(CG$3,0))*'PA Fees Actual'!$D$5:$D$749),CG$3&gt;=EOMONTH($X79,-1)+1,$Y79,TRUE,0)</f>
        <v>0</v>
      </c>
      <c r="CI79" s="202" cm="1">
        <f t="array" ref="CI79">_xlfn.IFS(CI$3&lt;=YEAR($B$2),SUMPRODUCT(($E$4:$E$79=$E79)*($Z$2:$CG$2=CI$3)*($Z$2:$CG$2&lt;CJ$3)*$Z$4:$CG$79),CI$3&lt;YEAR($X79),0,CI$3=YEAR($X79),DATEDIF($X79,DATE(CI$3,12,31),"m")*$Y79,AND(CI$3&gt;YEAR($X79),CI$3-YEAR($X79)&lt;20),$Y79*12,CI$3-YEAR($X79)=20,DATEDIF(DATE(YEAR($X79),1,1),$X79,"m")*$Y79,CI$3-YEAR($X79)&gt;20,0)</f>
        <v>0</v>
      </c>
      <c r="CJ79" s="202" cm="1">
        <f t="array" ref="CJ79">_xlfn.IFS(CJ$3&lt;=YEAR($B$2),SUMPRODUCT(($E$4:$E$79=$E79)*($Z$2:$CG$2=CJ$3)*($Z$2:$CG$2&lt;CK$3)*$Z$4:$CG$79),CJ$3&lt;YEAR($X79),0,CJ$3=YEAR($X79),DATEDIF($X79,DATE(CJ$3,12,31),"m")*$Y79,AND(CJ$3&gt;YEAR($X79),CJ$3-YEAR($X79)&lt;20),$Y79*12,CJ$3-YEAR($X79)=20,DATEDIF(DATE(YEAR($X79),1,1),$X79,"m")*$Y79,CJ$3-YEAR($X79)&gt;20,0)</f>
        <v>0</v>
      </c>
      <c r="CK79" s="202" cm="1">
        <f t="array" ref="CK79">_xlfn.IFS(CK$3&lt;=YEAR($B$2),SUMPRODUCT(($E$4:$E$79=$E79)*($Z$2:$CG$2=CK$3)*($Z$2:$CG$2&lt;CL$3)*$Z$4:$CG$79),CK$3&lt;YEAR($X79),0,CK$3=YEAR($X79),DATEDIF($X79,DATE(CK$3,12,31),"m")*$Y79,AND(CK$3&gt;YEAR($X79),CK$3-YEAR($X79)&lt;20),$Y79*12,CK$3-YEAR($X79)=20,DATEDIF(DATE(YEAR($X79),1,1),$X79,"m")*$Y79,CK$3-YEAR($X79)&gt;20,0)</f>
        <v>0</v>
      </c>
      <c r="CL79" s="202" cm="1">
        <f t="array" ref="CL79">_xlfn.IFS(CL$3&lt;=YEAR($B$2),SUMPRODUCT(($E$4:$E$79=$E79)*($Z$2:$CG$2=CL$3)*($Z$2:$CG$2&lt;CM$3)*$Z$4:$CG$79),CL$3&lt;YEAR($X79),0,CL$3=YEAR($X79),DATEDIF($X79,DATE(CL$3,12,31),"m")*$Y79,AND(CL$3&gt;YEAR($X79),CL$3-YEAR($X79)&lt;20),$Y79*12,CL$3-YEAR($X79)=20,DATEDIF(DATE(YEAR($X79),1,1),$X79,"m")*$Y79,CL$3-YEAR($X79)&gt;20,0)</f>
        <v>0</v>
      </c>
      <c r="CM79" s="202" cm="1">
        <f t="array" ref="CM79">_xlfn.IFS(CM$3&lt;=YEAR($B$2),SUMPRODUCT(($E$4:$E$79=$E79)*($Z$2:$CG$2=CM$3)*($Z$2:$CG$2&lt;CN$3)*$Z$4:$CG$79),CM$3&lt;YEAR($X79),0,CM$3=YEAR($X79),DATEDIF($X79,DATE(CM$3,12,31),"m")*$Y79,AND(CM$3&gt;YEAR($X79),CM$3-YEAR($X79)&lt;20),$Y79*12,CM$3-YEAR($X79)=20,DATEDIF(DATE(YEAR($X79),1,1),$X79,"m")*$Y79,CM$3-YEAR($X79)&gt;20,0)</f>
        <v>0</v>
      </c>
      <c r="CN79" s="202" cm="1">
        <f t="array" ref="CN79">_xlfn.IFS(CN$3&lt;=YEAR($B$2),SUMPRODUCT(($E$4:$E$79=$E79)*($Z$2:$CG$2=CN$3)*($Z$2:$CG$2&lt;CO$3)*$Z$4:$CG$79),CN$3&lt;YEAR($X79),0,CN$3=YEAR($X79),DATEDIF($X79,DATE(CN$3,12,31),"m")*$Y79,AND(CN$3&gt;YEAR($X79),CN$3-YEAR($X79)&lt;20),$Y79*12,CN$3-YEAR($X79)=20,DATEDIF(DATE(YEAR($X79),1,1),$X79,"m")*$Y79,CN$3-YEAR($X79)&gt;20,0)</f>
        <v>275.40000000000003</v>
      </c>
      <c r="CO79" s="202" cm="1">
        <f t="array" ref="CO79">_xlfn.IFS(CO$3&lt;=YEAR($B$2),SUMPRODUCT(($E$4:$E$79=$E79)*($Z$2:$CG$2=CO$3)*($Z$2:$CG$2&lt;CP$3)*$Z$4:$CG$79),CO$3&lt;YEAR($X79),0,CO$3=YEAR($X79),DATEDIF($X79,DATE(CO$3,12,31),"m")*$Y79,AND(CO$3&gt;YEAR($X79),CO$3-YEAR($X79)&lt;20),$Y79*12,CO$3-YEAR($X79)=20,DATEDIF(DATE(YEAR($X79),1,1),$X79,"m")*$Y79,CO$3-YEAR($X79)&gt;20,0)</f>
        <v>3304.8</v>
      </c>
      <c r="CP79" s="202" cm="1">
        <f t="array" ref="CP79">_xlfn.IFS(CP$3&lt;=YEAR($B$2),SUMPRODUCT(($E$4:$E$79=$E79)*($Z$2:$CG$2=CP$3)*($Z$2:$CG$2&lt;CQ$3)*$Z$4:$CG$79),CP$3&lt;YEAR($X79),0,CP$3=YEAR($X79),DATEDIF($X79,DATE(CP$3,12,31),"m")*$Y79,AND(CP$3&gt;YEAR($X79),CP$3-YEAR($X79)&lt;20),$Y79*12,CP$3-YEAR($X79)=20,DATEDIF(DATE(YEAR($X79),1,1),$X79,"m")*$Y79,CP$3-YEAR($X79)&gt;20,0)</f>
        <v>3304.8</v>
      </c>
      <c r="CQ79" s="202" cm="1">
        <f t="array" ref="CQ79">_xlfn.IFS(CQ$3&lt;=YEAR($B$2),SUMPRODUCT(($E$4:$E$79=$E79)*($Z$2:$CG$2=CQ$3)*($Z$2:$CG$2&lt;CR$3)*$Z$4:$CG$79),CQ$3&lt;YEAR($X79),0,CQ$3=YEAR($X79),DATEDIF($X79,DATE(CQ$3,12,31),"m")*$Y79,AND(CQ$3&gt;YEAR($X79),CQ$3-YEAR($X79)&lt;20),$Y79*12,CQ$3-YEAR($X79)=20,DATEDIF(DATE(YEAR($X79),1,1),$X79,"m")*$Y79,CQ$3-YEAR($X79)&gt;20,0)</f>
        <v>3304.8</v>
      </c>
      <c r="CR79" s="202" cm="1">
        <f t="array" ref="CR79">_xlfn.IFS(CR$3&lt;=YEAR($B$2),SUMPRODUCT(($E$4:$E$79=$E79)*($Z$2:$CG$2=CR$3)*($Z$2:$CG$2&lt;CS$3)*$Z$4:$CG$79),CR$3&lt;YEAR($X79),0,CR$3=YEAR($X79),DATEDIF($X79,DATE(CR$3,12,31),"m")*$Y79,AND(CR$3&gt;YEAR($X79),CR$3-YEAR($X79)&lt;20),$Y79*12,CR$3-YEAR($X79)=20,DATEDIF(DATE(YEAR($X79),1,1),$X79,"m")*$Y79,CR$3-YEAR($X79)&gt;20,0)</f>
        <v>3304.8</v>
      </c>
      <c r="CS79" s="202" cm="1">
        <f t="array" ref="CS79">_xlfn.IFS(CS$3&lt;=YEAR($B$2),SUMPRODUCT(($E$4:$E$79=$E79)*($Z$2:$CG$2=CS$3)*($Z$2:$CG$2&lt;CT$3)*$Z$4:$CG$79),CS$3&lt;YEAR($X79),0,CS$3=YEAR($X79),DATEDIF($X79,DATE(CS$3,12,31),"m")*$Y79,AND(CS$3&gt;YEAR($X79),CS$3-YEAR($X79)&lt;20),$Y79*12,CS$3-YEAR($X79)=20,DATEDIF(DATE(YEAR($X79),1,1),$X79,"m")*$Y79,CS$3-YEAR($X79)&gt;20,0)</f>
        <v>3304.8</v>
      </c>
      <c r="CT79" s="202" cm="1">
        <f t="array" ref="CT79">_xlfn.IFS(CT$3&lt;=YEAR($B$2),SUMPRODUCT(($E$4:$E$79=$E79)*($Z$2:$CG$2=CT$3)*($Z$2:$CG$2&lt;CU$3)*$Z$4:$CG$79),CT$3&lt;YEAR($X79),0,CT$3=YEAR($X79),DATEDIF($X79,DATE(CT$3,12,31),"m")*$Y79,AND(CT$3&gt;YEAR($X79),CT$3-YEAR($X79)&lt;20),$Y79*12,CT$3-YEAR($X79)=20,DATEDIF(DATE(YEAR($X79),1,1),$X79,"m")*$Y79,CT$3-YEAR($X79)&gt;20,0)</f>
        <v>3304.8</v>
      </c>
      <c r="CU79" s="202" cm="1">
        <f t="array" ref="CU79">_xlfn.IFS(CU$3&lt;=YEAR($B$2),SUMPRODUCT(($E$4:$E$79=$E79)*($Z$2:$CG$2=CU$3)*($Z$2:$CG$2&lt;CV$3)*$Z$4:$CG$79),CU$3&lt;YEAR($X79),0,CU$3=YEAR($X79),DATEDIF($X79,DATE(CU$3,12,31),"m")*$Y79,AND(CU$3&gt;YEAR($X79),CU$3-YEAR($X79)&lt;20),$Y79*12,CU$3-YEAR($X79)=20,DATEDIF(DATE(YEAR($X79),1,1),$X79,"m")*$Y79,CU$3-YEAR($X79)&gt;20,0)</f>
        <v>3304.8</v>
      </c>
      <c r="CV79" s="202" cm="1">
        <f t="array" ref="CV79">_xlfn.IFS(CV$3&lt;=YEAR($B$2),SUMPRODUCT(($E$4:$E$79=$E79)*($Z$2:$CG$2=CV$3)*($Z$2:$CG$2&lt;CW$3)*$Z$4:$CG$79),CV$3&lt;YEAR($X79),0,CV$3=YEAR($X79),DATEDIF($X79,DATE(CV$3,12,31),"m")*$Y79,AND(CV$3&gt;YEAR($X79),CV$3-YEAR($X79)&lt;20),$Y79*12,CV$3-YEAR($X79)=20,DATEDIF(DATE(YEAR($X79),1,1),$X79,"m")*$Y79,CV$3-YEAR($X79)&gt;20,0)</f>
        <v>3304.8</v>
      </c>
      <c r="CW79" s="202" cm="1">
        <f t="array" ref="CW79">_xlfn.IFS(CW$3&lt;=YEAR($B$2),SUMPRODUCT(($E$4:$E$79=$E79)*($Z$2:$CG$2=CW$3)*($Z$2:$CG$2&lt;CX$3)*$Z$4:$CG$79),CW$3&lt;YEAR($X79),0,CW$3=YEAR($X79),DATEDIF($X79,DATE(CW$3,12,31),"m")*$Y79,AND(CW$3&gt;YEAR($X79),CW$3-YEAR($X79)&lt;20),$Y79*12,CW$3-YEAR($X79)=20,DATEDIF(DATE(YEAR($X79),1,1),$X79,"m")*$Y79,CW$3-YEAR($X79)&gt;20,0)</f>
        <v>3304.8</v>
      </c>
      <c r="CX79" s="202" cm="1">
        <f t="array" ref="CX79">_xlfn.IFS(CX$3&lt;=YEAR($B$2),SUMPRODUCT(($E$4:$E$79=$E79)*($Z$2:$CG$2=CX$3)*($Z$2:$CG$2&lt;CY$3)*$Z$4:$CG$79),CX$3&lt;YEAR($X79),0,CX$3=YEAR($X79),DATEDIF($X79,DATE(CX$3,12,31),"m")*$Y79,AND(CX$3&gt;YEAR($X79),CX$3-YEAR($X79)&lt;20),$Y79*12,CX$3-YEAR($X79)=20,DATEDIF(DATE(YEAR($X79),1,1),$X79,"m")*$Y79,CX$3-YEAR($X79)&gt;20,0)</f>
        <v>3304.8</v>
      </c>
      <c r="CY79" s="202" cm="1">
        <f t="array" ref="CY79">_xlfn.IFS(CY$3&lt;=YEAR($B$2),SUMPRODUCT(($E$4:$E$79=$E79)*($Z$2:$CG$2=CY$3)*($Z$2:$CG$2&lt;CZ$3)*$Z$4:$CG$79),CY$3&lt;YEAR($X79),0,CY$3=YEAR($X79),DATEDIF($X79,DATE(CY$3,12,31),"m")*$Y79,AND(CY$3&gt;YEAR($X79),CY$3-YEAR($X79)&lt;20),$Y79*12,CY$3-YEAR($X79)=20,DATEDIF(DATE(YEAR($X79),1,1),$X79,"m")*$Y79,CY$3-YEAR($X79)&gt;20,0)</f>
        <v>3304.8</v>
      </c>
      <c r="CZ79" s="202" cm="1">
        <f t="array" ref="CZ79">_xlfn.IFS(CZ$3&lt;=YEAR($B$2),SUMPRODUCT(($E$4:$E$79=$E79)*($Z$2:$CG$2=CZ$3)*($Z$2:$CG$2&lt;DA$3)*$Z$4:$CG$79),CZ$3&lt;YEAR($X79),0,CZ$3=YEAR($X79),DATEDIF($X79,DATE(CZ$3,12,31),"m")*$Y79,AND(CZ$3&gt;YEAR($X79),CZ$3-YEAR($X79)&lt;20),$Y79*12,CZ$3-YEAR($X79)=20,DATEDIF(DATE(YEAR($X79),1,1),$X79,"m")*$Y79,CZ$3-YEAR($X79)&gt;20,0)</f>
        <v>3304.8</v>
      </c>
      <c r="DA79" s="202" cm="1">
        <f t="array" ref="DA79">_xlfn.IFS(DA$3&lt;=YEAR($B$2),SUMPRODUCT(($E$4:$E$79=$E79)*($Z$2:$CG$2=DA$3)*($Z$2:$CG$2&lt;DB$3)*$Z$4:$CG$79),DA$3&lt;YEAR($X79),0,DA$3=YEAR($X79),DATEDIF($X79,DATE(DA$3,12,31),"m")*$Y79,AND(DA$3&gt;YEAR($X79),DA$3-YEAR($X79)&lt;20),$Y79*12,DA$3-YEAR($X79)=20,DATEDIF(DATE(YEAR($X79),1,1),$X79,"m")*$Y79,DA$3-YEAR($X79)&gt;20,0)</f>
        <v>3304.8</v>
      </c>
      <c r="DB79" s="202" cm="1">
        <f t="array" ref="DB79">_xlfn.IFS(DB$3&lt;=YEAR($B$2),SUMPRODUCT(($E$4:$E$79=$E79)*($Z$2:$CG$2=DB$3)*($Z$2:$CG$2&lt;DC$3)*$Z$4:$CG$79),DB$3&lt;YEAR($X79),0,DB$3=YEAR($X79),DATEDIF($X79,DATE(DB$3,12,31),"m")*$Y79,AND(DB$3&gt;YEAR($X79),DB$3-YEAR($X79)&lt;20),$Y79*12,DB$3-YEAR($X79)=20,DATEDIF(DATE(YEAR($X79),1,1),$X79,"m")*$Y79,DB$3-YEAR($X79)&gt;20,0)</f>
        <v>3304.8</v>
      </c>
      <c r="DC79" s="202" cm="1">
        <f t="array" ref="DC79">_xlfn.IFS(DC$3&lt;=YEAR($B$2),SUMPRODUCT(($E$4:$E$79=$E79)*($Z$2:$CG$2=DC$3)*($Z$2:$CG$2&lt;DD$3)*$Z$4:$CG$79),DC$3&lt;YEAR($X79),0,DC$3=YEAR($X79),DATEDIF($X79,DATE(DC$3,12,31),"m")*$Y79,AND(DC$3&gt;YEAR($X79),DC$3-YEAR($X79)&lt;20),$Y79*12,DC$3-YEAR($X79)=20,DATEDIF(DATE(YEAR($X79),1,1),$X79,"m")*$Y79,DC$3-YEAR($X79)&gt;20,0)</f>
        <v>3304.8</v>
      </c>
      <c r="DD79" s="202" cm="1">
        <f t="array" ref="DD79">_xlfn.IFS(DD$3&lt;=YEAR($B$2),SUMPRODUCT(($E$4:$E$79=$E79)*($Z$2:$CG$2=DD$3)*($Z$2:$CG$2&lt;DE$3)*$Z$4:$CG$79),DD$3&lt;YEAR($X79),0,DD$3=YEAR($X79),DATEDIF($X79,DATE(DD$3,12,31),"m")*$Y79,AND(DD$3&gt;YEAR($X79),DD$3-YEAR($X79)&lt;20),$Y79*12,DD$3-YEAR($X79)=20,DATEDIF(DATE(YEAR($X79),1,1),$X79,"m")*$Y79,DD$3-YEAR($X79)&gt;20,0)</f>
        <v>3304.8</v>
      </c>
      <c r="DE79" s="202" cm="1">
        <f t="array" ref="DE79">_xlfn.IFS(DE$3&lt;=YEAR($B$2),SUMPRODUCT(($E$4:$E$79=$E79)*($Z$2:$CG$2=DE$3)*($Z$2:$CG$2&lt;DF$3)*$Z$4:$CG$79),DE$3&lt;YEAR($X79),0,DE$3=YEAR($X79),DATEDIF($X79,DATE(DE$3,12,31),"m")*$Y79,AND(DE$3&gt;YEAR($X79),DE$3-YEAR($X79)&lt;20),$Y79*12,DE$3-YEAR($X79)=20,DATEDIF(DATE(YEAR($X79),1,1),$X79,"m")*$Y79,DE$3-YEAR($X79)&gt;20,0)</f>
        <v>3304.8</v>
      </c>
      <c r="DF79" s="202" cm="1">
        <f t="array" ref="DF79">_xlfn.IFS(DF$3&lt;=YEAR($B$2),SUMPRODUCT(($E$4:$E$79=$E79)*($Z$2:$CG$2=DF$3)*($Z$2:$CG$2&lt;DG$3)*$Z$4:$CG$79),DF$3&lt;YEAR($X79),0,DF$3=YEAR($X79),DATEDIF($X79,DATE(DF$3,12,31),"m")*$Y79,AND(DF$3&gt;YEAR($X79),DF$3-YEAR($X79)&lt;20),$Y79*12,DF$3-YEAR($X79)=20,DATEDIF(DATE(YEAR($X79),1,1),$X79,"m")*$Y79,DF$3-YEAR($X79)&gt;20,0)</f>
        <v>3304.8</v>
      </c>
      <c r="DG79" s="202" cm="1">
        <f t="array" ref="DG79">_xlfn.IFS(DG$3&lt;=YEAR($B$2),SUMPRODUCT(($E$4:$E$79=$E79)*($Z$2:$CG$2=DG$3)*($Z$2:$CG$2&lt;DH$3)*$Z$4:$CG$79),DG$3&lt;YEAR($X79),0,DG$3=YEAR($X79),DATEDIF($X79,DATE(DG$3,12,31),"m")*$Y79,AND(DG$3&gt;YEAR($X79),DG$3-YEAR($X79)&lt;20),$Y79*12,DG$3-YEAR($X79)=20,DATEDIF(DATE(YEAR($X79),1,1),$X79,"m")*$Y79,DG$3-YEAR($X79)&gt;20,0)</f>
        <v>3304.8</v>
      </c>
      <c r="DH79" s="202" cm="1">
        <f t="array" ref="DH79">_xlfn.IFS(DH$3&lt;=YEAR($B$2),SUMPRODUCT(($E$4:$E$79=$E79)*($Z$2:$CG$2=DH$3)*($Z$2:$CG$2&lt;DI$3)*$Z$4:$CG$79),DH$3&lt;YEAR($X79),0,DH$3=YEAR($X79),DATEDIF($X79,DATE(DH$3,12,31),"m")*$Y79,AND(DH$3&gt;YEAR($X79),DH$3-YEAR($X79)&lt;20),$Y79*12,DH$3-YEAR($X79)=20,DATEDIF(DATE(YEAR($X79),1,1),$X79,"m")*$Y79,DH$3-YEAR($X79)&gt;20,0)</f>
        <v>2754.0000000000005</v>
      </c>
      <c r="DI79" s="202" cm="1">
        <f t="array" ref="DI79">_xlfn.IFS(DI$3&lt;=YEAR($B$2),SUMPRODUCT(($E$4:$E$79=$E79)*($Z$2:$CG$2=DI$3)*($Z$2:$CG$2&lt;DJ$3)*$Z$4:$CG$79),DI$3&lt;YEAR($X79),0,DI$3=YEAR($X79),DATEDIF($X79,DATE(DI$3,12,31),"m")*$Y79,AND(DI$3&gt;YEAR($X79),DI$3-YEAR($X79)&lt;20),$Y79*12,DI$3-YEAR($X79)=20,DATEDIF(DATE(YEAR($X79),1,1),$X79,"m")*$Y79,DI$3-YEAR($X79)&gt;20,0)</f>
        <v>0</v>
      </c>
      <c r="DJ79" s="202" cm="1">
        <f t="array" ref="DJ79">_xlfn.IFS(DJ$3&lt;=YEAR($B$2),SUMPRODUCT(($E$4:$E$79=$E79)*($Z$2:$CG$2=DJ$3)*($Z$2:$CG$2&lt;DK$3)*$Z$4:$CG$79),DJ$3&lt;YEAR($X79),0,DJ$3=YEAR($X79),DATEDIF($X79,DATE(DJ$3,12,31),"m")*$Y79,AND(DJ$3&gt;YEAR($X79),DJ$3-YEAR($X79)&lt;20),$Y79*12,DJ$3-YEAR($X79)=20,DATEDIF(DATE(YEAR($X79),1,1),$X79,"m")*$Y79,DJ$3-YEAR($X79)&gt;20,0)</f>
        <v>0</v>
      </c>
      <c r="DK79" s="202" cm="1">
        <f t="array" ref="DK79">_xlfn.IFS(DK$3&lt;=YEAR($B$2),SUMPRODUCT(($E$4:$E$79=$E79)*($Z$2:$CG$2=DK$3)*($Z$2:$CG$2&lt;DL$3)*$Z$4:$CG$79),DK$3&lt;YEAR($X79),0,DK$3=YEAR($X79),DATEDIF($X79,DATE(DK$3,12,31),"m")*$Y79,AND(DK$3&gt;YEAR($X79),DK$3-YEAR($X79)&lt;20),$Y79*12,DK$3-YEAR($X79)=20,DATEDIF(DATE(YEAR($X79),1,1),$X79,"m")*$Y79,DK$3-YEAR($X79)&gt;20,0)</f>
        <v>0</v>
      </c>
      <c r="DL79" s="202" cm="1">
        <f t="array" ref="DL79">_xlfn.IFS(DL$3&lt;=YEAR($B$2),SUMPRODUCT(($E$4:$E$79=$E79)*($Z$2:$CG$2=DL$3)*($Z$2:$CG$2&lt;DM$3)*$Z$4:$CG$79),DL$3&lt;YEAR($X79),0,DL$3=YEAR($X79),DATEDIF($X79,DATE(DL$3,12,31),"m")*$Y79,AND(DL$3&gt;YEAR($X79),DL$3-YEAR($X79)&lt;20),$Y79*12,DL$3-YEAR($X79)=20,DATEDIF(DATE(YEAR($X79),1,1),$X79,"m")*$Y79,DL$3-YEAR($X79)&gt;20,0)</f>
        <v>0</v>
      </c>
    </row>
    <row r="80" spans="1:116">
      <c r="A80" s="246" t="s">
        <v>356</v>
      </c>
      <c r="B80" s="155" t="str" cm="1">
        <f t="array" ref="B80">_xlfn.IFS(LEFT(E80,3)="PGE","PGE",LEFT(E80,2)="PP","PAC",TRUE,"IP")</f>
        <v>PGE</v>
      </c>
      <c r="C80" s="155" t="str">
        <f>IF(ISNA(MATCH(E80,'Monthly Report July 2025'!E:E,0)),"Missing","Present")</f>
        <v>Present</v>
      </c>
      <c r="D80" s="155" t="str">
        <f>IF(ISNA(MATCH(E80,'Project Operational Timelines'!C:C,0))=TRUE,"Missing","Present")</f>
        <v>Present</v>
      </c>
      <c r="E80" s="155" t="s">
        <v>188</v>
      </c>
      <c r="F80" s="245" t="s">
        <v>357</v>
      </c>
      <c r="G80" s="155" t="str" cm="1">
        <f t="array" ref="G80">_xlfn.IFS(INDEX('Monthly Report July 2025'!O:O,MATCH(E80,'Monthly Report July 2025'!E:E,0),0)="Operational","Operational",INDEX('Monthly Report July 2025'!O:O,MATCH(E80,'Monthly Report July 2025'!E:E,0),0)="Certified","Certified",TRUE,"Pre-Certified")</f>
        <v>Pre-Certified</v>
      </c>
      <c r="H80" s="245" t="s">
        <v>358</v>
      </c>
      <c r="I80" s="245" t="s">
        <v>359</v>
      </c>
      <c r="J80" s="174" cm="1">
        <f t="array" ref="J80">INDEX('Monthly Report July 2025'!J:J,MATCH($E80,'Monthly Report July 2025'!$E:$E,0),0)</f>
        <v>2</v>
      </c>
      <c r="K80" s="174" t="str" cm="1">
        <f t="array" ref="K80">INDEX('Monthly Report July 2025'!K:K,MATCH($E80,'Monthly Report July 2025'!$E:$E,0),0)</f>
        <v>Yes</v>
      </c>
      <c r="L80" s="174" t="b" cm="1">
        <f t="array" ref="L80">INDEX('Monthly Report July 2025'!L:L,MATCH(E80,'Monthly Report July 2025'!E:E,0),0)=M80</f>
        <v>1</v>
      </c>
      <c r="M80" s="273" cm="1">
        <f t="array" ref="M80">INDEX('Monthly Report July 2025'!L:L,MATCH($E80,'Monthly Report July 2025'!$E:$E,0),0)</f>
        <v>1200</v>
      </c>
      <c r="N80" s="175" cm="1">
        <f t="array" ref="N80">INDEX('Monthly Report July 2025'!M:M,MATCH($E80,'Monthly Report July 2025'!$E:$E,0),0)</f>
        <v>45771</v>
      </c>
      <c r="O80" s="175" cm="1">
        <f t="array" ref="O80">_xlfn.IFS(G80="Operational","Operational",G80="Certified","Certified",TRUE,INDEX('Monthly Report July 2025'!O:O,MATCH(E80,'Monthly Report July 2025'!E:E,0),0))</f>
        <v>46319</v>
      </c>
      <c r="Q80" s="175" t="str" cm="1">
        <f t="array" ref="Q80">IF(O80="Operational",INDEX('Monthly Report July 2025'!R:R,MATCH(E80,'Monthly Report July 2025'!E:E,0),0),"")</f>
        <v/>
      </c>
      <c r="R80" s="175" t="str" cm="1">
        <f t="array" ref="R80">INDEX('Monthly Report July 2025'!P:P,MATCH(E80,'Monthly Report July 2025'!E:E,0),0)</f>
        <v>Not Yet Certified</v>
      </c>
      <c r="T80" s="175" t="str" cm="1">
        <f t="array" ref="T80">INDEX('Monthly Report July 2025'!U:U,MATCH(E80,'Monthly Report July 2025'!E:E,0),0)</f>
        <v>Not Applicable</v>
      </c>
      <c r="U80" s="175" t="b">
        <f t="shared" si="34"/>
        <v>0</v>
      </c>
      <c r="V80" s="156">
        <f t="shared" ref="V80:V83" si="36">IF(OR(O80="Certified",O80="Operational"),R80,O80)</f>
        <v>46319</v>
      </c>
      <c r="W80" s="156" t="str" cm="1">
        <f t="array" ref="W80">_xlfn.IFS(U80=TRUE,EDATE(O80,6),U80=FALSE,T80,O80="Operational",Q80,AND(O80="Certified",EDATE(R80,6)&gt;T80),EDATE(R80,6),TRUE,T80)</f>
        <v>Not Applicable</v>
      </c>
      <c r="X80" s="156">
        <f t="shared" ref="X80:X83" si="37">IFERROR(EDATE(W80,2),EDATE(O80,8))</f>
        <v>46562</v>
      </c>
      <c r="Y80" s="157">
        <f t="shared" si="35"/>
        <v>459</v>
      </c>
      <c r="Z80" s="202" cm="1">
        <f t="array" ref="Z80">_xlfn.IFS(Z$3&lt;$B$2,SUMPRODUCT(('PA Fees Actual'!$B$5:$B$882=$E80)*('PA Fees Actual'!$A$5:$A$882&gt;=Z$3)*('PA Fees Actual'!$A$5:$A$882&lt;=EOMONTH(Z$3,0))*'PA Fees Actual'!$D$5:$D$882),Z$3&gt;=EOMONTH($X80,-1)+1,$Y80,TRUE,0)</f>
        <v>0</v>
      </c>
      <c r="AA80" s="202" cm="1">
        <f t="array" ref="AA80">_xlfn.IFS(AA$3&lt;$B$2,SUMPRODUCT(('PA Fees Actual'!$B$5:$B$882=$E80)*('PA Fees Actual'!$A$5:$A$882&gt;=AA$3)*('PA Fees Actual'!$A$5:$A$882&lt;=EOMONTH(AA$3,0))*'PA Fees Actual'!$D$5:$D$882),AA$3&gt;=EOMONTH($X80,-1)+1,$Y80,TRUE,0)</f>
        <v>0</v>
      </c>
      <c r="AB80" s="202" cm="1">
        <f t="array" ref="AB80">_xlfn.IFS(AB$3&lt;$B$2,SUMPRODUCT(('PA Fees Actual'!$B$5:$B$882=$E80)*('PA Fees Actual'!$A$5:$A$882&gt;=AB$3)*('PA Fees Actual'!$A$5:$A$882&lt;=EOMONTH(AB$3,0))*'PA Fees Actual'!$D$5:$D$882),AB$3&gt;=EOMONTH($X80,-1)+1,$Y80,TRUE,0)</f>
        <v>0</v>
      </c>
      <c r="AC80" s="202" cm="1">
        <f t="array" ref="AC80">_xlfn.IFS(AC$3&lt;$B$2,SUMPRODUCT(('PA Fees Actual'!$B$5:$B$882=$E80)*('PA Fees Actual'!$A$5:$A$882&gt;=AC$3)*('PA Fees Actual'!$A$5:$A$882&lt;=EOMONTH(AC$3,0))*'PA Fees Actual'!$D$5:$D$882),AC$3&gt;=EOMONTH($X80,-1)+1,$Y80,TRUE,0)</f>
        <v>0</v>
      </c>
      <c r="AD80" s="202" cm="1">
        <f t="array" ref="AD80">_xlfn.IFS(AD$3&lt;$B$2,SUMPRODUCT(('PA Fees Actual'!$B$5:$B$882=$E80)*('PA Fees Actual'!$A$5:$A$882&gt;=AD$3)*('PA Fees Actual'!$A$5:$A$882&lt;=EOMONTH(AD$3,0))*'PA Fees Actual'!$D$5:$D$882),AD$3&gt;=EOMONTH($X80,-1)+1,$Y80,TRUE,0)</f>
        <v>0</v>
      </c>
      <c r="AE80" s="202" cm="1">
        <f t="array" ref="AE80">_xlfn.IFS(AE$3&lt;$B$2,SUMPRODUCT(('PA Fees Actual'!$B$5:$B$882=$E80)*('PA Fees Actual'!$A$5:$A$882&gt;=AE$3)*('PA Fees Actual'!$A$5:$A$882&lt;=EOMONTH(AE$3,0))*'PA Fees Actual'!$D$5:$D$882),AE$3&gt;=EOMONTH($X80,-1)+1,$Y80,TRUE,0)</f>
        <v>0</v>
      </c>
      <c r="AF80" s="202" cm="1">
        <f t="array" ref="AF80">_xlfn.IFS(AF$3&lt;$B$2,SUMPRODUCT(('PA Fees Actual'!$B$5:$B$882=$E80)*('PA Fees Actual'!$A$5:$A$882&gt;=AF$3)*('PA Fees Actual'!$A$5:$A$882&lt;=EOMONTH(AF$3,0))*'PA Fees Actual'!$D$5:$D$882),AF$3&gt;=EOMONTH($X80,-1)+1,$Y80,TRUE,0)</f>
        <v>0</v>
      </c>
      <c r="AG80" s="202" cm="1">
        <f t="array" ref="AG80">_xlfn.IFS(AG$3&lt;$B$2,SUMPRODUCT(('PA Fees Actual'!$B$5:$B$882=$E80)*('PA Fees Actual'!$A$5:$A$882&gt;=AG$3)*('PA Fees Actual'!$A$5:$A$882&lt;=EOMONTH(AG$3,0))*'PA Fees Actual'!$D$5:$D$882),AG$3&gt;=EOMONTH($X80,-1)+1,$Y80,TRUE,0)</f>
        <v>0</v>
      </c>
      <c r="AH80" s="202" cm="1">
        <f t="array" ref="AH80">_xlfn.IFS(AH$3&lt;$B$2,SUMPRODUCT(('PA Fees Actual'!$B$5:$B$882=$E80)*('PA Fees Actual'!$A$5:$A$882&gt;=AH$3)*('PA Fees Actual'!$A$5:$A$882&lt;=EOMONTH(AH$3,0))*'PA Fees Actual'!$D$5:$D$882),AH$3&gt;=EOMONTH($X80,-1)+1,$Y80,TRUE,0)</f>
        <v>0</v>
      </c>
      <c r="AI80" s="202" cm="1">
        <f t="array" ref="AI80">_xlfn.IFS(AI$3&lt;$B$2,SUMPRODUCT(('PA Fees Actual'!$B$5:$B$882=$E80)*('PA Fees Actual'!$A$5:$A$882&gt;=AI$3)*('PA Fees Actual'!$A$5:$A$882&lt;=EOMONTH(AI$3,0))*'PA Fees Actual'!$D$5:$D$882),AI$3&gt;=EOMONTH($X80,-1)+1,$Y80,TRUE,0)</f>
        <v>0</v>
      </c>
      <c r="AJ80" s="202" cm="1">
        <f t="array" ref="AJ80">_xlfn.IFS(AJ$3&lt;$B$2,SUMPRODUCT(('PA Fees Actual'!$B$5:$B$882=$E80)*('PA Fees Actual'!$A$5:$A$882&gt;=AJ$3)*('PA Fees Actual'!$A$5:$A$882&lt;=EOMONTH(AJ$3,0))*'PA Fees Actual'!$D$5:$D$882),AJ$3&gt;=EOMONTH($X80,-1)+1,$Y80,TRUE,0)</f>
        <v>0</v>
      </c>
      <c r="AK80" s="202" cm="1">
        <f t="array" ref="AK80">_xlfn.IFS(AK$3&lt;$B$2,SUMPRODUCT(('PA Fees Actual'!$B$5:$B$882=$E80)*('PA Fees Actual'!$A$5:$A$882&gt;=AK$3)*('PA Fees Actual'!$A$5:$A$882&lt;=EOMONTH(AK$3,0))*'PA Fees Actual'!$D$5:$D$882),AK$3&gt;=EOMONTH($X80,-1)+1,$Y80,TRUE,0)</f>
        <v>0</v>
      </c>
      <c r="AL80" s="202" cm="1">
        <f t="array" ref="AL80">_xlfn.IFS(AL$3&lt;$B$2,SUMPRODUCT(('PA Fees Actual'!$B$5:$B$882=$E80)*('PA Fees Actual'!$A$5:$A$882&gt;=AL$3)*('PA Fees Actual'!$A$5:$A$882&lt;=EOMONTH(AL$3,0))*'PA Fees Actual'!$D$5:$D$882),AL$3&gt;=EOMONTH($X80,-1)+1,$Y80,TRUE,0)</f>
        <v>0</v>
      </c>
      <c r="AM80" s="202" cm="1">
        <f t="array" ref="AM80">_xlfn.IFS(AM$3&lt;$B$2,SUMPRODUCT(('PA Fees Actual'!$B$5:$B$882=$E80)*('PA Fees Actual'!$A$5:$A$882&gt;=AM$3)*('PA Fees Actual'!$A$5:$A$882&lt;=EOMONTH(AM$3,0))*'PA Fees Actual'!$D$5:$D$882),AM$3&gt;=EOMONTH($X80,-1)+1,$Y80,TRUE,0)</f>
        <v>0</v>
      </c>
      <c r="AN80" s="202" cm="1">
        <f t="array" ref="AN80">_xlfn.IFS(AN$3&lt;$B$2,SUMPRODUCT(('PA Fees Actual'!$B$5:$B$882=$E80)*('PA Fees Actual'!$A$5:$A$882&gt;=AN$3)*('PA Fees Actual'!$A$5:$A$882&lt;=EOMONTH(AN$3,0))*'PA Fees Actual'!$D$5:$D$882),AN$3&gt;=EOMONTH($X80,-1)+1,$Y80,TRUE,0)</f>
        <v>0</v>
      </c>
      <c r="AO80" s="202" cm="1">
        <f t="array" ref="AO80">_xlfn.IFS(AO$3&lt;$B$2,SUMPRODUCT(('PA Fees Actual'!$B$5:$B$882=$E80)*('PA Fees Actual'!$A$5:$A$882&gt;=AO$3)*('PA Fees Actual'!$A$5:$A$882&lt;=EOMONTH(AO$3,0))*'PA Fees Actual'!$D$5:$D$882),AO$3&gt;=EOMONTH($X80,-1)+1,$Y80,TRUE,0)</f>
        <v>0</v>
      </c>
      <c r="AP80" s="202" cm="1">
        <f t="array" ref="AP80">_xlfn.IFS(AP$3&lt;$B$2,SUMPRODUCT(('PA Fees Actual'!$B$5:$B$882=$E80)*('PA Fees Actual'!$A$5:$A$882&gt;=AP$3)*('PA Fees Actual'!$A$5:$A$882&lt;=EOMONTH(AP$3,0))*'PA Fees Actual'!$D$5:$D$882),AP$3&gt;=EOMONTH($X80,-1)+1,$Y80,TRUE,0)</f>
        <v>0</v>
      </c>
      <c r="AQ80" s="202" cm="1">
        <f t="array" ref="AQ80">_xlfn.IFS(AQ$3&lt;$B$2,SUMPRODUCT(('PA Fees Actual'!$B$5:$B$882=$E80)*('PA Fees Actual'!$A$5:$A$882&gt;=AQ$3)*('PA Fees Actual'!$A$5:$A$882&lt;=EOMONTH(AQ$3,0))*'PA Fees Actual'!$D$5:$D$882),AQ$3&gt;=EOMONTH($X80,-1)+1,$Y80,TRUE,0)</f>
        <v>0</v>
      </c>
      <c r="AR80" s="202" cm="1">
        <f t="array" ref="AR80">_xlfn.IFS(AR$3&lt;$B$2,SUMPRODUCT(('PA Fees Actual'!$B$5:$B$882=$E80)*('PA Fees Actual'!$A$5:$A$882&gt;=AR$3)*('PA Fees Actual'!$A$5:$A$882&lt;=EOMONTH(AR$3,0))*'PA Fees Actual'!$D$5:$D$882),AR$3&gt;=EOMONTH($X80,-1)+1,$Y80,TRUE,0)</f>
        <v>0</v>
      </c>
      <c r="AS80" s="202" cm="1">
        <f t="array" ref="AS80">_xlfn.IFS(AS$3&lt;$B$2,SUMPRODUCT(('PA Fees Actual'!$B$5:$B$882=$E80)*('PA Fees Actual'!$A$5:$A$882&gt;=AS$3)*('PA Fees Actual'!$A$5:$A$882&lt;=EOMONTH(AS$3,0))*'PA Fees Actual'!$D$5:$D$882),AS$3&gt;=EOMONTH($X80,-1)+1,$Y80,TRUE,0)</f>
        <v>0</v>
      </c>
      <c r="AT80" s="202" cm="1">
        <f t="array" ref="AT80">_xlfn.IFS(AT$3&lt;$B$2,SUMPRODUCT(('PA Fees Actual'!$B$5:$B$882=$E80)*('PA Fees Actual'!$A$5:$A$882&gt;=AT$3)*('PA Fees Actual'!$A$5:$A$882&lt;=EOMONTH(AT$3,0))*'PA Fees Actual'!$D$5:$D$882),AT$3&gt;=EOMONTH($X80,-1)+1,$Y80,TRUE,0)</f>
        <v>0</v>
      </c>
      <c r="AU80" s="202" cm="1">
        <f t="array" ref="AU80">_xlfn.IFS(AU$3&lt;$B$2,SUMPRODUCT(('PA Fees Actual'!$B$5:$B$882=$E80)*('PA Fees Actual'!$A$5:$A$882&gt;=AU$3)*('PA Fees Actual'!$A$5:$A$882&lt;=EOMONTH(AU$3,0))*'PA Fees Actual'!$D$5:$D$882),AU$3&gt;=EOMONTH($X80,-1)+1,$Y80,TRUE,0)</f>
        <v>0</v>
      </c>
      <c r="AV80" s="202" cm="1">
        <f t="array" ref="AV80">_xlfn.IFS(AV$3&lt;$B$2,SUMPRODUCT(('PA Fees Actual'!$B$5:$B$882=$E80)*('PA Fees Actual'!$A$5:$A$882&gt;=AV$3)*('PA Fees Actual'!$A$5:$A$882&lt;=EOMONTH(AV$3,0))*'PA Fees Actual'!$D$5:$D$882),AV$3&gt;=EOMONTH($X80,-1)+1,$Y80,TRUE,0)</f>
        <v>0</v>
      </c>
      <c r="AW80" s="202" cm="1">
        <f t="array" ref="AW80">_xlfn.IFS(AW$3&lt;$B$2,SUMPRODUCT(('PA Fees Actual'!$B$5:$B$882=$E80)*('PA Fees Actual'!$A$5:$A$882&gt;=AW$3)*('PA Fees Actual'!$A$5:$A$882&lt;=EOMONTH(AW$3,0))*'PA Fees Actual'!$D$5:$D$882),AW$3&gt;=EOMONTH($X80,-1)+1,$Y80,TRUE,0)</f>
        <v>0</v>
      </c>
      <c r="AX80" s="202" cm="1">
        <f t="array" ref="AX80">_xlfn.IFS(AX$3&lt;$B$2,SUMPRODUCT(('PA Fees Actual'!$B$5:$B$882=$E80)*('PA Fees Actual'!$A$5:$A$882&gt;=AX$3)*('PA Fees Actual'!$A$5:$A$882&lt;=EOMONTH(AX$3,0))*'PA Fees Actual'!$D$5:$D$882),AX$3&gt;=EOMONTH($X80,-1)+1,$Y80,TRUE,0)</f>
        <v>0</v>
      </c>
      <c r="AY80" s="202" cm="1">
        <f t="array" ref="AY80">_xlfn.IFS(AY$3&lt;$B$2,SUMPRODUCT(('PA Fees Actual'!$B$5:$B$882=$E80)*('PA Fees Actual'!$A$5:$A$882&gt;=AY$3)*('PA Fees Actual'!$A$5:$A$882&lt;=EOMONTH(AY$3,0))*'PA Fees Actual'!$D$5:$D$882),AY$3&gt;=EOMONTH($X80,-1)+1,$Y80,TRUE,0)</f>
        <v>0</v>
      </c>
      <c r="AZ80" s="202" cm="1">
        <f t="array" ref="AZ80">_xlfn.IFS(AZ$3&lt;$B$2,SUMPRODUCT(('PA Fees Actual'!$B$5:$B$882=$E80)*('PA Fees Actual'!$A$5:$A$882&gt;=AZ$3)*('PA Fees Actual'!$A$5:$A$882&lt;=EOMONTH(AZ$3,0))*'PA Fees Actual'!$D$5:$D$882),AZ$3&gt;=EOMONTH($X80,-1)+1,$Y80,TRUE,0)</f>
        <v>0</v>
      </c>
      <c r="BA80" s="202" cm="1">
        <f t="array" ref="BA80">_xlfn.IFS(BA$3&lt;$B$2,SUMPRODUCT(('PA Fees Actual'!$B$5:$B$882=$E80)*('PA Fees Actual'!$A$5:$A$882&gt;=BA$3)*('PA Fees Actual'!$A$5:$A$882&lt;=EOMONTH(BA$3,0))*'PA Fees Actual'!$D$5:$D$882),BA$3&gt;=EOMONTH($X80,-1)+1,$Y80,TRUE,0)</f>
        <v>0</v>
      </c>
      <c r="BB80" s="202" cm="1">
        <f t="array" ref="BB80">_xlfn.IFS(BB$3&lt;$B$2,SUMPRODUCT(('PA Fees Actual'!$B$5:$B$882=$E80)*('PA Fees Actual'!$A$5:$A$882&gt;=BB$3)*('PA Fees Actual'!$A$5:$A$882&lt;=EOMONTH(BB$3,0))*'PA Fees Actual'!$D$5:$D$882),BB$3&gt;=EOMONTH($X80,-1)+1,$Y80,TRUE,0)</f>
        <v>0</v>
      </c>
      <c r="BC80" s="202" cm="1">
        <f t="array" ref="BC80">_xlfn.IFS(BC$3&lt;$B$2,SUMPRODUCT(('PA Fees Actual'!$B$5:$B$882=$E80)*('PA Fees Actual'!$A$5:$A$882&gt;=BC$3)*('PA Fees Actual'!$A$5:$A$882&lt;=EOMONTH(BC$3,0))*'PA Fees Actual'!$D$5:$D$882),BC$3&gt;=EOMONTH($X80,-1)+1,$Y80,TRUE,0)</f>
        <v>0</v>
      </c>
      <c r="BD80" s="202" cm="1">
        <f t="array" ref="BD80">_xlfn.IFS(BD$3&lt;$B$2,SUMPRODUCT(('PA Fees Actual'!$B$5:$B$882=$E80)*('PA Fees Actual'!$A$5:$A$882&gt;=BD$3)*('PA Fees Actual'!$A$5:$A$882&lt;=EOMONTH(BD$3,0))*'PA Fees Actual'!$D$5:$D$882),BD$3&gt;=EOMONTH($X80,-1)+1,$Y80,TRUE,0)</f>
        <v>0</v>
      </c>
      <c r="BE80" s="202" cm="1">
        <f t="array" ref="BE80">_xlfn.IFS(BE$3&lt;$B$2,SUMPRODUCT(('PA Fees Actual'!$B$5:$B$882=$E80)*('PA Fees Actual'!$A$5:$A$882&gt;=BE$3)*('PA Fees Actual'!$A$5:$A$882&lt;=EOMONTH(BE$3,0))*'PA Fees Actual'!$D$5:$D$882),BE$3&gt;=EOMONTH($X80,-1)+1,$Y80,TRUE,0)</f>
        <v>0</v>
      </c>
      <c r="BF80" s="202" cm="1">
        <f t="array" ref="BF80">_xlfn.IFS(BF$3&lt;$B$2,SUMPRODUCT(('PA Fees Actual'!$B$5:$B$882=$E80)*('PA Fees Actual'!$A$5:$A$882&gt;=BF$3)*('PA Fees Actual'!$A$5:$A$882&lt;=EOMONTH(BF$3,0))*'PA Fees Actual'!$D$5:$D$882),BF$3&gt;=EOMONTH($X80,-1)+1,$Y80,TRUE,0)</f>
        <v>0</v>
      </c>
      <c r="BG80" s="202" cm="1">
        <f t="array" ref="BG80">_xlfn.IFS(BG$3&lt;$B$2,SUMPRODUCT(('PA Fees Actual'!$B$5:$B$882=$E80)*('PA Fees Actual'!$A$5:$A$882&gt;=BG$3)*('PA Fees Actual'!$A$5:$A$882&lt;=EOMONTH(BG$3,0))*'PA Fees Actual'!$D$5:$D$882),BG$3&gt;=EOMONTH($X80,-1)+1,$Y80,TRUE,0)</f>
        <v>0</v>
      </c>
      <c r="BH80" s="202" cm="1">
        <f t="array" ref="BH80">_xlfn.IFS(BH$3&lt;$B$2,SUMPRODUCT(('PA Fees Actual'!$B$5:$B$882=$E80)*('PA Fees Actual'!$A$5:$A$882&gt;=BH$3)*('PA Fees Actual'!$A$5:$A$882&lt;=EOMONTH(BH$3,0))*'PA Fees Actual'!$D$5:$D$882),BH$3&gt;=EOMONTH($X80,-1)+1,$Y80,TRUE,0)</f>
        <v>0</v>
      </c>
      <c r="BI80" s="202" cm="1">
        <f t="array" ref="BI80">_xlfn.IFS(BI$3&lt;$B$2,SUMPRODUCT(('PA Fees Actual'!$B$5:$B$882=$E80)*('PA Fees Actual'!$A$5:$A$882&gt;=BI$3)*('PA Fees Actual'!$A$5:$A$882&lt;=EOMONTH(BI$3,0))*'PA Fees Actual'!$D$5:$D$882),BI$3&gt;=EOMONTH($X80,-1)+1,$Y80,TRUE,0)</f>
        <v>0</v>
      </c>
      <c r="BJ80" s="202" cm="1">
        <f t="array" ref="BJ80">_xlfn.IFS(BJ$3&lt;$B$2,SUMPRODUCT(('PA Fees Actual'!$B$5:$B$882=$E80)*('PA Fees Actual'!$A$5:$A$882&gt;=BJ$3)*('PA Fees Actual'!$A$5:$A$882&lt;=EOMONTH(BJ$3,0))*'PA Fees Actual'!$D$5:$D$882),BJ$3&gt;=EOMONTH($X80,-1)+1,$Y80,TRUE,0)</f>
        <v>0</v>
      </c>
      <c r="BK80" s="202" cm="1">
        <f t="array" ref="BK80">_xlfn.IFS(BK$3&lt;$B$2,SUMPRODUCT(('PA Fees Actual'!$B$5:$B$882=$E80)*('PA Fees Actual'!$A$5:$A$882&gt;=BK$3)*('PA Fees Actual'!$A$5:$A$882&lt;=EOMONTH(BK$3,0))*'PA Fees Actual'!$D$5:$D$882),BK$3&gt;=EOMONTH($X80,-1)+1,$Y80,TRUE,0)</f>
        <v>0</v>
      </c>
      <c r="BL80" s="202" cm="1">
        <f t="array" ref="BL80">_xlfn.IFS(BL$3&lt;$B$2,SUMPRODUCT(('PA Fees Actual'!$B$5:$B$882=$E80)*('PA Fees Actual'!$A$5:$A$882&gt;=BL$3)*('PA Fees Actual'!$A$5:$A$882&lt;=EOMONTH(BL$3,0))*'PA Fees Actual'!$D$5:$D$882),BL$3&gt;=EOMONTH($X80,-1)+1,$Y80,TRUE,0)</f>
        <v>0</v>
      </c>
      <c r="BM80" s="202" cm="1">
        <f t="array" ref="BM80">_xlfn.IFS(BM$3&lt;$B$2,SUMPRODUCT(('PA Fees Actual'!$B$5:$B$882=$E80)*('PA Fees Actual'!$A$5:$A$882&gt;=BM$3)*('PA Fees Actual'!$A$5:$A$882&lt;=EOMONTH(BM$3,0))*'PA Fees Actual'!$D$5:$D$882),BM$3&gt;=EOMONTH($X80,-1)+1,$Y80,TRUE,0)</f>
        <v>0</v>
      </c>
      <c r="BN80" s="202" cm="1">
        <f t="array" ref="BN80">_xlfn.IFS(BN$3&lt;$B$2,SUMPRODUCT(('PA Fees Actual'!$B$5:$B$882=$E80)*('PA Fees Actual'!$A$5:$A$882&gt;=BN$3)*('PA Fees Actual'!$A$5:$A$882&lt;=EOMONTH(BN$3,0))*'PA Fees Actual'!$D$5:$D$882),BN$3&gt;=EOMONTH($X80,-1)+1,$Y80,TRUE,0)</f>
        <v>0</v>
      </c>
      <c r="BO80" s="202" cm="1">
        <f t="array" ref="BO80">_xlfn.IFS(BO$3&lt;$B$2,SUMPRODUCT(('PA Fees Actual'!$B$5:$B$882=$E80)*('PA Fees Actual'!$A$5:$A$882&gt;=BO$3)*('PA Fees Actual'!$A$5:$A$882&lt;=EOMONTH(BO$3,0))*'PA Fees Actual'!$D$5:$D$882),BO$3&gt;=EOMONTH($X80,-1)+1,$Y80,TRUE,0)</f>
        <v>0</v>
      </c>
      <c r="BP80" s="202" cm="1">
        <f t="array" ref="BP80">_xlfn.IFS(BP$3&lt;$B$2,SUMPRODUCT(('PA Fees Actual'!$B$5:$B$882=$E80)*('PA Fees Actual'!$A$5:$A$882&gt;=BP$3)*('PA Fees Actual'!$A$5:$A$882&lt;=EOMONTH(BP$3,0))*'PA Fees Actual'!$D$5:$D$882),BP$3&gt;=EOMONTH($X80,-1)+1,$Y80,TRUE,0)</f>
        <v>0</v>
      </c>
      <c r="BQ80" s="202" cm="1">
        <f t="array" ref="BQ80">_xlfn.IFS(BQ$3&lt;$B$2,SUMPRODUCT(('PA Fees Actual'!$B$5:$B$882=$E80)*('PA Fees Actual'!$A$5:$A$882&gt;=BQ$3)*('PA Fees Actual'!$A$5:$A$882&lt;=EOMONTH(BQ$3,0))*'PA Fees Actual'!$D$5:$D$882),BQ$3&gt;=EOMONTH($X80,-1)+1,$Y80,TRUE,0)</f>
        <v>0</v>
      </c>
      <c r="BR80" s="202" cm="1">
        <f t="array" ref="BR80">_xlfn.IFS(BR$3&lt;$B$2,SUMPRODUCT(('PA Fees Actual'!$B$5:$B$882=$E80)*('PA Fees Actual'!$A$5:$A$882&gt;=BR$3)*('PA Fees Actual'!$A$5:$A$882&lt;=EOMONTH(BR$3,0))*'PA Fees Actual'!$D$5:$D$882),BR$3&gt;=EOMONTH($X80,-1)+1,$Y80,TRUE,0)</f>
        <v>0</v>
      </c>
      <c r="BS80" s="202" cm="1">
        <f t="array" ref="BS80">_xlfn.IFS(BS$3&lt;$B$2,SUMPRODUCT(('PA Fees Actual'!$B$5:$B$882=$E80)*('PA Fees Actual'!$A$5:$A$882&gt;=BS$3)*('PA Fees Actual'!$A$5:$A$882&lt;=EOMONTH(BS$3,0))*'PA Fees Actual'!$D$5:$D$882),BS$3&gt;=EOMONTH($X80,-1)+1,$Y80,TRUE,0)</f>
        <v>0</v>
      </c>
      <c r="BT80" s="202" cm="1">
        <f t="array" ref="BT80">_xlfn.IFS(BT$3&lt;$B$2,SUMPRODUCT(('PA Fees Actual'!$B$5:$B$882=$E80)*('PA Fees Actual'!$A$5:$A$882&gt;=BT$3)*('PA Fees Actual'!$A$5:$A$882&lt;=EOMONTH(BT$3,0))*'PA Fees Actual'!$D$5:$D$882),BT$3&gt;=EOMONTH($X80,-1)+1,$Y80,TRUE,0)</f>
        <v>0</v>
      </c>
      <c r="BU80" s="202" cm="1">
        <f t="array" ref="BU80">_xlfn.IFS(BU$3&lt;$B$2,SUMPRODUCT(('PA Fees Actual'!$B$5:$B$882=$E80)*('PA Fees Actual'!$A$5:$A$882&gt;=BU$3)*('PA Fees Actual'!$A$5:$A$882&lt;=EOMONTH(BU$3,0))*'PA Fees Actual'!$D$5:$D$882),BU$3&gt;=EOMONTH($X80,-1)+1,$Y80,TRUE,0)</f>
        <v>0</v>
      </c>
      <c r="BV80" s="202" cm="1">
        <f t="array" ref="BV80">_xlfn.IFS(BV$3&lt;$B$2,SUMPRODUCT(('PA Fees Actual'!$B$5:$B$882=$E80)*('PA Fees Actual'!$A$5:$A$882&gt;=BV$3)*('PA Fees Actual'!$A$5:$A$882&lt;=EOMONTH(BV$3,0))*'PA Fees Actual'!$D$5:$D$882),BV$3&gt;=EOMONTH($X80,-1)+1,$Y80,TRUE,0)</f>
        <v>0</v>
      </c>
      <c r="BW80" s="202" cm="1">
        <f t="array" ref="BW80">_xlfn.IFS(BW$3&lt;$B$2,SUMPRODUCT(('PA Fees Actual'!$B$5:$B$882=$E80)*('PA Fees Actual'!$A$5:$A$882&gt;=BW$3)*('PA Fees Actual'!$A$5:$A$882&lt;=EOMONTH(BW$3,0))*'PA Fees Actual'!$D$5:$D$882),BW$3&gt;=EOMONTH($X80,-1)+1,$Y80,TRUE,0)</f>
        <v>0</v>
      </c>
      <c r="BX80" s="202" cm="1">
        <f t="array" ref="BX80">_xlfn.IFS(BX$3&lt;$B$2,SUMPRODUCT(('PA Fees Actual'!$B$5:$B$882=$E80)*('PA Fees Actual'!$A$5:$A$882&gt;=BX$3)*('PA Fees Actual'!$A$5:$A$882&lt;=EOMONTH(BX$3,0))*'PA Fees Actual'!$D$5:$D$882),BX$3&gt;=EOMONTH($X80,-1)+1,$Y80,TRUE,0)</f>
        <v>0</v>
      </c>
      <c r="BY80" s="202" cm="1">
        <f t="array" ref="BY80">_xlfn.IFS(BY$3&lt;$B$2,SUMPRODUCT(('PA Fees Actual'!$B$5:$B$882=$E80)*('PA Fees Actual'!$A$5:$A$882&gt;=BY$3)*('PA Fees Actual'!$A$5:$A$882&lt;=EOMONTH(BY$3,0))*'PA Fees Actual'!$D$5:$D$882),BY$3&gt;=EOMONTH($X80,-1)+1,$Y80,TRUE,0)</f>
        <v>0</v>
      </c>
      <c r="BZ80" s="202" cm="1">
        <f t="array" ref="BZ80">_xlfn.IFS(BZ$3&lt;$B$2,SUMPRODUCT(('PA Fees Actual'!$B$5:$B$882=$E80)*('PA Fees Actual'!$A$5:$A$882&gt;=BZ$3)*('PA Fees Actual'!$A$5:$A$882&lt;=EOMONTH(BZ$3,0))*'PA Fees Actual'!$D$5:$D$882),BZ$3&gt;=EOMONTH($X80,-1)+1,$Y80,TRUE,0)</f>
        <v>0</v>
      </c>
      <c r="CA80" s="202" cm="1">
        <f t="array" ref="CA80">_xlfn.IFS(CA$3&lt;$B$2,SUMPRODUCT(('PA Fees Actual'!$B$5:$B$882=$E80)*('PA Fees Actual'!$A$5:$A$882&gt;=CA$3)*('PA Fees Actual'!$A$5:$A$882&lt;=EOMONTH(CA$3,0))*'PA Fees Actual'!$D$5:$D$882),CA$3&gt;=EOMONTH($X80,-1)+1,$Y80,TRUE,0)</f>
        <v>0</v>
      </c>
      <c r="CB80" s="202" cm="1">
        <f t="array" ref="CB80">_xlfn.IFS(CB$3&lt;$B$2,SUMPRODUCT(('PA Fees Actual'!$B$5:$B$749=$E80)*('PA Fees Actual'!$A$5:$A$749&gt;=CB$3)*('PA Fees Actual'!$A$5:$A$749&lt;=EOMONTH(CB$3,0))*'PA Fees Actual'!$D$5:$D$749),CB$3&gt;=EOMONTH($X80,-1)+1,$Y80,TRUE,0)</f>
        <v>0</v>
      </c>
      <c r="CC80" s="202" cm="1">
        <f t="array" ref="CC80">_xlfn.IFS(CC$3&lt;$B$2,SUMPRODUCT(('PA Fees Actual'!$B$5:$B$749=$E80)*('PA Fees Actual'!$A$5:$A$749&gt;=CC$3)*('PA Fees Actual'!$A$5:$A$749&lt;=EOMONTH(CC$3,0))*'PA Fees Actual'!$D$5:$D$749),CC$3&gt;=EOMONTH($X80,-1)+1,$Y80,TRUE,0)</f>
        <v>0</v>
      </c>
      <c r="CD80" s="202" cm="1">
        <f t="array" ref="CD80">_xlfn.IFS(CD$3&lt;$B$2,SUMPRODUCT(('PA Fees Actual'!$B$5:$B$749=$E80)*('PA Fees Actual'!$A$5:$A$749&gt;=CD$3)*('PA Fees Actual'!$A$5:$A$749&lt;=EOMONTH(CD$3,0))*'PA Fees Actual'!$D$5:$D$749),CD$3&gt;=EOMONTH($X80,-1)+1,$Y80,TRUE,0)</f>
        <v>0</v>
      </c>
      <c r="CE80" s="202" cm="1">
        <f t="array" ref="CE80">_xlfn.IFS(CE$3&lt;$B$2,SUMPRODUCT(('PA Fees Actual'!$B$5:$B$749=$E80)*('PA Fees Actual'!$A$5:$A$749&gt;=CE$3)*('PA Fees Actual'!$A$5:$A$749&lt;=EOMONTH(CE$3,0))*'PA Fees Actual'!$D$5:$D$749),CE$3&gt;=EOMONTH($X80,-1)+1,$Y80,TRUE,0)</f>
        <v>0</v>
      </c>
      <c r="CF80" s="202" cm="1">
        <f t="array" ref="CF80">_xlfn.IFS(CF$3&lt;$B$2,SUMPRODUCT(('PA Fees Actual'!$B$5:$B$749=$E80)*('PA Fees Actual'!$A$5:$A$749&gt;=CF$3)*('PA Fees Actual'!$A$5:$A$749&lt;=EOMONTH(CF$3,0))*'PA Fees Actual'!$D$5:$D$749),CF$3&gt;=EOMONTH($X80,-1)+1,$Y80,TRUE,0)</f>
        <v>0</v>
      </c>
      <c r="CG80" s="202" cm="1">
        <f t="array" ref="CG80">_xlfn.IFS(CG$3&lt;$B$2,SUMPRODUCT(('PA Fees Actual'!$B$5:$B$749=$E80)*('PA Fees Actual'!$A$5:$A$749&gt;=CG$3)*('PA Fees Actual'!$A$5:$A$749&lt;=EOMONTH(CG$3,0))*'PA Fees Actual'!$D$5:$D$749),CG$3&gt;=EOMONTH($X80,-1)+1,$Y80,TRUE,0)</f>
        <v>0</v>
      </c>
      <c r="CI80" s="202" cm="1">
        <f t="array" ref="CI80">_xlfn.IFS(CI$3&lt;=YEAR($B$2),SUMPRODUCT(($E$4:$E$79=$E80)*($Z$2:$CG$2=CI$3)*($Z$2:$CG$2&lt;CJ$3)*$Z$4:$CG$79),CI$3&lt;YEAR($X80),0,CI$3=YEAR($X80),DATEDIF($X80,DATE(CI$3,12,31),"m")*$Y80,AND(CI$3&gt;YEAR($X80),CI$3-YEAR($X80)&lt;20),$Y80*12,CI$3-YEAR($X80)=20,DATEDIF(DATE(YEAR($X80),1,1),$X80,"m")*$Y80,CI$3-YEAR($X80)&gt;20,0)</f>
        <v>0</v>
      </c>
      <c r="CJ80" s="202" cm="1">
        <f t="array" ref="CJ80">_xlfn.IFS(CJ$3&lt;=YEAR($B$2),SUMPRODUCT(($E$4:$E$79=$E80)*($Z$2:$CG$2=CJ$3)*($Z$2:$CG$2&lt;CK$3)*$Z$4:$CG$79),CJ$3&lt;YEAR($X80),0,CJ$3=YEAR($X80),DATEDIF($X80,DATE(CJ$3,12,31),"m")*$Y80,AND(CJ$3&gt;YEAR($X80),CJ$3-YEAR($X80)&lt;20),$Y80*12,CJ$3-YEAR($X80)=20,DATEDIF(DATE(YEAR($X80),1,1),$X80,"m")*$Y80,CJ$3-YEAR($X80)&gt;20,0)</f>
        <v>0</v>
      </c>
      <c r="CK80" s="202" cm="1">
        <f t="array" ref="CK80">_xlfn.IFS(CK$3&lt;=YEAR($B$2),SUMPRODUCT(($E$4:$E$79=$E80)*($Z$2:$CG$2=CK$3)*($Z$2:$CG$2&lt;CL$3)*$Z$4:$CG$79),CK$3&lt;YEAR($X80),0,CK$3=YEAR($X80),DATEDIF($X80,DATE(CK$3,12,31),"m")*$Y80,AND(CK$3&gt;YEAR($X80),CK$3-YEAR($X80)&lt;20),$Y80*12,CK$3-YEAR($X80)=20,DATEDIF(DATE(YEAR($X80),1,1),$X80,"m")*$Y80,CK$3-YEAR($X80)&gt;20,0)</f>
        <v>0</v>
      </c>
      <c r="CL80" s="202" cm="1">
        <f t="array" ref="CL80">_xlfn.IFS(CL$3&lt;=YEAR($B$2),SUMPRODUCT(($E$4:$E$79=$E80)*($Z$2:$CG$2=CL$3)*($Z$2:$CG$2&lt;CM$3)*$Z$4:$CG$79),CL$3&lt;YEAR($X80),0,CL$3=YEAR($X80),DATEDIF($X80,DATE(CL$3,12,31),"m")*$Y80,AND(CL$3&gt;YEAR($X80),CL$3-YEAR($X80)&lt;20),$Y80*12,CL$3-YEAR($X80)=20,DATEDIF(DATE(YEAR($X80),1,1),$X80,"m")*$Y80,CL$3-YEAR($X80)&gt;20,0)</f>
        <v>0</v>
      </c>
      <c r="CM80" s="202" cm="1">
        <f t="array" ref="CM80">_xlfn.IFS(CM$3&lt;=YEAR($B$2),SUMPRODUCT(($E$4:$E$79=$E80)*($Z$2:$CG$2=CM$3)*($Z$2:$CG$2&lt;CN$3)*$Z$4:$CG$79),CM$3&lt;YEAR($X80),0,CM$3=YEAR($X80),DATEDIF($X80,DATE(CM$3,12,31),"m")*$Y80,AND(CM$3&gt;YEAR($X80),CM$3-YEAR($X80)&lt;20),$Y80*12,CM$3-YEAR($X80)=20,DATEDIF(DATE(YEAR($X80),1,1),$X80,"m")*$Y80,CM$3-YEAR($X80)&gt;20,0)</f>
        <v>0</v>
      </c>
      <c r="CN80" s="202" cm="1">
        <f t="array" ref="CN80">_xlfn.IFS(CN$3&lt;=YEAR($B$2),SUMPRODUCT(($E$4:$E$79=$E80)*($Z$2:$CG$2=CN$3)*($Z$2:$CG$2&lt;CO$3)*$Z$4:$CG$79),CN$3&lt;YEAR($X80),0,CN$3=YEAR($X80),DATEDIF($X80,DATE(CN$3,12,31),"m")*$Y80,AND(CN$3&gt;YEAR($X80),CN$3-YEAR($X80)&lt;20),$Y80*12,CN$3-YEAR($X80)=20,DATEDIF(DATE(YEAR($X80),1,1),$X80,"m")*$Y80,CN$3-YEAR($X80)&gt;20,0)</f>
        <v>0</v>
      </c>
      <c r="CO80" s="202" cm="1">
        <f t="array" ref="CO80">_xlfn.IFS(CO$3&lt;=YEAR($B$2),SUMPRODUCT(($E$4:$E$79=$E80)*($Z$2:$CG$2=CO$3)*($Z$2:$CG$2&lt;CP$3)*$Z$4:$CG$79),CO$3&lt;YEAR($X80),0,CO$3=YEAR($X80),DATEDIF($X80,DATE(CO$3,12,31),"m")*$Y80,AND(CO$3&gt;YEAR($X80),CO$3-YEAR($X80)&lt;20),$Y80*12,CO$3-YEAR($X80)=20,DATEDIF(DATE(YEAR($X80),1,1),$X80,"m")*$Y80,CO$3-YEAR($X80)&gt;20,0)</f>
        <v>2754</v>
      </c>
      <c r="CP80" s="202" cm="1">
        <f t="array" ref="CP80">_xlfn.IFS(CP$3&lt;=YEAR($B$2),SUMPRODUCT(($E$4:$E$79=$E80)*($Z$2:$CG$2=CP$3)*($Z$2:$CG$2&lt;CQ$3)*$Z$4:$CG$79),CP$3&lt;YEAR($X80),0,CP$3=YEAR($X80),DATEDIF($X80,DATE(CP$3,12,31),"m")*$Y80,AND(CP$3&gt;YEAR($X80),CP$3-YEAR($X80)&lt;20),$Y80*12,CP$3-YEAR($X80)=20,DATEDIF(DATE(YEAR($X80),1,1),$X80,"m")*$Y80,CP$3-YEAR($X80)&gt;20,0)</f>
        <v>5508</v>
      </c>
      <c r="CQ80" s="202" cm="1">
        <f t="array" ref="CQ80">_xlfn.IFS(CQ$3&lt;=YEAR($B$2),SUMPRODUCT(($E$4:$E$79=$E80)*($Z$2:$CG$2=CQ$3)*($Z$2:$CG$2&lt;CR$3)*$Z$4:$CG$79),CQ$3&lt;YEAR($X80),0,CQ$3=YEAR($X80),DATEDIF($X80,DATE(CQ$3,12,31),"m")*$Y80,AND(CQ$3&gt;YEAR($X80),CQ$3-YEAR($X80)&lt;20),$Y80*12,CQ$3-YEAR($X80)=20,DATEDIF(DATE(YEAR($X80),1,1),$X80,"m")*$Y80,CQ$3-YEAR($X80)&gt;20,0)</f>
        <v>5508</v>
      </c>
      <c r="CR80" s="202" cm="1">
        <f t="array" ref="CR80">_xlfn.IFS(CR$3&lt;=YEAR($B$2),SUMPRODUCT(($E$4:$E$79=$E80)*($Z$2:$CG$2=CR$3)*($Z$2:$CG$2&lt;CS$3)*$Z$4:$CG$79),CR$3&lt;YEAR($X80),0,CR$3=YEAR($X80),DATEDIF($X80,DATE(CR$3,12,31),"m")*$Y80,AND(CR$3&gt;YEAR($X80),CR$3-YEAR($X80)&lt;20),$Y80*12,CR$3-YEAR($X80)=20,DATEDIF(DATE(YEAR($X80),1,1),$X80,"m")*$Y80,CR$3-YEAR($X80)&gt;20,0)</f>
        <v>5508</v>
      </c>
      <c r="CS80" s="202" cm="1">
        <f t="array" ref="CS80">_xlfn.IFS(CS$3&lt;=YEAR($B$2),SUMPRODUCT(($E$4:$E$79=$E80)*($Z$2:$CG$2=CS$3)*($Z$2:$CG$2&lt;CT$3)*$Z$4:$CG$79),CS$3&lt;YEAR($X80),0,CS$3=YEAR($X80),DATEDIF($X80,DATE(CS$3,12,31),"m")*$Y80,AND(CS$3&gt;YEAR($X80),CS$3-YEAR($X80)&lt;20),$Y80*12,CS$3-YEAR($X80)=20,DATEDIF(DATE(YEAR($X80),1,1),$X80,"m")*$Y80,CS$3-YEAR($X80)&gt;20,0)</f>
        <v>5508</v>
      </c>
      <c r="CT80" s="202" cm="1">
        <f t="array" ref="CT80">_xlfn.IFS(CT$3&lt;=YEAR($B$2),SUMPRODUCT(($E$4:$E$79=$E80)*($Z$2:$CG$2=CT$3)*($Z$2:$CG$2&lt;CU$3)*$Z$4:$CG$79),CT$3&lt;YEAR($X80),0,CT$3=YEAR($X80),DATEDIF($X80,DATE(CT$3,12,31),"m")*$Y80,AND(CT$3&gt;YEAR($X80),CT$3-YEAR($X80)&lt;20),$Y80*12,CT$3-YEAR($X80)=20,DATEDIF(DATE(YEAR($X80),1,1),$X80,"m")*$Y80,CT$3-YEAR($X80)&gt;20,0)</f>
        <v>5508</v>
      </c>
      <c r="CU80" s="202" cm="1">
        <f t="array" ref="CU80">_xlfn.IFS(CU$3&lt;=YEAR($B$2),SUMPRODUCT(($E$4:$E$79=$E80)*($Z$2:$CG$2=CU$3)*($Z$2:$CG$2&lt;CV$3)*$Z$4:$CG$79),CU$3&lt;YEAR($X80),0,CU$3=YEAR($X80),DATEDIF($X80,DATE(CU$3,12,31),"m")*$Y80,AND(CU$3&gt;YEAR($X80),CU$3-YEAR($X80)&lt;20),$Y80*12,CU$3-YEAR($X80)=20,DATEDIF(DATE(YEAR($X80),1,1),$X80,"m")*$Y80,CU$3-YEAR($X80)&gt;20,0)</f>
        <v>5508</v>
      </c>
      <c r="CV80" s="202" cm="1">
        <f t="array" ref="CV80">_xlfn.IFS(CV$3&lt;=YEAR($B$2),SUMPRODUCT(($E$4:$E$79=$E80)*($Z$2:$CG$2=CV$3)*($Z$2:$CG$2&lt;CW$3)*$Z$4:$CG$79),CV$3&lt;YEAR($X80),0,CV$3=YEAR($X80),DATEDIF($X80,DATE(CV$3,12,31),"m")*$Y80,AND(CV$3&gt;YEAR($X80),CV$3-YEAR($X80)&lt;20),$Y80*12,CV$3-YEAR($X80)=20,DATEDIF(DATE(YEAR($X80),1,1),$X80,"m")*$Y80,CV$3-YEAR($X80)&gt;20,0)</f>
        <v>5508</v>
      </c>
      <c r="CW80" s="202" cm="1">
        <f t="array" ref="CW80">_xlfn.IFS(CW$3&lt;=YEAR($B$2),SUMPRODUCT(($E$4:$E$79=$E80)*($Z$2:$CG$2=CW$3)*($Z$2:$CG$2&lt;CX$3)*$Z$4:$CG$79),CW$3&lt;YEAR($X80),0,CW$3=YEAR($X80),DATEDIF($X80,DATE(CW$3,12,31),"m")*$Y80,AND(CW$3&gt;YEAR($X80),CW$3-YEAR($X80)&lt;20),$Y80*12,CW$3-YEAR($X80)=20,DATEDIF(DATE(YEAR($X80),1,1),$X80,"m")*$Y80,CW$3-YEAR($X80)&gt;20,0)</f>
        <v>5508</v>
      </c>
      <c r="CX80" s="202" cm="1">
        <f t="array" ref="CX80">_xlfn.IFS(CX$3&lt;=YEAR($B$2),SUMPRODUCT(($E$4:$E$79=$E80)*($Z$2:$CG$2=CX$3)*($Z$2:$CG$2&lt;CY$3)*$Z$4:$CG$79),CX$3&lt;YEAR($X80),0,CX$3=YEAR($X80),DATEDIF($X80,DATE(CX$3,12,31),"m")*$Y80,AND(CX$3&gt;YEAR($X80),CX$3-YEAR($X80)&lt;20),$Y80*12,CX$3-YEAR($X80)=20,DATEDIF(DATE(YEAR($X80),1,1),$X80,"m")*$Y80,CX$3-YEAR($X80)&gt;20,0)</f>
        <v>5508</v>
      </c>
      <c r="CY80" s="202" cm="1">
        <f t="array" ref="CY80">_xlfn.IFS(CY$3&lt;=YEAR($B$2),SUMPRODUCT(($E$4:$E$79=$E80)*($Z$2:$CG$2=CY$3)*($Z$2:$CG$2&lt;CZ$3)*$Z$4:$CG$79),CY$3&lt;YEAR($X80),0,CY$3=YEAR($X80),DATEDIF($X80,DATE(CY$3,12,31),"m")*$Y80,AND(CY$3&gt;YEAR($X80),CY$3-YEAR($X80)&lt;20),$Y80*12,CY$3-YEAR($X80)=20,DATEDIF(DATE(YEAR($X80),1,1),$X80,"m")*$Y80,CY$3-YEAR($X80)&gt;20,0)</f>
        <v>5508</v>
      </c>
      <c r="CZ80" s="202" cm="1">
        <f t="array" ref="CZ80">_xlfn.IFS(CZ$3&lt;=YEAR($B$2),SUMPRODUCT(($E$4:$E$79=$E80)*($Z$2:$CG$2=CZ$3)*($Z$2:$CG$2&lt;DA$3)*$Z$4:$CG$79),CZ$3&lt;YEAR($X80),0,CZ$3=YEAR($X80),DATEDIF($X80,DATE(CZ$3,12,31),"m")*$Y80,AND(CZ$3&gt;YEAR($X80),CZ$3-YEAR($X80)&lt;20),$Y80*12,CZ$3-YEAR($X80)=20,DATEDIF(DATE(YEAR($X80),1,1),$X80,"m")*$Y80,CZ$3-YEAR($X80)&gt;20,0)</f>
        <v>5508</v>
      </c>
      <c r="DA80" s="202" cm="1">
        <f t="array" ref="DA80">_xlfn.IFS(DA$3&lt;=YEAR($B$2),SUMPRODUCT(($E$4:$E$79=$E80)*($Z$2:$CG$2=DA$3)*($Z$2:$CG$2&lt;DB$3)*$Z$4:$CG$79),DA$3&lt;YEAR($X80),0,DA$3=YEAR($X80),DATEDIF($X80,DATE(DA$3,12,31),"m")*$Y80,AND(DA$3&gt;YEAR($X80),DA$3-YEAR($X80)&lt;20),$Y80*12,DA$3-YEAR($X80)=20,DATEDIF(DATE(YEAR($X80),1,1),$X80,"m")*$Y80,DA$3-YEAR($X80)&gt;20,0)</f>
        <v>5508</v>
      </c>
      <c r="DB80" s="202" cm="1">
        <f t="array" ref="DB80">_xlfn.IFS(DB$3&lt;=YEAR($B$2),SUMPRODUCT(($E$4:$E$79=$E80)*($Z$2:$CG$2=DB$3)*($Z$2:$CG$2&lt;DC$3)*$Z$4:$CG$79),DB$3&lt;YEAR($X80),0,DB$3=YEAR($X80),DATEDIF($X80,DATE(DB$3,12,31),"m")*$Y80,AND(DB$3&gt;YEAR($X80),DB$3-YEAR($X80)&lt;20),$Y80*12,DB$3-YEAR($X80)=20,DATEDIF(DATE(YEAR($X80),1,1),$X80,"m")*$Y80,DB$3-YEAR($X80)&gt;20,0)</f>
        <v>5508</v>
      </c>
      <c r="DC80" s="202" cm="1">
        <f t="array" ref="DC80">_xlfn.IFS(DC$3&lt;=YEAR($B$2),SUMPRODUCT(($E$4:$E$79=$E80)*($Z$2:$CG$2=DC$3)*($Z$2:$CG$2&lt;DD$3)*$Z$4:$CG$79),DC$3&lt;YEAR($X80),0,DC$3=YEAR($X80),DATEDIF($X80,DATE(DC$3,12,31),"m")*$Y80,AND(DC$3&gt;YEAR($X80),DC$3-YEAR($X80)&lt;20),$Y80*12,DC$3-YEAR($X80)=20,DATEDIF(DATE(YEAR($X80),1,1),$X80,"m")*$Y80,DC$3-YEAR($X80)&gt;20,0)</f>
        <v>5508</v>
      </c>
      <c r="DD80" s="202" cm="1">
        <f t="array" ref="DD80">_xlfn.IFS(DD$3&lt;=YEAR($B$2),SUMPRODUCT(($E$4:$E$79=$E80)*($Z$2:$CG$2=DD$3)*($Z$2:$CG$2&lt;DE$3)*$Z$4:$CG$79),DD$3&lt;YEAR($X80),0,DD$3=YEAR($X80),DATEDIF($X80,DATE(DD$3,12,31),"m")*$Y80,AND(DD$3&gt;YEAR($X80),DD$3-YEAR($X80)&lt;20),$Y80*12,DD$3-YEAR($X80)=20,DATEDIF(DATE(YEAR($X80),1,1),$X80,"m")*$Y80,DD$3-YEAR($X80)&gt;20,0)</f>
        <v>5508</v>
      </c>
      <c r="DE80" s="202" cm="1">
        <f t="array" ref="DE80">_xlfn.IFS(DE$3&lt;=YEAR($B$2),SUMPRODUCT(($E$4:$E$79=$E80)*($Z$2:$CG$2=DE$3)*($Z$2:$CG$2&lt;DF$3)*$Z$4:$CG$79),DE$3&lt;YEAR($X80),0,DE$3=YEAR($X80),DATEDIF($X80,DATE(DE$3,12,31),"m")*$Y80,AND(DE$3&gt;YEAR($X80),DE$3-YEAR($X80)&lt;20),$Y80*12,DE$3-YEAR($X80)=20,DATEDIF(DATE(YEAR($X80),1,1),$X80,"m")*$Y80,DE$3-YEAR($X80)&gt;20,0)</f>
        <v>5508</v>
      </c>
      <c r="DF80" s="202" cm="1">
        <f t="array" ref="DF80">_xlfn.IFS(DF$3&lt;=YEAR($B$2),SUMPRODUCT(($E$4:$E$79=$E80)*($Z$2:$CG$2=DF$3)*($Z$2:$CG$2&lt;DG$3)*$Z$4:$CG$79),DF$3&lt;YEAR($X80),0,DF$3=YEAR($X80),DATEDIF($X80,DATE(DF$3,12,31),"m")*$Y80,AND(DF$3&gt;YEAR($X80),DF$3-YEAR($X80)&lt;20),$Y80*12,DF$3-YEAR($X80)=20,DATEDIF(DATE(YEAR($X80),1,1),$X80,"m")*$Y80,DF$3-YEAR($X80)&gt;20,0)</f>
        <v>5508</v>
      </c>
      <c r="DG80" s="202" cm="1">
        <f t="array" ref="DG80">_xlfn.IFS(DG$3&lt;=YEAR($B$2),SUMPRODUCT(($E$4:$E$79=$E80)*($Z$2:$CG$2=DG$3)*($Z$2:$CG$2&lt;DH$3)*$Z$4:$CG$79),DG$3&lt;YEAR($X80),0,DG$3=YEAR($X80),DATEDIF($X80,DATE(DG$3,12,31),"m")*$Y80,AND(DG$3&gt;YEAR($X80),DG$3-YEAR($X80)&lt;20),$Y80*12,DG$3-YEAR($X80)=20,DATEDIF(DATE(YEAR($X80),1,1),$X80,"m")*$Y80,DG$3-YEAR($X80)&gt;20,0)</f>
        <v>5508</v>
      </c>
      <c r="DH80" s="202" cm="1">
        <f t="array" ref="DH80">_xlfn.IFS(DH$3&lt;=YEAR($B$2),SUMPRODUCT(($E$4:$E$79=$E80)*($Z$2:$CG$2=DH$3)*($Z$2:$CG$2&lt;DI$3)*$Z$4:$CG$79),DH$3&lt;YEAR($X80),0,DH$3=YEAR($X80),DATEDIF($X80,DATE(DH$3,12,31),"m")*$Y80,AND(DH$3&gt;YEAR($X80),DH$3-YEAR($X80)&lt;20),$Y80*12,DH$3-YEAR($X80)=20,DATEDIF(DATE(YEAR($X80),1,1),$X80,"m")*$Y80,DH$3-YEAR($X80)&gt;20,0)</f>
        <v>5508</v>
      </c>
      <c r="DI80" s="202" cm="1">
        <f t="array" ref="DI80">_xlfn.IFS(DI$3&lt;=YEAR($B$2),SUMPRODUCT(($E$4:$E$79=$E80)*($Z$2:$CG$2=DI$3)*($Z$2:$CG$2&lt;DJ$3)*$Z$4:$CG$79),DI$3&lt;YEAR($X80),0,DI$3=YEAR($X80),DATEDIF($X80,DATE(DI$3,12,31),"m")*$Y80,AND(DI$3&gt;YEAR($X80),DI$3-YEAR($X80)&lt;20),$Y80*12,DI$3-YEAR($X80)=20,DATEDIF(DATE(YEAR($X80),1,1),$X80,"m")*$Y80,DI$3-YEAR($X80)&gt;20,0)</f>
        <v>2295</v>
      </c>
      <c r="DJ80" s="202" cm="1">
        <f t="array" ref="DJ80">_xlfn.IFS(DJ$3&lt;=YEAR($B$2),SUMPRODUCT(($E$4:$E$79=$E80)*($Z$2:$CG$2=DJ$3)*($Z$2:$CG$2&lt;DK$3)*$Z$4:$CG$79),DJ$3&lt;YEAR($X80),0,DJ$3=YEAR($X80),DATEDIF($X80,DATE(DJ$3,12,31),"m")*$Y80,AND(DJ$3&gt;YEAR($X80),DJ$3-YEAR($X80)&lt;20),$Y80*12,DJ$3-YEAR($X80)=20,DATEDIF(DATE(YEAR($X80),1,1),$X80,"m")*$Y80,DJ$3-YEAR($X80)&gt;20,0)</f>
        <v>0</v>
      </c>
      <c r="DK80" s="202" cm="1">
        <f t="array" ref="DK80">_xlfn.IFS(DK$3&lt;=YEAR($B$2),SUMPRODUCT(($E$4:$E$79=$E80)*($Z$2:$CG$2=DK$3)*($Z$2:$CG$2&lt;DL$3)*$Z$4:$CG$79),DK$3&lt;YEAR($X80),0,DK$3=YEAR($X80),DATEDIF($X80,DATE(DK$3,12,31),"m")*$Y80,AND(DK$3&gt;YEAR($X80),DK$3-YEAR($X80)&lt;20),$Y80*12,DK$3-YEAR($X80)=20,DATEDIF(DATE(YEAR($X80),1,1),$X80,"m")*$Y80,DK$3-YEAR($X80)&gt;20,0)</f>
        <v>0</v>
      </c>
      <c r="DL80" s="202" cm="1">
        <f t="array" ref="DL80">_xlfn.IFS(DL$3&lt;=YEAR($B$2),SUMPRODUCT(($E$4:$E$79=$E80)*($Z$2:$CG$2=DL$3)*($Z$2:$CG$2&lt;DM$3)*$Z$4:$CG$79),DL$3&lt;YEAR($X80),0,DL$3=YEAR($X80),DATEDIF($X80,DATE(DL$3,12,31),"m")*$Y80,AND(DL$3&gt;YEAR($X80),DL$3-YEAR($X80)&lt;20),$Y80*12,DL$3-YEAR($X80)=20,DATEDIF(DATE(YEAR($X80),1,1),$X80,"m")*$Y80,DL$3-YEAR($X80)&gt;20,0)</f>
        <v>0</v>
      </c>
    </row>
    <row r="81" spans="1:116">
      <c r="A81" s="246" t="s">
        <v>375</v>
      </c>
      <c r="B81" s="155" t="str" cm="1">
        <f t="array" ref="B81">_xlfn.IFS(LEFT(E81,3)="PGE","PGE",LEFT(E81,2)="PP","PAC",TRUE,"IP")</f>
        <v>PGE</v>
      </c>
      <c r="C81" s="155" t="str">
        <f>IF(ISNA(MATCH(E81,'Monthly Report July 2025'!E:E,0)),"Missing","Present")</f>
        <v>Present</v>
      </c>
      <c r="D81" s="155" t="str">
        <f>IF(ISNA(MATCH(E81,'Project Operational Timelines'!C:C,0))=TRUE,"Missing","Present")</f>
        <v>Present</v>
      </c>
      <c r="E81" s="155" t="s">
        <v>189</v>
      </c>
      <c r="F81" s="245" t="s">
        <v>376</v>
      </c>
      <c r="G81" s="155" t="str" cm="1">
        <f t="array" ref="G81">_xlfn.IFS(INDEX('Monthly Report July 2025'!O:O,MATCH(E81,'Monthly Report July 2025'!E:E,0),0)="Operational","Operational",INDEX('Monthly Report July 2025'!O:O,MATCH(E81,'Monthly Report July 2025'!E:E,0),0)="Certified","Certified",TRUE,"Pre-Certified")</f>
        <v>Pre-Certified</v>
      </c>
      <c r="H81" s="245" t="s">
        <v>377</v>
      </c>
      <c r="I81" s="245" t="s">
        <v>377</v>
      </c>
      <c r="J81" s="174" cm="1">
        <f t="array" ref="J81">INDEX('Monthly Report July 2025'!J:J,MATCH($E81,'Monthly Report July 2025'!$E:$E,0),0)</f>
        <v>2</v>
      </c>
      <c r="K81" s="174" t="str" cm="1">
        <f t="array" ref="K81">INDEX('Monthly Report July 2025'!K:K,MATCH($E81,'Monthly Report July 2025'!$E:$E,0),0)</f>
        <v>Yes</v>
      </c>
      <c r="L81" s="174" t="b" cm="1">
        <f t="array" ref="L81">INDEX('Monthly Report July 2025'!L:L,MATCH(E81,'Monthly Report July 2025'!E:E,0),0)=M81</f>
        <v>1</v>
      </c>
      <c r="M81" s="273" cm="1">
        <f t="array" ref="M81">INDEX('Monthly Report July 2025'!L:L,MATCH($E81,'Monthly Report July 2025'!$E:$E,0),0)</f>
        <v>2750</v>
      </c>
      <c r="N81" s="175" cm="1">
        <f t="array" ref="N81">INDEX('Monthly Report July 2025'!M:M,MATCH($E81,'Monthly Report July 2025'!$E:$E,0),0)</f>
        <v>45752</v>
      </c>
      <c r="O81" s="175" cm="1">
        <f t="array" ref="O81">_xlfn.IFS(G81="Operational","Operational",G81="Certified","Certified",TRUE,INDEX('Monthly Report July 2025'!O:O,MATCH(E81,'Monthly Report July 2025'!E:E,0),0))</f>
        <v>46300</v>
      </c>
      <c r="Q81" s="175" t="str" cm="1">
        <f t="array" ref="Q81">IF(O81="Operational",INDEX('Monthly Report July 2025'!R:R,MATCH(E81,'Monthly Report July 2025'!E:E,0),0),"")</f>
        <v/>
      </c>
      <c r="R81" s="175" cm="1">
        <f t="array" ref="R81">INDEX('Monthly Report July 2025'!P:P,MATCH(E81,'Monthly Report July 2025'!E:E,0),0)</f>
        <v>46300</v>
      </c>
      <c r="T81" s="175" cm="1">
        <f t="array" ref="T81">INDEX('Monthly Report July 2025'!U:U,MATCH(E81,'Monthly Report July 2025'!E:E,0),0)</f>
        <v>46203</v>
      </c>
      <c r="U81" s="175" t="b">
        <f t="shared" si="34"/>
        <v>1</v>
      </c>
      <c r="V81" s="156">
        <f t="shared" si="36"/>
        <v>46300</v>
      </c>
      <c r="W81" s="156" cm="1">
        <f t="array" ref="W81">_xlfn.IFS(U81=TRUE,EDATE(O81,6),U81=FALSE,T81,O81="Operational",Q81,AND(O81="Certified",EDATE(R81,6)&gt;T81),EDATE(R81,6),TRUE,T81)</f>
        <v>46482</v>
      </c>
      <c r="X81" s="156">
        <f t="shared" si="37"/>
        <v>46543</v>
      </c>
      <c r="Y81" s="157">
        <f t="shared" si="35"/>
        <v>1051.875</v>
      </c>
      <c r="Z81" s="202" cm="1">
        <f t="array" ref="Z81">_xlfn.IFS(Z$3&lt;$B$2,SUMPRODUCT(('PA Fees Actual'!$B$5:$B$882=$E81)*('PA Fees Actual'!$A$5:$A$882&gt;=Z$3)*('PA Fees Actual'!$A$5:$A$882&lt;=EOMONTH(Z$3,0))*'PA Fees Actual'!$D$5:$D$882),Z$3&gt;=EOMONTH($X81,-1)+1,$Y81,TRUE,0)</f>
        <v>0</v>
      </c>
      <c r="AA81" s="202" cm="1">
        <f t="array" ref="AA81">_xlfn.IFS(AA$3&lt;$B$2,SUMPRODUCT(('PA Fees Actual'!$B$5:$B$882=$E81)*('PA Fees Actual'!$A$5:$A$882&gt;=AA$3)*('PA Fees Actual'!$A$5:$A$882&lt;=EOMONTH(AA$3,0))*'PA Fees Actual'!$D$5:$D$882),AA$3&gt;=EOMONTH($X81,-1)+1,$Y81,TRUE,0)</f>
        <v>0</v>
      </c>
      <c r="AB81" s="202" cm="1">
        <f t="array" ref="AB81">_xlfn.IFS(AB$3&lt;$B$2,SUMPRODUCT(('PA Fees Actual'!$B$5:$B$882=$E81)*('PA Fees Actual'!$A$5:$A$882&gt;=AB$3)*('PA Fees Actual'!$A$5:$A$882&lt;=EOMONTH(AB$3,0))*'PA Fees Actual'!$D$5:$D$882),AB$3&gt;=EOMONTH($X81,-1)+1,$Y81,TRUE,0)</f>
        <v>0</v>
      </c>
      <c r="AC81" s="202" cm="1">
        <f t="array" ref="AC81">_xlfn.IFS(AC$3&lt;$B$2,SUMPRODUCT(('PA Fees Actual'!$B$5:$B$882=$E81)*('PA Fees Actual'!$A$5:$A$882&gt;=AC$3)*('PA Fees Actual'!$A$5:$A$882&lt;=EOMONTH(AC$3,0))*'PA Fees Actual'!$D$5:$D$882),AC$3&gt;=EOMONTH($X81,-1)+1,$Y81,TRUE,0)</f>
        <v>0</v>
      </c>
      <c r="AD81" s="202" cm="1">
        <f t="array" ref="AD81">_xlfn.IFS(AD$3&lt;$B$2,SUMPRODUCT(('PA Fees Actual'!$B$5:$B$882=$E81)*('PA Fees Actual'!$A$5:$A$882&gt;=AD$3)*('PA Fees Actual'!$A$5:$A$882&lt;=EOMONTH(AD$3,0))*'PA Fees Actual'!$D$5:$D$882),AD$3&gt;=EOMONTH($X81,-1)+1,$Y81,TRUE,0)</f>
        <v>0</v>
      </c>
      <c r="AE81" s="202" cm="1">
        <f t="array" ref="AE81">_xlfn.IFS(AE$3&lt;$B$2,SUMPRODUCT(('PA Fees Actual'!$B$5:$B$882=$E81)*('PA Fees Actual'!$A$5:$A$882&gt;=AE$3)*('PA Fees Actual'!$A$5:$A$882&lt;=EOMONTH(AE$3,0))*'PA Fees Actual'!$D$5:$D$882),AE$3&gt;=EOMONTH($X81,-1)+1,$Y81,TRUE,0)</f>
        <v>0</v>
      </c>
      <c r="AF81" s="202" cm="1">
        <f t="array" ref="AF81">_xlfn.IFS(AF$3&lt;$B$2,SUMPRODUCT(('PA Fees Actual'!$B$5:$B$882=$E81)*('PA Fees Actual'!$A$5:$A$882&gt;=AF$3)*('PA Fees Actual'!$A$5:$A$882&lt;=EOMONTH(AF$3,0))*'PA Fees Actual'!$D$5:$D$882),AF$3&gt;=EOMONTH($X81,-1)+1,$Y81,TRUE,0)</f>
        <v>0</v>
      </c>
      <c r="AG81" s="202" cm="1">
        <f t="array" ref="AG81">_xlfn.IFS(AG$3&lt;$B$2,SUMPRODUCT(('PA Fees Actual'!$B$5:$B$882=$E81)*('PA Fees Actual'!$A$5:$A$882&gt;=AG$3)*('PA Fees Actual'!$A$5:$A$882&lt;=EOMONTH(AG$3,0))*'PA Fees Actual'!$D$5:$D$882),AG$3&gt;=EOMONTH($X81,-1)+1,$Y81,TRUE,0)</f>
        <v>0</v>
      </c>
      <c r="AH81" s="202" cm="1">
        <f t="array" ref="AH81">_xlfn.IFS(AH$3&lt;$B$2,SUMPRODUCT(('PA Fees Actual'!$B$5:$B$882=$E81)*('PA Fees Actual'!$A$5:$A$882&gt;=AH$3)*('PA Fees Actual'!$A$5:$A$882&lt;=EOMONTH(AH$3,0))*'PA Fees Actual'!$D$5:$D$882),AH$3&gt;=EOMONTH($X81,-1)+1,$Y81,TRUE,0)</f>
        <v>0</v>
      </c>
      <c r="AI81" s="202" cm="1">
        <f t="array" ref="AI81">_xlfn.IFS(AI$3&lt;$B$2,SUMPRODUCT(('PA Fees Actual'!$B$5:$B$882=$E81)*('PA Fees Actual'!$A$5:$A$882&gt;=AI$3)*('PA Fees Actual'!$A$5:$A$882&lt;=EOMONTH(AI$3,0))*'PA Fees Actual'!$D$5:$D$882),AI$3&gt;=EOMONTH($X81,-1)+1,$Y81,TRUE,0)</f>
        <v>0</v>
      </c>
      <c r="AJ81" s="202" cm="1">
        <f t="array" ref="AJ81">_xlfn.IFS(AJ$3&lt;$B$2,SUMPRODUCT(('PA Fees Actual'!$B$5:$B$882=$E81)*('PA Fees Actual'!$A$5:$A$882&gt;=AJ$3)*('PA Fees Actual'!$A$5:$A$882&lt;=EOMONTH(AJ$3,0))*'PA Fees Actual'!$D$5:$D$882),AJ$3&gt;=EOMONTH($X81,-1)+1,$Y81,TRUE,0)</f>
        <v>0</v>
      </c>
      <c r="AK81" s="202" cm="1">
        <f t="array" ref="AK81">_xlfn.IFS(AK$3&lt;$B$2,SUMPRODUCT(('PA Fees Actual'!$B$5:$B$882=$E81)*('PA Fees Actual'!$A$5:$A$882&gt;=AK$3)*('PA Fees Actual'!$A$5:$A$882&lt;=EOMONTH(AK$3,0))*'PA Fees Actual'!$D$5:$D$882),AK$3&gt;=EOMONTH($X81,-1)+1,$Y81,TRUE,0)</f>
        <v>0</v>
      </c>
      <c r="AL81" s="202" cm="1">
        <f t="array" ref="AL81">_xlfn.IFS(AL$3&lt;$B$2,SUMPRODUCT(('PA Fees Actual'!$B$5:$B$882=$E81)*('PA Fees Actual'!$A$5:$A$882&gt;=AL$3)*('PA Fees Actual'!$A$5:$A$882&lt;=EOMONTH(AL$3,0))*'PA Fees Actual'!$D$5:$D$882),AL$3&gt;=EOMONTH($X81,-1)+1,$Y81,TRUE,0)</f>
        <v>0</v>
      </c>
      <c r="AM81" s="202" cm="1">
        <f t="array" ref="AM81">_xlfn.IFS(AM$3&lt;$B$2,SUMPRODUCT(('PA Fees Actual'!$B$5:$B$882=$E81)*('PA Fees Actual'!$A$5:$A$882&gt;=AM$3)*('PA Fees Actual'!$A$5:$A$882&lt;=EOMONTH(AM$3,0))*'PA Fees Actual'!$D$5:$D$882),AM$3&gt;=EOMONTH($X81,-1)+1,$Y81,TRUE,0)</f>
        <v>0</v>
      </c>
      <c r="AN81" s="202" cm="1">
        <f t="array" ref="AN81">_xlfn.IFS(AN$3&lt;$B$2,SUMPRODUCT(('PA Fees Actual'!$B$5:$B$882=$E81)*('PA Fees Actual'!$A$5:$A$882&gt;=AN$3)*('PA Fees Actual'!$A$5:$A$882&lt;=EOMONTH(AN$3,0))*'PA Fees Actual'!$D$5:$D$882),AN$3&gt;=EOMONTH($X81,-1)+1,$Y81,TRUE,0)</f>
        <v>0</v>
      </c>
      <c r="AO81" s="202" cm="1">
        <f t="array" ref="AO81">_xlfn.IFS(AO$3&lt;$B$2,SUMPRODUCT(('PA Fees Actual'!$B$5:$B$882=$E81)*('PA Fees Actual'!$A$5:$A$882&gt;=AO$3)*('PA Fees Actual'!$A$5:$A$882&lt;=EOMONTH(AO$3,0))*'PA Fees Actual'!$D$5:$D$882),AO$3&gt;=EOMONTH($X81,-1)+1,$Y81,TRUE,0)</f>
        <v>0</v>
      </c>
      <c r="AP81" s="202" cm="1">
        <f t="array" ref="AP81">_xlfn.IFS(AP$3&lt;$B$2,SUMPRODUCT(('PA Fees Actual'!$B$5:$B$882=$E81)*('PA Fees Actual'!$A$5:$A$882&gt;=AP$3)*('PA Fees Actual'!$A$5:$A$882&lt;=EOMONTH(AP$3,0))*'PA Fees Actual'!$D$5:$D$882),AP$3&gt;=EOMONTH($X81,-1)+1,$Y81,TRUE,0)</f>
        <v>0</v>
      </c>
      <c r="AQ81" s="202" cm="1">
        <f t="array" ref="AQ81">_xlfn.IFS(AQ$3&lt;$B$2,SUMPRODUCT(('PA Fees Actual'!$B$5:$B$882=$E81)*('PA Fees Actual'!$A$5:$A$882&gt;=AQ$3)*('PA Fees Actual'!$A$5:$A$882&lt;=EOMONTH(AQ$3,0))*'PA Fees Actual'!$D$5:$D$882),AQ$3&gt;=EOMONTH($X81,-1)+1,$Y81,TRUE,0)</f>
        <v>0</v>
      </c>
      <c r="AR81" s="202" cm="1">
        <f t="array" ref="AR81">_xlfn.IFS(AR$3&lt;$B$2,SUMPRODUCT(('PA Fees Actual'!$B$5:$B$882=$E81)*('PA Fees Actual'!$A$5:$A$882&gt;=AR$3)*('PA Fees Actual'!$A$5:$A$882&lt;=EOMONTH(AR$3,0))*'PA Fees Actual'!$D$5:$D$882),AR$3&gt;=EOMONTH($X81,-1)+1,$Y81,TRUE,0)</f>
        <v>0</v>
      </c>
      <c r="AS81" s="202" cm="1">
        <f t="array" ref="AS81">_xlfn.IFS(AS$3&lt;$B$2,SUMPRODUCT(('PA Fees Actual'!$B$5:$B$882=$E81)*('PA Fees Actual'!$A$5:$A$882&gt;=AS$3)*('PA Fees Actual'!$A$5:$A$882&lt;=EOMONTH(AS$3,0))*'PA Fees Actual'!$D$5:$D$882),AS$3&gt;=EOMONTH($X81,-1)+1,$Y81,TRUE,0)</f>
        <v>0</v>
      </c>
      <c r="AT81" s="202" cm="1">
        <f t="array" ref="AT81">_xlfn.IFS(AT$3&lt;$B$2,SUMPRODUCT(('PA Fees Actual'!$B$5:$B$882=$E81)*('PA Fees Actual'!$A$5:$A$882&gt;=AT$3)*('PA Fees Actual'!$A$5:$A$882&lt;=EOMONTH(AT$3,0))*'PA Fees Actual'!$D$5:$D$882),AT$3&gt;=EOMONTH($X81,-1)+1,$Y81,TRUE,0)</f>
        <v>0</v>
      </c>
      <c r="AU81" s="202" cm="1">
        <f t="array" ref="AU81">_xlfn.IFS(AU$3&lt;$B$2,SUMPRODUCT(('PA Fees Actual'!$B$5:$B$882=$E81)*('PA Fees Actual'!$A$5:$A$882&gt;=AU$3)*('PA Fees Actual'!$A$5:$A$882&lt;=EOMONTH(AU$3,0))*'PA Fees Actual'!$D$5:$D$882),AU$3&gt;=EOMONTH($X81,-1)+1,$Y81,TRUE,0)</f>
        <v>0</v>
      </c>
      <c r="AV81" s="202" cm="1">
        <f t="array" ref="AV81">_xlfn.IFS(AV$3&lt;$B$2,SUMPRODUCT(('PA Fees Actual'!$B$5:$B$882=$E81)*('PA Fees Actual'!$A$5:$A$882&gt;=AV$3)*('PA Fees Actual'!$A$5:$A$882&lt;=EOMONTH(AV$3,0))*'PA Fees Actual'!$D$5:$D$882),AV$3&gt;=EOMONTH($X81,-1)+1,$Y81,TRUE,0)</f>
        <v>0</v>
      </c>
      <c r="AW81" s="202" cm="1">
        <f t="array" ref="AW81">_xlfn.IFS(AW$3&lt;$B$2,SUMPRODUCT(('PA Fees Actual'!$B$5:$B$882=$E81)*('PA Fees Actual'!$A$5:$A$882&gt;=AW$3)*('PA Fees Actual'!$A$5:$A$882&lt;=EOMONTH(AW$3,0))*'PA Fees Actual'!$D$5:$D$882),AW$3&gt;=EOMONTH($X81,-1)+1,$Y81,TRUE,0)</f>
        <v>0</v>
      </c>
      <c r="AX81" s="202" cm="1">
        <f t="array" ref="AX81">_xlfn.IFS(AX$3&lt;$B$2,SUMPRODUCT(('PA Fees Actual'!$B$5:$B$882=$E81)*('PA Fees Actual'!$A$5:$A$882&gt;=AX$3)*('PA Fees Actual'!$A$5:$A$882&lt;=EOMONTH(AX$3,0))*'PA Fees Actual'!$D$5:$D$882),AX$3&gt;=EOMONTH($X81,-1)+1,$Y81,TRUE,0)</f>
        <v>0</v>
      </c>
      <c r="AY81" s="202" cm="1">
        <f t="array" ref="AY81">_xlfn.IFS(AY$3&lt;$B$2,SUMPRODUCT(('PA Fees Actual'!$B$5:$B$882=$E81)*('PA Fees Actual'!$A$5:$A$882&gt;=AY$3)*('PA Fees Actual'!$A$5:$A$882&lt;=EOMONTH(AY$3,0))*'PA Fees Actual'!$D$5:$D$882),AY$3&gt;=EOMONTH($X81,-1)+1,$Y81,TRUE,0)</f>
        <v>0</v>
      </c>
      <c r="AZ81" s="202" cm="1">
        <f t="array" ref="AZ81">_xlfn.IFS(AZ$3&lt;$B$2,SUMPRODUCT(('PA Fees Actual'!$B$5:$B$882=$E81)*('PA Fees Actual'!$A$5:$A$882&gt;=AZ$3)*('PA Fees Actual'!$A$5:$A$882&lt;=EOMONTH(AZ$3,0))*'PA Fees Actual'!$D$5:$D$882),AZ$3&gt;=EOMONTH($X81,-1)+1,$Y81,TRUE,0)</f>
        <v>0</v>
      </c>
      <c r="BA81" s="202" cm="1">
        <f t="array" ref="BA81">_xlfn.IFS(BA$3&lt;$B$2,SUMPRODUCT(('PA Fees Actual'!$B$5:$B$882=$E81)*('PA Fees Actual'!$A$5:$A$882&gt;=BA$3)*('PA Fees Actual'!$A$5:$A$882&lt;=EOMONTH(BA$3,0))*'PA Fees Actual'!$D$5:$D$882),BA$3&gt;=EOMONTH($X81,-1)+1,$Y81,TRUE,0)</f>
        <v>0</v>
      </c>
      <c r="BB81" s="202" cm="1">
        <f t="array" ref="BB81">_xlfn.IFS(BB$3&lt;$B$2,SUMPRODUCT(('PA Fees Actual'!$B$5:$B$882=$E81)*('PA Fees Actual'!$A$5:$A$882&gt;=BB$3)*('PA Fees Actual'!$A$5:$A$882&lt;=EOMONTH(BB$3,0))*'PA Fees Actual'!$D$5:$D$882),BB$3&gt;=EOMONTH($X81,-1)+1,$Y81,TRUE,0)</f>
        <v>0</v>
      </c>
      <c r="BC81" s="202" cm="1">
        <f t="array" ref="BC81">_xlfn.IFS(BC$3&lt;$B$2,SUMPRODUCT(('PA Fees Actual'!$B$5:$B$882=$E81)*('PA Fees Actual'!$A$5:$A$882&gt;=BC$3)*('PA Fees Actual'!$A$5:$A$882&lt;=EOMONTH(BC$3,0))*'PA Fees Actual'!$D$5:$D$882),BC$3&gt;=EOMONTH($X81,-1)+1,$Y81,TRUE,0)</f>
        <v>0</v>
      </c>
      <c r="BD81" s="202" cm="1">
        <f t="array" ref="BD81">_xlfn.IFS(BD$3&lt;$B$2,SUMPRODUCT(('PA Fees Actual'!$B$5:$B$882=$E81)*('PA Fees Actual'!$A$5:$A$882&gt;=BD$3)*('PA Fees Actual'!$A$5:$A$882&lt;=EOMONTH(BD$3,0))*'PA Fees Actual'!$D$5:$D$882),BD$3&gt;=EOMONTH($X81,-1)+1,$Y81,TRUE,0)</f>
        <v>0</v>
      </c>
      <c r="BE81" s="202" cm="1">
        <f t="array" ref="BE81">_xlfn.IFS(BE$3&lt;$B$2,SUMPRODUCT(('PA Fees Actual'!$B$5:$B$882=$E81)*('PA Fees Actual'!$A$5:$A$882&gt;=BE$3)*('PA Fees Actual'!$A$5:$A$882&lt;=EOMONTH(BE$3,0))*'PA Fees Actual'!$D$5:$D$882),BE$3&gt;=EOMONTH($X81,-1)+1,$Y81,TRUE,0)</f>
        <v>0</v>
      </c>
      <c r="BF81" s="202" cm="1">
        <f t="array" ref="BF81">_xlfn.IFS(BF$3&lt;$B$2,SUMPRODUCT(('PA Fees Actual'!$B$5:$B$882=$E81)*('PA Fees Actual'!$A$5:$A$882&gt;=BF$3)*('PA Fees Actual'!$A$5:$A$882&lt;=EOMONTH(BF$3,0))*'PA Fees Actual'!$D$5:$D$882),BF$3&gt;=EOMONTH($X81,-1)+1,$Y81,TRUE,0)</f>
        <v>0</v>
      </c>
      <c r="BG81" s="202" cm="1">
        <f t="array" ref="BG81">_xlfn.IFS(BG$3&lt;$B$2,SUMPRODUCT(('PA Fees Actual'!$B$5:$B$882=$E81)*('PA Fees Actual'!$A$5:$A$882&gt;=BG$3)*('PA Fees Actual'!$A$5:$A$882&lt;=EOMONTH(BG$3,0))*'PA Fees Actual'!$D$5:$D$882),BG$3&gt;=EOMONTH($X81,-1)+1,$Y81,TRUE,0)</f>
        <v>0</v>
      </c>
      <c r="BH81" s="202" cm="1">
        <f t="array" ref="BH81">_xlfn.IFS(BH$3&lt;$B$2,SUMPRODUCT(('PA Fees Actual'!$B$5:$B$882=$E81)*('PA Fees Actual'!$A$5:$A$882&gt;=BH$3)*('PA Fees Actual'!$A$5:$A$882&lt;=EOMONTH(BH$3,0))*'PA Fees Actual'!$D$5:$D$882),BH$3&gt;=EOMONTH($X81,-1)+1,$Y81,TRUE,0)</f>
        <v>0</v>
      </c>
      <c r="BI81" s="202" cm="1">
        <f t="array" ref="BI81">_xlfn.IFS(BI$3&lt;$B$2,SUMPRODUCT(('PA Fees Actual'!$B$5:$B$882=$E81)*('PA Fees Actual'!$A$5:$A$882&gt;=BI$3)*('PA Fees Actual'!$A$5:$A$882&lt;=EOMONTH(BI$3,0))*'PA Fees Actual'!$D$5:$D$882),BI$3&gt;=EOMONTH($X81,-1)+1,$Y81,TRUE,0)</f>
        <v>0</v>
      </c>
      <c r="BJ81" s="202" cm="1">
        <f t="array" ref="BJ81">_xlfn.IFS(BJ$3&lt;$B$2,SUMPRODUCT(('PA Fees Actual'!$B$5:$B$882=$E81)*('PA Fees Actual'!$A$5:$A$882&gt;=BJ$3)*('PA Fees Actual'!$A$5:$A$882&lt;=EOMONTH(BJ$3,0))*'PA Fees Actual'!$D$5:$D$882),BJ$3&gt;=EOMONTH($X81,-1)+1,$Y81,TRUE,0)</f>
        <v>0</v>
      </c>
      <c r="BK81" s="202" cm="1">
        <f t="array" ref="BK81">_xlfn.IFS(BK$3&lt;$B$2,SUMPRODUCT(('PA Fees Actual'!$B$5:$B$882=$E81)*('PA Fees Actual'!$A$5:$A$882&gt;=BK$3)*('PA Fees Actual'!$A$5:$A$882&lt;=EOMONTH(BK$3,0))*'PA Fees Actual'!$D$5:$D$882),BK$3&gt;=EOMONTH($X81,-1)+1,$Y81,TRUE,0)</f>
        <v>0</v>
      </c>
      <c r="BL81" s="202" cm="1">
        <f t="array" ref="BL81">_xlfn.IFS(BL$3&lt;$B$2,SUMPRODUCT(('PA Fees Actual'!$B$5:$B$882=$E81)*('PA Fees Actual'!$A$5:$A$882&gt;=BL$3)*('PA Fees Actual'!$A$5:$A$882&lt;=EOMONTH(BL$3,0))*'PA Fees Actual'!$D$5:$D$882),BL$3&gt;=EOMONTH($X81,-1)+1,$Y81,TRUE,0)</f>
        <v>0</v>
      </c>
      <c r="BM81" s="202" cm="1">
        <f t="array" ref="BM81">_xlfn.IFS(BM$3&lt;$B$2,SUMPRODUCT(('PA Fees Actual'!$B$5:$B$882=$E81)*('PA Fees Actual'!$A$5:$A$882&gt;=BM$3)*('PA Fees Actual'!$A$5:$A$882&lt;=EOMONTH(BM$3,0))*'PA Fees Actual'!$D$5:$D$882),BM$3&gt;=EOMONTH($X81,-1)+1,$Y81,TRUE,0)</f>
        <v>0</v>
      </c>
      <c r="BN81" s="202" cm="1">
        <f t="array" ref="BN81">_xlfn.IFS(BN$3&lt;$B$2,SUMPRODUCT(('PA Fees Actual'!$B$5:$B$882=$E81)*('PA Fees Actual'!$A$5:$A$882&gt;=BN$3)*('PA Fees Actual'!$A$5:$A$882&lt;=EOMONTH(BN$3,0))*'PA Fees Actual'!$D$5:$D$882),BN$3&gt;=EOMONTH($X81,-1)+1,$Y81,TRUE,0)</f>
        <v>0</v>
      </c>
      <c r="BO81" s="202" cm="1">
        <f t="array" ref="BO81">_xlfn.IFS(BO$3&lt;$B$2,SUMPRODUCT(('PA Fees Actual'!$B$5:$B$882=$E81)*('PA Fees Actual'!$A$5:$A$882&gt;=BO$3)*('PA Fees Actual'!$A$5:$A$882&lt;=EOMONTH(BO$3,0))*'PA Fees Actual'!$D$5:$D$882),BO$3&gt;=EOMONTH($X81,-1)+1,$Y81,TRUE,0)</f>
        <v>0</v>
      </c>
      <c r="BP81" s="202" cm="1">
        <f t="array" ref="BP81">_xlfn.IFS(BP$3&lt;$B$2,SUMPRODUCT(('PA Fees Actual'!$B$5:$B$882=$E81)*('PA Fees Actual'!$A$5:$A$882&gt;=BP$3)*('PA Fees Actual'!$A$5:$A$882&lt;=EOMONTH(BP$3,0))*'PA Fees Actual'!$D$5:$D$882),BP$3&gt;=EOMONTH($X81,-1)+1,$Y81,TRUE,0)</f>
        <v>0</v>
      </c>
      <c r="BQ81" s="202" cm="1">
        <f t="array" ref="BQ81">_xlfn.IFS(BQ$3&lt;$B$2,SUMPRODUCT(('PA Fees Actual'!$B$5:$B$882=$E81)*('PA Fees Actual'!$A$5:$A$882&gt;=BQ$3)*('PA Fees Actual'!$A$5:$A$882&lt;=EOMONTH(BQ$3,0))*'PA Fees Actual'!$D$5:$D$882),BQ$3&gt;=EOMONTH($X81,-1)+1,$Y81,TRUE,0)</f>
        <v>0</v>
      </c>
      <c r="BR81" s="202" cm="1">
        <f t="array" ref="BR81">_xlfn.IFS(BR$3&lt;$B$2,SUMPRODUCT(('PA Fees Actual'!$B$5:$B$882=$E81)*('PA Fees Actual'!$A$5:$A$882&gt;=BR$3)*('PA Fees Actual'!$A$5:$A$882&lt;=EOMONTH(BR$3,0))*'PA Fees Actual'!$D$5:$D$882),BR$3&gt;=EOMONTH($X81,-1)+1,$Y81,TRUE,0)</f>
        <v>0</v>
      </c>
      <c r="BS81" s="202" cm="1">
        <f t="array" ref="BS81">_xlfn.IFS(BS$3&lt;$B$2,SUMPRODUCT(('PA Fees Actual'!$B$5:$B$882=$E81)*('PA Fees Actual'!$A$5:$A$882&gt;=BS$3)*('PA Fees Actual'!$A$5:$A$882&lt;=EOMONTH(BS$3,0))*'PA Fees Actual'!$D$5:$D$882),BS$3&gt;=EOMONTH($X81,-1)+1,$Y81,TRUE,0)</f>
        <v>0</v>
      </c>
      <c r="BT81" s="202" cm="1">
        <f t="array" ref="BT81">_xlfn.IFS(BT$3&lt;$B$2,SUMPRODUCT(('PA Fees Actual'!$B$5:$B$882=$E81)*('PA Fees Actual'!$A$5:$A$882&gt;=BT$3)*('PA Fees Actual'!$A$5:$A$882&lt;=EOMONTH(BT$3,0))*'PA Fees Actual'!$D$5:$D$882),BT$3&gt;=EOMONTH($X81,-1)+1,$Y81,TRUE,0)</f>
        <v>0</v>
      </c>
      <c r="BU81" s="202" cm="1">
        <f t="array" ref="BU81">_xlfn.IFS(BU$3&lt;$B$2,SUMPRODUCT(('PA Fees Actual'!$B$5:$B$882=$E81)*('PA Fees Actual'!$A$5:$A$882&gt;=BU$3)*('PA Fees Actual'!$A$5:$A$882&lt;=EOMONTH(BU$3,0))*'PA Fees Actual'!$D$5:$D$882),BU$3&gt;=EOMONTH($X81,-1)+1,$Y81,TRUE,0)</f>
        <v>0</v>
      </c>
      <c r="BV81" s="202" cm="1">
        <f t="array" ref="BV81">_xlfn.IFS(BV$3&lt;$B$2,SUMPRODUCT(('PA Fees Actual'!$B$5:$B$882=$E81)*('PA Fees Actual'!$A$5:$A$882&gt;=BV$3)*('PA Fees Actual'!$A$5:$A$882&lt;=EOMONTH(BV$3,0))*'PA Fees Actual'!$D$5:$D$882),BV$3&gt;=EOMONTH($X81,-1)+1,$Y81,TRUE,0)</f>
        <v>0</v>
      </c>
      <c r="BW81" s="202" cm="1">
        <f t="array" ref="BW81">_xlfn.IFS(BW$3&lt;$B$2,SUMPRODUCT(('PA Fees Actual'!$B$5:$B$882=$E81)*('PA Fees Actual'!$A$5:$A$882&gt;=BW$3)*('PA Fees Actual'!$A$5:$A$882&lt;=EOMONTH(BW$3,0))*'PA Fees Actual'!$D$5:$D$882),BW$3&gt;=EOMONTH($X81,-1)+1,$Y81,TRUE,0)</f>
        <v>0</v>
      </c>
      <c r="BX81" s="202" cm="1">
        <f t="array" ref="BX81">_xlfn.IFS(BX$3&lt;$B$2,SUMPRODUCT(('PA Fees Actual'!$B$5:$B$882=$E81)*('PA Fees Actual'!$A$5:$A$882&gt;=BX$3)*('PA Fees Actual'!$A$5:$A$882&lt;=EOMONTH(BX$3,0))*'PA Fees Actual'!$D$5:$D$882),BX$3&gt;=EOMONTH($X81,-1)+1,$Y81,TRUE,0)</f>
        <v>0</v>
      </c>
      <c r="BY81" s="202" cm="1">
        <f t="array" ref="BY81">_xlfn.IFS(BY$3&lt;$B$2,SUMPRODUCT(('PA Fees Actual'!$B$5:$B$882=$E81)*('PA Fees Actual'!$A$5:$A$882&gt;=BY$3)*('PA Fees Actual'!$A$5:$A$882&lt;=EOMONTH(BY$3,0))*'PA Fees Actual'!$D$5:$D$882),BY$3&gt;=EOMONTH($X81,-1)+1,$Y81,TRUE,0)</f>
        <v>0</v>
      </c>
      <c r="BZ81" s="202" cm="1">
        <f t="array" ref="BZ81">_xlfn.IFS(BZ$3&lt;$B$2,SUMPRODUCT(('PA Fees Actual'!$B$5:$B$882=$E81)*('PA Fees Actual'!$A$5:$A$882&gt;=BZ$3)*('PA Fees Actual'!$A$5:$A$882&lt;=EOMONTH(BZ$3,0))*'PA Fees Actual'!$D$5:$D$882),BZ$3&gt;=EOMONTH($X81,-1)+1,$Y81,TRUE,0)</f>
        <v>0</v>
      </c>
      <c r="CA81" s="202" cm="1">
        <f t="array" ref="CA81">_xlfn.IFS(CA$3&lt;$B$2,SUMPRODUCT(('PA Fees Actual'!$B$5:$B$882=$E81)*('PA Fees Actual'!$A$5:$A$882&gt;=CA$3)*('PA Fees Actual'!$A$5:$A$882&lt;=EOMONTH(CA$3,0))*'PA Fees Actual'!$D$5:$D$882),CA$3&gt;=EOMONTH($X81,-1)+1,$Y81,TRUE,0)</f>
        <v>0</v>
      </c>
      <c r="CB81" s="202" cm="1">
        <f t="array" ref="CB81">_xlfn.IFS(CB$3&lt;$B$2,SUMPRODUCT(('PA Fees Actual'!$B$5:$B$749=$E81)*('PA Fees Actual'!$A$5:$A$749&gt;=CB$3)*('PA Fees Actual'!$A$5:$A$749&lt;=EOMONTH(CB$3,0))*'PA Fees Actual'!$D$5:$D$749),CB$3&gt;=EOMONTH($X81,-1)+1,$Y81,TRUE,0)</f>
        <v>0</v>
      </c>
      <c r="CC81" s="202" cm="1">
        <f t="array" ref="CC81">_xlfn.IFS(CC$3&lt;$B$2,SUMPRODUCT(('PA Fees Actual'!$B$5:$B$749=$E81)*('PA Fees Actual'!$A$5:$A$749&gt;=CC$3)*('PA Fees Actual'!$A$5:$A$749&lt;=EOMONTH(CC$3,0))*'PA Fees Actual'!$D$5:$D$749),CC$3&gt;=EOMONTH($X81,-1)+1,$Y81,TRUE,0)</f>
        <v>0</v>
      </c>
      <c r="CD81" s="202" cm="1">
        <f t="array" ref="CD81">_xlfn.IFS(CD$3&lt;$B$2,SUMPRODUCT(('PA Fees Actual'!$B$5:$B$749=$E81)*('PA Fees Actual'!$A$5:$A$749&gt;=CD$3)*('PA Fees Actual'!$A$5:$A$749&lt;=EOMONTH(CD$3,0))*'PA Fees Actual'!$D$5:$D$749),CD$3&gt;=EOMONTH($X81,-1)+1,$Y81,TRUE,0)</f>
        <v>0</v>
      </c>
      <c r="CE81" s="202" cm="1">
        <f t="array" ref="CE81">_xlfn.IFS(CE$3&lt;$B$2,SUMPRODUCT(('PA Fees Actual'!$B$5:$B$749=$E81)*('PA Fees Actual'!$A$5:$A$749&gt;=CE$3)*('PA Fees Actual'!$A$5:$A$749&lt;=EOMONTH(CE$3,0))*'PA Fees Actual'!$D$5:$D$749),CE$3&gt;=EOMONTH($X81,-1)+1,$Y81,TRUE,0)</f>
        <v>0</v>
      </c>
      <c r="CF81" s="202" cm="1">
        <f t="array" ref="CF81">_xlfn.IFS(CF$3&lt;$B$2,SUMPRODUCT(('PA Fees Actual'!$B$5:$B$749=$E81)*('PA Fees Actual'!$A$5:$A$749&gt;=CF$3)*('PA Fees Actual'!$A$5:$A$749&lt;=EOMONTH(CF$3,0))*'PA Fees Actual'!$D$5:$D$749),CF$3&gt;=EOMONTH($X81,-1)+1,$Y81,TRUE,0)</f>
        <v>0</v>
      </c>
      <c r="CG81" s="202" cm="1">
        <f t="array" ref="CG81">_xlfn.IFS(CG$3&lt;$B$2,SUMPRODUCT(('PA Fees Actual'!$B$5:$B$749=$E81)*('PA Fees Actual'!$A$5:$A$749&gt;=CG$3)*('PA Fees Actual'!$A$5:$A$749&lt;=EOMONTH(CG$3,0))*'PA Fees Actual'!$D$5:$D$749),CG$3&gt;=EOMONTH($X81,-1)+1,$Y81,TRUE,0)</f>
        <v>0</v>
      </c>
      <c r="CI81" s="202" cm="1">
        <f t="array" ref="CI81">_xlfn.IFS(CI$3&lt;=YEAR($B$2),SUMPRODUCT(($E$4:$E$79=$E81)*($Z$2:$CG$2=CI$3)*($Z$2:$CG$2&lt;CJ$3)*$Z$4:$CG$79),CI$3&lt;YEAR($X81),0,CI$3=YEAR($X81),DATEDIF($X81,DATE(CI$3,12,31),"m")*$Y81,AND(CI$3&gt;YEAR($X81),CI$3-YEAR($X81)&lt;20),$Y81*12,CI$3-YEAR($X81)=20,DATEDIF(DATE(YEAR($X81),1,1),$X81,"m")*$Y81,CI$3-YEAR($X81)&gt;20,0)</f>
        <v>0</v>
      </c>
      <c r="CJ81" s="202" cm="1">
        <f t="array" ref="CJ81">_xlfn.IFS(CJ$3&lt;=YEAR($B$2),SUMPRODUCT(($E$4:$E$79=$E81)*($Z$2:$CG$2=CJ$3)*($Z$2:$CG$2&lt;CK$3)*$Z$4:$CG$79),CJ$3&lt;YEAR($X81),0,CJ$3=YEAR($X81),DATEDIF($X81,DATE(CJ$3,12,31),"m")*$Y81,AND(CJ$3&gt;YEAR($X81),CJ$3-YEAR($X81)&lt;20),$Y81*12,CJ$3-YEAR($X81)=20,DATEDIF(DATE(YEAR($X81),1,1),$X81,"m")*$Y81,CJ$3-YEAR($X81)&gt;20,0)</f>
        <v>0</v>
      </c>
      <c r="CK81" s="202" cm="1">
        <f t="array" ref="CK81">_xlfn.IFS(CK$3&lt;=YEAR($B$2),SUMPRODUCT(($E$4:$E$79=$E81)*($Z$2:$CG$2=CK$3)*($Z$2:$CG$2&lt;CL$3)*$Z$4:$CG$79),CK$3&lt;YEAR($X81),0,CK$3=YEAR($X81),DATEDIF($X81,DATE(CK$3,12,31),"m")*$Y81,AND(CK$3&gt;YEAR($X81),CK$3-YEAR($X81)&lt;20),$Y81*12,CK$3-YEAR($X81)=20,DATEDIF(DATE(YEAR($X81),1,1),$X81,"m")*$Y81,CK$3-YEAR($X81)&gt;20,0)</f>
        <v>0</v>
      </c>
      <c r="CL81" s="202" cm="1">
        <f t="array" ref="CL81">_xlfn.IFS(CL$3&lt;=YEAR($B$2),SUMPRODUCT(($E$4:$E$79=$E81)*($Z$2:$CG$2=CL$3)*($Z$2:$CG$2&lt;CM$3)*$Z$4:$CG$79),CL$3&lt;YEAR($X81),0,CL$3=YEAR($X81),DATEDIF($X81,DATE(CL$3,12,31),"m")*$Y81,AND(CL$3&gt;YEAR($X81),CL$3-YEAR($X81)&lt;20),$Y81*12,CL$3-YEAR($X81)=20,DATEDIF(DATE(YEAR($X81),1,1),$X81,"m")*$Y81,CL$3-YEAR($X81)&gt;20,0)</f>
        <v>0</v>
      </c>
      <c r="CM81" s="202" cm="1">
        <f t="array" ref="CM81">_xlfn.IFS(CM$3&lt;=YEAR($B$2),SUMPRODUCT(($E$4:$E$79=$E81)*($Z$2:$CG$2=CM$3)*($Z$2:$CG$2&lt;CN$3)*$Z$4:$CG$79),CM$3&lt;YEAR($X81),0,CM$3=YEAR($X81),DATEDIF($X81,DATE(CM$3,12,31),"m")*$Y81,AND(CM$3&gt;YEAR($X81),CM$3-YEAR($X81)&lt;20),$Y81*12,CM$3-YEAR($X81)=20,DATEDIF(DATE(YEAR($X81),1,1),$X81,"m")*$Y81,CM$3-YEAR($X81)&gt;20,0)</f>
        <v>0</v>
      </c>
      <c r="CN81" s="202" cm="1">
        <f t="array" ref="CN81">_xlfn.IFS(CN$3&lt;=YEAR($B$2),SUMPRODUCT(($E$4:$E$79=$E81)*($Z$2:$CG$2=CN$3)*($Z$2:$CG$2&lt;CO$3)*$Z$4:$CG$79),CN$3&lt;YEAR($X81),0,CN$3=YEAR($X81),DATEDIF($X81,DATE(CN$3,12,31),"m")*$Y81,AND(CN$3&gt;YEAR($X81),CN$3-YEAR($X81)&lt;20),$Y81*12,CN$3-YEAR($X81)=20,DATEDIF(DATE(YEAR($X81),1,1),$X81,"m")*$Y81,CN$3-YEAR($X81)&gt;20,0)</f>
        <v>0</v>
      </c>
      <c r="CO81" s="202" cm="1">
        <f t="array" ref="CO81">_xlfn.IFS(CO$3&lt;=YEAR($B$2),SUMPRODUCT(($E$4:$E$79=$E81)*($Z$2:$CG$2=CO$3)*($Z$2:$CG$2&lt;CP$3)*$Z$4:$CG$79),CO$3&lt;YEAR($X81),0,CO$3=YEAR($X81),DATEDIF($X81,DATE(CO$3,12,31),"m")*$Y81,AND(CO$3&gt;YEAR($X81),CO$3-YEAR($X81)&lt;20),$Y81*12,CO$3-YEAR($X81)=20,DATEDIF(DATE(YEAR($X81),1,1),$X81,"m")*$Y81,CO$3-YEAR($X81)&gt;20,0)</f>
        <v>6311.25</v>
      </c>
      <c r="CP81" s="202" cm="1">
        <f t="array" ref="CP81">_xlfn.IFS(CP$3&lt;=YEAR($B$2),SUMPRODUCT(($E$4:$E$79=$E81)*($Z$2:$CG$2=CP$3)*($Z$2:$CG$2&lt;CQ$3)*$Z$4:$CG$79),CP$3&lt;YEAR($X81),0,CP$3=YEAR($X81),DATEDIF($X81,DATE(CP$3,12,31),"m")*$Y81,AND(CP$3&gt;YEAR($X81),CP$3-YEAR($X81)&lt;20),$Y81*12,CP$3-YEAR($X81)=20,DATEDIF(DATE(YEAR($X81),1,1),$X81,"m")*$Y81,CP$3-YEAR($X81)&gt;20,0)</f>
        <v>12622.5</v>
      </c>
      <c r="CQ81" s="202" cm="1">
        <f t="array" ref="CQ81">_xlfn.IFS(CQ$3&lt;=YEAR($B$2),SUMPRODUCT(($E$4:$E$79=$E81)*($Z$2:$CG$2=CQ$3)*($Z$2:$CG$2&lt;CR$3)*$Z$4:$CG$79),CQ$3&lt;YEAR($X81),0,CQ$3=YEAR($X81),DATEDIF($X81,DATE(CQ$3,12,31),"m")*$Y81,AND(CQ$3&gt;YEAR($X81),CQ$3-YEAR($X81)&lt;20),$Y81*12,CQ$3-YEAR($X81)=20,DATEDIF(DATE(YEAR($X81),1,1),$X81,"m")*$Y81,CQ$3-YEAR($X81)&gt;20,0)</f>
        <v>12622.5</v>
      </c>
      <c r="CR81" s="202" cm="1">
        <f t="array" ref="CR81">_xlfn.IFS(CR$3&lt;=YEAR($B$2),SUMPRODUCT(($E$4:$E$79=$E81)*($Z$2:$CG$2=CR$3)*($Z$2:$CG$2&lt;CS$3)*$Z$4:$CG$79),CR$3&lt;YEAR($X81),0,CR$3=YEAR($X81),DATEDIF($X81,DATE(CR$3,12,31),"m")*$Y81,AND(CR$3&gt;YEAR($X81),CR$3-YEAR($X81)&lt;20),$Y81*12,CR$3-YEAR($X81)=20,DATEDIF(DATE(YEAR($X81),1,1),$X81,"m")*$Y81,CR$3-YEAR($X81)&gt;20,0)</f>
        <v>12622.5</v>
      </c>
      <c r="CS81" s="202" cm="1">
        <f t="array" ref="CS81">_xlfn.IFS(CS$3&lt;=YEAR($B$2),SUMPRODUCT(($E$4:$E$79=$E81)*($Z$2:$CG$2=CS$3)*($Z$2:$CG$2&lt;CT$3)*$Z$4:$CG$79),CS$3&lt;YEAR($X81),0,CS$3=YEAR($X81),DATEDIF($X81,DATE(CS$3,12,31),"m")*$Y81,AND(CS$3&gt;YEAR($X81),CS$3-YEAR($X81)&lt;20),$Y81*12,CS$3-YEAR($X81)=20,DATEDIF(DATE(YEAR($X81),1,1),$X81,"m")*$Y81,CS$3-YEAR($X81)&gt;20,0)</f>
        <v>12622.5</v>
      </c>
      <c r="CT81" s="202" cm="1">
        <f t="array" ref="CT81">_xlfn.IFS(CT$3&lt;=YEAR($B$2),SUMPRODUCT(($E$4:$E$79=$E81)*($Z$2:$CG$2=CT$3)*($Z$2:$CG$2&lt;CU$3)*$Z$4:$CG$79),CT$3&lt;YEAR($X81),0,CT$3=YEAR($X81),DATEDIF($X81,DATE(CT$3,12,31),"m")*$Y81,AND(CT$3&gt;YEAR($X81),CT$3-YEAR($X81)&lt;20),$Y81*12,CT$3-YEAR($X81)=20,DATEDIF(DATE(YEAR($X81),1,1),$X81,"m")*$Y81,CT$3-YEAR($X81)&gt;20,0)</f>
        <v>12622.5</v>
      </c>
      <c r="CU81" s="202" cm="1">
        <f t="array" ref="CU81">_xlfn.IFS(CU$3&lt;=YEAR($B$2),SUMPRODUCT(($E$4:$E$79=$E81)*($Z$2:$CG$2=CU$3)*($Z$2:$CG$2&lt;CV$3)*$Z$4:$CG$79),CU$3&lt;YEAR($X81),0,CU$3=YEAR($X81),DATEDIF($X81,DATE(CU$3,12,31),"m")*$Y81,AND(CU$3&gt;YEAR($X81),CU$3-YEAR($X81)&lt;20),$Y81*12,CU$3-YEAR($X81)=20,DATEDIF(DATE(YEAR($X81),1,1),$X81,"m")*$Y81,CU$3-YEAR($X81)&gt;20,0)</f>
        <v>12622.5</v>
      </c>
      <c r="CV81" s="202" cm="1">
        <f t="array" ref="CV81">_xlfn.IFS(CV$3&lt;=YEAR($B$2),SUMPRODUCT(($E$4:$E$79=$E81)*($Z$2:$CG$2=CV$3)*($Z$2:$CG$2&lt;CW$3)*$Z$4:$CG$79),CV$3&lt;YEAR($X81),0,CV$3=YEAR($X81),DATEDIF($X81,DATE(CV$3,12,31),"m")*$Y81,AND(CV$3&gt;YEAR($X81),CV$3-YEAR($X81)&lt;20),$Y81*12,CV$3-YEAR($X81)=20,DATEDIF(DATE(YEAR($X81),1,1),$X81,"m")*$Y81,CV$3-YEAR($X81)&gt;20,0)</f>
        <v>12622.5</v>
      </c>
      <c r="CW81" s="202" cm="1">
        <f t="array" ref="CW81">_xlfn.IFS(CW$3&lt;=YEAR($B$2),SUMPRODUCT(($E$4:$E$79=$E81)*($Z$2:$CG$2=CW$3)*($Z$2:$CG$2&lt;CX$3)*$Z$4:$CG$79),CW$3&lt;YEAR($X81),0,CW$3=YEAR($X81),DATEDIF($X81,DATE(CW$3,12,31),"m")*$Y81,AND(CW$3&gt;YEAR($X81),CW$3-YEAR($X81)&lt;20),$Y81*12,CW$3-YEAR($X81)=20,DATEDIF(DATE(YEAR($X81),1,1),$X81,"m")*$Y81,CW$3-YEAR($X81)&gt;20,0)</f>
        <v>12622.5</v>
      </c>
      <c r="CX81" s="202" cm="1">
        <f t="array" ref="CX81">_xlfn.IFS(CX$3&lt;=YEAR($B$2),SUMPRODUCT(($E$4:$E$79=$E81)*($Z$2:$CG$2=CX$3)*($Z$2:$CG$2&lt;CY$3)*$Z$4:$CG$79),CX$3&lt;YEAR($X81),0,CX$3=YEAR($X81),DATEDIF($X81,DATE(CX$3,12,31),"m")*$Y81,AND(CX$3&gt;YEAR($X81),CX$3-YEAR($X81)&lt;20),$Y81*12,CX$3-YEAR($X81)=20,DATEDIF(DATE(YEAR($X81),1,1),$X81,"m")*$Y81,CX$3-YEAR($X81)&gt;20,0)</f>
        <v>12622.5</v>
      </c>
      <c r="CY81" s="202" cm="1">
        <f t="array" ref="CY81">_xlfn.IFS(CY$3&lt;=YEAR($B$2),SUMPRODUCT(($E$4:$E$79=$E81)*($Z$2:$CG$2=CY$3)*($Z$2:$CG$2&lt;CZ$3)*$Z$4:$CG$79),CY$3&lt;YEAR($X81),0,CY$3=YEAR($X81),DATEDIF($X81,DATE(CY$3,12,31),"m")*$Y81,AND(CY$3&gt;YEAR($X81),CY$3-YEAR($X81)&lt;20),$Y81*12,CY$3-YEAR($X81)=20,DATEDIF(DATE(YEAR($X81),1,1),$X81,"m")*$Y81,CY$3-YEAR($X81)&gt;20,0)</f>
        <v>12622.5</v>
      </c>
      <c r="CZ81" s="202" cm="1">
        <f t="array" ref="CZ81">_xlfn.IFS(CZ$3&lt;=YEAR($B$2),SUMPRODUCT(($E$4:$E$79=$E81)*($Z$2:$CG$2=CZ$3)*($Z$2:$CG$2&lt;DA$3)*$Z$4:$CG$79),CZ$3&lt;YEAR($X81),0,CZ$3=YEAR($X81),DATEDIF($X81,DATE(CZ$3,12,31),"m")*$Y81,AND(CZ$3&gt;YEAR($X81),CZ$3-YEAR($X81)&lt;20),$Y81*12,CZ$3-YEAR($X81)=20,DATEDIF(DATE(YEAR($X81),1,1),$X81,"m")*$Y81,CZ$3-YEAR($X81)&gt;20,0)</f>
        <v>12622.5</v>
      </c>
      <c r="DA81" s="202" cm="1">
        <f t="array" ref="DA81">_xlfn.IFS(DA$3&lt;=YEAR($B$2),SUMPRODUCT(($E$4:$E$79=$E81)*($Z$2:$CG$2=DA$3)*($Z$2:$CG$2&lt;DB$3)*$Z$4:$CG$79),DA$3&lt;YEAR($X81),0,DA$3=YEAR($X81),DATEDIF($X81,DATE(DA$3,12,31),"m")*$Y81,AND(DA$3&gt;YEAR($X81),DA$3-YEAR($X81)&lt;20),$Y81*12,DA$3-YEAR($X81)=20,DATEDIF(DATE(YEAR($X81),1,1),$X81,"m")*$Y81,DA$3-YEAR($X81)&gt;20,0)</f>
        <v>12622.5</v>
      </c>
      <c r="DB81" s="202" cm="1">
        <f t="array" ref="DB81">_xlfn.IFS(DB$3&lt;=YEAR($B$2),SUMPRODUCT(($E$4:$E$79=$E81)*($Z$2:$CG$2=DB$3)*($Z$2:$CG$2&lt;DC$3)*$Z$4:$CG$79),DB$3&lt;YEAR($X81),0,DB$3=YEAR($X81),DATEDIF($X81,DATE(DB$3,12,31),"m")*$Y81,AND(DB$3&gt;YEAR($X81),DB$3-YEAR($X81)&lt;20),$Y81*12,DB$3-YEAR($X81)=20,DATEDIF(DATE(YEAR($X81),1,1),$X81,"m")*$Y81,DB$3-YEAR($X81)&gt;20,0)</f>
        <v>12622.5</v>
      </c>
      <c r="DC81" s="202" cm="1">
        <f t="array" ref="DC81">_xlfn.IFS(DC$3&lt;=YEAR($B$2),SUMPRODUCT(($E$4:$E$79=$E81)*($Z$2:$CG$2=DC$3)*($Z$2:$CG$2&lt;DD$3)*$Z$4:$CG$79),DC$3&lt;YEAR($X81),0,DC$3=YEAR($X81),DATEDIF($X81,DATE(DC$3,12,31),"m")*$Y81,AND(DC$3&gt;YEAR($X81),DC$3-YEAR($X81)&lt;20),$Y81*12,DC$3-YEAR($X81)=20,DATEDIF(DATE(YEAR($X81),1,1),$X81,"m")*$Y81,DC$3-YEAR($X81)&gt;20,0)</f>
        <v>12622.5</v>
      </c>
      <c r="DD81" s="202" cm="1">
        <f t="array" ref="DD81">_xlfn.IFS(DD$3&lt;=YEAR($B$2),SUMPRODUCT(($E$4:$E$79=$E81)*($Z$2:$CG$2=DD$3)*($Z$2:$CG$2&lt;DE$3)*$Z$4:$CG$79),DD$3&lt;YEAR($X81),0,DD$3=YEAR($X81),DATEDIF($X81,DATE(DD$3,12,31),"m")*$Y81,AND(DD$3&gt;YEAR($X81),DD$3-YEAR($X81)&lt;20),$Y81*12,DD$3-YEAR($X81)=20,DATEDIF(DATE(YEAR($X81),1,1),$X81,"m")*$Y81,DD$3-YEAR($X81)&gt;20,0)</f>
        <v>12622.5</v>
      </c>
      <c r="DE81" s="202" cm="1">
        <f t="array" ref="DE81">_xlfn.IFS(DE$3&lt;=YEAR($B$2),SUMPRODUCT(($E$4:$E$79=$E81)*($Z$2:$CG$2=DE$3)*($Z$2:$CG$2&lt;DF$3)*$Z$4:$CG$79),DE$3&lt;YEAR($X81),0,DE$3=YEAR($X81),DATEDIF($X81,DATE(DE$3,12,31),"m")*$Y81,AND(DE$3&gt;YEAR($X81),DE$3-YEAR($X81)&lt;20),$Y81*12,DE$3-YEAR($X81)=20,DATEDIF(DATE(YEAR($X81),1,1),$X81,"m")*$Y81,DE$3-YEAR($X81)&gt;20,0)</f>
        <v>12622.5</v>
      </c>
      <c r="DF81" s="202" cm="1">
        <f t="array" ref="DF81">_xlfn.IFS(DF$3&lt;=YEAR($B$2),SUMPRODUCT(($E$4:$E$79=$E81)*($Z$2:$CG$2=DF$3)*($Z$2:$CG$2&lt;DG$3)*$Z$4:$CG$79),DF$3&lt;YEAR($X81),0,DF$3=YEAR($X81),DATEDIF($X81,DATE(DF$3,12,31),"m")*$Y81,AND(DF$3&gt;YEAR($X81),DF$3-YEAR($X81)&lt;20),$Y81*12,DF$3-YEAR($X81)=20,DATEDIF(DATE(YEAR($X81),1,1),$X81,"m")*$Y81,DF$3-YEAR($X81)&gt;20,0)</f>
        <v>12622.5</v>
      </c>
      <c r="DG81" s="202" cm="1">
        <f t="array" ref="DG81">_xlfn.IFS(DG$3&lt;=YEAR($B$2),SUMPRODUCT(($E$4:$E$79=$E81)*($Z$2:$CG$2=DG$3)*($Z$2:$CG$2&lt;DH$3)*$Z$4:$CG$79),DG$3&lt;YEAR($X81),0,DG$3=YEAR($X81),DATEDIF($X81,DATE(DG$3,12,31),"m")*$Y81,AND(DG$3&gt;YEAR($X81),DG$3-YEAR($X81)&lt;20),$Y81*12,DG$3-YEAR($X81)=20,DATEDIF(DATE(YEAR($X81),1,1),$X81,"m")*$Y81,DG$3-YEAR($X81)&gt;20,0)</f>
        <v>12622.5</v>
      </c>
      <c r="DH81" s="202" cm="1">
        <f t="array" ref="DH81">_xlfn.IFS(DH$3&lt;=YEAR($B$2),SUMPRODUCT(($E$4:$E$79=$E81)*($Z$2:$CG$2=DH$3)*($Z$2:$CG$2&lt;DI$3)*$Z$4:$CG$79),DH$3&lt;YEAR($X81),0,DH$3=YEAR($X81),DATEDIF($X81,DATE(DH$3,12,31),"m")*$Y81,AND(DH$3&gt;YEAR($X81),DH$3-YEAR($X81)&lt;20),$Y81*12,DH$3-YEAR($X81)=20,DATEDIF(DATE(YEAR($X81),1,1),$X81,"m")*$Y81,DH$3-YEAR($X81)&gt;20,0)</f>
        <v>12622.5</v>
      </c>
      <c r="DI81" s="202" cm="1">
        <f t="array" ref="DI81">_xlfn.IFS(DI$3&lt;=YEAR($B$2),SUMPRODUCT(($E$4:$E$79=$E81)*($Z$2:$CG$2=DI$3)*($Z$2:$CG$2&lt;DJ$3)*$Z$4:$CG$79),DI$3&lt;YEAR($X81),0,DI$3=YEAR($X81),DATEDIF($X81,DATE(DI$3,12,31),"m")*$Y81,AND(DI$3&gt;YEAR($X81),DI$3-YEAR($X81)&lt;20),$Y81*12,DI$3-YEAR($X81)=20,DATEDIF(DATE(YEAR($X81),1,1),$X81,"m")*$Y81,DI$3-YEAR($X81)&gt;20,0)</f>
        <v>5259.375</v>
      </c>
      <c r="DJ81" s="202" cm="1">
        <f t="array" ref="DJ81">_xlfn.IFS(DJ$3&lt;=YEAR($B$2),SUMPRODUCT(($E$4:$E$79=$E81)*($Z$2:$CG$2=DJ$3)*($Z$2:$CG$2&lt;DK$3)*$Z$4:$CG$79),DJ$3&lt;YEAR($X81),0,DJ$3=YEAR($X81),DATEDIF($X81,DATE(DJ$3,12,31),"m")*$Y81,AND(DJ$3&gt;YEAR($X81),DJ$3-YEAR($X81)&lt;20),$Y81*12,DJ$3-YEAR($X81)=20,DATEDIF(DATE(YEAR($X81),1,1),$X81,"m")*$Y81,DJ$3-YEAR($X81)&gt;20,0)</f>
        <v>0</v>
      </c>
      <c r="DK81" s="202" cm="1">
        <f t="array" ref="DK81">_xlfn.IFS(DK$3&lt;=YEAR($B$2),SUMPRODUCT(($E$4:$E$79=$E81)*($Z$2:$CG$2=DK$3)*($Z$2:$CG$2&lt;DL$3)*$Z$4:$CG$79),DK$3&lt;YEAR($X81),0,DK$3=YEAR($X81),DATEDIF($X81,DATE(DK$3,12,31),"m")*$Y81,AND(DK$3&gt;YEAR($X81),DK$3-YEAR($X81)&lt;20),$Y81*12,DK$3-YEAR($X81)=20,DATEDIF(DATE(YEAR($X81),1,1),$X81,"m")*$Y81,DK$3-YEAR($X81)&gt;20,0)</f>
        <v>0</v>
      </c>
      <c r="DL81" s="202" cm="1">
        <f t="array" ref="DL81">_xlfn.IFS(DL$3&lt;=YEAR($B$2),SUMPRODUCT(($E$4:$E$79=$E81)*($Z$2:$CG$2=DL$3)*($Z$2:$CG$2&lt;DM$3)*$Z$4:$CG$79),DL$3&lt;YEAR($X81),0,DL$3=YEAR($X81),DATEDIF($X81,DATE(DL$3,12,31),"m")*$Y81,AND(DL$3&gt;YEAR($X81),DL$3-YEAR($X81)&lt;20),$Y81*12,DL$3-YEAR($X81)=20,DATEDIF(DATE(YEAR($X81),1,1),$X81,"m")*$Y81,DL$3-YEAR($X81)&gt;20,0)</f>
        <v>0</v>
      </c>
    </row>
    <row r="82" spans="1:116">
      <c r="A82" s="246" t="s">
        <v>536</v>
      </c>
      <c r="B82" s="155" t="str" cm="1">
        <f t="array" ref="B82">_xlfn.IFS(LEFT(E82,3)="PGE","PGE",LEFT(E82,2)="PP","PAC",TRUE,"IP")</f>
        <v>PAC</v>
      </c>
      <c r="C82" s="155" t="str">
        <f>IF(ISNA(MATCH(E82,'Monthly Report July 2025'!E:E,0)),"Missing","Present")</f>
        <v>Present</v>
      </c>
      <c r="D82" s="155" t="str">
        <f>IF(ISNA(MATCH(E82,'Project Operational Timelines'!C:C,0))=TRUE,"Missing","Present")</f>
        <v>Present</v>
      </c>
      <c r="E82" s="155" t="s">
        <v>190</v>
      </c>
      <c r="F82" s="245" t="s">
        <v>537</v>
      </c>
      <c r="G82" s="155" t="str" cm="1">
        <f t="array" ref="G82">_xlfn.IFS(INDEX('Monthly Report July 2025'!O:O,MATCH(E82,'Monthly Report July 2025'!E:E,0),0)="Operational","Operational",INDEX('Monthly Report July 2025'!O:O,MATCH(E82,'Monthly Report July 2025'!E:E,0),0)="Certified","Certified",TRUE,"Pre-Certified")</f>
        <v>Pre-Certified</v>
      </c>
      <c r="H82" s="245" t="s">
        <v>377</v>
      </c>
      <c r="I82" s="245" t="s">
        <v>377</v>
      </c>
      <c r="J82" s="174" cm="1">
        <f t="array" ref="J82">INDEX('Monthly Report July 2025'!J:J,MATCH($E82,'Monthly Report July 2025'!$E:$E,0),0)</f>
        <v>2</v>
      </c>
      <c r="K82" s="174" t="str" cm="1">
        <f t="array" ref="K82">INDEX('Monthly Report July 2025'!K:K,MATCH($E82,'Monthly Report July 2025'!$E:$E,0),0)</f>
        <v>Yes</v>
      </c>
      <c r="L82" s="174" t="b" cm="1">
        <f t="array" ref="L82">INDEX('Monthly Report July 2025'!L:L,MATCH(E82,'Monthly Report July 2025'!E:E,0),0)=M82</f>
        <v>1</v>
      </c>
      <c r="M82" s="273" cm="1">
        <f t="array" ref="M82">INDEX('Monthly Report July 2025'!L:L,MATCH($E82,'Monthly Report July 2025'!$E:$E,0),0)</f>
        <v>2500</v>
      </c>
      <c r="N82" s="175" cm="1">
        <f t="array" ref="N82">INDEX('Monthly Report July 2025'!M:M,MATCH($E82,'Monthly Report July 2025'!$E:$E,0),0)</f>
        <v>45752</v>
      </c>
      <c r="O82" s="175" cm="1">
        <f t="array" ref="O82">_xlfn.IFS(G82="Operational","Operational",G82="Certified","Certified",TRUE,INDEX('Monthly Report July 2025'!O:O,MATCH(E82,'Monthly Report July 2025'!E:E,0),0))</f>
        <v>46300</v>
      </c>
      <c r="Q82" s="175" t="str" cm="1">
        <f t="array" ref="Q82">IF(O82="Operational",INDEX('Monthly Report July 2025'!R:R,MATCH(E82,'Monthly Report July 2025'!E:E,0),0),"")</f>
        <v/>
      </c>
      <c r="R82" s="175" cm="1">
        <f t="array" ref="R82">INDEX('Monthly Report July 2025'!P:P,MATCH(E82,'Monthly Report July 2025'!E:E,0),0)</f>
        <v>46300</v>
      </c>
      <c r="T82" s="175" cm="1">
        <f t="array" ref="T82">INDEX('Monthly Report July 2025'!U:U,MATCH(E82,'Monthly Report July 2025'!E:E,0),0)</f>
        <v>46204</v>
      </c>
      <c r="U82" s="175" t="b">
        <f t="shared" si="34"/>
        <v>1</v>
      </c>
      <c r="V82" s="156">
        <f t="shared" si="36"/>
        <v>46300</v>
      </c>
      <c r="W82" s="156" cm="1">
        <f t="array" ref="W82">_xlfn.IFS(U82=TRUE,EDATE(O82,6),U82=FALSE,T82,O82="Operational",Q82,AND(O82="Certified",EDATE(R82,6)&gt;T82),EDATE(R82,6),TRUE,T82)</f>
        <v>46482</v>
      </c>
      <c r="X82" s="156">
        <f t="shared" si="37"/>
        <v>46543</v>
      </c>
      <c r="Y82" s="157">
        <f t="shared" si="35"/>
        <v>956.25</v>
      </c>
      <c r="Z82" s="202" cm="1">
        <f t="array" ref="Z82">_xlfn.IFS(Z$3&lt;$B$2,SUMPRODUCT(('PA Fees Actual'!$B$5:$B$882=$E82)*('PA Fees Actual'!$A$5:$A$882&gt;=Z$3)*('PA Fees Actual'!$A$5:$A$882&lt;=EOMONTH(Z$3,0))*'PA Fees Actual'!$D$5:$D$882),Z$3&gt;=EOMONTH($X82,-1)+1,$Y82,TRUE,0)</f>
        <v>0</v>
      </c>
      <c r="AA82" s="202" cm="1">
        <f t="array" ref="AA82">_xlfn.IFS(AA$3&lt;$B$2,SUMPRODUCT(('PA Fees Actual'!$B$5:$B$882=$E82)*('PA Fees Actual'!$A$5:$A$882&gt;=AA$3)*('PA Fees Actual'!$A$5:$A$882&lt;=EOMONTH(AA$3,0))*'PA Fees Actual'!$D$5:$D$882),AA$3&gt;=EOMONTH($X82,-1)+1,$Y82,TRUE,0)</f>
        <v>0</v>
      </c>
      <c r="AB82" s="202" cm="1">
        <f t="array" ref="AB82">_xlfn.IFS(AB$3&lt;$B$2,SUMPRODUCT(('PA Fees Actual'!$B$5:$B$882=$E82)*('PA Fees Actual'!$A$5:$A$882&gt;=AB$3)*('PA Fees Actual'!$A$5:$A$882&lt;=EOMONTH(AB$3,0))*'PA Fees Actual'!$D$5:$D$882),AB$3&gt;=EOMONTH($X82,-1)+1,$Y82,TRUE,0)</f>
        <v>0</v>
      </c>
      <c r="AC82" s="202" cm="1">
        <f t="array" ref="AC82">_xlfn.IFS(AC$3&lt;$B$2,SUMPRODUCT(('PA Fees Actual'!$B$5:$B$882=$E82)*('PA Fees Actual'!$A$5:$A$882&gt;=AC$3)*('PA Fees Actual'!$A$5:$A$882&lt;=EOMONTH(AC$3,0))*'PA Fees Actual'!$D$5:$D$882),AC$3&gt;=EOMONTH($X82,-1)+1,$Y82,TRUE,0)</f>
        <v>0</v>
      </c>
      <c r="AD82" s="202" cm="1">
        <f t="array" ref="AD82">_xlfn.IFS(AD$3&lt;$B$2,SUMPRODUCT(('PA Fees Actual'!$B$5:$B$882=$E82)*('PA Fees Actual'!$A$5:$A$882&gt;=AD$3)*('PA Fees Actual'!$A$5:$A$882&lt;=EOMONTH(AD$3,0))*'PA Fees Actual'!$D$5:$D$882),AD$3&gt;=EOMONTH($X82,-1)+1,$Y82,TRUE,0)</f>
        <v>0</v>
      </c>
      <c r="AE82" s="202" cm="1">
        <f t="array" ref="AE82">_xlfn.IFS(AE$3&lt;$B$2,SUMPRODUCT(('PA Fees Actual'!$B$5:$B$882=$E82)*('PA Fees Actual'!$A$5:$A$882&gt;=AE$3)*('PA Fees Actual'!$A$5:$A$882&lt;=EOMONTH(AE$3,0))*'PA Fees Actual'!$D$5:$D$882),AE$3&gt;=EOMONTH($X82,-1)+1,$Y82,TRUE,0)</f>
        <v>0</v>
      </c>
      <c r="AF82" s="202" cm="1">
        <f t="array" ref="AF82">_xlfn.IFS(AF$3&lt;$B$2,SUMPRODUCT(('PA Fees Actual'!$B$5:$B$882=$E82)*('PA Fees Actual'!$A$5:$A$882&gt;=AF$3)*('PA Fees Actual'!$A$5:$A$882&lt;=EOMONTH(AF$3,0))*'PA Fees Actual'!$D$5:$D$882),AF$3&gt;=EOMONTH($X82,-1)+1,$Y82,TRUE,0)</f>
        <v>0</v>
      </c>
      <c r="AG82" s="202" cm="1">
        <f t="array" ref="AG82">_xlfn.IFS(AG$3&lt;$B$2,SUMPRODUCT(('PA Fees Actual'!$B$5:$B$882=$E82)*('PA Fees Actual'!$A$5:$A$882&gt;=AG$3)*('PA Fees Actual'!$A$5:$A$882&lt;=EOMONTH(AG$3,0))*'PA Fees Actual'!$D$5:$D$882),AG$3&gt;=EOMONTH($X82,-1)+1,$Y82,TRUE,0)</f>
        <v>0</v>
      </c>
      <c r="AH82" s="202" cm="1">
        <f t="array" ref="AH82">_xlfn.IFS(AH$3&lt;$B$2,SUMPRODUCT(('PA Fees Actual'!$B$5:$B$882=$E82)*('PA Fees Actual'!$A$5:$A$882&gt;=AH$3)*('PA Fees Actual'!$A$5:$A$882&lt;=EOMONTH(AH$3,0))*'PA Fees Actual'!$D$5:$D$882),AH$3&gt;=EOMONTH($X82,-1)+1,$Y82,TRUE,0)</f>
        <v>0</v>
      </c>
      <c r="AI82" s="202" cm="1">
        <f t="array" ref="AI82">_xlfn.IFS(AI$3&lt;$B$2,SUMPRODUCT(('PA Fees Actual'!$B$5:$B$882=$E82)*('PA Fees Actual'!$A$5:$A$882&gt;=AI$3)*('PA Fees Actual'!$A$5:$A$882&lt;=EOMONTH(AI$3,0))*'PA Fees Actual'!$D$5:$D$882),AI$3&gt;=EOMONTH($X82,-1)+1,$Y82,TRUE,0)</f>
        <v>0</v>
      </c>
      <c r="AJ82" s="202" cm="1">
        <f t="array" ref="AJ82">_xlfn.IFS(AJ$3&lt;$B$2,SUMPRODUCT(('PA Fees Actual'!$B$5:$B$882=$E82)*('PA Fees Actual'!$A$5:$A$882&gt;=AJ$3)*('PA Fees Actual'!$A$5:$A$882&lt;=EOMONTH(AJ$3,0))*'PA Fees Actual'!$D$5:$D$882),AJ$3&gt;=EOMONTH($X82,-1)+1,$Y82,TRUE,0)</f>
        <v>0</v>
      </c>
      <c r="AK82" s="202" cm="1">
        <f t="array" ref="AK82">_xlfn.IFS(AK$3&lt;$B$2,SUMPRODUCT(('PA Fees Actual'!$B$5:$B$882=$E82)*('PA Fees Actual'!$A$5:$A$882&gt;=AK$3)*('PA Fees Actual'!$A$5:$A$882&lt;=EOMONTH(AK$3,0))*'PA Fees Actual'!$D$5:$D$882),AK$3&gt;=EOMONTH($X82,-1)+1,$Y82,TRUE,0)</f>
        <v>0</v>
      </c>
      <c r="AL82" s="202" cm="1">
        <f t="array" ref="AL82">_xlfn.IFS(AL$3&lt;$B$2,SUMPRODUCT(('PA Fees Actual'!$B$5:$B$882=$E82)*('PA Fees Actual'!$A$5:$A$882&gt;=AL$3)*('PA Fees Actual'!$A$5:$A$882&lt;=EOMONTH(AL$3,0))*'PA Fees Actual'!$D$5:$D$882),AL$3&gt;=EOMONTH($X82,-1)+1,$Y82,TRUE,0)</f>
        <v>0</v>
      </c>
      <c r="AM82" s="202" cm="1">
        <f t="array" ref="AM82">_xlfn.IFS(AM$3&lt;$B$2,SUMPRODUCT(('PA Fees Actual'!$B$5:$B$882=$E82)*('PA Fees Actual'!$A$5:$A$882&gt;=AM$3)*('PA Fees Actual'!$A$5:$A$882&lt;=EOMONTH(AM$3,0))*'PA Fees Actual'!$D$5:$D$882),AM$3&gt;=EOMONTH($X82,-1)+1,$Y82,TRUE,0)</f>
        <v>0</v>
      </c>
      <c r="AN82" s="202" cm="1">
        <f t="array" ref="AN82">_xlfn.IFS(AN$3&lt;$B$2,SUMPRODUCT(('PA Fees Actual'!$B$5:$B$882=$E82)*('PA Fees Actual'!$A$5:$A$882&gt;=AN$3)*('PA Fees Actual'!$A$5:$A$882&lt;=EOMONTH(AN$3,0))*'PA Fees Actual'!$D$5:$D$882),AN$3&gt;=EOMONTH($X82,-1)+1,$Y82,TRUE,0)</f>
        <v>0</v>
      </c>
      <c r="AO82" s="202" cm="1">
        <f t="array" ref="AO82">_xlfn.IFS(AO$3&lt;$B$2,SUMPRODUCT(('PA Fees Actual'!$B$5:$B$882=$E82)*('PA Fees Actual'!$A$5:$A$882&gt;=AO$3)*('PA Fees Actual'!$A$5:$A$882&lt;=EOMONTH(AO$3,0))*'PA Fees Actual'!$D$5:$D$882),AO$3&gt;=EOMONTH($X82,-1)+1,$Y82,TRUE,0)</f>
        <v>0</v>
      </c>
      <c r="AP82" s="202" cm="1">
        <f t="array" ref="AP82">_xlfn.IFS(AP$3&lt;$B$2,SUMPRODUCT(('PA Fees Actual'!$B$5:$B$882=$E82)*('PA Fees Actual'!$A$5:$A$882&gt;=AP$3)*('PA Fees Actual'!$A$5:$A$882&lt;=EOMONTH(AP$3,0))*'PA Fees Actual'!$D$5:$D$882),AP$3&gt;=EOMONTH($X82,-1)+1,$Y82,TRUE,0)</f>
        <v>0</v>
      </c>
      <c r="AQ82" s="202" cm="1">
        <f t="array" ref="AQ82">_xlfn.IFS(AQ$3&lt;$B$2,SUMPRODUCT(('PA Fees Actual'!$B$5:$B$882=$E82)*('PA Fees Actual'!$A$5:$A$882&gt;=AQ$3)*('PA Fees Actual'!$A$5:$A$882&lt;=EOMONTH(AQ$3,0))*'PA Fees Actual'!$D$5:$D$882),AQ$3&gt;=EOMONTH($X82,-1)+1,$Y82,TRUE,0)</f>
        <v>0</v>
      </c>
      <c r="AR82" s="202" cm="1">
        <f t="array" ref="AR82">_xlfn.IFS(AR$3&lt;$B$2,SUMPRODUCT(('PA Fees Actual'!$B$5:$B$882=$E82)*('PA Fees Actual'!$A$5:$A$882&gt;=AR$3)*('PA Fees Actual'!$A$5:$A$882&lt;=EOMONTH(AR$3,0))*'PA Fees Actual'!$D$5:$D$882),AR$3&gt;=EOMONTH($X82,-1)+1,$Y82,TRUE,0)</f>
        <v>0</v>
      </c>
      <c r="AS82" s="202" cm="1">
        <f t="array" ref="AS82">_xlfn.IFS(AS$3&lt;$B$2,SUMPRODUCT(('PA Fees Actual'!$B$5:$B$882=$E82)*('PA Fees Actual'!$A$5:$A$882&gt;=AS$3)*('PA Fees Actual'!$A$5:$A$882&lt;=EOMONTH(AS$3,0))*'PA Fees Actual'!$D$5:$D$882),AS$3&gt;=EOMONTH($X82,-1)+1,$Y82,TRUE,0)</f>
        <v>0</v>
      </c>
      <c r="AT82" s="202" cm="1">
        <f t="array" ref="AT82">_xlfn.IFS(AT$3&lt;$B$2,SUMPRODUCT(('PA Fees Actual'!$B$5:$B$882=$E82)*('PA Fees Actual'!$A$5:$A$882&gt;=AT$3)*('PA Fees Actual'!$A$5:$A$882&lt;=EOMONTH(AT$3,0))*'PA Fees Actual'!$D$5:$D$882),AT$3&gt;=EOMONTH($X82,-1)+1,$Y82,TRUE,0)</f>
        <v>0</v>
      </c>
      <c r="AU82" s="202" cm="1">
        <f t="array" ref="AU82">_xlfn.IFS(AU$3&lt;$B$2,SUMPRODUCT(('PA Fees Actual'!$B$5:$B$882=$E82)*('PA Fees Actual'!$A$5:$A$882&gt;=AU$3)*('PA Fees Actual'!$A$5:$A$882&lt;=EOMONTH(AU$3,0))*'PA Fees Actual'!$D$5:$D$882),AU$3&gt;=EOMONTH($X82,-1)+1,$Y82,TRUE,0)</f>
        <v>0</v>
      </c>
      <c r="AV82" s="202" cm="1">
        <f t="array" ref="AV82">_xlfn.IFS(AV$3&lt;$B$2,SUMPRODUCT(('PA Fees Actual'!$B$5:$B$882=$E82)*('PA Fees Actual'!$A$5:$A$882&gt;=AV$3)*('PA Fees Actual'!$A$5:$A$882&lt;=EOMONTH(AV$3,0))*'PA Fees Actual'!$D$5:$D$882),AV$3&gt;=EOMONTH($X82,-1)+1,$Y82,TRUE,0)</f>
        <v>0</v>
      </c>
      <c r="AW82" s="202" cm="1">
        <f t="array" ref="AW82">_xlfn.IFS(AW$3&lt;$B$2,SUMPRODUCT(('PA Fees Actual'!$B$5:$B$882=$E82)*('PA Fees Actual'!$A$5:$A$882&gt;=AW$3)*('PA Fees Actual'!$A$5:$A$882&lt;=EOMONTH(AW$3,0))*'PA Fees Actual'!$D$5:$D$882),AW$3&gt;=EOMONTH($X82,-1)+1,$Y82,TRUE,0)</f>
        <v>0</v>
      </c>
      <c r="AX82" s="202" cm="1">
        <f t="array" ref="AX82">_xlfn.IFS(AX$3&lt;$B$2,SUMPRODUCT(('PA Fees Actual'!$B$5:$B$882=$E82)*('PA Fees Actual'!$A$5:$A$882&gt;=AX$3)*('PA Fees Actual'!$A$5:$A$882&lt;=EOMONTH(AX$3,0))*'PA Fees Actual'!$D$5:$D$882),AX$3&gt;=EOMONTH($X82,-1)+1,$Y82,TRUE,0)</f>
        <v>0</v>
      </c>
      <c r="AY82" s="202" cm="1">
        <f t="array" ref="AY82">_xlfn.IFS(AY$3&lt;$B$2,SUMPRODUCT(('PA Fees Actual'!$B$5:$B$882=$E82)*('PA Fees Actual'!$A$5:$A$882&gt;=AY$3)*('PA Fees Actual'!$A$5:$A$882&lt;=EOMONTH(AY$3,0))*'PA Fees Actual'!$D$5:$D$882),AY$3&gt;=EOMONTH($X82,-1)+1,$Y82,TRUE,0)</f>
        <v>0</v>
      </c>
      <c r="AZ82" s="202" cm="1">
        <f t="array" ref="AZ82">_xlfn.IFS(AZ$3&lt;$B$2,SUMPRODUCT(('PA Fees Actual'!$B$5:$B$882=$E82)*('PA Fees Actual'!$A$5:$A$882&gt;=AZ$3)*('PA Fees Actual'!$A$5:$A$882&lt;=EOMONTH(AZ$3,0))*'PA Fees Actual'!$D$5:$D$882),AZ$3&gt;=EOMONTH($X82,-1)+1,$Y82,TRUE,0)</f>
        <v>0</v>
      </c>
      <c r="BA82" s="202" cm="1">
        <f t="array" ref="BA82">_xlfn.IFS(BA$3&lt;$B$2,SUMPRODUCT(('PA Fees Actual'!$B$5:$B$882=$E82)*('PA Fees Actual'!$A$5:$A$882&gt;=BA$3)*('PA Fees Actual'!$A$5:$A$882&lt;=EOMONTH(BA$3,0))*'PA Fees Actual'!$D$5:$D$882),BA$3&gt;=EOMONTH($X82,-1)+1,$Y82,TRUE,0)</f>
        <v>0</v>
      </c>
      <c r="BB82" s="202" cm="1">
        <f t="array" ref="BB82">_xlfn.IFS(BB$3&lt;$B$2,SUMPRODUCT(('PA Fees Actual'!$B$5:$B$882=$E82)*('PA Fees Actual'!$A$5:$A$882&gt;=BB$3)*('PA Fees Actual'!$A$5:$A$882&lt;=EOMONTH(BB$3,0))*'PA Fees Actual'!$D$5:$D$882),BB$3&gt;=EOMONTH($X82,-1)+1,$Y82,TRUE,0)</f>
        <v>0</v>
      </c>
      <c r="BC82" s="202" cm="1">
        <f t="array" ref="BC82">_xlfn.IFS(BC$3&lt;$B$2,SUMPRODUCT(('PA Fees Actual'!$B$5:$B$882=$E82)*('PA Fees Actual'!$A$5:$A$882&gt;=BC$3)*('PA Fees Actual'!$A$5:$A$882&lt;=EOMONTH(BC$3,0))*'PA Fees Actual'!$D$5:$D$882),BC$3&gt;=EOMONTH($X82,-1)+1,$Y82,TRUE,0)</f>
        <v>0</v>
      </c>
      <c r="BD82" s="202" cm="1">
        <f t="array" ref="BD82">_xlfn.IFS(BD$3&lt;$B$2,SUMPRODUCT(('PA Fees Actual'!$B$5:$B$882=$E82)*('PA Fees Actual'!$A$5:$A$882&gt;=BD$3)*('PA Fees Actual'!$A$5:$A$882&lt;=EOMONTH(BD$3,0))*'PA Fees Actual'!$D$5:$D$882),BD$3&gt;=EOMONTH($X82,-1)+1,$Y82,TRUE,0)</f>
        <v>0</v>
      </c>
      <c r="BE82" s="202" cm="1">
        <f t="array" ref="BE82">_xlfn.IFS(BE$3&lt;$B$2,SUMPRODUCT(('PA Fees Actual'!$B$5:$B$882=$E82)*('PA Fees Actual'!$A$5:$A$882&gt;=BE$3)*('PA Fees Actual'!$A$5:$A$882&lt;=EOMONTH(BE$3,0))*'PA Fees Actual'!$D$5:$D$882),BE$3&gt;=EOMONTH($X82,-1)+1,$Y82,TRUE,0)</f>
        <v>0</v>
      </c>
      <c r="BF82" s="202" cm="1">
        <f t="array" ref="BF82">_xlfn.IFS(BF$3&lt;$B$2,SUMPRODUCT(('PA Fees Actual'!$B$5:$B$882=$E82)*('PA Fees Actual'!$A$5:$A$882&gt;=BF$3)*('PA Fees Actual'!$A$5:$A$882&lt;=EOMONTH(BF$3,0))*'PA Fees Actual'!$D$5:$D$882),BF$3&gt;=EOMONTH($X82,-1)+1,$Y82,TRUE,0)</f>
        <v>0</v>
      </c>
      <c r="BG82" s="202" cm="1">
        <f t="array" ref="BG82">_xlfn.IFS(BG$3&lt;$B$2,SUMPRODUCT(('PA Fees Actual'!$B$5:$B$882=$E82)*('PA Fees Actual'!$A$5:$A$882&gt;=BG$3)*('PA Fees Actual'!$A$5:$A$882&lt;=EOMONTH(BG$3,0))*'PA Fees Actual'!$D$5:$D$882),BG$3&gt;=EOMONTH($X82,-1)+1,$Y82,TRUE,0)</f>
        <v>0</v>
      </c>
      <c r="BH82" s="202" cm="1">
        <f t="array" ref="BH82">_xlfn.IFS(BH$3&lt;$B$2,SUMPRODUCT(('PA Fees Actual'!$B$5:$B$882=$E82)*('PA Fees Actual'!$A$5:$A$882&gt;=BH$3)*('PA Fees Actual'!$A$5:$A$882&lt;=EOMONTH(BH$3,0))*'PA Fees Actual'!$D$5:$D$882),BH$3&gt;=EOMONTH($X82,-1)+1,$Y82,TRUE,0)</f>
        <v>0</v>
      </c>
      <c r="BI82" s="202" cm="1">
        <f t="array" ref="BI82">_xlfn.IFS(BI$3&lt;$B$2,SUMPRODUCT(('PA Fees Actual'!$B$5:$B$882=$E82)*('PA Fees Actual'!$A$5:$A$882&gt;=BI$3)*('PA Fees Actual'!$A$5:$A$882&lt;=EOMONTH(BI$3,0))*'PA Fees Actual'!$D$5:$D$882),BI$3&gt;=EOMONTH($X82,-1)+1,$Y82,TRUE,0)</f>
        <v>0</v>
      </c>
      <c r="BJ82" s="202" cm="1">
        <f t="array" ref="BJ82">_xlfn.IFS(BJ$3&lt;$B$2,SUMPRODUCT(('PA Fees Actual'!$B$5:$B$882=$E82)*('PA Fees Actual'!$A$5:$A$882&gt;=BJ$3)*('PA Fees Actual'!$A$5:$A$882&lt;=EOMONTH(BJ$3,0))*'PA Fees Actual'!$D$5:$D$882),BJ$3&gt;=EOMONTH($X82,-1)+1,$Y82,TRUE,0)</f>
        <v>0</v>
      </c>
      <c r="BK82" s="202" cm="1">
        <f t="array" ref="BK82">_xlfn.IFS(BK$3&lt;$B$2,SUMPRODUCT(('PA Fees Actual'!$B$5:$B$882=$E82)*('PA Fees Actual'!$A$5:$A$882&gt;=BK$3)*('PA Fees Actual'!$A$5:$A$882&lt;=EOMONTH(BK$3,0))*'PA Fees Actual'!$D$5:$D$882),BK$3&gt;=EOMONTH($X82,-1)+1,$Y82,TRUE,0)</f>
        <v>0</v>
      </c>
      <c r="BL82" s="202" cm="1">
        <f t="array" ref="BL82">_xlfn.IFS(BL$3&lt;$B$2,SUMPRODUCT(('PA Fees Actual'!$B$5:$B$882=$E82)*('PA Fees Actual'!$A$5:$A$882&gt;=BL$3)*('PA Fees Actual'!$A$5:$A$882&lt;=EOMONTH(BL$3,0))*'PA Fees Actual'!$D$5:$D$882),BL$3&gt;=EOMONTH($X82,-1)+1,$Y82,TRUE,0)</f>
        <v>0</v>
      </c>
      <c r="BM82" s="202" cm="1">
        <f t="array" ref="BM82">_xlfn.IFS(BM$3&lt;$B$2,SUMPRODUCT(('PA Fees Actual'!$B$5:$B$882=$E82)*('PA Fees Actual'!$A$5:$A$882&gt;=BM$3)*('PA Fees Actual'!$A$5:$A$882&lt;=EOMONTH(BM$3,0))*'PA Fees Actual'!$D$5:$D$882),BM$3&gt;=EOMONTH($X82,-1)+1,$Y82,TRUE,0)</f>
        <v>0</v>
      </c>
      <c r="BN82" s="202" cm="1">
        <f t="array" ref="BN82">_xlfn.IFS(BN$3&lt;$B$2,SUMPRODUCT(('PA Fees Actual'!$B$5:$B$882=$E82)*('PA Fees Actual'!$A$5:$A$882&gt;=BN$3)*('PA Fees Actual'!$A$5:$A$882&lt;=EOMONTH(BN$3,0))*'PA Fees Actual'!$D$5:$D$882),BN$3&gt;=EOMONTH($X82,-1)+1,$Y82,TRUE,0)</f>
        <v>0</v>
      </c>
      <c r="BO82" s="202" cm="1">
        <f t="array" ref="BO82">_xlfn.IFS(BO$3&lt;$B$2,SUMPRODUCT(('PA Fees Actual'!$B$5:$B$882=$E82)*('PA Fees Actual'!$A$5:$A$882&gt;=BO$3)*('PA Fees Actual'!$A$5:$A$882&lt;=EOMONTH(BO$3,0))*'PA Fees Actual'!$D$5:$D$882),BO$3&gt;=EOMONTH($X82,-1)+1,$Y82,TRUE,0)</f>
        <v>0</v>
      </c>
      <c r="BP82" s="202" cm="1">
        <f t="array" ref="BP82">_xlfn.IFS(BP$3&lt;$B$2,SUMPRODUCT(('PA Fees Actual'!$B$5:$B$882=$E82)*('PA Fees Actual'!$A$5:$A$882&gt;=BP$3)*('PA Fees Actual'!$A$5:$A$882&lt;=EOMONTH(BP$3,0))*'PA Fees Actual'!$D$5:$D$882),BP$3&gt;=EOMONTH($X82,-1)+1,$Y82,TRUE,0)</f>
        <v>0</v>
      </c>
      <c r="BQ82" s="202" cm="1">
        <f t="array" ref="BQ82">_xlfn.IFS(BQ$3&lt;$B$2,SUMPRODUCT(('PA Fees Actual'!$B$5:$B$882=$E82)*('PA Fees Actual'!$A$5:$A$882&gt;=BQ$3)*('PA Fees Actual'!$A$5:$A$882&lt;=EOMONTH(BQ$3,0))*'PA Fees Actual'!$D$5:$D$882),BQ$3&gt;=EOMONTH($X82,-1)+1,$Y82,TRUE,0)</f>
        <v>0</v>
      </c>
      <c r="BR82" s="202" cm="1">
        <f t="array" ref="BR82">_xlfn.IFS(BR$3&lt;$B$2,SUMPRODUCT(('PA Fees Actual'!$B$5:$B$882=$E82)*('PA Fees Actual'!$A$5:$A$882&gt;=BR$3)*('PA Fees Actual'!$A$5:$A$882&lt;=EOMONTH(BR$3,0))*'PA Fees Actual'!$D$5:$D$882),BR$3&gt;=EOMONTH($X82,-1)+1,$Y82,TRUE,0)</f>
        <v>0</v>
      </c>
      <c r="BS82" s="202" cm="1">
        <f t="array" ref="BS82">_xlfn.IFS(BS$3&lt;$B$2,SUMPRODUCT(('PA Fees Actual'!$B$5:$B$882=$E82)*('PA Fees Actual'!$A$5:$A$882&gt;=BS$3)*('PA Fees Actual'!$A$5:$A$882&lt;=EOMONTH(BS$3,0))*'PA Fees Actual'!$D$5:$D$882),BS$3&gt;=EOMONTH($X82,-1)+1,$Y82,TRUE,0)</f>
        <v>0</v>
      </c>
      <c r="BT82" s="202" cm="1">
        <f t="array" ref="BT82">_xlfn.IFS(BT$3&lt;$B$2,SUMPRODUCT(('PA Fees Actual'!$B$5:$B$882=$E82)*('PA Fees Actual'!$A$5:$A$882&gt;=BT$3)*('PA Fees Actual'!$A$5:$A$882&lt;=EOMONTH(BT$3,0))*'PA Fees Actual'!$D$5:$D$882),BT$3&gt;=EOMONTH($X82,-1)+1,$Y82,TRUE,0)</f>
        <v>0</v>
      </c>
      <c r="BU82" s="202" cm="1">
        <f t="array" ref="BU82">_xlfn.IFS(BU$3&lt;$B$2,SUMPRODUCT(('PA Fees Actual'!$B$5:$B$882=$E82)*('PA Fees Actual'!$A$5:$A$882&gt;=BU$3)*('PA Fees Actual'!$A$5:$A$882&lt;=EOMONTH(BU$3,0))*'PA Fees Actual'!$D$5:$D$882),BU$3&gt;=EOMONTH($X82,-1)+1,$Y82,TRUE,0)</f>
        <v>0</v>
      </c>
      <c r="BV82" s="202" cm="1">
        <f t="array" ref="BV82">_xlfn.IFS(BV$3&lt;$B$2,SUMPRODUCT(('PA Fees Actual'!$B$5:$B$882=$E82)*('PA Fees Actual'!$A$5:$A$882&gt;=BV$3)*('PA Fees Actual'!$A$5:$A$882&lt;=EOMONTH(BV$3,0))*'PA Fees Actual'!$D$5:$D$882),BV$3&gt;=EOMONTH($X82,-1)+1,$Y82,TRUE,0)</f>
        <v>0</v>
      </c>
      <c r="BW82" s="202" cm="1">
        <f t="array" ref="BW82">_xlfn.IFS(BW$3&lt;$B$2,SUMPRODUCT(('PA Fees Actual'!$B$5:$B$882=$E82)*('PA Fees Actual'!$A$5:$A$882&gt;=BW$3)*('PA Fees Actual'!$A$5:$A$882&lt;=EOMONTH(BW$3,0))*'PA Fees Actual'!$D$5:$D$882),BW$3&gt;=EOMONTH($X82,-1)+1,$Y82,TRUE,0)</f>
        <v>0</v>
      </c>
      <c r="BX82" s="202" cm="1">
        <f t="array" ref="BX82">_xlfn.IFS(BX$3&lt;$B$2,SUMPRODUCT(('PA Fees Actual'!$B$5:$B$882=$E82)*('PA Fees Actual'!$A$5:$A$882&gt;=BX$3)*('PA Fees Actual'!$A$5:$A$882&lt;=EOMONTH(BX$3,0))*'PA Fees Actual'!$D$5:$D$882),BX$3&gt;=EOMONTH($X82,-1)+1,$Y82,TRUE,0)</f>
        <v>0</v>
      </c>
      <c r="BY82" s="202" cm="1">
        <f t="array" ref="BY82">_xlfn.IFS(BY$3&lt;$B$2,SUMPRODUCT(('PA Fees Actual'!$B$5:$B$882=$E82)*('PA Fees Actual'!$A$5:$A$882&gt;=BY$3)*('PA Fees Actual'!$A$5:$A$882&lt;=EOMONTH(BY$3,0))*'PA Fees Actual'!$D$5:$D$882),BY$3&gt;=EOMONTH($X82,-1)+1,$Y82,TRUE,0)</f>
        <v>0</v>
      </c>
      <c r="BZ82" s="202" cm="1">
        <f t="array" ref="BZ82">_xlfn.IFS(BZ$3&lt;$B$2,SUMPRODUCT(('PA Fees Actual'!$B$5:$B$882=$E82)*('PA Fees Actual'!$A$5:$A$882&gt;=BZ$3)*('PA Fees Actual'!$A$5:$A$882&lt;=EOMONTH(BZ$3,0))*'PA Fees Actual'!$D$5:$D$882),BZ$3&gt;=EOMONTH($X82,-1)+1,$Y82,TRUE,0)</f>
        <v>0</v>
      </c>
      <c r="CA82" s="202" cm="1">
        <f t="array" ref="CA82">_xlfn.IFS(CA$3&lt;$B$2,SUMPRODUCT(('PA Fees Actual'!$B$5:$B$882=$E82)*('PA Fees Actual'!$A$5:$A$882&gt;=CA$3)*('PA Fees Actual'!$A$5:$A$882&lt;=EOMONTH(CA$3,0))*'PA Fees Actual'!$D$5:$D$882),CA$3&gt;=EOMONTH($X82,-1)+1,$Y82,TRUE,0)</f>
        <v>0</v>
      </c>
      <c r="CB82" s="202" cm="1">
        <f t="array" ref="CB82">_xlfn.IFS(CB$3&lt;$B$2,SUMPRODUCT(('PA Fees Actual'!$B$5:$B$749=$E82)*('PA Fees Actual'!$A$5:$A$749&gt;=CB$3)*('PA Fees Actual'!$A$5:$A$749&lt;=EOMONTH(CB$3,0))*'PA Fees Actual'!$D$5:$D$749),CB$3&gt;=EOMONTH($X82,-1)+1,$Y82,TRUE,0)</f>
        <v>0</v>
      </c>
      <c r="CC82" s="202" cm="1">
        <f t="array" ref="CC82">_xlfn.IFS(CC$3&lt;$B$2,SUMPRODUCT(('PA Fees Actual'!$B$5:$B$749=$E82)*('PA Fees Actual'!$A$5:$A$749&gt;=CC$3)*('PA Fees Actual'!$A$5:$A$749&lt;=EOMONTH(CC$3,0))*'PA Fees Actual'!$D$5:$D$749),CC$3&gt;=EOMONTH($X82,-1)+1,$Y82,TRUE,0)</f>
        <v>0</v>
      </c>
      <c r="CD82" s="202" cm="1">
        <f t="array" ref="CD82">_xlfn.IFS(CD$3&lt;$B$2,SUMPRODUCT(('PA Fees Actual'!$B$5:$B$749=$E82)*('PA Fees Actual'!$A$5:$A$749&gt;=CD$3)*('PA Fees Actual'!$A$5:$A$749&lt;=EOMONTH(CD$3,0))*'PA Fees Actual'!$D$5:$D$749),CD$3&gt;=EOMONTH($X82,-1)+1,$Y82,TRUE,0)</f>
        <v>0</v>
      </c>
      <c r="CE82" s="202" cm="1">
        <f t="array" ref="CE82">_xlfn.IFS(CE$3&lt;$B$2,SUMPRODUCT(('PA Fees Actual'!$B$5:$B$749=$E82)*('PA Fees Actual'!$A$5:$A$749&gt;=CE$3)*('PA Fees Actual'!$A$5:$A$749&lt;=EOMONTH(CE$3,0))*'PA Fees Actual'!$D$5:$D$749),CE$3&gt;=EOMONTH($X82,-1)+1,$Y82,TRUE,0)</f>
        <v>0</v>
      </c>
      <c r="CF82" s="202" cm="1">
        <f t="array" ref="CF82">_xlfn.IFS(CF$3&lt;$B$2,SUMPRODUCT(('PA Fees Actual'!$B$5:$B$749=$E82)*('PA Fees Actual'!$A$5:$A$749&gt;=CF$3)*('PA Fees Actual'!$A$5:$A$749&lt;=EOMONTH(CF$3,0))*'PA Fees Actual'!$D$5:$D$749),CF$3&gt;=EOMONTH($X82,-1)+1,$Y82,TRUE,0)</f>
        <v>0</v>
      </c>
      <c r="CG82" s="202" cm="1">
        <f t="array" ref="CG82">_xlfn.IFS(CG$3&lt;$B$2,SUMPRODUCT(('PA Fees Actual'!$B$5:$B$749=$E82)*('PA Fees Actual'!$A$5:$A$749&gt;=CG$3)*('PA Fees Actual'!$A$5:$A$749&lt;=EOMONTH(CG$3,0))*'PA Fees Actual'!$D$5:$D$749),CG$3&gt;=EOMONTH($X82,-1)+1,$Y82,TRUE,0)</f>
        <v>0</v>
      </c>
      <c r="CI82" s="202" cm="1">
        <f t="array" ref="CI82">_xlfn.IFS(CI$3&lt;=YEAR($B$2),SUMPRODUCT(($E$4:$E$79=$E82)*($Z$2:$CG$2=CI$3)*($Z$2:$CG$2&lt;CJ$3)*$Z$4:$CG$79),CI$3&lt;YEAR($X82),0,CI$3=YEAR($X82),DATEDIF($X82,DATE(CI$3,12,31),"m")*$Y82,AND(CI$3&gt;YEAR($X82),CI$3-YEAR($X82)&lt;20),$Y82*12,CI$3-YEAR($X82)=20,DATEDIF(DATE(YEAR($X82),1,1),$X82,"m")*$Y82,CI$3-YEAR($X82)&gt;20,0)</f>
        <v>0</v>
      </c>
      <c r="CJ82" s="202" cm="1">
        <f t="array" ref="CJ82">_xlfn.IFS(CJ$3&lt;=YEAR($B$2),SUMPRODUCT(($E$4:$E$79=$E82)*($Z$2:$CG$2=CJ$3)*($Z$2:$CG$2&lt;CK$3)*$Z$4:$CG$79),CJ$3&lt;YEAR($X82),0,CJ$3=YEAR($X82),DATEDIF($X82,DATE(CJ$3,12,31),"m")*$Y82,AND(CJ$3&gt;YEAR($X82),CJ$3-YEAR($X82)&lt;20),$Y82*12,CJ$3-YEAR($X82)=20,DATEDIF(DATE(YEAR($X82),1,1),$X82,"m")*$Y82,CJ$3-YEAR($X82)&gt;20,0)</f>
        <v>0</v>
      </c>
      <c r="CK82" s="202" cm="1">
        <f t="array" ref="CK82">_xlfn.IFS(CK$3&lt;=YEAR($B$2),SUMPRODUCT(($E$4:$E$79=$E82)*($Z$2:$CG$2=CK$3)*($Z$2:$CG$2&lt;CL$3)*$Z$4:$CG$79),CK$3&lt;YEAR($X82),0,CK$3=YEAR($X82),DATEDIF($X82,DATE(CK$3,12,31),"m")*$Y82,AND(CK$3&gt;YEAR($X82),CK$3-YEAR($X82)&lt;20),$Y82*12,CK$3-YEAR($X82)=20,DATEDIF(DATE(YEAR($X82),1,1),$X82,"m")*$Y82,CK$3-YEAR($X82)&gt;20,0)</f>
        <v>0</v>
      </c>
      <c r="CL82" s="202" cm="1">
        <f t="array" ref="CL82">_xlfn.IFS(CL$3&lt;=YEAR($B$2),SUMPRODUCT(($E$4:$E$79=$E82)*($Z$2:$CG$2=CL$3)*($Z$2:$CG$2&lt;CM$3)*$Z$4:$CG$79),CL$3&lt;YEAR($X82),0,CL$3=YEAR($X82),DATEDIF($X82,DATE(CL$3,12,31),"m")*$Y82,AND(CL$3&gt;YEAR($X82),CL$3-YEAR($X82)&lt;20),$Y82*12,CL$3-YEAR($X82)=20,DATEDIF(DATE(YEAR($X82),1,1),$X82,"m")*$Y82,CL$3-YEAR($X82)&gt;20,0)</f>
        <v>0</v>
      </c>
      <c r="CM82" s="202" cm="1">
        <f t="array" ref="CM82">_xlfn.IFS(CM$3&lt;=YEAR($B$2),SUMPRODUCT(($E$4:$E$79=$E82)*($Z$2:$CG$2=CM$3)*($Z$2:$CG$2&lt;CN$3)*$Z$4:$CG$79),CM$3&lt;YEAR($X82),0,CM$3=YEAR($X82),DATEDIF($X82,DATE(CM$3,12,31),"m")*$Y82,AND(CM$3&gt;YEAR($X82),CM$3-YEAR($X82)&lt;20),$Y82*12,CM$3-YEAR($X82)=20,DATEDIF(DATE(YEAR($X82),1,1),$X82,"m")*$Y82,CM$3-YEAR($X82)&gt;20,0)</f>
        <v>0</v>
      </c>
      <c r="CN82" s="202" cm="1">
        <f t="array" ref="CN82">_xlfn.IFS(CN$3&lt;=YEAR($B$2),SUMPRODUCT(($E$4:$E$79=$E82)*($Z$2:$CG$2=CN$3)*($Z$2:$CG$2&lt;CO$3)*$Z$4:$CG$79),CN$3&lt;YEAR($X82),0,CN$3=YEAR($X82),DATEDIF($X82,DATE(CN$3,12,31),"m")*$Y82,AND(CN$3&gt;YEAR($X82),CN$3-YEAR($X82)&lt;20),$Y82*12,CN$3-YEAR($X82)=20,DATEDIF(DATE(YEAR($X82),1,1),$X82,"m")*$Y82,CN$3-YEAR($X82)&gt;20,0)</f>
        <v>0</v>
      </c>
      <c r="CO82" s="202" cm="1">
        <f t="array" ref="CO82">_xlfn.IFS(CO$3&lt;=YEAR($B$2),SUMPRODUCT(($E$4:$E$79=$E82)*($Z$2:$CG$2=CO$3)*($Z$2:$CG$2&lt;CP$3)*$Z$4:$CG$79),CO$3&lt;YEAR($X82),0,CO$3=YEAR($X82),DATEDIF($X82,DATE(CO$3,12,31),"m")*$Y82,AND(CO$3&gt;YEAR($X82),CO$3-YEAR($X82)&lt;20),$Y82*12,CO$3-YEAR($X82)=20,DATEDIF(DATE(YEAR($X82),1,1),$X82,"m")*$Y82,CO$3-YEAR($X82)&gt;20,0)</f>
        <v>5737.5</v>
      </c>
      <c r="CP82" s="202" cm="1">
        <f t="array" ref="CP82">_xlfn.IFS(CP$3&lt;=YEAR($B$2),SUMPRODUCT(($E$4:$E$79=$E82)*($Z$2:$CG$2=CP$3)*($Z$2:$CG$2&lt;CQ$3)*$Z$4:$CG$79),CP$3&lt;YEAR($X82),0,CP$3=YEAR($X82),DATEDIF($X82,DATE(CP$3,12,31),"m")*$Y82,AND(CP$3&gt;YEAR($X82),CP$3-YEAR($X82)&lt;20),$Y82*12,CP$3-YEAR($X82)=20,DATEDIF(DATE(YEAR($X82),1,1),$X82,"m")*$Y82,CP$3-YEAR($X82)&gt;20,0)</f>
        <v>11475</v>
      </c>
      <c r="CQ82" s="202" cm="1">
        <f t="array" ref="CQ82">_xlfn.IFS(CQ$3&lt;=YEAR($B$2),SUMPRODUCT(($E$4:$E$79=$E82)*($Z$2:$CG$2=CQ$3)*($Z$2:$CG$2&lt;CR$3)*$Z$4:$CG$79),CQ$3&lt;YEAR($X82),0,CQ$3=YEAR($X82),DATEDIF($X82,DATE(CQ$3,12,31),"m")*$Y82,AND(CQ$3&gt;YEAR($X82),CQ$3-YEAR($X82)&lt;20),$Y82*12,CQ$3-YEAR($X82)=20,DATEDIF(DATE(YEAR($X82),1,1),$X82,"m")*$Y82,CQ$3-YEAR($X82)&gt;20,0)</f>
        <v>11475</v>
      </c>
      <c r="CR82" s="202" cm="1">
        <f t="array" ref="CR82">_xlfn.IFS(CR$3&lt;=YEAR($B$2),SUMPRODUCT(($E$4:$E$79=$E82)*($Z$2:$CG$2=CR$3)*($Z$2:$CG$2&lt;CS$3)*$Z$4:$CG$79),CR$3&lt;YEAR($X82),0,CR$3=YEAR($X82),DATEDIF($X82,DATE(CR$3,12,31),"m")*$Y82,AND(CR$3&gt;YEAR($X82),CR$3-YEAR($X82)&lt;20),$Y82*12,CR$3-YEAR($X82)=20,DATEDIF(DATE(YEAR($X82),1,1),$X82,"m")*$Y82,CR$3-YEAR($X82)&gt;20,0)</f>
        <v>11475</v>
      </c>
      <c r="CS82" s="202" cm="1">
        <f t="array" ref="CS82">_xlfn.IFS(CS$3&lt;=YEAR($B$2),SUMPRODUCT(($E$4:$E$79=$E82)*($Z$2:$CG$2=CS$3)*($Z$2:$CG$2&lt;CT$3)*$Z$4:$CG$79),CS$3&lt;YEAR($X82),0,CS$3=YEAR($X82),DATEDIF($X82,DATE(CS$3,12,31),"m")*$Y82,AND(CS$3&gt;YEAR($X82),CS$3-YEAR($X82)&lt;20),$Y82*12,CS$3-YEAR($X82)=20,DATEDIF(DATE(YEAR($X82),1,1),$X82,"m")*$Y82,CS$3-YEAR($X82)&gt;20,0)</f>
        <v>11475</v>
      </c>
      <c r="CT82" s="202" cm="1">
        <f t="array" ref="CT82">_xlfn.IFS(CT$3&lt;=YEAR($B$2),SUMPRODUCT(($E$4:$E$79=$E82)*($Z$2:$CG$2=CT$3)*($Z$2:$CG$2&lt;CU$3)*$Z$4:$CG$79),CT$3&lt;YEAR($X82),0,CT$3=YEAR($X82),DATEDIF($X82,DATE(CT$3,12,31),"m")*$Y82,AND(CT$3&gt;YEAR($X82),CT$3-YEAR($X82)&lt;20),$Y82*12,CT$3-YEAR($X82)=20,DATEDIF(DATE(YEAR($X82),1,1),$X82,"m")*$Y82,CT$3-YEAR($X82)&gt;20,0)</f>
        <v>11475</v>
      </c>
      <c r="CU82" s="202" cm="1">
        <f t="array" ref="CU82">_xlfn.IFS(CU$3&lt;=YEAR($B$2),SUMPRODUCT(($E$4:$E$79=$E82)*($Z$2:$CG$2=CU$3)*($Z$2:$CG$2&lt;CV$3)*$Z$4:$CG$79),CU$3&lt;YEAR($X82),0,CU$3=YEAR($X82),DATEDIF($X82,DATE(CU$3,12,31),"m")*$Y82,AND(CU$3&gt;YEAR($X82),CU$3-YEAR($X82)&lt;20),$Y82*12,CU$3-YEAR($X82)=20,DATEDIF(DATE(YEAR($X82),1,1),$X82,"m")*$Y82,CU$3-YEAR($X82)&gt;20,0)</f>
        <v>11475</v>
      </c>
      <c r="CV82" s="202" cm="1">
        <f t="array" ref="CV82">_xlfn.IFS(CV$3&lt;=YEAR($B$2),SUMPRODUCT(($E$4:$E$79=$E82)*($Z$2:$CG$2=CV$3)*($Z$2:$CG$2&lt;CW$3)*$Z$4:$CG$79),CV$3&lt;YEAR($X82),0,CV$3=YEAR($X82),DATEDIF($X82,DATE(CV$3,12,31),"m")*$Y82,AND(CV$3&gt;YEAR($X82),CV$3-YEAR($X82)&lt;20),$Y82*12,CV$3-YEAR($X82)=20,DATEDIF(DATE(YEAR($X82),1,1),$X82,"m")*$Y82,CV$3-YEAR($X82)&gt;20,0)</f>
        <v>11475</v>
      </c>
      <c r="CW82" s="202" cm="1">
        <f t="array" ref="CW82">_xlfn.IFS(CW$3&lt;=YEAR($B$2),SUMPRODUCT(($E$4:$E$79=$E82)*($Z$2:$CG$2=CW$3)*($Z$2:$CG$2&lt;CX$3)*$Z$4:$CG$79),CW$3&lt;YEAR($X82),0,CW$3=YEAR($X82),DATEDIF($X82,DATE(CW$3,12,31),"m")*$Y82,AND(CW$3&gt;YEAR($X82),CW$3-YEAR($X82)&lt;20),$Y82*12,CW$3-YEAR($X82)=20,DATEDIF(DATE(YEAR($X82),1,1),$X82,"m")*$Y82,CW$3-YEAR($X82)&gt;20,0)</f>
        <v>11475</v>
      </c>
      <c r="CX82" s="202" cm="1">
        <f t="array" ref="CX82">_xlfn.IFS(CX$3&lt;=YEAR($B$2),SUMPRODUCT(($E$4:$E$79=$E82)*($Z$2:$CG$2=CX$3)*($Z$2:$CG$2&lt;CY$3)*$Z$4:$CG$79),CX$3&lt;YEAR($X82),0,CX$3=YEAR($X82),DATEDIF($X82,DATE(CX$3,12,31),"m")*$Y82,AND(CX$3&gt;YEAR($X82),CX$3-YEAR($X82)&lt;20),$Y82*12,CX$3-YEAR($X82)=20,DATEDIF(DATE(YEAR($X82),1,1),$X82,"m")*$Y82,CX$3-YEAR($X82)&gt;20,0)</f>
        <v>11475</v>
      </c>
      <c r="CY82" s="202" cm="1">
        <f t="array" ref="CY82">_xlfn.IFS(CY$3&lt;=YEAR($B$2),SUMPRODUCT(($E$4:$E$79=$E82)*($Z$2:$CG$2=CY$3)*($Z$2:$CG$2&lt;CZ$3)*$Z$4:$CG$79),CY$3&lt;YEAR($X82),0,CY$3=YEAR($X82),DATEDIF($X82,DATE(CY$3,12,31),"m")*$Y82,AND(CY$3&gt;YEAR($X82),CY$3-YEAR($X82)&lt;20),$Y82*12,CY$3-YEAR($X82)=20,DATEDIF(DATE(YEAR($X82),1,1),$X82,"m")*$Y82,CY$3-YEAR($X82)&gt;20,0)</f>
        <v>11475</v>
      </c>
      <c r="CZ82" s="202" cm="1">
        <f t="array" ref="CZ82">_xlfn.IFS(CZ$3&lt;=YEAR($B$2),SUMPRODUCT(($E$4:$E$79=$E82)*($Z$2:$CG$2=CZ$3)*($Z$2:$CG$2&lt;DA$3)*$Z$4:$CG$79),CZ$3&lt;YEAR($X82),0,CZ$3=YEAR($X82),DATEDIF($X82,DATE(CZ$3,12,31),"m")*$Y82,AND(CZ$3&gt;YEAR($X82),CZ$3-YEAR($X82)&lt;20),$Y82*12,CZ$3-YEAR($X82)=20,DATEDIF(DATE(YEAR($X82),1,1),$X82,"m")*$Y82,CZ$3-YEAR($X82)&gt;20,0)</f>
        <v>11475</v>
      </c>
      <c r="DA82" s="202" cm="1">
        <f t="array" ref="DA82">_xlfn.IFS(DA$3&lt;=YEAR($B$2),SUMPRODUCT(($E$4:$E$79=$E82)*($Z$2:$CG$2=DA$3)*($Z$2:$CG$2&lt;DB$3)*$Z$4:$CG$79),DA$3&lt;YEAR($X82),0,DA$3=YEAR($X82),DATEDIF($X82,DATE(DA$3,12,31),"m")*$Y82,AND(DA$3&gt;YEAR($X82),DA$3-YEAR($X82)&lt;20),$Y82*12,DA$3-YEAR($X82)=20,DATEDIF(DATE(YEAR($X82),1,1),$X82,"m")*$Y82,DA$3-YEAR($X82)&gt;20,0)</f>
        <v>11475</v>
      </c>
      <c r="DB82" s="202" cm="1">
        <f t="array" ref="DB82">_xlfn.IFS(DB$3&lt;=YEAR($B$2),SUMPRODUCT(($E$4:$E$79=$E82)*($Z$2:$CG$2=DB$3)*($Z$2:$CG$2&lt;DC$3)*$Z$4:$CG$79),DB$3&lt;YEAR($X82),0,DB$3=YEAR($X82),DATEDIF($X82,DATE(DB$3,12,31),"m")*$Y82,AND(DB$3&gt;YEAR($X82),DB$3-YEAR($X82)&lt;20),$Y82*12,DB$3-YEAR($X82)=20,DATEDIF(DATE(YEAR($X82),1,1),$X82,"m")*$Y82,DB$3-YEAR($X82)&gt;20,0)</f>
        <v>11475</v>
      </c>
      <c r="DC82" s="202" cm="1">
        <f t="array" ref="DC82">_xlfn.IFS(DC$3&lt;=YEAR($B$2),SUMPRODUCT(($E$4:$E$79=$E82)*($Z$2:$CG$2=DC$3)*($Z$2:$CG$2&lt;DD$3)*$Z$4:$CG$79),DC$3&lt;YEAR($X82),0,DC$3=YEAR($X82),DATEDIF($X82,DATE(DC$3,12,31),"m")*$Y82,AND(DC$3&gt;YEAR($X82),DC$3-YEAR($X82)&lt;20),$Y82*12,DC$3-YEAR($X82)=20,DATEDIF(DATE(YEAR($X82),1,1),$X82,"m")*$Y82,DC$3-YEAR($X82)&gt;20,0)</f>
        <v>11475</v>
      </c>
      <c r="DD82" s="202" cm="1">
        <f t="array" ref="DD82">_xlfn.IFS(DD$3&lt;=YEAR($B$2),SUMPRODUCT(($E$4:$E$79=$E82)*($Z$2:$CG$2=DD$3)*($Z$2:$CG$2&lt;DE$3)*$Z$4:$CG$79),DD$3&lt;YEAR($X82),0,DD$3=YEAR($X82),DATEDIF($X82,DATE(DD$3,12,31),"m")*$Y82,AND(DD$3&gt;YEAR($X82),DD$3-YEAR($X82)&lt;20),$Y82*12,DD$3-YEAR($X82)=20,DATEDIF(DATE(YEAR($X82),1,1),$X82,"m")*$Y82,DD$3-YEAR($X82)&gt;20,0)</f>
        <v>11475</v>
      </c>
      <c r="DE82" s="202" cm="1">
        <f t="array" ref="DE82">_xlfn.IFS(DE$3&lt;=YEAR($B$2),SUMPRODUCT(($E$4:$E$79=$E82)*($Z$2:$CG$2=DE$3)*($Z$2:$CG$2&lt;DF$3)*$Z$4:$CG$79),DE$3&lt;YEAR($X82),0,DE$3=YEAR($X82),DATEDIF($X82,DATE(DE$3,12,31),"m")*$Y82,AND(DE$3&gt;YEAR($X82),DE$3-YEAR($X82)&lt;20),$Y82*12,DE$3-YEAR($X82)=20,DATEDIF(DATE(YEAR($X82),1,1),$X82,"m")*$Y82,DE$3-YEAR($X82)&gt;20,0)</f>
        <v>11475</v>
      </c>
      <c r="DF82" s="202" cm="1">
        <f t="array" ref="DF82">_xlfn.IFS(DF$3&lt;=YEAR($B$2),SUMPRODUCT(($E$4:$E$79=$E82)*($Z$2:$CG$2=DF$3)*($Z$2:$CG$2&lt;DG$3)*$Z$4:$CG$79),DF$3&lt;YEAR($X82),0,DF$3=YEAR($X82),DATEDIF($X82,DATE(DF$3,12,31),"m")*$Y82,AND(DF$3&gt;YEAR($X82),DF$3-YEAR($X82)&lt;20),$Y82*12,DF$3-YEAR($X82)=20,DATEDIF(DATE(YEAR($X82),1,1),$X82,"m")*$Y82,DF$3-YEAR($X82)&gt;20,0)</f>
        <v>11475</v>
      </c>
      <c r="DG82" s="202" cm="1">
        <f t="array" ref="DG82">_xlfn.IFS(DG$3&lt;=YEAR($B$2),SUMPRODUCT(($E$4:$E$79=$E82)*($Z$2:$CG$2=DG$3)*($Z$2:$CG$2&lt;DH$3)*$Z$4:$CG$79),DG$3&lt;YEAR($X82),0,DG$3=YEAR($X82),DATEDIF($X82,DATE(DG$3,12,31),"m")*$Y82,AND(DG$3&gt;YEAR($X82),DG$3-YEAR($X82)&lt;20),$Y82*12,DG$3-YEAR($X82)=20,DATEDIF(DATE(YEAR($X82),1,1),$X82,"m")*$Y82,DG$3-YEAR($X82)&gt;20,0)</f>
        <v>11475</v>
      </c>
      <c r="DH82" s="202" cm="1">
        <f t="array" ref="DH82">_xlfn.IFS(DH$3&lt;=YEAR($B$2),SUMPRODUCT(($E$4:$E$79=$E82)*($Z$2:$CG$2=DH$3)*($Z$2:$CG$2&lt;DI$3)*$Z$4:$CG$79),DH$3&lt;YEAR($X82),0,DH$3=YEAR($X82),DATEDIF($X82,DATE(DH$3,12,31),"m")*$Y82,AND(DH$3&gt;YEAR($X82),DH$3-YEAR($X82)&lt;20),$Y82*12,DH$3-YEAR($X82)=20,DATEDIF(DATE(YEAR($X82),1,1),$X82,"m")*$Y82,DH$3-YEAR($X82)&gt;20,0)</f>
        <v>11475</v>
      </c>
      <c r="DI82" s="202" cm="1">
        <f t="array" ref="DI82">_xlfn.IFS(DI$3&lt;=YEAR($B$2),SUMPRODUCT(($E$4:$E$79=$E82)*($Z$2:$CG$2=DI$3)*($Z$2:$CG$2&lt;DJ$3)*$Z$4:$CG$79),DI$3&lt;YEAR($X82),0,DI$3=YEAR($X82),DATEDIF($X82,DATE(DI$3,12,31),"m")*$Y82,AND(DI$3&gt;YEAR($X82),DI$3-YEAR($X82)&lt;20),$Y82*12,DI$3-YEAR($X82)=20,DATEDIF(DATE(YEAR($X82),1,1),$X82,"m")*$Y82,DI$3-YEAR($X82)&gt;20,0)</f>
        <v>4781.25</v>
      </c>
      <c r="DJ82" s="202" cm="1">
        <f t="array" ref="DJ82">_xlfn.IFS(DJ$3&lt;=YEAR($B$2),SUMPRODUCT(($E$4:$E$79=$E82)*($Z$2:$CG$2=DJ$3)*($Z$2:$CG$2&lt;DK$3)*$Z$4:$CG$79),DJ$3&lt;YEAR($X82),0,DJ$3=YEAR($X82),DATEDIF($X82,DATE(DJ$3,12,31),"m")*$Y82,AND(DJ$3&gt;YEAR($X82),DJ$3-YEAR($X82)&lt;20),$Y82*12,DJ$3-YEAR($X82)=20,DATEDIF(DATE(YEAR($X82),1,1),$X82,"m")*$Y82,DJ$3-YEAR($X82)&gt;20,0)</f>
        <v>0</v>
      </c>
      <c r="DK82" s="202" cm="1">
        <f t="array" ref="DK82">_xlfn.IFS(DK$3&lt;=YEAR($B$2),SUMPRODUCT(($E$4:$E$79=$E82)*($Z$2:$CG$2=DK$3)*($Z$2:$CG$2&lt;DL$3)*$Z$4:$CG$79),DK$3&lt;YEAR($X82),0,DK$3=YEAR($X82),DATEDIF($X82,DATE(DK$3,12,31),"m")*$Y82,AND(DK$3&gt;YEAR($X82),DK$3-YEAR($X82)&lt;20),$Y82*12,DK$3-YEAR($X82)=20,DATEDIF(DATE(YEAR($X82),1,1),$X82,"m")*$Y82,DK$3-YEAR($X82)&gt;20,0)</f>
        <v>0</v>
      </c>
      <c r="DL82" s="202" cm="1">
        <f t="array" ref="DL82">_xlfn.IFS(DL$3&lt;=YEAR($B$2),SUMPRODUCT(($E$4:$E$79=$E82)*($Z$2:$CG$2=DL$3)*($Z$2:$CG$2&lt;DM$3)*$Z$4:$CG$79),DL$3&lt;YEAR($X82),0,DL$3=YEAR($X82),DATEDIF($X82,DATE(DL$3,12,31),"m")*$Y82,AND(DL$3&gt;YEAR($X82),DL$3-YEAR($X82)&lt;20),$Y82*12,DL$3-YEAR($X82)=20,DATEDIF(DATE(YEAR($X82),1,1),$X82,"m")*$Y82,DL$3-YEAR($X82)&gt;20,0)</f>
        <v>0</v>
      </c>
    </row>
    <row r="83" spans="1:116">
      <c r="A83" s="246" t="s">
        <v>559</v>
      </c>
      <c r="B83" s="155" t="str" cm="1">
        <f t="array" ref="B83">_xlfn.IFS(LEFT(E83,3)="PGE","PGE",LEFT(E83,2)="PP","PAC",TRUE,"IP")</f>
        <v>PGE</v>
      </c>
      <c r="C83" s="155" t="str">
        <f>IF(ISNA(MATCH(E83,'Monthly Report July 2025'!E:E,0)),"Missing","Present")</f>
        <v>Present</v>
      </c>
      <c r="D83" s="155" t="str">
        <f>IF(ISNA(MATCH(E83,'Project Operational Timelines'!C:C,0))=TRUE,"Missing","Present")</f>
        <v>Present</v>
      </c>
      <c r="E83" s="155" t="s">
        <v>191</v>
      </c>
      <c r="F83" s="245" t="s">
        <v>560</v>
      </c>
      <c r="G83" s="155" t="str" cm="1">
        <f t="array" ref="G83">_xlfn.IFS(INDEX('Monthly Report July 2025'!O:O,MATCH(E83,'Monthly Report July 2025'!E:E,0),0)="Operational","Operational",INDEX('Monthly Report July 2025'!O:O,MATCH(E83,'Monthly Report July 2025'!E:E,0),0)="Certified","Certified",TRUE,"Pre-Certified")</f>
        <v>Pre-Certified</v>
      </c>
      <c r="H83" s="245" t="s">
        <v>359</v>
      </c>
      <c r="I83" s="245" t="s">
        <v>359</v>
      </c>
      <c r="J83" s="174" cm="1">
        <f t="array" ref="J83">INDEX('Monthly Report July 2025'!J:J,MATCH($E83,'Monthly Report July 2025'!$E:$E,0),0)</f>
        <v>2</v>
      </c>
      <c r="K83" s="174" t="str" cm="1">
        <f t="array" ref="K83">INDEX('Monthly Report July 2025'!K:K,MATCH($E83,'Monthly Report July 2025'!$E:$E,0),0)</f>
        <v>Yes</v>
      </c>
      <c r="L83" s="174" t="b" cm="1">
        <f t="array" ref="L83">INDEX('Monthly Report July 2025'!L:L,MATCH(E83,'Monthly Report July 2025'!E:E,0),0)=M83</f>
        <v>1</v>
      </c>
      <c r="M83" s="273" cm="1">
        <f t="array" ref="M83">INDEX('Monthly Report July 2025'!L:L,MATCH($E83,'Monthly Report July 2025'!$E:$E,0),0)</f>
        <v>1200</v>
      </c>
      <c r="N83" s="175" cm="1">
        <f t="array" ref="N83">INDEX('Monthly Report July 2025'!M:M,MATCH($E83,'Monthly Report July 2025'!$E:$E,0),0)</f>
        <v>45742</v>
      </c>
      <c r="O83" s="175" cm="1">
        <f t="array" ref="O83">_xlfn.IFS(G83="Operational","Operational",G83="Certified","Certified",TRUE,INDEX('Monthly Report July 2025'!O:O,MATCH(E83,'Monthly Report July 2025'!E:E,0),0))</f>
        <v>46291</v>
      </c>
      <c r="Q83" s="175" t="str" cm="1">
        <f t="array" ref="Q83">IF(O83="Operational",INDEX('Monthly Report July 2025'!R:R,MATCH(E83,'Monthly Report July 2025'!E:E,0),0),"")</f>
        <v/>
      </c>
      <c r="R83" s="175" cm="1">
        <f t="array" ref="R83">INDEX('Monthly Report July 2025'!P:P,MATCH(E83,'Monthly Report July 2025'!E:E,0),0)</f>
        <v>46291</v>
      </c>
      <c r="T83" s="175" cm="1">
        <f t="array" ref="T83">INDEX('Monthly Report July 2025'!U:U,MATCH(E83,'Monthly Report July 2025'!E:E,0),0)</f>
        <v>46060</v>
      </c>
      <c r="U83" s="175" t="b">
        <f t="shared" si="34"/>
        <v>1</v>
      </c>
      <c r="V83" s="156">
        <f t="shared" si="36"/>
        <v>46291</v>
      </c>
      <c r="W83" s="156" cm="1">
        <f t="array" ref="W83">_xlfn.IFS(U83=TRUE,EDATE(O83,6),U83=FALSE,T83,O83="Operational",Q83,AND(O83="Certified",EDATE(R83,6)&gt;T83),EDATE(R83,6),TRUE,T83)</f>
        <v>46472</v>
      </c>
      <c r="X83" s="156">
        <f t="shared" si="37"/>
        <v>46533</v>
      </c>
      <c r="Y83" s="157">
        <f t="shared" si="35"/>
        <v>459</v>
      </c>
      <c r="Z83" s="202" cm="1">
        <f t="array" ref="Z83">_xlfn.IFS(Z$3&lt;$B$2,SUMPRODUCT(('PA Fees Actual'!$B$5:$B$882=$E83)*('PA Fees Actual'!$A$5:$A$882&gt;=Z$3)*('PA Fees Actual'!$A$5:$A$882&lt;=EOMONTH(Z$3,0))*'PA Fees Actual'!$D$5:$D$882),Z$3&gt;=EOMONTH($X83,-1)+1,$Y83,TRUE,0)</f>
        <v>0</v>
      </c>
      <c r="AA83" s="202" cm="1">
        <f t="array" ref="AA83">_xlfn.IFS(AA$3&lt;$B$2,SUMPRODUCT(('PA Fees Actual'!$B$5:$B$882=$E83)*('PA Fees Actual'!$A$5:$A$882&gt;=AA$3)*('PA Fees Actual'!$A$5:$A$882&lt;=EOMONTH(AA$3,0))*'PA Fees Actual'!$D$5:$D$882),AA$3&gt;=EOMONTH($X83,-1)+1,$Y83,TRUE,0)</f>
        <v>0</v>
      </c>
      <c r="AB83" s="202" cm="1">
        <f t="array" ref="AB83">_xlfn.IFS(AB$3&lt;$B$2,SUMPRODUCT(('PA Fees Actual'!$B$5:$B$882=$E83)*('PA Fees Actual'!$A$5:$A$882&gt;=AB$3)*('PA Fees Actual'!$A$5:$A$882&lt;=EOMONTH(AB$3,0))*'PA Fees Actual'!$D$5:$D$882),AB$3&gt;=EOMONTH($X83,-1)+1,$Y83,TRUE,0)</f>
        <v>0</v>
      </c>
      <c r="AC83" s="202" cm="1">
        <f t="array" ref="AC83">_xlfn.IFS(AC$3&lt;$B$2,SUMPRODUCT(('PA Fees Actual'!$B$5:$B$882=$E83)*('PA Fees Actual'!$A$5:$A$882&gt;=AC$3)*('PA Fees Actual'!$A$5:$A$882&lt;=EOMONTH(AC$3,0))*'PA Fees Actual'!$D$5:$D$882),AC$3&gt;=EOMONTH($X83,-1)+1,$Y83,TRUE,0)</f>
        <v>0</v>
      </c>
      <c r="AD83" s="202" cm="1">
        <f t="array" ref="AD83">_xlfn.IFS(AD$3&lt;$B$2,SUMPRODUCT(('PA Fees Actual'!$B$5:$B$882=$E83)*('PA Fees Actual'!$A$5:$A$882&gt;=AD$3)*('PA Fees Actual'!$A$5:$A$882&lt;=EOMONTH(AD$3,0))*'PA Fees Actual'!$D$5:$D$882),AD$3&gt;=EOMONTH($X83,-1)+1,$Y83,TRUE,0)</f>
        <v>0</v>
      </c>
      <c r="AE83" s="202" cm="1">
        <f t="array" ref="AE83">_xlfn.IFS(AE$3&lt;$B$2,SUMPRODUCT(('PA Fees Actual'!$B$5:$B$882=$E83)*('PA Fees Actual'!$A$5:$A$882&gt;=AE$3)*('PA Fees Actual'!$A$5:$A$882&lt;=EOMONTH(AE$3,0))*'PA Fees Actual'!$D$5:$D$882),AE$3&gt;=EOMONTH($X83,-1)+1,$Y83,TRUE,0)</f>
        <v>0</v>
      </c>
      <c r="AF83" s="202" cm="1">
        <f t="array" ref="AF83">_xlfn.IFS(AF$3&lt;$B$2,SUMPRODUCT(('PA Fees Actual'!$B$5:$B$882=$E83)*('PA Fees Actual'!$A$5:$A$882&gt;=AF$3)*('PA Fees Actual'!$A$5:$A$882&lt;=EOMONTH(AF$3,0))*'PA Fees Actual'!$D$5:$D$882),AF$3&gt;=EOMONTH($X83,-1)+1,$Y83,TRUE,0)</f>
        <v>0</v>
      </c>
      <c r="AG83" s="202" cm="1">
        <f t="array" ref="AG83">_xlfn.IFS(AG$3&lt;$B$2,SUMPRODUCT(('PA Fees Actual'!$B$5:$B$882=$E83)*('PA Fees Actual'!$A$5:$A$882&gt;=AG$3)*('PA Fees Actual'!$A$5:$A$882&lt;=EOMONTH(AG$3,0))*'PA Fees Actual'!$D$5:$D$882),AG$3&gt;=EOMONTH($X83,-1)+1,$Y83,TRUE,0)</f>
        <v>0</v>
      </c>
      <c r="AH83" s="202" cm="1">
        <f t="array" ref="AH83">_xlfn.IFS(AH$3&lt;$B$2,SUMPRODUCT(('PA Fees Actual'!$B$5:$B$882=$E83)*('PA Fees Actual'!$A$5:$A$882&gt;=AH$3)*('PA Fees Actual'!$A$5:$A$882&lt;=EOMONTH(AH$3,0))*'PA Fees Actual'!$D$5:$D$882),AH$3&gt;=EOMONTH($X83,-1)+1,$Y83,TRUE,0)</f>
        <v>0</v>
      </c>
      <c r="AI83" s="202" cm="1">
        <f t="array" ref="AI83">_xlfn.IFS(AI$3&lt;$B$2,SUMPRODUCT(('PA Fees Actual'!$B$5:$B$882=$E83)*('PA Fees Actual'!$A$5:$A$882&gt;=AI$3)*('PA Fees Actual'!$A$5:$A$882&lt;=EOMONTH(AI$3,0))*'PA Fees Actual'!$D$5:$D$882),AI$3&gt;=EOMONTH($X83,-1)+1,$Y83,TRUE,0)</f>
        <v>0</v>
      </c>
      <c r="AJ83" s="202" cm="1">
        <f t="array" ref="AJ83">_xlfn.IFS(AJ$3&lt;$B$2,SUMPRODUCT(('PA Fees Actual'!$B$5:$B$882=$E83)*('PA Fees Actual'!$A$5:$A$882&gt;=AJ$3)*('PA Fees Actual'!$A$5:$A$882&lt;=EOMONTH(AJ$3,0))*'PA Fees Actual'!$D$5:$D$882),AJ$3&gt;=EOMONTH($X83,-1)+1,$Y83,TRUE,0)</f>
        <v>0</v>
      </c>
      <c r="AK83" s="202" cm="1">
        <f t="array" ref="AK83">_xlfn.IFS(AK$3&lt;$B$2,SUMPRODUCT(('PA Fees Actual'!$B$5:$B$882=$E83)*('PA Fees Actual'!$A$5:$A$882&gt;=AK$3)*('PA Fees Actual'!$A$5:$A$882&lt;=EOMONTH(AK$3,0))*'PA Fees Actual'!$D$5:$D$882),AK$3&gt;=EOMONTH($X83,-1)+1,$Y83,TRUE,0)</f>
        <v>0</v>
      </c>
      <c r="AL83" s="202" cm="1">
        <f t="array" ref="AL83">_xlfn.IFS(AL$3&lt;$B$2,SUMPRODUCT(('PA Fees Actual'!$B$5:$B$882=$E83)*('PA Fees Actual'!$A$5:$A$882&gt;=AL$3)*('PA Fees Actual'!$A$5:$A$882&lt;=EOMONTH(AL$3,0))*'PA Fees Actual'!$D$5:$D$882),AL$3&gt;=EOMONTH($X83,-1)+1,$Y83,TRUE,0)</f>
        <v>0</v>
      </c>
      <c r="AM83" s="202" cm="1">
        <f t="array" ref="AM83">_xlfn.IFS(AM$3&lt;$B$2,SUMPRODUCT(('PA Fees Actual'!$B$5:$B$882=$E83)*('PA Fees Actual'!$A$5:$A$882&gt;=AM$3)*('PA Fees Actual'!$A$5:$A$882&lt;=EOMONTH(AM$3,0))*'PA Fees Actual'!$D$5:$D$882),AM$3&gt;=EOMONTH($X83,-1)+1,$Y83,TRUE,0)</f>
        <v>0</v>
      </c>
      <c r="AN83" s="202" cm="1">
        <f t="array" ref="AN83">_xlfn.IFS(AN$3&lt;$B$2,SUMPRODUCT(('PA Fees Actual'!$B$5:$B$882=$E83)*('PA Fees Actual'!$A$5:$A$882&gt;=AN$3)*('PA Fees Actual'!$A$5:$A$882&lt;=EOMONTH(AN$3,0))*'PA Fees Actual'!$D$5:$D$882),AN$3&gt;=EOMONTH($X83,-1)+1,$Y83,TRUE,0)</f>
        <v>0</v>
      </c>
      <c r="AO83" s="202" cm="1">
        <f t="array" ref="AO83">_xlfn.IFS(AO$3&lt;$B$2,SUMPRODUCT(('PA Fees Actual'!$B$5:$B$882=$E83)*('PA Fees Actual'!$A$5:$A$882&gt;=AO$3)*('PA Fees Actual'!$A$5:$A$882&lt;=EOMONTH(AO$3,0))*'PA Fees Actual'!$D$5:$D$882),AO$3&gt;=EOMONTH($X83,-1)+1,$Y83,TRUE,0)</f>
        <v>0</v>
      </c>
      <c r="AP83" s="202" cm="1">
        <f t="array" ref="AP83">_xlfn.IFS(AP$3&lt;$B$2,SUMPRODUCT(('PA Fees Actual'!$B$5:$B$882=$E83)*('PA Fees Actual'!$A$5:$A$882&gt;=AP$3)*('PA Fees Actual'!$A$5:$A$882&lt;=EOMONTH(AP$3,0))*'PA Fees Actual'!$D$5:$D$882),AP$3&gt;=EOMONTH($X83,-1)+1,$Y83,TRUE,0)</f>
        <v>0</v>
      </c>
      <c r="AQ83" s="202" cm="1">
        <f t="array" ref="AQ83">_xlfn.IFS(AQ$3&lt;$B$2,SUMPRODUCT(('PA Fees Actual'!$B$5:$B$882=$E83)*('PA Fees Actual'!$A$5:$A$882&gt;=AQ$3)*('PA Fees Actual'!$A$5:$A$882&lt;=EOMONTH(AQ$3,0))*'PA Fees Actual'!$D$5:$D$882),AQ$3&gt;=EOMONTH($X83,-1)+1,$Y83,TRUE,0)</f>
        <v>0</v>
      </c>
      <c r="AR83" s="202" cm="1">
        <f t="array" ref="AR83">_xlfn.IFS(AR$3&lt;$B$2,SUMPRODUCT(('PA Fees Actual'!$B$5:$B$882=$E83)*('PA Fees Actual'!$A$5:$A$882&gt;=AR$3)*('PA Fees Actual'!$A$5:$A$882&lt;=EOMONTH(AR$3,0))*'PA Fees Actual'!$D$5:$D$882),AR$3&gt;=EOMONTH($X83,-1)+1,$Y83,TRUE,0)</f>
        <v>0</v>
      </c>
      <c r="AS83" s="202" cm="1">
        <f t="array" ref="AS83">_xlfn.IFS(AS$3&lt;$B$2,SUMPRODUCT(('PA Fees Actual'!$B$5:$B$882=$E83)*('PA Fees Actual'!$A$5:$A$882&gt;=AS$3)*('PA Fees Actual'!$A$5:$A$882&lt;=EOMONTH(AS$3,0))*'PA Fees Actual'!$D$5:$D$882),AS$3&gt;=EOMONTH($X83,-1)+1,$Y83,TRUE,0)</f>
        <v>0</v>
      </c>
      <c r="AT83" s="202" cm="1">
        <f t="array" ref="AT83">_xlfn.IFS(AT$3&lt;$B$2,SUMPRODUCT(('PA Fees Actual'!$B$5:$B$882=$E83)*('PA Fees Actual'!$A$5:$A$882&gt;=AT$3)*('PA Fees Actual'!$A$5:$A$882&lt;=EOMONTH(AT$3,0))*'PA Fees Actual'!$D$5:$D$882),AT$3&gt;=EOMONTH($X83,-1)+1,$Y83,TRUE,0)</f>
        <v>0</v>
      </c>
      <c r="AU83" s="202" cm="1">
        <f t="array" ref="AU83">_xlfn.IFS(AU$3&lt;$B$2,SUMPRODUCT(('PA Fees Actual'!$B$5:$B$882=$E83)*('PA Fees Actual'!$A$5:$A$882&gt;=AU$3)*('PA Fees Actual'!$A$5:$A$882&lt;=EOMONTH(AU$3,0))*'PA Fees Actual'!$D$5:$D$882),AU$3&gt;=EOMONTH($X83,-1)+1,$Y83,TRUE,0)</f>
        <v>0</v>
      </c>
      <c r="AV83" s="202" cm="1">
        <f t="array" ref="AV83">_xlfn.IFS(AV$3&lt;$B$2,SUMPRODUCT(('PA Fees Actual'!$B$5:$B$882=$E83)*('PA Fees Actual'!$A$5:$A$882&gt;=AV$3)*('PA Fees Actual'!$A$5:$A$882&lt;=EOMONTH(AV$3,0))*'PA Fees Actual'!$D$5:$D$882),AV$3&gt;=EOMONTH($X83,-1)+1,$Y83,TRUE,0)</f>
        <v>0</v>
      </c>
      <c r="AW83" s="202" cm="1">
        <f t="array" ref="AW83">_xlfn.IFS(AW$3&lt;$B$2,SUMPRODUCT(('PA Fees Actual'!$B$5:$B$882=$E83)*('PA Fees Actual'!$A$5:$A$882&gt;=AW$3)*('PA Fees Actual'!$A$5:$A$882&lt;=EOMONTH(AW$3,0))*'PA Fees Actual'!$D$5:$D$882),AW$3&gt;=EOMONTH($X83,-1)+1,$Y83,TRUE,0)</f>
        <v>0</v>
      </c>
      <c r="AX83" s="202" cm="1">
        <f t="array" ref="AX83">_xlfn.IFS(AX$3&lt;$B$2,SUMPRODUCT(('PA Fees Actual'!$B$5:$B$882=$E83)*('PA Fees Actual'!$A$5:$A$882&gt;=AX$3)*('PA Fees Actual'!$A$5:$A$882&lt;=EOMONTH(AX$3,0))*'PA Fees Actual'!$D$5:$D$882),AX$3&gt;=EOMONTH($X83,-1)+1,$Y83,TRUE,0)</f>
        <v>0</v>
      </c>
      <c r="AY83" s="202" cm="1">
        <f t="array" ref="AY83">_xlfn.IFS(AY$3&lt;$B$2,SUMPRODUCT(('PA Fees Actual'!$B$5:$B$882=$E83)*('PA Fees Actual'!$A$5:$A$882&gt;=AY$3)*('PA Fees Actual'!$A$5:$A$882&lt;=EOMONTH(AY$3,0))*'PA Fees Actual'!$D$5:$D$882),AY$3&gt;=EOMONTH($X83,-1)+1,$Y83,TRUE,0)</f>
        <v>0</v>
      </c>
      <c r="AZ83" s="202" cm="1">
        <f t="array" ref="AZ83">_xlfn.IFS(AZ$3&lt;$B$2,SUMPRODUCT(('PA Fees Actual'!$B$5:$B$882=$E83)*('PA Fees Actual'!$A$5:$A$882&gt;=AZ$3)*('PA Fees Actual'!$A$5:$A$882&lt;=EOMONTH(AZ$3,0))*'PA Fees Actual'!$D$5:$D$882),AZ$3&gt;=EOMONTH($X83,-1)+1,$Y83,TRUE,0)</f>
        <v>0</v>
      </c>
      <c r="BA83" s="202" cm="1">
        <f t="array" ref="BA83">_xlfn.IFS(BA$3&lt;$B$2,SUMPRODUCT(('PA Fees Actual'!$B$5:$B$882=$E83)*('PA Fees Actual'!$A$5:$A$882&gt;=BA$3)*('PA Fees Actual'!$A$5:$A$882&lt;=EOMONTH(BA$3,0))*'PA Fees Actual'!$D$5:$D$882),BA$3&gt;=EOMONTH($X83,-1)+1,$Y83,TRUE,0)</f>
        <v>0</v>
      </c>
      <c r="BB83" s="202" cm="1">
        <f t="array" ref="BB83">_xlfn.IFS(BB$3&lt;$B$2,SUMPRODUCT(('PA Fees Actual'!$B$5:$B$882=$E83)*('PA Fees Actual'!$A$5:$A$882&gt;=BB$3)*('PA Fees Actual'!$A$5:$A$882&lt;=EOMONTH(BB$3,0))*'PA Fees Actual'!$D$5:$D$882),BB$3&gt;=EOMONTH($X83,-1)+1,$Y83,TRUE,0)</f>
        <v>0</v>
      </c>
      <c r="BC83" s="202" cm="1">
        <f t="array" ref="BC83">_xlfn.IFS(BC$3&lt;$B$2,SUMPRODUCT(('PA Fees Actual'!$B$5:$B$882=$E83)*('PA Fees Actual'!$A$5:$A$882&gt;=BC$3)*('PA Fees Actual'!$A$5:$A$882&lt;=EOMONTH(BC$3,0))*'PA Fees Actual'!$D$5:$D$882),BC$3&gt;=EOMONTH($X83,-1)+1,$Y83,TRUE,0)</f>
        <v>0</v>
      </c>
      <c r="BD83" s="202" cm="1">
        <f t="array" ref="BD83">_xlfn.IFS(BD$3&lt;$B$2,SUMPRODUCT(('PA Fees Actual'!$B$5:$B$882=$E83)*('PA Fees Actual'!$A$5:$A$882&gt;=BD$3)*('PA Fees Actual'!$A$5:$A$882&lt;=EOMONTH(BD$3,0))*'PA Fees Actual'!$D$5:$D$882),BD$3&gt;=EOMONTH($X83,-1)+1,$Y83,TRUE,0)</f>
        <v>0</v>
      </c>
      <c r="BE83" s="202" cm="1">
        <f t="array" ref="BE83">_xlfn.IFS(BE$3&lt;$B$2,SUMPRODUCT(('PA Fees Actual'!$B$5:$B$882=$E83)*('PA Fees Actual'!$A$5:$A$882&gt;=BE$3)*('PA Fees Actual'!$A$5:$A$882&lt;=EOMONTH(BE$3,0))*'PA Fees Actual'!$D$5:$D$882),BE$3&gt;=EOMONTH($X83,-1)+1,$Y83,TRUE,0)</f>
        <v>0</v>
      </c>
      <c r="BF83" s="202" cm="1">
        <f t="array" ref="BF83">_xlfn.IFS(BF$3&lt;$B$2,SUMPRODUCT(('PA Fees Actual'!$B$5:$B$882=$E83)*('PA Fees Actual'!$A$5:$A$882&gt;=BF$3)*('PA Fees Actual'!$A$5:$A$882&lt;=EOMONTH(BF$3,0))*'PA Fees Actual'!$D$5:$D$882),BF$3&gt;=EOMONTH($X83,-1)+1,$Y83,TRUE,0)</f>
        <v>0</v>
      </c>
      <c r="BG83" s="202" cm="1">
        <f t="array" ref="BG83">_xlfn.IFS(BG$3&lt;$B$2,SUMPRODUCT(('PA Fees Actual'!$B$5:$B$882=$E83)*('PA Fees Actual'!$A$5:$A$882&gt;=BG$3)*('PA Fees Actual'!$A$5:$A$882&lt;=EOMONTH(BG$3,0))*'PA Fees Actual'!$D$5:$D$882),BG$3&gt;=EOMONTH($X83,-1)+1,$Y83,TRUE,0)</f>
        <v>0</v>
      </c>
      <c r="BH83" s="202" cm="1">
        <f t="array" ref="BH83">_xlfn.IFS(BH$3&lt;$B$2,SUMPRODUCT(('PA Fees Actual'!$B$5:$B$882=$E83)*('PA Fees Actual'!$A$5:$A$882&gt;=BH$3)*('PA Fees Actual'!$A$5:$A$882&lt;=EOMONTH(BH$3,0))*'PA Fees Actual'!$D$5:$D$882),BH$3&gt;=EOMONTH($X83,-1)+1,$Y83,TRUE,0)</f>
        <v>0</v>
      </c>
      <c r="BI83" s="202" cm="1">
        <f t="array" ref="BI83">_xlfn.IFS(BI$3&lt;$B$2,SUMPRODUCT(('PA Fees Actual'!$B$5:$B$882=$E83)*('PA Fees Actual'!$A$5:$A$882&gt;=BI$3)*('PA Fees Actual'!$A$5:$A$882&lt;=EOMONTH(BI$3,0))*'PA Fees Actual'!$D$5:$D$882),BI$3&gt;=EOMONTH($X83,-1)+1,$Y83,TRUE,0)</f>
        <v>0</v>
      </c>
      <c r="BJ83" s="202" cm="1">
        <f t="array" ref="BJ83">_xlfn.IFS(BJ$3&lt;$B$2,SUMPRODUCT(('PA Fees Actual'!$B$5:$B$882=$E83)*('PA Fees Actual'!$A$5:$A$882&gt;=BJ$3)*('PA Fees Actual'!$A$5:$A$882&lt;=EOMONTH(BJ$3,0))*'PA Fees Actual'!$D$5:$D$882),BJ$3&gt;=EOMONTH($X83,-1)+1,$Y83,TRUE,0)</f>
        <v>0</v>
      </c>
      <c r="BK83" s="202" cm="1">
        <f t="array" ref="BK83">_xlfn.IFS(BK$3&lt;$B$2,SUMPRODUCT(('PA Fees Actual'!$B$5:$B$882=$E83)*('PA Fees Actual'!$A$5:$A$882&gt;=BK$3)*('PA Fees Actual'!$A$5:$A$882&lt;=EOMONTH(BK$3,0))*'PA Fees Actual'!$D$5:$D$882),BK$3&gt;=EOMONTH($X83,-1)+1,$Y83,TRUE,0)</f>
        <v>0</v>
      </c>
      <c r="BL83" s="202" cm="1">
        <f t="array" ref="BL83">_xlfn.IFS(BL$3&lt;$B$2,SUMPRODUCT(('PA Fees Actual'!$B$5:$B$882=$E83)*('PA Fees Actual'!$A$5:$A$882&gt;=BL$3)*('PA Fees Actual'!$A$5:$A$882&lt;=EOMONTH(BL$3,0))*'PA Fees Actual'!$D$5:$D$882),BL$3&gt;=EOMONTH($X83,-1)+1,$Y83,TRUE,0)</f>
        <v>0</v>
      </c>
      <c r="BM83" s="202" cm="1">
        <f t="array" ref="BM83">_xlfn.IFS(BM$3&lt;$B$2,SUMPRODUCT(('PA Fees Actual'!$B$5:$B$882=$E83)*('PA Fees Actual'!$A$5:$A$882&gt;=BM$3)*('PA Fees Actual'!$A$5:$A$882&lt;=EOMONTH(BM$3,0))*'PA Fees Actual'!$D$5:$D$882),BM$3&gt;=EOMONTH($X83,-1)+1,$Y83,TRUE,0)</f>
        <v>0</v>
      </c>
      <c r="BN83" s="202" cm="1">
        <f t="array" ref="BN83">_xlfn.IFS(BN$3&lt;$B$2,SUMPRODUCT(('PA Fees Actual'!$B$5:$B$882=$E83)*('PA Fees Actual'!$A$5:$A$882&gt;=BN$3)*('PA Fees Actual'!$A$5:$A$882&lt;=EOMONTH(BN$3,0))*'PA Fees Actual'!$D$5:$D$882),BN$3&gt;=EOMONTH($X83,-1)+1,$Y83,TRUE,0)</f>
        <v>0</v>
      </c>
      <c r="BO83" s="202" cm="1">
        <f t="array" ref="BO83">_xlfn.IFS(BO$3&lt;$B$2,SUMPRODUCT(('PA Fees Actual'!$B$5:$B$882=$E83)*('PA Fees Actual'!$A$5:$A$882&gt;=BO$3)*('PA Fees Actual'!$A$5:$A$882&lt;=EOMONTH(BO$3,0))*'PA Fees Actual'!$D$5:$D$882),BO$3&gt;=EOMONTH($X83,-1)+1,$Y83,TRUE,0)</f>
        <v>0</v>
      </c>
      <c r="BP83" s="202" cm="1">
        <f t="array" ref="BP83">_xlfn.IFS(BP$3&lt;$B$2,SUMPRODUCT(('PA Fees Actual'!$B$5:$B$882=$E83)*('PA Fees Actual'!$A$5:$A$882&gt;=BP$3)*('PA Fees Actual'!$A$5:$A$882&lt;=EOMONTH(BP$3,0))*'PA Fees Actual'!$D$5:$D$882),BP$3&gt;=EOMONTH($X83,-1)+1,$Y83,TRUE,0)</f>
        <v>0</v>
      </c>
      <c r="BQ83" s="202" cm="1">
        <f t="array" ref="BQ83">_xlfn.IFS(BQ$3&lt;$B$2,SUMPRODUCT(('PA Fees Actual'!$B$5:$B$882=$E83)*('PA Fees Actual'!$A$5:$A$882&gt;=BQ$3)*('PA Fees Actual'!$A$5:$A$882&lt;=EOMONTH(BQ$3,0))*'PA Fees Actual'!$D$5:$D$882),BQ$3&gt;=EOMONTH($X83,-1)+1,$Y83,TRUE,0)</f>
        <v>0</v>
      </c>
      <c r="BR83" s="202" cm="1">
        <f t="array" ref="BR83">_xlfn.IFS(BR$3&lt;$B$2,SUMPRODUCT(('PA Fees Actual'!$B$5:$B$882=$E83)*('PA Fees Actual'!$A$5:$A$882&gt;=BR$3)*('PA Fees Actual'!$A$5:$A$882&lt;=EOMONTH(BR$3,0))*'PA Fees Actual'!$D$5:$D$882),BR$3&gt;=EOMONTH($X83,-1)+1,$Y83,TRUE,0)</f>
        <v>0</v>
      </c>
      <c r="BS83" s="202" cm="1">
        <f t="array" ref="BS83">_xlfn.IFS(BS$3&lt;$B$2,SUMPRODUCT(('PA Fees Actual'!$B$5:$B$882=$E83)*('PA Fees Actual'!$A$5:$A$882&gt;=BS$3)*('PA Fees Actual'!$A$5:$A$882&lt;=EOMONTH(BS$3,0))*'PA Fees Actual'!$D$5:$D$882),BS$3&gt;=EOMONTH($X83,-1)+1,$Y83,TRUE,0)</f>
        <v>0</v>
      </c>
      <c r="BT83" s="202" cm="1">
        <f t="array" ref="BT83">_xlfn.IFS(BT$3&lt;$B$2,SUMPRODUCT(('PA Fees Actual'!$B$5:$B$882=$E83)*('PA Fees Actual'!$A$5:$A$882&gt;=BT$3)*('PA Fees Actual'!$A$5:$A$882&lt;=EOMONTH(BT$3,0))*'PA Fees Actual'!$D$5:$D$882),BT$3&gt;=EOMONTH($X83,-1)+1,$Y83,TRUE,0)</f>
        <v>0</v>
      </c>
      <c r="BU83" s="202" cm="1">
        <f t="array" ref="BU83">_xlfn.IFS(BU$3&lt;$B$2,SUMPRODUCT(('PA Fees Actual'!$B$5:$B$882=$E83)*('PA Fees Actual'!$A$5:$A$882&gt;=BU$3)*('PA Fees Actual'!$A$5:$A$882&lt;=EOMONTH(BU$3,0))*'PA Fees Actual'!$D$5:$D$882),BU$3&gt;=EOMONTH($X83,-1)+1,$Y83,TRUE,0)</f>
        <v>0</v>
      </c>
      <c r="BV83" s="202" cm="1">
        <f t="array" ref="BV83">_xlfn.IFS(BV$3&lt;$B$2,SUMPRODUCT(('PA Fees Actual'!$B$5:$B$882=$E83)*('PA Fees Actual'!$A$5:$A$882&gt;=BV$3)*('PA Fees Actual'!$A$5:$A$882&lt;=EOMONTH(BV$3,0))*'PA Fees Actual'!$D$5:$D$882),BV$3&gt;=EOMONTH($X83,-1)+1,$Y83,TRUE,0)</f>
        <v>0</v>
      </c>
      <c r="BW83" s="202" cm="1">
        <f t="array" ref="BW83">_xlfn.IFS(BW$3&lt;$B$2,SUMPRODUCT(('PA Fees Actual'!$B$5:$B$882=$E83)*('PA Fees Actual'!$A$5:$A$882&gt;=BW$3)*('PA Fees Actual'!$A$5:$A$882&lt;=EOMONTH(BW$3,0))*'PA Fees Actual'!$D$5:$D$882),BW$3&gt;=EOMONTH($X83,-1)+1,$Y83,TRUE,0)</f>
        <v>0</v>
      </c>
      <c r="BX83" s="202" cm="1">
        <f t="array" ref="BX83">_xlfn.IFS(BX$3&lt;$B$2,SUMPRODUCT(('PA Fees Actual'!$B$5:$B$882=$E83)*('PA Fees Actual'!$A$5:$A$882&gt;=BX$3)*('PA Fees Actual'!$A$5:$A$882&lt;=EOMONTH(BX$3,0))*'PA Fees Actual'!$D$5:$D$882),BX$3&gt;=EOMONTH($X83,-1)+1,$Y83,TRUE,0)</f>
        <v>0</v>
      </c>
      <c r="BY83" s="202" cm="1">
        <f t="array" ref="BY83">_xlfn.IFS(BY$3&lt;$B$2,SUMPRODUCT(('PA Fees Actual'!$B$5:$B$882=$E83)*('PA Fees Actual'!$A$5:$A$882&gt;=BY$3)*('PA Fees Actual'!$A$5:$A$882&lt;=EOMONTH(BY$3,0))*'PA Fees Actual'!$D$5:$D$882),BY$3&gt;=EOMONTH($X83,-1)+1,$Y83,TRUE,0)</f>
        <v>0</v>
      </c>
      <c r="BZ83" s="202" cm="1">
        <f t="array" ref="BZ83">_xlfn.IFS(BZ$3&lt;$B$2,SUMPRODUCT(('PA Fees Actual'!$B$5:$B$882=$E83)*('PA Fees Actual'!$A$5:$A$882&gt;=BZ$3)*('PA Fees Actual'!$A$5:$A$882&lt;=EOMONTH(BZ$3,0))*'PA Fees Actual'!$D$5:$D$882),BZ$3&gt;=EOMONTH($X83,-1)+1,$Y83,TRUE,0)</f>
        <v>0</v>
      </c>
      <c r="CA83" s="202" cm="1">
        <f t="array" ref="CA83">_xlfn.IFS(CA$3&lt;$B$2,SUMPRODUCT(('PA Fees Actual'!$B$5:$B$882=$E83)*('PA Fees Actual'!$A$5:$A$882&gt;=CA$3)*('PA Fees Actual'!$A$5:$A$882&lt;=EOMONTH(CA$3,0))*'PA Fees Actual'!$D$5:$D$882),CA$3&gt;=EOMONTH($X83,-1)+1,$Y83,TRUE,0)</f>
        <v>0</v>
      </c>
      <c r="CB83" s="202" cm="1">
        <f t="array" ref="CB83">_xlfn.IFS(CB$3&lt;$B$2,SUMPRODUCT(('PA Fees Actual'!$B$5:$B$749=$E83)*('PA Fees Actual'!$A$5:$A$749&gt;=CB$3)*('PA Fees Actual'!$A$5:$A$749&lt;=EOMONTH(CB$3,0))*'PA Fees Actual'!$D$5:$D$749),CB$3&gt;=EOMONTH($X83,-1)+1,$Y83,TRUE,0)</f>
        <v>0</v>
      </c>
      <c r="CC83" s="202" cm="1">
        <f t="array" ref="CC83">_xlfn.IFS(CC$3&lt;$B$2,SUMPRODUCT(('PA Fees Actual'!$B$5:$B$749=$E83)*('PA Fees Actual'!$A$5:$A$749&gt;=CC$3)*('PA Fees Actual'!$A$5:$A$749&lt;=EOMONTH(CC$3,0))*'PA Fees Actual'!$D$5:$D$749),CC$3&gt;=EOMONTH($X83,-1)+1,$Y83,TRUE,0)</f>
        <v>0</v>
      </c>
      <c r="CD83" s="202" cm="1">
        <f t="array" ref="CD83">_xlfn.IFS(CD$3&lt;$B$2,SUMPRODUCT(('PA Fees Actual'!$B$5:$B$749=$E83)*('PA Fees Actual'!$A$5:$A$749&gt;=CD$3)*('PA Fees Actual'!$A$5:$A$749&lt;=EOMONTH(CD$3,0))*'PA Fees Actual'!$D$5:$D$749),CD$3&gt;=EOMONTH($X83,-1)+1,$Y83,TRUE,0)</f>
        <v>0</v>
      </c>
      <c r="CE83" s="202" cm="1">
        <f t="array" ref="CE83">_xlfn.IFS(CE$3&lt;$B$2,SUMPRODUCT(('PA Fees Actual'!$B$5:$B$749=$E83)*('PA Fees Actual'!$A$5:$A$749&gt;=CE$3)*('PA Fees Actual'!$A$5:$A$749&lt;=EOMONTH(CE$3,0))*'PA Fees Actual'!$D$5:$D$749),CE$3&gt;=EOMONTH($X83,-1)+1,$Y83,TRUE,0)</f>
        <v>0</v>
      </c>
      <c r="CF83" s="202" cm="1">
        <f t="array" ref="CF83">_xlfn.IFS(CF$3&lt;$B$2,SUMPRODUCT(('PA Fees Actual'!$B$5:$B$749=$E83)*('PA Fees Actual'!$A$5:$A$749&gt;=CF$3)*('PA Fees Actual'!$A$5:$A$749&lt;=EOMONTH(CF$3,0))*'PA Fees Actual'!$D$5:$D$749),CF$3&gt;=EOMONTH($X83,-1)+1,$Y83,TRUE,0)</f>
        <v>0</v>
      </c>
      <c r="CG83" s="202" cm="1">
        <f t="array" ref="CG83">_xlfn.IFS(CG$3&lt;$B$2,SUMPRODUCT(('PA Fees Actual'!$B$5:$B$749=$E83)*('PA Fees Actual'!$A$5:$A$749&gt;=CG$3)*('PA Fees Actual'!$A$5:$A$749&lt;=EOMONTH(CG$3,0))*'PA Fees Actual'!$D$5:$D$749),CG$3&gt;=EOMONTH($X83,-1)+1,$Y83,TRUE,0)</f>
        <v>0</v>
      </c>
      <c r="CI83" s="202" cm="1">
        <f t="array" ref="CI83">_xlfn.IFS(CI$3&lt;=YEAR($B$2),SUMPRODUCT(($E$4:$E$79=$E83)*($Z$2:$CG$2=CI$3)*($Z$2:$CG$2&lt;CJ$3)*$Z$4:$CG$79),CI$3&lt;YEAR($X83),0,CI$3=YEAR($X83),DATEDIF($X83,DATE(CI$3,12,31),"m")*$Y83,AND(CI$3&gt;YEAR($X83),CI$3-YEAR($X83)&lt;20),$Y83*12,CI$3-YEAR($X83)=20,DATEDIF(DATE(YEAR($X83),1,1),$X83,"m")*$Y83,CI$3-YEAR($X83)&gt;20,0)</f>
        <v>0</v>
      </c>
      <c r="CJ83" s="202" cm="1">
        <f t="array" ref="CJ83">_xlfn.IFS(CJ$3&lt;=YEAR($B$2),SUMPRODUCT(($E$4:$E$79=$E83)*($Z$2:$CG$2=CJ$3)*($Z$2:$CG$2&lt;CK$3)*$Z$4:$CG$79),CJ$3&lt;YEAR($X83),0,CJ$3=YEAR($X83),DATEDIF($X83,DATE(CJ$3,12,31),"m")*$Y83,AND(CJ$3&gt;YEAR($X83),CJ$3-YEAR($X83)&lt;20),$Y83*12,CJ$3-YEAR($X83)=20,DATEDIF(DATE(YEAR($X83),1,1),$X83,"m")*$Y83,CJ$3-YEAR($X83)&gt;20,0)</f>
        <v>0</v>
      </c>
      <c r="CK83" s="202" cm="1">
        <f t="array" ref="CK83">_xlfn.IFS(CK$3&lt;=YEAR($B$2),SUMPRODUCT(($E$4:$E$79=$E83)*($Z$2:$CG$2=CK$3)*($Z$2:$CG$2&lt;CL$3)*$Z$4:$CG$79),CK$3&lt;YEAR($X83),0,CK$3=YEAR($X83),DATEDIF($X83,DATE(CK$3,12,31),"m")*$Y83,AND(CK$3&gt;YEAR($X83),CK$3-YEAR($X83)&lt;20),$Y83*12,CK$3-YEAR($X83)=20,DATEDIF(DATE(YEAR($X83),1,1),$X83,"m")*$Y83,CK$3-YEAR($X83)&gt;20,0)</f>
        <v>0</v>
      </c>
      <c r="CL83" s="202" cm="1">
        <f t="array" ref="CL83">_xlfn.IFS(CL$3&lt;=YEAR($B$2),SUMPRODUCT(($E$4:$E$79=$E83)*($Z$2:$CG$2=CL$3)*($Z$2:$CG$2&lt;CM$3)*$Z$4:$CG$79),CL$3&lt;YEAR($X83),0,CL$3=YEAR($X83),DATEDIF($X83,DATE(CL$3,12,31),"m")*$Y83,AND(CL$3&gt;YEAR($X83),CL$3-YEAR($X83)&lt;20),$Y83*12,CL$3-YEAR($X83)=20,DATEDIF(DATE(YEAR($X83),1,1),$X83,"m")*$Y83,CL$3-YEAR($X83)&gt;20,0)</f>
        <v>0</v>
      </c>
      <c r="CM83" s="202" cm="1">
        <f t="array" ref="CM83">_xlfn.IFS(CM$3&lt;=YEAR($B$2),SUMPRODUCT(($E$4:$E$79=$E83)*($Z$2:$CG$2=CM$3)*($Z$2:$CG$2&lt;CN$3)*$Z$4:$CG$79),CM$3&lt;YEAR($X83),0,CM$3=YEAR($X83),DATEDIF($X83,DATE(CM$3,12,31),"m")*$Y83,AND(CM$3&gt;YEAR($X83),CM$3-YEAR($X83)&lt;20),$Y83*12,CM$3-YEAR($X83)=20,DATEDIF(DATE(YEAR($X83),1,1),$X83,"m")*$Y83,CM$3-YEAR($X83)&gt;20,0)</f>
        <v>0</v>
      </c>
      <c r="CN83" s="202" cm="1">
        <f t="array" ref="CN83">_xlfn.IFS(CN$3&lt;=YEAR($B$2),SUMPRODUCT(($E$4:$E$79=$E83)*($Z$2:$CG$2=CN$3)*($Z$2:$CG$2&lt;CO$3)*$Z$4:$CG$79),CN$3&lt;YEAR($X83),0,CN$3=YEAR($X83),DATEDIF($X83,DATE(CN$3,12,31),"m")*$Y83,AND(CN$3&gt;YEAR($X83),CN$3-YEAR($X83)&lt;20),$Y83*12,CN$3-YEAR($X83)=20,DATEDIF(DATE(YEAR($X83),1,1),$X83,"m")*$Y83,CN$3-YEAR($X83)&gt;20,0)</f>
        <v>0</v>
      </c>
      <c r="CO83" s="202" cm="1">
        <f t="array" ref="CO83">_xlfn.IFS(CO$3&lt;=YEAR($B$2),SUMPRODUCT(($E$4:$E$79=$E83)*($Z$2:$CG$2=CO$3)*($Z$2:$CG$2&lt;CP$3)*$Z$4:$CG$79),CO$3&lt;YEAR($X83),0,CO$3=YEAR($X83),DATEDIF($X83,DATE(CO$3,12,31),"m")*$Y83,AND(CO$3&gt;YEAR($X83),CO$3-YEAR($X83)&lt;20),$Y83*12,CO$3-YEAR($X83)=20,DATEDIF(DATE(YEAR($X83),1,1),$X83,"m")*$Y83,CO$3-YEAR($X83)&gt;20,0)</f>
        <v>3213</v>
      </c>
      <c r="CP83" s="202" cm="1">
        <f t="array" ref="CP83">_xlfn.IFS(CP$3&lt;=YEAR($B$2),SUMPRODUCT(($E$4:$E$79=$E83)*($Z$2:$CG$2=CP$3)*($Z$2:$CG$2&lt;CQ$3)*$Z$4:$CG$79),CP$3&lt;YEAR($X83),0,CP$3=YEAR($X83),DATEDIF($X83,DATE(CP$3,12,31),"m")*$Y83,AND(CP$3&gt;YEAR($X83),CP$3-YEAR($X83)&lt;20),$Y83*12,CP$3-YEAR($X83)=20,DATEDIF(DATE(YEAR($X83),1,1),$X83,"m")*$Y83,CP$3-YEAR($X83)&gt;20,0)</f>
        <v>5508</v>
      </c>
      <c r="CQ83" s="202" cm="1">
        <f t="array" ref="CQ83">_xlfn.IFS(CQ$3&lt;=YEAR($B$2),SUMPRODUCT(($E$4:$E$79=$E83)*($Z$2:$CG$2=CQ$3)*($Z$2:$CG$2&lt;CR$3)*$Z$4:$CG$79),CQ$3&lt;YEAR($X83),0,CQ$3=YEAR($X83),DATEDIF($X83,DATE(CQ$3,12,31),"m")*$Y83,AND(CQ$3&gt;YEAR($X83),CQ$3-YEAR($X83)&lt;20),$Y83*12,CQ$3-YEAR($X83)=20,DATEDIF(DATE(YEAR($X83),1,1),$X83,"m")*$Y83,CQ$3-YEAR($X83)&gt;20,0)</f>
        <v>5508</v>
      </c>
      <c r="CR83" s="202" cm="1">
        <f t="array" ref="CR83">_xlfn.IFS(CR$3&lt;=YEAR($B$2),SUMPRODUCT(($E$4:$E$79=$E83)*($Z$2:$CG$2=CR$3)*($Z$2:$CG$2&lt;CS$3)*$Z$4:$CG$79),CR$3&lt;YEAR($X83),0,CR$3=YEAR($X83),DATEDIF($X83,DATE(CR$3,12,31),"m")*$Y83,AND(CR$3&gt;YEAR($X83),CR$3-YEAR($X83)&lt;20),$Y83*12,CR$3-YEAR($X83)=20,DATEDIF(DATE(YEAR($X83),1,1),$X83,"m")*$Y83,CR$3-YEAR($X83)&gt;20,0)</f>
        <v>5508</v>
      </c>
      <c r="CS83" s="202" cm="1">
        <f t="array" ref="CS83">_xlfn.IFS(CS$3&lt;=YEAR($B$2),SUMPRODUCT(($E$4:$E$79=$E83)*($Z$2:$CG$2=CS$3)*($Z$2:$CG$2&lt;CT$3)*$Z$4:$CG$79),CS$3&lt;YEAR($X83),0,CS$3=YEAR($X83),DATEDIF($X83,DATE(CS$3,12,31),"m")*$Y83,AND(CS$3&gt;YEAR($X83),CS$3-YEAR($X83)&lt;20),$Y83*12,CS$3-YEAR($X83)=20,DATEDIF(DATE(YEAR($X83),1,1),$X83,"m")*$Y83,CS$3-YEAR($X83)&gt;20,0)</f>
        <v>5508</v>
      </c>
      <c r="CT83" s="202" cm="1">
        <f t="array" ref="CT83">_xlfn.IFS(CT$3&lt;=YEAR($B$2),SUMPRODUCT(($E$4:$E$79=$E83)*($Z$2:$CG$2=CT$3)*($Z$2:$CG$2&lt;CU$3)*$Z$4:$CG$79),CT$3&lt;YEAR($X83),0,CT$3=YEAR($X83),DATEDIF($X83,DATE(CT$3,12,31),"m")*$Y83,AND(CT$3&gt;YEAR($X83),CT$3-YEAR($X83)&lt;20),$Y83*12,CT$3-YEAR($X83)=20,DATEDIF(DATE(YEAR($X83),1,1),$X83,"m")*$Y83,CT$3-YEAR($X83)&gt;20,0)</f>
        <v>5508</v>
      </c>
      <c r="CU83" s="202" cm="1">
        <f t="array" ref="CU83">_xlfn.IFS(CU$3&lt;=YEAR($B$2),SUMPRODUCT(($E$4:$E$79=$E83)*($Z$2:$CG$2=CU$3)*($Z$2:$CG$2&lt;CV$3)*$Z$4:$CG$79),CU$3&lt;YEAR($X83),0,CU$3=YEAR($X83),DATEDIF($X83,DATE(CU$3,12,31),"m")*$Y83,AND(CU$3&gt;YEAR($X83),CU$3-YEAR($X83)&lt;20),$Y83*12,CU$3-YEAR($X83)=20,DATEDIF(DATE(YEAR($X83),1,1),$X83,"m")*$Y83,CU$3-YEAR($X83)&gt;20,0)</f>
        <v>5508</v>
      </c>
      <c r="CV83" s="202" cm="1">
        <f t="array" ref="CV83">_xlfn.IFS(CV$3&lt;=YEAR($B$2),SUMPRODUCT(($E$4:$E$79=$E83)*($Z$2:$CG$2=CV$3)*($Z$2:$CG$2&lt;CW$3)*$Z$4:$CG$79),CV$3&lt;YEAR($X83),0,CV$3=YEAR($X83),DATEDIF($X83,DATE(CV$3,12,31),"m")*$Y83,AND(CV$3&gt;YEAR($X83),CV$3-YEAR($X83)&lt;20),$Y83*12,CV$3-YEAR($X83)=20,DATEDIF(DATE(YEAR($X83),1,1),$X83,"m")*$Y83,CV$3-YEAR($X83)&gt;20,0)</f>
        <v>5508</v>
      </c>
      <c r="CW83" s="202" cm="1">
        <f t="array" ref="CW83">_xlfn.IFS(CW$3&lt;=YEAR($B$2),SUMPRODUCT(($E$4:$E$79=$E83)*($Z$2:$CG$2=CW$3)*($Z$2:$CG$2&lt;CX$3)*$Z$4:$CG$79),CW$3&lt;YEAR($X83),0,CW$3=YEAR($X83),DATEDIF($X83,DATE(CW$3,12,31),"m")*$Y83,AND(CW$3&gt;YEAR($X83),CW$3-YEAR($X83)&lt;20),$Y83*12,CW$3-YEAR($X83)=20,DATEDIF(DATE(YEAR($X83),1,1),$X83,"m")*$Y83,CW$3-YEAR($X83)&gt;20,0)</f>
        <v>5508</v>
      </c>
      <c r="CX83" s="202" cm="1">
        <f t="array" ref="CX83">_xlfn.IFS(CX$3&lt;=YEAR($B$2),SUMPRODUCT(($E$4:$E$79=$E83)*($Z$2:$CG$2=CX$3)*($Z$2:$CG$2&lt;CY$3)*$Z$4:$CG$79),CX$3&lt;YEAR($X83),0,CX$3=YEAR($X83),DATEDIF($X83,DATE(CX$3,12,31),"m")*$Y83,AND(CX$3&gt;YEAR($X83),CX$3-YEAR($X83)&lt;20),$Y83*12,CX$3-YEAR($X83)=20,DATEDIF(DATE(YEAR($X83),1,1),$X83,"m")*$Y83,CX$3-YEAR($X83)&gt;20,0)</f>
        <v>5508</v>
      </c>
      <c r="CY83" s="202" cm="1">
        <f t="array" ref="CY83">_xlfn.IFS(CY$3&lt;=YEAR($B$2),SUMPRODUCT(($E$4:$E$79=$E83)*($Z$2:$CG$2=CY$3)*($Z$2:$CG$2&lt;CZ$3)*$Z$4:$CG$79),CY$3&lt;YEAR($X83),0,CY$3=YEAR($X83),DATEDIF($X83,DATE(CY$3,12,31),"m")*$Y83,AND(CY$3&gt;YEAR($X83),CY$3-YEAR($X83)&lt;20),$Y83*12,CY$3-YEAR($X83)=20,DATEDIF(DATE(YEAR($X83),1,1),$X83,"m")*$Y83,CY$3-YEAR($X83)&gt;20,0)</f>
        <v>5508</v>
      </c>
      <c r="CZ83" s="202" cm="1">
        <f t="array" ref="CZ83">_xlfn.IFS(CZ$3&lt;=YEAR($B$2),SUMPRODUCT(($E$4:$E$79=$E83)*($Z$2:$CG$2=CZ$3)*($Z$2:$CG$2&lt;DA$3)*$Z$4:$CG$79),CZ$3&lt;YEAR($X83),0,CZ$3=YEAR($X83),DATEDIF($X83,DATE(CZ$3,12,31),"m")*$Y83,AND(CZ$3&gt;YEAR($X83),CZ$3-YEAR($X83)&lt;20),$Y83*12,CZ$3-YEAR($X83)=20,DATEDIF(DATE(YEAR($X83),1,1),$X83,"m")*$Y83,CZ$3-YEAR($X83)&gt;20,0)</f>
        <v>5508</v>
      </c>
      <c r="DA83" s="202" cm="1">
        <f t="array" ref="DA83">_xlfn.IFS(DA$3&lt;=YEAR($B$2),SUMPRODUCT(($E$4:$E$79=$E83)*($Z$2:$CG$2=DA$3)*($Z$2:$CG$2&lt;DB$3)*$Z$4:$CG$79),DA$3&lt;YEAR($X83),0,DA$3=YEAR($X83),DATEDIF($X83,DATE(DA$3,12,31),"m")*$Y83,AND(DA$3&gt;YEAR($X83),DA$3-YEAR($X83)&lt;20),$Y83*12,DA$3-YEAR($X83)=20,DATEDIF(DATE(YEAR($X83),1,1),$X83,"m")*$Y83,DA$3-YEAR($X83)&gt;20,0)</f>
        <v>5508</v>
      </c>
      <c r="DB83" s="202" cm="1">
        <f t="array" ref="DB83">_xlfn.IFS(DB$3&lt;=YEAR($B$2),SUMPRODUCT(($E$4:$E$79=$E83)*($Z$2:$CG$2=DB$3)*($Z$2:$CG$2&lt;DC$3)*$Z$4:$CG$79),DB$3&lt;YEAR($X83),0,DB$3=YEAR($X83),DATEDIF($X83,DATE(DB$3,12,31),"m")*$Y83,AND(DB$3&gt;YEAR($X83),DB$3-YEAR($X83)&lt;20),$Y83*12,DB$3-YEAR($X83)=20,DATEDIF(DATE(YEAR($X83),1,1),$X83,"m")*$Y83,DB$3-YEAR($X83)&gt;20,0)</f>
        <v>5508</v>
      </c>
      <c r="DC83" s="202" cm="1">
        <f t="array" ref="DC83">_xlfn.IFS(DC$3&lt;=YEAR($B$2),SUMPRODUCT(($E$4:$E$79=$E83)*($Z$2:$CG$2=DC$3)*($Z$2:$CG$2&lt;DD$3)*$Z$4:$CG$79),DC$3&lt;YEAR($X83),0,DC$3=YEAR($X83),DATEDIF($X83,DATE(DC$3,12,31),"m")*$Y83,AND(DC$3&gt;YEAR($X83),DC$3-YEAR($X83)&lt;20),$Y83*12,DC$3-YEAR($X83)=20,DATEDIF(DATE(YEAR($X83),1,1),$X83,"m")*$Y83,DC$3-YEAR($X83)&gt;20,0)</f>
        <v>5508</v>
      </c>
      <c r="DD83" s="202" cm="1">
        <f t="array" ref="DD83">_xlfn.IFS(DD$3&lt;=YEAR($B$2),SUMPRODUCT(($E$4:$E$79=$E83)*($Z$2:$CG$2=DD$3)*($Z$2:$CG$2&lt;DE$3)*$Z$4:$CG$79),DD$3&lt;YEAR($X83),0,DD$3=YEAR($X83),DATEDIF($X83,DATE(DD$3,12,31),"m")*$Y83,AND(DD$3&gt;YEAR($X83),DD$3-YEAR($X83)&lt;20),$Y83*12,DD$3-YEAR($X83)=20,DATEDIF(DATE(YEAR($X83),1,1),$X83,"m")*$Y83,DD$3-YEAR($X83)&gt;20,0)</f>
        <v>5508</v>
      </c>
      <c r="DE83" s="202" cm="1">
        <f t="array" ref="DE83">_xlfn.IFS(DE$3&lt;=YEAR($B$2),SUMPRODUCT(($E$4:$E$79=$E83)*($Z$2:$CG$2=DE$3)*($Z$2:$CG$2&lt;DF$3)*$Z$4:$CG$79),DE$3&lt;YEAR($X83),0,DE$3=YEAR($X83),DATEDIF($X83,DATE(DE$3,12,31),"m")*$Y83,AND(DE$3&gt;YEAR($X83),DE$3-YEAR($X83)&lt;20),$Y83*12,DE$3-YEAR($X83)=20,DATEDIF(DATE(YEAR($X83),1,1),$X83,"m")*$Y83,DE$3-YEAR($X83)&gt;20,0)</f>
        <v>5508</v>
      </c>
      <c r="DF83" s="202" cm="1">
        <f t="array" ref="DF83">_xlfn.IFS(DF$3&lt;=YEAR($B$2),SUMPRODUCT(($E$4:$E$79=$E83)*($Z$2:$CG$2=DF$3)*($Z$2:$CG$2&lt;DG$3)*$Z$4:$CG$79),DF$3&lt;YEAR($X83),0,DF$3=YEAR($X83),DATEDIF($X83,DATE(DF$3,12,31),"m")*$Y83,AND(DF$3&gt;YEAR($X83),DF$3-YEAR($X83)&lt;20),$Y83*12,DF$3-YEAR($X83)=20,DATEDIF(DATE(YEAR($X83),1,1),$X83,"m")*$Y83,DF$3-YEAR($X83)&gt;20,0)</f>
        <v>5508</v>
      </c>
      <c r="DG83" s="202" cm="1">
        <f t="array" ref="DG83">_xlfn.IFS(DG$3&lt;=YEAR($B$2),SUMPRODUCT(($E$4:$E$79=$E83)*($Z$2:$CG$2=DG$3)*($Z$2:$CG$2&lt;DH$3)*$Z$4:$CG$79),DG$3&lt;YEAR($X83),0,DG$3=YEAR($X83),DATEDIF($X83,DATE(DG$3,12,31),"m")*$Y83,AND(DG$3&gt;YEAR($X83),DG$3-YEAR($X83)&lt;20),$Y83*12,DG$3-YEAR($X83)=20,DATEDIF(DATE(YEAR($X83),1,1),$X83,"m")*$Y83,DG$3-YEAR($X83)&gt;20,0)</f>
        <v>5508</v>
      </c>
      <c r="DH83" s="202" cm="1">
        <f t="array" ref="DH83">_xlfn.IFS(DH$3&lt;=YEAR($B$2),SUMPRODUCT(($E$4:$E$79=$E83)*($Z$2:$CG$2=DH$3)*($Z$2:$CG$2&lt;DI$3)*$Z$4:$CG$79),DH$3&lt;YEAR($X83),0,DH$3=YEAR($X83),DATEDIF($X83,DATE(DH$3,12,31),"m")*$Y83,AND(DH$3&gt;YEAR($X83),DH$3-YEAR($X83)&lt;20),$Y83*12,DH$3-YEAR($X83)=20,DATEDIF(DATE(YEAR($X83),1,1),$X83,"m")*$Y83,DH$3-YEAR($X83)&gt;20,0)</f>
        <v>5508</v>
      </c>
      <c r="DI83" s="202" cm="1">
        <f t="array" ref="DI83">_xlfn.IFS(DI$3&lt;=YEAR($B$2),SUMPRODUCT(($E$4:$E$79=$E83)*($Z$2:$CG$2=DI$3)*($Z$2:$CG$2&lt;DJ$3)*$Z$4:$CG$79),DI$3&lt;YEAR($X83),0,DI$3=YEAR($X83),DATEDIF($X83,DATE(DI$3,12,31),"m")*$Y83,AND(DI$3&gt;YEAR($X83),DI$3-YEAR($X83)&lt;20),$Y83*12,DI$3-YEAR($X83)=20,DATEDIF(DATE(YEAR($X83),1,1),$X83,"m")*$Y83,DI$3-YEAR($X83)&gt;20,0)</f>
        <v>1836</v>
      </c>
      <c r="DJ83" s="202" cm="1">
        <f t="array" ref="DJ83">_xlfn.IFS(DJ$3&lt;=YEAR($B$2),SUMPRODUCT(($E$4:$E$79=$E83)*($Z$2:$CG$2=DJ$3)*($Z$2:$CG$2&lt;DK$3)*$Z$4:$CG$79),DJ$3&lt;YEAR($X83),0,DJ$3=YEAR($X83),DATEDIF($X83,DATE(DJ$3,12,31),"m")*$Y83,AND(DJ$3&gt;YEAR($X83),DJ$3-YEAR($X83)&lt;20),$Y83*12,DJ$3-YEAR($X83)=20,DATEDIF(DATE(YEAR($X83),1,1),$X83,"m")*$Y83,DJ$3-YEAR($X83)&gt;20,0)</f>
        <v>0</v>
      </c>
      <c r="DK83" s="202" cm="1">
        <f t="array" ref="DK83">_xlfn.IFS(DK$3&lt;=YEAR($B$2),SUMPRODUCT(($E$4:$E$79=$E83)*($Z$2:$CG$2=DK$3)*($Z$2:$CG$2&lt;DL$3)*$Z$4:$CG$79),DK$3&lt;YEAR($X83),0,DK$3=YEAR($X83),DATEDIF($X83,DATE(DK$3,12,31),"m")*$Y83,AND(DK$3&gt;YEAR($X83),DK$3-YEAR($X83)&lt;20),$Y83*12,DK$3-YEAR($X83)=20,DATEDIF(DATE(YEAR($X83),1,1),$X83,"m")*$Y83,DK$3-YEAR($X83)&gt;20,0)</f>
        <v>0</v>
      </c>
      <c r="DL83" s="202" cm="1">
        <f t="array" ref="DL83">_xlfn.IFS(DL$3&lt;=YEAR($B$2),SUMPRODUCT(($E$4:$E$79=$E83)*($Z$2:$CG$2=DL$3)*($Z$2:$CG$2&lt;DM$3)*$Z$4:$CG$79),DL$3&lt;YEAR($X83),0,DL$3=YEAR($X83),DATEDIF($X83,DATE(DL$3,12,31),"m")*$Y83,AND(DL$3&gt;YEAR($X83),DL$3-YEAR($X83)&lt;20),$Y83*12,DL$3-YEAR($X83)=20,DATEDIF(DATE(YEAR($X83),1,1),$X83,"m")*$Y83,DL$3-YEAR($X83)&gt;20,0)</f>
        <v>0</v>
      </c>
    </row>
  </sheetData>
  <autoFilter ref="A3:XR83" xr:uid="{4D3339AE-BF66-4AD4-B583-A964DE0ED21A}"/>
  <mergeCells count="1">
    <mergeCell ref="DO9:DS9"/>
  </mergeCells>
  <phoneticPr fontId="17" type="noConversion"/>
  <pageMargins left="0.7" right="0.7" top="0.75" bottom="0.75" header="0.3" footer="0.3"/>
  <headerFooter>
    <oddFooter>&amp;C_x000D_&amp;1#&amp;"Calibri"&amp;10&amp;K000000 Level 3 - Restricted</oddFooter>
  </headerFooter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9309-11E3-4604-B023-A62A37ACD53E}">
  <sheetPr codeName="Sheet36">
    <tabColor theme="7" tint="0.39997558519241921"/>
  </sheetPr>
  <dimension ref="A1:D882"/>
  <sheetViews>
    <sheetView workbookViewId="0">
      <selection activeCell="A3" sqref="A3"/>
    </sheetView>
  </sheetViews>
  <sheetFormatPr defaultRowHeight="15"/>
  <cols>
    <col min="1" max="1" width="15" bestFit="1" customWidth="1"/>
    <col min="2" max="2" width="12.85546875" bestFit="1" customWidth="1"/>
    <col min="3" max="3" width="11.85546875" customWidth="1"/>
    <col min="4" max="4" width="16.5703125" bestFit="1" customWidth="1"/>
  </cols>
  <sheetData>
    <row r="1" spans="1:4">
      <c r="A1" s="5" t="s">
        <v>720</v>
      </c>
    </row>
    <row r="4" spans="1:4">
      <c r="A4" s="193" t="s">
        <v>721</v>
      </c>
      <c r="B4" s="193" t="s">
        <v>661</v>
      </c>
      <c r="C4" s="193" t="s">
        <v>722</v>
      </c>
      <c r="D4" s="193" t="s">
        <v>723</v>
      </c>
    </row>
    <row r="5" spans="1:4">
      <c r="A5" s="194">
        <v>44368</v>
      </c>
      <c r="B5" s="195" t="s">
        <v>112</v>
      </c>
      <c r="C5" s="195" t="s">
        <v>724</v>
      </c>
      <c r="D5" s="196">
        <v>67.7</v>
      </c>
    </row>
    <row r="6" spans="1:4">
      <c r="A6" s="194">
        <v>44403</v>
      </c>
      <c r="B6" s="195" t="s">
        <v>112</v>
      </c>
      <c r="C6" s="195" t="s">
        <v>724</v>
      </c>
      <c r="D6" s="197">
        <v>904.26</v>
      </c>
    </row>
    <row r="7" spans="1:4">
      <c r="A7" s="194">
        <v>44403</v>
      </c>
      <c r="B7" s="195" t="s">
        <v>131</v>
      </c>
      <c r="C7" s="195" t="s">
        <v>724</v>
      </c>
      <c r="D7" s="197">
        <v>110.8</v>
      </c>
    </row>
    <row r="8" spans="1:4">
      <c r="A8" s="194">
        <v>44403</v>
      </c>
      <c r="B8" s="195" t="s">
        <v>118</v>
      </c>
      <c r="C8" s="195" t="s">
        <v>724</v>
      </c>
      <c r="D8" s="197">
        <v>1139.92</v>
      </c>
    </row>
    <row r="9" spans="1:4">
      <c r="A9" s="194">
        <v>44403</v>
      </c>
      <c r="B9" s="195" t="s">
        <v>112</v>
      </c>
      <c r="C9" s="195" t="s">
        <v>724</v>
      </c>
      <c r="D9" s="197">
        <v>276.52999999999997</v>
      </c>
    </row>
    <row r="10" spans="1:4">
      <c r="A10" s="194">
        <v>44403</v>
      </c>
      <c r="B10" s="195" t="s">
        <v>131</v>
      </c>
      <c r="C10" s="195" t="s">
        <v>724</v>
      </c>
      <c r="D10" s="197">
        <v>1466.86</v>
      </c>
    </row>
    <row r="11" spans="1:4">
      <c r="A11" s="194">
        <v>44403</v>
      </c>
      <c r="B11" s="195" t="s">
        <v>118</v>
      </c>
      <c r="C11" s="195" t="s">
        <v>724</v>
      </c>
      <c r="D11" s="197">
        <v>953.52</v>
      </c>
    </row>
    <row r="12" spans="1:4">
      <c r="A12" s="194">
        <v>44438</v>
      </c>
      <c r="B12" s="195" t="s">
        <v>112</v>
      </c>
      <c r="C12" s="195" t="s">
        <v>724</v>
      </c>
      <c r="D12" s="196">
        <v>1143.6600000000001</v>
      </c>
    </row>
    <row r="13" spans="1:4">
      <c r="A13" s="194">
        <v>44438</v>
      </c>
      <c r="B13" s="195" t="s">
        <v>131</v>
      </c>
      <c r="C13" s="195" t="s">
        <v>724</v>
      </c>
      <c r="D13" s="196">
        <v>2467.44</v>
      </c>
    </row>
    <row r="14" spans="1:4">
      <c r="A14" s="194">
        <v>44438</v>
      </c>
      <c r="B14" s="195" t="s">
        <v>118</v>
      </c>
      <c r="C14" s="195" t="s">
        <v>724</v>
      </c>
      <c r="D14" s="196">
        <v>2202.5500000000002</v>
      </c>
    </row>
    <row r="15" spans="1:4">
      <c r="A15" s="194">
        <v>44475</v>
      </c>
      <c r="B15" s="195" t="s">
        <v>112</v>
      </c>
      <c r="C15" s="195" t="s">
        <v>724</v>
      </c>
      <c r="D15" s="196">
        <v>341.76</v>
      </c>
    </row>
    <row r="16" spans="1:4">
      <c r="A16" s="194">
        <v>44475</v>
      </c>
      <c r="B16" s="195" t="s">
        <v>131</v>
      </c>
      <c r="C16" s="195" t="s">
        <v>724</v>
      </c>
      <c r="D16" s="196">
        <v>1363.8</v>
      </c>
    </row>
    <row r="17" spans="1:4">
      <c r="A17" s="194">
        <v>44475</v>
      </c>
      <c r="B17" s="195" t="s">
        <v>118</v>
      </c>
      <c r="C17" s="195" t="s">
        <v>724</v>
      </c>
      <c r="D17" s="196">
        <v>775.93</v>
      </c>
    </row>
    <row r="18" spans="1:4">
      <c r="A18" s="194">
        <v>44475</v>
      </c>
      <c r="B18" s="195" t="s">
        <v>112</v>
      </c>
      <c r="C18" s="195" t="s">
        <v>724</v>
      </c>
      <c r="D18" s="196">
        <v>101</v>
      </c>
    </row>
    <row r="19" spans="1:4">
      <c r="A19" s="194">
        <v>44475</v>
      </c>
      <c r="B19" s="195" t="s">
        <v>131</v>
      </c>
      <c r="C19" s="195" t="s">
        <v>724</v>
      </c>
      <c r="D19" s="196">
        <v>2260.6799999999998</v>
      </c>
    </row>
    <row r="20" spans="1:4">
      <c r="A20" s="194">
        <v>44475</v>
      </c>
      <c r="B20" s="195" t="s">
        <v>118</v>
      </c>
      <c r="C20" s="195" t="s">
        <v>724</v>
      </c>
      <c r="D20" s="196">
        <v>1185.57</v>
      </c>
    </row>
    <row r="21" spans="1:4">
      <c r="A21" s="194">
        <v>44491</v>
      </c>
      <c r="B21" s="195" t="s">
        <v>112</v>
      </c>
      <c r="C21" s="195" t="s">
        <v>724</v>
      </c>
      <c r="D21" s="196">
        <v>87.5</v>
      </c>
    </row>
    <row r="22" spans="1:4">
      <c r="A22" s="194">
        <v>44491</v>
      </c>
      <c r="B22" s="195" t="s">
        <v>131</v>
      </c>
      <c r="C22" s="195" t="s">
        <v>724</v>
      </c>
      <c r="D22" s="196">
        <v>157.69999999999999</v>
      </c>
    </row>
    <row r="23" spans="1:4">
      <c r="A23" s="194">
        <v>44491</v>
      </c>
      <c r="B23" s="195" t="s">
        <v>118</v>
      </c>
      <c r="C23" s="195" t="s">
        <v>724</v>
      </c>
      <c r="D23" s="196">
        <v>85.72</v>
      </c>
    </row>
    <row r="24" spans="1:4">
      <c r="A24" s="194">
        <v>44515</v>
      </c>
      <c r="B24" s="195" t="s">
        <v>112</v>
      </c>
      <c r="C24" s="195" t="s">
        <v>724</v>
      </c>
      <c r="D24" s="196">
        <v>6188.18</v>
      </c>
    </row>
    <row r="25" spans="1:4">
      <c r="A25" s="194">
        <v>44515</v>
      </c>
      <c r="B25" s="195" t="s">
        <v>131</v>
      </c>
      <c r="C25" s="195" t="s">
        <v>724</v>
      </c>
      <c r="D25" s="196">
        <v>1682.4999999999995</v>
      </c>
    </row>
    <row r="26" spans="1:4">
      <c r="A26" s="194">
        <v>44515</v>
      </c>
      <c r="B26" s="195" t="s">
        <v>118</v>
      </c>
      <c r="C26" s="195" t="s">
        <v>724</v>
      </c>
      <c r="D26" s="196">
        <v>3454.04</v>
      </c>
    </row>
    <row r="27" spans="1:4">
      <c r="A27" s="194">
        <v>44517</v>
      </c>
      <c r="B27" s="195" t="s">
        <v>112</v>
      </c>
      <c r="C27" s="195" t="s">
        <v>724</v>
      </c>
      <c r="D27" s="198">
        <v>446.23</v>
      </c>
    </row>
    <row r="28" spans="1:4">
      <c r="A28" s="194">
        <v>44517</v>
      </c>
      <c r="B28" s="195" t="s">
        <v>131</v>
      </c>
      <c r="C28" s="195" t="s">
        <v>724</v>
      </c>
      <c r="D28" s="198">
        <v>232.58</v>
      </c>
    </row>
    <row r="29" spans="1:4">
      <c r="A29" s="194">
        <v>44517</v>
      </c>
      <c r="B29" s="195" t="s">
        <v>118</v>
      </c>
      <c r="C29" s="195" t="s">
        <v>724</v>
      </c>
      <c r="D29" s="198">
        <v>194.95</v>
      </c>
    </row>
    <row r="30" spans="1:4">
      <c r="A30" s="194">
        <v>44540</v>
      </c>
      <c r="B30" s="195" t="s">
        <v>131</v>
      </c>
      <c r="C30" s="195" t="s">
        <v>724</v>
      </c>
      <c r="D30" s="196">
        <v>734.02</v>
      </c>
    </row>
    <row r="31" spans="1:4">
      <c r="A31" s="194">
        <v>44540</v>
      </c>
      <c r="B31" s="195" t="s">
        <v>118</v>
      </c>
      <c r="C31" s="195" t="s">
        <v>724</v>
      </c>
      <c r="D31" s="196">
        <v>660.03000000000009</v>
      </c>
    </row>
    <row r="32" spans="1:4">
      <c r="A32" s="194">
        <v>44540</v>
      </c>
      <c r="B32" s="195" t="s">
        <v>112</v>
      </c>
      <c r="C32" s="195" t="s">
        <v>724</v>
      </c>
      <c r="D32" s="196">
        <v>159.47999999999999</v>
      </c>
    </row>
    <row r="33" spans="1:4">
      <c r="A33" s="194">
        <v>44550</v>
      </c>
      <c r="B33" s="195" t="s">
        <v>131</v>
      </c>
      <c r="C33" s="195" t="s">
        <v>724</v>
      </c>
      <c r="D33" s="196">
        <v>188.03</v>
      </c>
    </row>
    <row r="34" spans="1:4">
      <c r="A34" s="194">
        <v>44550</v>
      </c>
      <c r="B34" s="195" t="s">
        <v>118</v>
      </c>
      <c r="C34" s="195" t="s">
        <v>724</v>
      </c>
      <c r="D34" s="196">
        <v>647.85</v>
      </c>
    </row>
    <row r="35" spans="1:4">
      <c r="A35" s="194">
        <v>44550</v>
      </c>
      <c r="B35" s="195" t="s">
        <v>112</v>
      </c>
      <c r="C35" s="195" t="s">
        <v>724</v>
      </c>
      <c r="D35" s="196">
        <v>1221.77</v>
      </c>
    </row>
    <row r="36" spans="1:4">
      <c r="A36" s="194">
        <v>44574</v>
      </c>
      <c r="B36" s="195" t="s">
        <v>131</v>
      </c>
      <c r="C36" s="195" t="s">
        <v>724</v>
      </c>
      <c r="D36" s="196">
        <v>2667.99</v>
      </c>
    </row>
    <row r="37" spans="1:4">
      <c r="A37" s="194">
        <v>44574</v>
      </c>
      <c r="B37" s="195" t="s">
        <v>118</v>
      </c>
      <c r="C37" s="195" t="s">
        <v>724</v>
      </c>
      <c r="D37" s="196">
        <v>2727.5099999999993</v>
      </c>
    </row>
    <row r="38" spans="1:4">
      <c r="A38" s="194">
        <v>44574</v>
      </c>
      <c r="B38" s="195" t="s">
        <v>112</v>
      </c>
      <c r="C38" s="195" t="s">
        <v>724</v>
      </c>
      <c r="D38" s="196">
        <v>1310.6600000000001</v>
      </c>
    </row>
    <row r="39" spans="1:4">
      <c r="A39" s="194">
        <v>44581</v>
      </c>
      <c r="B39" s="195" t="s">
        <v>131</v>
      </c>
      <c r="C39" s="195" t="s">
        <v>724</v>
      </c>
      <c r="D39" s="196">
        <v>199.26</v>
      </c>
    </row>
    <row r="40" spans="1:4">
      <c r="A40" s="194">
        <v>44581</v>
      </c>
      <c r="B40" s="195" t="s">
        <v>118</v>
      </c>
      <c r="C40" s="195" t="s">
        <v>724</v>
      </c>
      <c r="D40" s="196">
        <v>202.69</v>
      </c>
    </row>
    <row r="41" spans="1:4">
      <c r="A41" s="194">
        <v>44581</v>
      </c>
      <c r="B41" s="195" t="s">
        <v>112</v>
      </c>
      <c r="C41" s="195" t="s">
        <v>724</v>
      </c>
      <c r="D41" s="196">
        <v>106.59</v>
      </c>
    </row>
    <row r="42" spans="1:4">
      <c r="A42" s="194">
        <v>44600</v>
      </c>
      <c r="B42" s="195" t="s">
        <v>131</v>
      </c>
      <c r="C42" s="195" t="s">
        <v>724</v>
      </c>
      <c r="D42" s="196">
        <v>1372.85</v>
      </c>
    </row>
    <row r="43" spans="1:4">
      <c r="A43" s="194">
        <v>44600</v>
      </c>
      <c r="B43" s="195" t="s">
        <v>118</v>
      </c>
      <c r="C43" s="195" t="s">
        <v>724</v>
      </c>
      <c r="D43" s="196">
        <v>1239.4700000000003</v>
      </c>
    </row>
    <row r="44" spans="1:4">
      <c r="A44" s="194">
        <v>44600</v>
      </c>
      <c r="B44" s="195" t="s">
        <v>112</v>
      </c>
      <c r="C44" s="195" t="s">
        <v>724</v>
      </c>
      <c r="D44" s="196">
        <v>117.56999999999998</v>
      </c>
    </row>
    <row r="45" spans="1:4">
      <c r="A45" s="194">
        <v>44609</v>
      </c>
      <c r="B45" s="195" t="s">
        <v>131</v>
      </c>
      <c r="C45" s="195" t="s">
        <v>724</v>
      </c>
      <c r="D45" s="196">
        <v>503.63</v>
      </c>
    </row>
    <row r="46" spans="1:4">
      <c r="A46" s="194">
        <v>44609</v>
      </c>
      <c r="B46" s="195" t="s">
        <v>118</v>
      </c>
      <c r="C46" s="195" t="s">
        <v>724</v>
      </c>
      <c r="D46" s="196">
        <v>208.51</v>
      </c>
    </row>
    <row r="47" spans="1:4">
      <c r="A47" s="194">
        <v>44609</v>
      </c>
      <c r="B47" s="195" t="s">
        <v>112</v>
      </c>
      <c r="C47" s="195" t="s">
        <v>724</v>
      </c>
      <c r="D47" s="196">
        <v>95.179999999999978</v>
      </c>
    </row>
    <row r="48" spans="1:4">
      <c r="A48" s="194">
        <v>44628</v>
      </c>
      <c r="B48" s="195" t="s">
        <v>131</v>
      </c>
      <c r="C48" s="195" t="s">
        <v>724</v>
      </c>
      <c r="D48" s="196">
        <v>1404.65</v>
      </c>
    </row>
    <row r="49" spans="1:4">
      <c r="A49" s="194">
        <v>44628</v>
      </c>
      <c r="B49" s="195" t="s">
        <v>118</v>
      </c>
      <c r="C49" s="195" t="s">
        <v>724</v>
      </c>
      <c r="D49" s="196">
        <v>2126.7299999999987</v>
      </c>
    </row>
    <row r="50" spans="1:4">
      <c r="A50" s="194">
        <v>44628</v>
      </c>
      <c r="B50" s="195" t="s">
        <v>112</v>
      </c>
      <c r="C50" s="195" t="s">
        <v>724</v>
      </c>
      <c r="D50" s="196">
        <v>2442.7999999999997</v>
      </c>
    </row>
    <row r="51" spans="1:4">
      <c r="A51" s="194">
        <v>44628</v>
      </c>
      <c r="B51" s="195" t="s">
        <v>120</v>
      </c>
      <c r="C51" s="195" t="s">
        <v>724</v>
      </c>
      <c r="D51" s="196">
        <v>4525.6099999999997</v>
      </c>
    </row>
    <row r="52" spans="1:4">
      <c r="A52" s="194">
        <v>44656</v>
      </c>
      <c r="B52" s="195" t="s">
        <v>131</v>
      </c>
      <c r="C52" s="195" t="s">
        <v>724</v>
      </c>
      <c r="D52" s="196">
        <v>1781.2099999999991</v>
      </c>
    </row>
    <row r="53" spans="1:4">
      <c r="A53" s="194">
        <v>44656</v>
      </c>
      <c r="B53" s="195" t="s">
        <v>118</v>
      </c>
      <c r="C53" s="195" t="s">
        <v>724</v>
      </c>
      <c r="D53" s="196">
        <v>1214.8999999999999</v>
      </c>
    </row>
    <row r="54" spans="1:4">
      <c r="A54" s="194">
        <v>44656</v>
      </c>
      <c r="B54" s="195" t="s">
        <v>112</v>
      </c>
      <c r="C54" s="195" t="s">
        <v>724</v>
      </c>
      <c r="D54" s="196">
        <v>212.09</v>
      </c>
    </row>
    <row r="55" spans="1:4">
      <c r="A55" s="194">
        <v>44656</v>
      </c>
      <c r="B55" s="195" t="s">
        <v>120</v>
      </c>
      <c r="C55" s="195" t="s">
        <v>724</v>
      </c>
      <c r="D55" s="196">
        <v>1654.07</v>
      </c>
    </row>
    <row r="56" spans="1:4">
      <c r="A56" s="194">
        <v>44662</v>
      </c>
      <c r="B56" s="195" t="s">
        <v>131</v>
      </c>
      <c r="C56" s="195" t="s">
        <v>724</v>
      </c>
      <c r="D56" s="196">
        <v>209.61000000000013</v>
      </c>
    </row>
    <row r="57" spans="1:4">
      <c r="A57" s="194">
        <v>44662</v>
      </c>
      <c r="B57" s="195" t="s">
        <v>118</v>
      </c>
      <c r="C57" s="195" t="s">
        <v>724</v>
      </c>
      <c r="D57" s="196">
        <v>205.04000000000002</v>
      </c>
    </row>
    <row r="58" spans="1:4">
      <c r="A58" s="194">
        <v>44662</v>
      </c>
      <c r="B58" s="195" t="s">
        <v>112</v>
      </c>
      <c r="C58" s="195" t="s">
        <v>724</v>
      </c>
      <c r="D58" s="196">
        <v>52.3</v>
      </c>
    </row>
    <row r="59" spans="1:4">
      <c r="A59" s="194">
        <v>44676</v>
      </c>
      <c r="B59" s="195" t="s">
        <v>131</v>
      </c>
      <c r="C59" s="195" t="s">
        <v>724</v>
      </c>
      <c r="D59" s="196">
        <v>395.48999999999984</v>
      </c>
    </row>
    <row r="60" spans="1:4">
      <c r="A60" s="194">
        <v>44676</v>
      </c>
      <c r="B60" s="195" t="s">
        <v>118</v>
      </c>
      <c r="C60" s="195" t="s">
        <v>724</v>
      </c>
      <c r="D60" s="196">
        <v>780.24</v>
      </c>
    </row>
    <row r="61" spans="1:4">
      <c r="A61" s="194">
        <v>44676</v>
      </c>
      <c r="B61" s="195" t="s">
        <v>112</v>
      </c>
      <c r="C61" s="195" t="s">
        <v>724</v>
      </c>
      <c r="D61" s="196">
        <v>1194.1099999999999</v>
      </c>
    </row>
    <row r="62" spans="1:4">
      <c r="A62" s="194">
        <v>44683</v>
      </c>
      <c r="B62" s="195" t="s">
        <v>131</v>
      </c>
      <c r="C62" s="195" t="s">
        <v>724</v>
      </c>
      <c r="D62" s="196">
        <v>1114.3399999999992</v>
      </c>
    </row>
    <row r="63" spans="1:4">
      <c r="A63" s="194">
        <v>44683</v>
      </c>
      <c r="B63" s="195" t="s">
        <v>118</v>
      </c>
      <c r="C63" s="195" t="s">
        <v>724</v>
      </c>
      <c r="D63" s="196">
        <v>1011.2500000000001</v>
      </c>
    </row>
    <row r="64" spans="1:4">
      <c r="A64" s="194">
        <v>44683</v>
      </c>
      <c r="B64" s="195" t="s">
        <v>112</v>
      </c>
      <c r="C64" s="195" t="s">
        <v>724</v>
      </c>
      <c r="D64" s="196">
        <v>290.29000000000002</v>
      </c>
    </row>
    <row r="65" spans="1:4">
      <c r="A65" s="194">
        <v>44683</v>
      </c>
      <c r="B65" s="195" t="s">
        <v>120</v>
      </c>
      <c r="C65" s="195" t="s">
        <v>724</v>
      </c>
      <c r="D65" s="196">
        <v>1654.07</v>
      </c>
    </row>
    <row r="66" spans="1:4">
      <c r="A66" s="194">
        <v>44699</v>
      </c>
      <c r="B66" s="195" t="s">
        <v>131</v>
      </c>
      <c r="C66" s="195" t="s">
        <v>724</v>
      </c>
      <c r="D66" s="196">
        <v>134.68999999999991</v>
      </c>
    </row>
    <row r="67" spans="1:4">
      <c r="A67" s="194">
        <v>44699</v>
      </c>
      <c r="B67" s="195" t="s">
        <v>118</v>
      </c>
      <c r="C67" s="195" t="s">
        <v>724</v>
      </c>
      <c r="D67" s="196">
        <v>271.90000000000003</v>
      </c>
    </row>
    <row r="68" spans="1:4">
      <c r="A68" s="194">
        <v>44699</v>
      </c>
      <c r="B68" s="195" t="s">
        <v>112</v>
      </c>
      <c r="C68" s="195" t="s">
        <v>724</v>
      </c>
      <c r="D68" s="196">
        <v>1090.9599999999998</v>
      </c>
    </row>
    <row r="69" spans="1:4">
      <c r="A69" s="194">
        <v>44714</v>
      </c>
      <c r="B69" s="195" t="s">
        <v>131</v>
      </c>
      <c r="C69" s="195" t="s">
        <v>724</v>
      </c>
      <c r="D69" s="196">
        <v>1112.8399999999999</v>
      </c>
    </row>
    <row r="70" spans="1:4">
      <c r="A70" s="194">
        <v>44714</v>
      </c>
      <c r="B70" s="195" t="s">
        <v>118</v>
      </c>
      <c r="C70" s="195" t="s">
        <v>724</v>
      </c>
      <c r="D70" s="196">
        <v>-1885.76</v>
      </c>
    </row>
    <row r="71" spans="1:4">
      <c r="A71" s="194">
        <v>44714</v>
      </c>
      <c r="B71" s="195" t="s">
        <v>112</v>
      </c>
      <c r="C71" s="195" t="s">
        <v>724</v>
      </c>
      <c r="D71" s="196">
        <v>281.46000000000009</v>
      </c>
    </row>
    <row r="72" spans="1:4">
      <c r="A72" s="194">
        <v>44714</v>
      </c>
      <c r="B72" s="195" t="s">
        <v>120</v>
      </c>
      <c r="C72" s="195" t="s">
        <v>724</v>
      </c>
      <c r="D72" s="196">
        <v>1683.7699999999986</v>
      </c>
    </row>
    <row r="73" spans="1:4">
      <c r="A73" s="194">
        <v>44720</v>
      </c>
      <c r="B73" s="195" t="s">
        <v>119</v>
      </c>
      <c r="C73" s="195" t="s">
        <v>724</v>
      </c>
      <c r="D73" s="196">
        <v>8.76</v>
      </c>
    </row>
    <row r="74" spans="1:4">
      <c r="A74" s="194">
        <v>44739</v>
      </c>
      <c r="B74" s="195" t="s">
        <v>131</v>
      </c>
      <c r="C74" s="195" t="s">
        <v>724</v>
      </c>
      <c r="D74" s="196">
        <v>1077.44</v>
      </c>
    </row>
    <row r="75" spans="1:4">
      <c r="A75" s="194">
        <v>44739</v>
      </c>
      <c r="B75" s="195" t="s">
        <v>118</v>
      </c>
      <c r="C75" s="195" t="s">
        <v>724</v>
      </c>
      <c r="D75" s="196">
        <v>1159.3699999999999</v>
      </c>
    </row>
    <row r="76" spans="1:4">
      <c r="A76" s="194">
        <v>44739</v>
      </c>
      <c r="B76" s="195" t="s">
        <v>112</v>
      </c>
      <c r="C76" s="195" t="s">
        <v>724</v>
      </c>
      <c r="D76" s="196">
        <v>1190.0699999999995</v>
      </c>
    </row>
    <row r="77" spans="1:4">
      <c r="A77" s="194">
        <v>44757</v>
      </c>
      <c r="B77" s="195" t="s">
        <v>131</v>
      </c>
      <c r="C77" s="195" t="s">
        <v>724</v>
      </c>
      <c r="D77" s="196">
        <v>1164.7399999999991</v>
      </c>
    </row>
    <row r="78" spans="1:4">
      <c r="A78" s="194">
        <v>44757</v>
      </c>
      <c r="B78" s="195" t="s">
        <v>118</v>
      </c>
      <c r="C78" s="195" t="s">
        <v>724</v>
      </c>
      <c r="D78" s="196">
        <v>943.93000000000029</v>
      </c>
    </row>
    <row r="79" spans="1:4">
      <c r="A79" s="194">
        <v>44757</v>
      </c>
      <c r="B79" s="195" t="s">
        <v>112</v>
      </c>
      <c r="C79" s="195" t="s">
        <v>724</v>
      </c>
      <c r="D79" s="196">
        <v>190.98</v>
      </c>
    </row>
    <row r="80" spans="1:4">
      <c r="A80" s="194">
        <v>44757</v>
      </c>
      <c r="B80" s="195" t="s">
        <v>120</v>
      </c>
      <c r="C80" s="195" t="s">
        <v>724</v>
      </c>
      <c r="D80" s="196">
        <v>1683.77</v>
      </c>
    </row>
    <row r="81" spans="1:4">
      <c r="A81" s="194">
        <v>44757</v>
      </c>
      <c r="B81" s="195" t="s">
        <v>131</v>
      </c>
      <c r="C81" s="195" t="s">
        <v>724</v>
      </c>
      <c r="D81" s="196">
        <v>1229.0900000000001</v>
      </c>
    </row>
    <row r="82" spans="1:4">
      <c r="A82" s="194">
        <v>44757</v>
      </c>
      <c r="B82" s="195" t="s">
        <v>118</v>
      </c>
      <c r="C82" s="195" t="s">
        <v>724</v>
      </c>
      <c r="D82" s="196">
        <v>672.22999999999968</v>
      </c>
    </row>
    <row r="83" spans="1:4">
      <c r="A83" s="194">
        <v>44757</v>
      </c>
      <c r="B83" s="195" t="s">
        <v>112</v>
      </c>
      <c r="C83" s="195" t="s">
        <v>724</v>
      </c>
      <c r="D83" s="196">
        <v>129.66999999999999</v>
      </c>
    </row>
    <row r="84" spans="1:4">
      <c r="A84" s="194">
        <v>44763</v>
      </c>
      <c r="B84" s="195" t="s">
        <v>119</v>
      </c>
      <c r="C84" s="195" t="s">
        <v>724</v>
      </c>
      <c r="D84" s="196">
        <v>84.359999999999985</v>
      </c>
    </row>
    <row r="85" spans="1:4">
      <c r="A85" s="194">
        <v>44763</v>
      </c>
      <c r="B85" s="195" t="s">
        <v>119</v>
      </c>
      <c r="C85" s="195" t="s">
        <v>724</v>
      </c>
      <c r="D85" s="196">
        <v>26.840000000000003</v>
      </c>
    </row>
    <row r="86" spans="1:4">
      <c r="A86" s="194">
        <v>44763</v>
      </c>
      <c r="B86" s="195" t="s">
        <v>119</v>
      </c>
      <c r="C86" s="195" t="s">
        <v>724</v>
      </c>
      <c r="D86" s="196">
        <v>110.93</v>
      </c>
    </row>
    <row r="87" spans="1:4">
      <c r="A87" s="194">
        <v>44767</v>
      </c>
      <c r="B87" s="195" t="s">
        <v>119</v>
      </c>
      <c r="C87" s="195" t="s">
        <v>724</v>
      </c>
      <c r="D87" s="196">
        <v>12.05</v>
      </c>
    </row>
    <row r="88" spans="1:4">
      <c r="A88" s="194">
        <v>44774</v>
      </c>
      <c r="B88" s="195" t="s">
        <v>120</v>
      </c>
      <c r="C88" s="195" t="s">
        <v>724</v>
      </c>
      <c r="D88" s="196">
        <v>1683.78</v>
      </c>
    </row>
    <row r="89" spans="1:4">
      <c r="A89" s="194">
        <v>44774</v>
      </c>
      <c r="B89" s="195" t="s">
        <v>131</v>
      </c>
      <c r="C89" s="195" t="s">
        <v>724</v>
      </c>
      <c r="D89" s="196">
        <v>876.9</v>
      </c>
    </row>
    <row r="90" spans="1:4">
      <c r="A90" s="194">
        <v>44774</v>
      </c>
      <c r="B90" s="195" t="s">
        <v>118</v>
      </c>
      <c r="C90" s="195" t="s">
        <v>724</v>
      </c>
      <c r="D90" s="196">
        <v>1543.1800000000007</v>
      </c>
    </row>
    <row r="91" spans="1:4">
      <c r="A91" s="194">
        <v>44774</v>
      </c>
      <c r="B91" s="195" t="s">
        <v>112</v>
      </c>
      <c r="C91" s="195" t="s">
        <v>724</v>
      </c>
      <c r="D91" s="196">
        <v>2451.4799999999977</v>
      </c>
    </row>
    <row r="92" spans="1:4">
      <c r="A92" s="194">
        <v>44798</v>
      </c>
      <c r="B92" s="195" t="s">
        <v>131</v>
      </c>
      <c r="C92" s="195" t="s">
        <v>724</v>
      </c>
      <c r="D92" s="196">
        <v>1012.74</v>
      </c>
    </row>
    <row r="93" spans="1:4">
      <c r="A93" s="194">
        <v>44798</v>
      </c>
      <c r="B93" s="195" t="s">
        <v>118</v>
      </c>
      <c r="C93" s="195" t="s">
        <v>724</v>
      </c>
      <c r="D93" s="196">
        <v>753.55</v>
      </c>
    </row>
    <row r="94" spans="1:4">
      <c r="A94" s="194">
        <v>44798</v>
      </c>
      <c r="B94" s="195" t="s">
        <v>112</v>
      </c>
      <c r="C94" s="195" t="s">
        <v>724</v>
      </c>
      <c r="D94" s="196">
        <v>45.669999999999995</v>
      </c>
    </row>
    <row r="95" spans="1:4">
      <c r="A95" s="194">
        <v>44803</v>
      </c>
      <c r="B95" s="195" t="s">
        <v>119</v>
      </c>
      <c r="C95" s="195" t="s">
        <v>724</v>
      </c>
      <c r="D95" s="196">
        <v>96.06</v>
      </c>
    </row>
    <row r="96" spans="1:4">
      <c r="A96" s="194">
        <v>44805</v>
      </c>
      <c r="B96" s="195" t="s">
        <v>119</v>
      </c>
      <c r="C96" s="195" t="s">
        <v>724</v>
      </c>
      <c r="D96" s="196">
        <v>14.79</v>
      </c>
    </row>
    <row r="97" spans="1:4">
      <c r="A97" s="194">
        <v>44826</v>
      </c>
      <c r="B97" s="195" t="s">
        <v>131</v>
      </c>
      <c r="C97" s="195" t="s">
        <v>724</v>
      </c>
      <c r="D97" s="196">
        <v>1260.1500000000003</v>
      </c>
    </row>
    <row r="98" spans="1:4">
      <c r="A98" s="194">
        <v>44826</v>
      </c>
      <c r="B98" s="195" t="s">
        <v>118</v>
      </c>
      <c r="C98" s="195" t="s">
        <v>724</v>
      </c>
      <c r="D98" s="196">
        <v>801.0099999999984</v>
      </c>
    </row>
    <row r="99" spans="1:4">
      <c r="A99" s="194">
        <v>44826</v>
      </c>
      <c r="B99" s="195" t="s">
        <v>112</v>
      </c>
      <c r="C99" s="195" t="s">
        <v>724</v>
      </c>
      <c r="D99" s="196">
        <v>54.06</v>
      </c>
    </row>
    <row r="100" spans="1:4">
      <c r="A100" s="194">
        <v>44840</v>
      </c>
      <c r="B100" s="195" t="s">
        <v>120</v>
      </c>
      <c r="C100" s="195" t="s">
        <v>724</v>
      </c>
      <c r="D100" s="196">
        <v>1683.78</v>
      </c>
    </row>
    <row r="101" spans="1:4">
      <c r="A101" s="194">
        <v>44840</v>
      </c>
      <c r="B101" s="194" t="s">
        <v>115</v>
      </c>
      <c r="C101" s="195" t="s">
        <v>724</v>
      </c>
      <c r="D101" s="196">
        <v>4.83</v>
      </c>
    </row>
    <row r="102" spans="1:4">
      <c r="A102" s="194">
        <v>44840</v>
      </c>
      <c r="B102" s="195" t="s">
        <v>131</v>
      </c>
      <c r="C102" s="195" t="s">
        <v>724</v>
      </c>
      <c r="D102" s="196">
        <v>219.9</v>
      </c>
    </row>
    <row r="103" spans="1:4">
      <c r="A103" s="194">
        <v>44840</v>
      </c>
      <c r="B103" s="195" t="s">
        <v>118</v>
      </c>
      <c r="C103" s="195" t="s">
        <v>724</v>
      </c>
      <c r="D103" s="196">
        <v>3194.01</v>
      </c>
    </row>
    <row r="104" spans="1:4">
      <c r="A104" s="194">
        <v>44851</v>
      </c>
      <c r="B104" s="195" t="s">
        <v>119</v>
      </c>
      <c r="C104" s="195" t="s">
        <v>724</v>
      </c>
      <c r="D104" s="196">
        <v>63.860000000000298</v>
      </c>
    </row>
    <row r="105" spans="1:4">
      <c r="A105" s="194">
        <v>44851</v>
      </c>
      <c r="B105" s="195" t="s">
        <v>119</v>
      </c>
      <c r="C105" s="195" t="s">
        <v>724</v>
      </c>
      <c r="D105" s="196">
        <v>7.1599999999999966</v>
      </c>
    </row>
    <row r="106" spans="1:4">
      <c r="A106" s="194">
        <v>44851</v>
      </c>
      <c r="B106" s="195" t="s">
        <v>119</v>
      </c>
      <c r="C106" s="195" t="s">
        <v>724</v>
      </c>
      <c r="D106" s="199">
        <v>87.67</v>
      </c>
    </row>
    <row r="107" spans="1:4">
      <c r="A107" s="194">
        <v>44865</v>
      </c>
      <c r="B107" s="195" t="s">
        <v>131</v>
      </c>
      <c r="C107" s="195" t="s">
        <v>724</v>
      </c>
      <c r="D107" s="199">
        <v>1203.7400000000002</v>
      </c>
    </row>
    <row r="108" spans="1:4">
      <c r="A108" s="194">
        <v>44865</v>
      </c>
      <c r="B108" s="195" t="s">
        <v>112</v>
      </c>
      <c r="C108" s="195" t="s">
        <v>724</v>
      </c>
      <c r="D108" s="199">
        <v>95.9399999999996</v>
      </c>
    </row>
    <row r="109" spans="1:4">
      <c r="A109" s="194">
        <v>44865</v>
      </c>
      <c r="B109" s="195" t="s">
        <v>118</v>
      </c>
      <c r="C109" s="195" t="s">
        <v>724</v>
      </c>
      <c r="D109" s="199">
        <v>570.1099999999999</v>
      </c>
    </row>
    <row r="110" spans="1:4">
      <c r="A110" s="194">
        <v>44867</v>
      </c>
      <c r="B110" s="195" t="s">
        <v>120</v>
      </c>
      <c r="C110" s="195" t="s">
        <v>724</v>
      </c>
      <c r="D110" s="199">
        <v>1683.78</v>
      </c>
    </row>
    <row r="111" spans="1:4">
      <c r="A111" s="194">
        <v>44867</v>
      </c>
      <c r="B111" s="194" t="s">
        <v>115</v>
      </c>
      <c r="C111" s="195" t="s">
        <v>724</v>
      </c>
      <c r="D111" s="199">
        <v>4.83</v>
      </c>
    </row>
    <row r="112" spans="1:4">
      <c r="A112" s="194">
        <v>44867</v>
      </c>
      <c r="B112" s="195" t="s">
        <v>131</v>
      </c>
      <c r="C112" s="195" t="s">
        <v>724</v>
      </c>
      <c r="D112" s="199">
        <v>379.88999999999993</v>
      </c>
    </row>
    <row r="113" spans="1:4">
      <c r="A113" s="194">
        <v>44867</v>
      </c>
      <c r="B113" s="195" t="s">
        <v>112</v>
      </c>
      <c r="C113" s="195" t="s">
        <v>724</v>
      </c>
      <c r="D113" s="199">
        <v>1260.8700000000003</v>
      </c>
    </row>
    <row r="114" spans="1:4">
      <c r="A114" s="194">
        <v>44867</v>
      </c>
      <c r="B114" s="195" t="s">
        <v>118</v>
      </c>
      <c r="C114" s="195" t="s">
        <v>724</v>
      </c>
      <c r="D114" s="199">
        <v>1328.21</v>
      </c>
    </row>
    <row r="115" spans="1:4">
      <c r="A115" s="194">
        <v>44874</v>
      </c>
      <c r="B115" s="195" t="s">
        <v>119</v>
      </c>
      <c r="C115" s="195" t="s">
        <v>724</v>
      </c>
      <c r="D115" s="199">
        <v>-17.29</v>
      </c>
    </row>
    <row r="116" spans="1:4">
      <c r="A116" s="194">
        <v>44874</v>
      </c>
      <c r="B116" s="195" t="s">
        <v>119</v>
      </c>
      <c r="C116" s="195" t="s">
        <v>724</v>
      </c>
      <c r="D116" s="199">
        <v>72.290000000000006</v>
      </c>
    </row>
    <row r="117" spans="1:4">
      <c r="A117" s="194">
        <v>44874</v>
      </c>
      <c r="B117" s="195" t="s">
        <v>129</v>
      </c>
      <c r="C117" s="195" t="s">
        <v>724</v>
      </c>
      <c r="D117" s="199">
        <v>664.3</v>
      </c>
    </row>
    <row r="118" spans="1:4">
      <c r="A118" s="194">
        <v>44879</v>
      </c>
      <c r="B118" s="195" t="s">
        <v>120</v>
      </c>
      <c r="C118" s="195" t="s">
        <v>724</v>
      </c>
      <c r="D118" s="196">
        <v>1683.73</v>
      </c>
    </row>
    <row r="119" spans="1:4">
      <c r="A119" s="194">
        <v>44879</v>
      </c>
      <c r="B119" s="194" t="s">
        <v>115</v>
      </c>
      <c r="C119" s="195" t="s">
        <v>724</v>
      </c>
      <c r="D119" s="196">
        <v>4.83</v>
      </c>
    </row>
    <row r="120" spans="1:4">
      <c r="A120" s="194">
        <v>44879</v>
      </c>
      <c r="B120" s="195" t="s">
        <v>131</v>
      </c>
      <c r="C120" s="195" t="s">
        <v>724</v>
      </c>
      <c r="D120" s="196">
        <v>373.24</v>
      </c>
    </row>
    <row r="121" spans="1:4">
      <c r="A121" s="194">
        <v>44879</v>
      </c>
      <c r="B121" s="195" t="s">
        <v>112</v>
      </c>
      <c r="C121" s="195" t="s">
        <v>724</v>
      </c>
      <c r="D121" s="196">
        <v>209.3</v>
      </c>
    </row>
    <row r="122" spans="1:4">
      <c r="A122" s="194">
        <v>44879</v>
      </c>
      <c r="B122" s="195" t="s">
        <v>118</v>
      </c>
      <c r="C122" s="195" t="s">
        <v>724</v>
      </c>
      <c r="D122" s="196">
        <v>334.15</v>
      </c>
    </row>
    <row r="123" spans="1:4">
      <c r="A123" s="194">
        <v>44893</v>
      </c>
      <c r="B123" s="195" t="s">
        <v>131</v>
      </c>
      <c r="C123" s="195" t="s">
        <v>724</v>
      </c>
      <c r="D123" s="199">
        <v>1226.7</v>
      </c>
    </row>
    <row r="124" spans="1:4">
      <c r="A124" s="194">
        <v>44893</v>
      </c>
      <c r="B124" s="195" t="s">
        <v>112</v>
      </c>
      <c r="C124" s="195" t="s">
        <v>724</v>
      </c>
      <c r="D124" s="199">
        <v>2241.3799999999997</v>
      </c>
    </row>
    <row r="125" spans="1:4">
      <c r="A125" s="194">
        <v>44893</v>
      </c>
      <c r="B125" s="195" t="s">
        <v>118</v>
      </c>
      <c r="C125" s="195" t="s">
        <v>724</v>
      </c>
      <c r="D125" s="199">
        <v>1933.87</v>
      </c>
    </row>
    <row r="126" spans="1:4">
      <c r="A126" s="194">
        <v>44900</v>
      </c>
      <c r="B126" s="195" t="s">
        <v>120</v>
      </c>
      <c r="C126" s="195" t="s">
        <v>724</v>
      </c>
      <c r="D126" s="196">
        <v>1683.73</v>
      </c>
    </row>
    <row r="127" spans="1:4">
      <c r="A127" s="194">
        <v>44900</v>
      </c>
      <c r="B127" s="194" t="s">
        <v>115</v>
      </c>
      <c r="C127" s="195" t="s">
        <v>724</v>
      </c>
      <c r="D127" s="196">
        <v>4.83</v>
      </c>
    </row>
    <row r="128" spans="1:4">
      <c r="A128" s="194">
        <v>44900</v>
      </c>
      <c r="B128" s="195" t="s">
        <v>131</v>
      </c>
      <c r="C128" s="195" t="s">
        <v>724</v>
      </c>
      <c r="D128" s="196">
        <v>681.54</v>
      </c>
    </row>
    <row r="129" spans="1:4">
      <c r="A129" s="194">
        <v>44900</v>
      </c>
      <c r="B129" s="195" t="s">
        <v>112</v>
      </c>
      <c r="C129" s="195" t="s">
        <v>724</v>
      </c>
      <c r="D129" s="196">
        <v>214.48</v>
      </c>
    </row>
    <row r="130" spans="1:4">
      <c r="A130" s="194">
        <v>44900</v>
      </c>
      <c r="B130" s="195" t="s">
        <v>118</v>
      </c>
      <c r="C130" s="195" t="s">
        <v>724</v>
      </c>
      <c r="D130" s="196">
        <v>400.25</v>
      </c>
    </row>
    <row r="131" spans="1:4">
      <c r="A131" s="194">
        <v>44910</v>
      </c>
      <c r="B131" s="195" t="s">
        <v>119</v>
      </c>
      <c r="C131" s="195" t="s">
        <v>724</v>
      </c>
      <c r="D131" s="196">
        <v>79.77</v>
      </c>
    </row>
    <row r="132" spans="1:4">
      <c r="A132" s="194">
        <v>44929</v>
      </c>
      <c r="B132" s="195" t="s">
        <v>131</v>
      </c>
      <c r="C132" s="195" t="s">
        <v>724</v>
      </c>
      <c r="D132" s="196">
        <v>1107.81</v>
      </c>
    </row>
    <row r="133" spans="1:4">
      <c r="A133" s="194">
        <v>44929</v>
      </c>
      <c r="B133" s="195" t="s">
        <v>112</v>
      </c>
      <c r="C133" s="195" t="s">
        <v>724</v>
      </c>
      <c r="D133" s="196">
        <v>87.299999999999983</v>
      </c>
    </row>
    <row r="134" spans="1:4">
      <c r="A134" s="194">
        <v>44929</v>
      </c>
      <c r="B134" s="195" t="s">
        <v>118</v>
      </c>
      <c r="C134" s="195" t="s">
        <v>724</v>
      </c>
      <c r="D134" s="196">
        <v>862.27</v>
      </c>
    </row>
    <row r="135" spans="1:4">
      <c r="A135" s="194">
        <v>44931</v>
      </c>
      <c r="B135" s="195" t="s">
        <v>119</v>
      </c>
      <c r="C135" s="195" t="s">
        <v>724</v>
      </c>
      <c r="D135" s="196">
        <v>7.4</v>
      </c>
    </row>
    <row r="136" spans="1:4">
      <c r="A136" s="194">
        <v>44931</v>
      </c>
      <c r="B136" s="195" t="s">
        <v>129</v>
      </c>
      <c r="C136" s="195" t="s">
        <v>724</v>
      </c>
      <c r="D136" s="196">
        <v>390.75</v>
      </c>
    </row>
    <row r="137" spans="1:4">
      <c r="A137" s="194">
        <v>44932</v>
      </c>
      <c r="B137" s="195" t="s">
        <v>120</v>
      </c>
      <c r="C137" s="195" t="s">
        <v>724</v>
      </c>
      <c r="D137" s="196">
        <v>1683.71</v>
      </c>
    </row>
    <row r="138" spans="1:4">
      <c r="A138" s="194">
        <v>44932</v>
      </c>
      <c r="B138" s="195" t="s">
        <v>131</v>
      </c>
      <c r="C138" s="195" t="s">
        <v>724</v>
      </c>
      <c r="D138" s="196">
        <v>860.49</v>
      </c>
    </row>
    <row r="139" spans="1:4">
      <c r="A139" s="194">
        <v>44932</v>
      </c>
      <c r="B139" s="195" t="s">
        <v>112</v>
      </c>
      <c r="C139" s="195" t="s">
        <v>724</v>
      </c>
      <c r="D139" s="196">
        <v>1285.3499999999999</v>
      </c>
    </row>
    <row r="140" spans="1:4">
      <c r="A140" s="194">
        <v>44932</v>
      </c>
      <c r="B140" s="195" t="s">
        <v>118</v>
      </c>
      <c r="C140" s="195" t="s">
        <v>724</v>
      </c>
      <c r="D140" s="196">
        <v>1021.29</v>
      </c>
    </row>
    <row r="141" spans="1:4">
      <c r="A141" s="194">
        <v>44932</v>
      </c>
      <c r="B141" s="194" t="s">
        <v>115</v>
      </c>
      <c r="C141" s="195" t="s">
        <v>724</v>
      </c>
      <c r="D141" s="196">
        <v>4.83</v>
      </c>
    </row>
    <row r="142" spans="1:4">
      <c r="A142" s="194">
        <v>44949</v>
      </c>
      <c r="B142" s="195" t="s">
        <v>131</v>
      </c>
      <c r="C142" s="195" t="s">
        <v>724</v>
      </c>
      <c r="D142" s="196">
        <v>1085.1600000000001</v>
      </c>
    </row>
    <row r="143" spans="1:4">
      <c r="A143" s="194">
        <v>44949</v>
      </c>
      <c r="B143" s="195" t="s">
        <v>112</v>
      </c>
      <c r="C143" s="195" t="s">
        <v>724</v>
      </c>
      <c r="D143" s="196">
        <v>114.00999999999999</v>
      </c>
    </row>
    <row r="144" spans="1:4">
      <c r="A144" s="194">
        <v>44949</v>
      </c>
      <c r="B144" s="195" t="s">
        <v>118</v>
      </c>
      <c r="C144" s="195" t="s">
        <v>724</v>
      </c>
      <c r="D144" s="196">
        <v>980.1400000000001</v>
      </c>
    </row>
    <row r="145" spans="1:4">
      <c r="A145" s="194">
        <v>44952</v>
      </c>
      <c r="B145" s="195" t="s">
        <v>119</v>
      </c>
      <c r="C145" s="195" t="s">
        <v>724</v>
      </c>
      <c r="D145" s="196">
        <v>52.86</v>
      </c>
    </row>
    <row r="146" spans="1:4">
      <c r="A146" s="194">
        <v>44952</v>
      </c>
      <c r="B146" s="195" t="s">
        <v>119</v>
      </c>
      <c r="C146" s="195" t="s">
        <v>724</v>
      </c>
      <c r="D146" s="196">
        <v>24.680000000000007</v>
      </c>
    </row>
    <row r="147" spans="1:4">
      <c r="A147" s="194">
        <v>44956</v>
      </c>
      <c r="B147" s="194" t="s">
        <v>115</v>
      </c>
      <c r="C147" s="195" t="s">
        <v>724</v>
      </c>
      <c r="D147" s="196">
        <v>4.83</v>
      </c>
    </row>
    <row r="148" spans="1:4">
      <c r="A148" s="194">
        <v>44956</v>
      </c>
      <c r="B148" s="195" t="s">
        <v>131</v>
      </c>
      <c r="C148" s="195" t="s">
        <v>724</v>
      </c>
      <c r="D148" s="196">
        <v>624.91999999999996</v>
      </c>
    </row>
    <row r="149" spans="1:4">
      <c r="A149" s="194">
        <v>44956</v>
      </c>
      <c r="B149" s="195" t="s">
        <v>112</v>
      </c>
      <c r="C149" s="195" t="s">
        <v>724</v>
      </c>
      <c r="D149" s="196">
        <v>1255.51</v>
      </c>
    </row>
    <row r="150" spans="1:4">
      <c r="A150" s="194">
        <v>44956</v>
      </c>
      <c r="B150" s="195" t="s">
        <v>118</v>
      </c>
      <c r="C150" s="195" t="s">
        <v>724</v>
      </c>
      <c r="D150" s="196">
        <v>798.94</v>
      </c>
    </row>
    <row r="151" spans="1:4">
      <c r="A151" s="194">
        <v>44956</v>
      </c>
      <c r="B151" s="195" t="s">
        <v>120</v>
      </c>
      <c r="C151" s="195" t="s">
        <v>724</v>
      </c>
      <c r="D151" s="196">
        <v>1683.72</v>
      </c>
    </row>
    <row r="152" spans="1:4">
      <c r="A152" s="194">
        <v>44956</v>
      </c>
      <c r="B152" s="195" t="s">
        <v>122</v>
      </c>
      <c r="C152" s="195" t="s">
        <v>724</v>
      </c>
      <c r="D152" s="196">
        <v>220.66</v>
      </c>
    </row>
    <row r="153" spans="1:4">
      <c r="A153" s="194">
        <v>44984</v>
      </c>
      <c r="B153" s="195" t="s">
        <v>131</v>
      </c>
      <c r="C153" s="195" t="s">
        <v>724</v>
      </c>
      <c r="D153" s="196">
        <v>1176.3999999999992</v>
      </c>
    </row>
    <row r="154" spans="1:4">
      <c r="A154" s="194">
        <v>44984</v>
      </c>
      <c r="B154" s="195" t="s">
        <v>112</v>
      </c>
      <c r="C154" s="195" t="s">
        <v>724</v>
      </c>
      <c r="D154" s="196">
        <v>129.15000000000032</v>
      </c>
    </row>
    <row r="155" spans="1:4">
      <c r="A155" s="194">
        <v>44984</v>
      </c>
      <c r="B155" s="195" t="s">
        <v>118</v>
      </c>
      <c r="C155" s="195" t="s">
        <v>724</v>
      </c>
      <c r="D155" s="196">
        <v>1026.5699999999997</v>
      </c>
    </row>
    <row r="156" spans="1:4">
      <c r="A156" s="194">
        <v>44986</v>
      </c>
      <c r="B156" s="195" t="s">
        <v>119</v>
      </c>
      <c r="C156" s="195" t="s">
        <v>724</v>
      </c>
      <c r="D156" s="196">
        <v>10.209999999999994</v>
      </c>
    </row>
    <row r="157" spans="1:4">
      <c r="A157" s="194">
        <v>44986</v>
      </c>
      <c r="B157" s="195" t="s">
        <v>119</v>
      </c>
      <c r="C157" s="195" t="s">
        <v>724</v>
      </c>
      <c r="D157" s="196">
        <v>72.86</v>
      </c>
    </row>
    <row r="158" spans="1:4">
      <c r="A158" s="194">
        <v>44986</v>
      </c>
      <c r="B158" s="195" t="s">
        <v>129</v>
      </c>
      <c r="C158" s="195" t="s">
        <v>724</v>
      </c>
      <c r="D158" s="196">
        <v>408.56</v>
      </c>
    </row>
    <row r="159" spans="1:4">
      <c r="A159" s="194">
        <v>44986</v>
      </c>
      <c r="B159" s="195" t="s">
        <v>119</v>
      </c>
      <c r="C159" s="195" t="s">
        <v>724</v>
      </c>
      <c r="D159" s="196">
        <v>14.790000000000006</v>
      </c>
    </row>
    <row r="160" spans="1:4">
      <c r="A160" s="194">
        <v>44986</v>
      </c>
      <c r="B160" s="195" t="s">
        <v>129</v>
      </c>
      <c r="C160" s="195" t="s">
        <v>724</v>
      </c>
      <c r="D160" s="196">
        <v>414.37</v>
      </c>
    </row>
    <row r="161" spans="1:4">
      <c r="A161" s="194">
        <v>44991</v>
      </c>
      <c r="B161" s="195" t="s">
        <v>131</v>
      </c>
      <c r="C161" s="195" t="s">
        <v>724</v>
      </c>
      <c r="D161" s="196">
        <v>779.32</v>
      </c>
    </row>
    <row r="162" spans="1:4">
      <c r="A162" s="194">
        <v>44991</v>
      </c>
      <c r="B162" s="195" t="s">
        <v>112</v>
      </c>
      <c r="C162" s="195" t="s">
        <v>724</v>
      </c>
      <c r="D162" s="196">
        <v>1217.8799999999992</v>
      </c>
    </row>
    <row r="163" spans="1:4">
      <c r="A163" s="194">
        <v>44991</v>
      </c>
      <c r="B163" s="195" t="s">
        <v>118</v>
      </c>
      <c r="C163" s="195" t="s">
        <v>724</v>
      </c>
      <c r="D163" s="196">
        <v>990.74000000000035</v>
      </c>
    </row>
    <row r="164" spans="1:4">
      <c r="A164" s="194">
        <v>44991</v>
      </c>
      <c r="B164" s="195" t="s">
        <v>120</v>
      </c>
      <c r="C164" s="195" t="s">
        <v>724</v>
      </c>
      <c r="D164" s="196">
        <v>1683.76</v>
      </c>
    </row>
    <row r="165" spans="1:4">
      <c r="A165" s="194">
        <v>44991</v>
      </c>
      <c r="B165" s="194" t="s">
        <v>115</v>
      </c>
      <c r="C165" s="195" t="s">
        <v>724</v>
      </c>
      <c r="D165" s="196">
        <v>4.8299999999999983</v>
      </c>
    </row>
    <row r="166" spans="1:4">
      <c r="A166" s="194">
        <v>45001</v>
      </c>
      <c r="B166" s="195" t="s">
        <v>131</v>
      </c>
      <c r="C166" s="195" t="s">
        <v>724</v>
      </c>
      <c r="D166" s="196">
        <v>1544.840000000002</v>
      </c>
    </row>
    <row r="167" spans="1:4">
      <c r="A167" s="194">
        <v>45001</v>
      </c>
      <c r="B167" s="195" t="s">
        <v>112</v>
      </c>
      <c r="C167" s="195" t="s">
        <v>724</v>
      </c>
      <c r="D167" s="196">
        <v>139.53999999999911</v>
      </c>
    </row>
    <row r="168" spans="1:4">
      <c r="A168" s="194">
        <v>45001</v>
      </c>
      <c r="B168" s="195" t="s">
        <v>118</v>
      </c>
      <c r="C168" s="195" t="s">
        <v>724</v>
      </c>
      <c r="D168" s="196">
        <v>917.75999999999931</v>
      </c>
    </row>
    <row r="169" spans="1:4">
      <c r="A169" s="194">
        <v>45007</v>
      </c>
      <c r="B169" s="195" t="s">
        <v>119</v>
      </c>
      <c r="C169" s="195" t="s">
        <v>724</v>
      </c>
      <c r="D169" s="196">
        <v>88.47</v>
      </c>
    </row>
    <row r="170" spans="1:4">
      <c r="A170" s="194">
        <v>45014</v>
      </c>
      <c r="B170" s="195" t="s">
        <v>121</v>
      </c>
      <c r="C170" s="195" t="s">
        <v>724</v>
      </c>
      <c r="D170" s="196">
        <v>9.06</v>
      </c>
    </row>
    <row r="171" spans="1:4">
      <c r="A171" s="194">
        <v>45014</v>
      </c>
      <c r="B171" s="195" t="s">
        <v>125</v>
      </c>
      <c r="C171" s="195" t="s">
        <v>724</v>
      </c>
      <c r="D171" s="196">
        <v>5642.19</v>
      </c>
    </row>
    <row r="172" spans="1:4">
      <c r="A172" s="194">
        <v>45014</v>
      </c>
      <c r="B172" s="195" t="s">
        <v>111</v>
      </c>
      <c r="C172" s="195" t="s">
        <v>724</v>
      </c>
      <c r="D172" s="196">
        <v>1494.32</v>
      </c>
    </row>
    <row r="173" spans="1:4">
      <c r="A173" s="194">
        <v>45014</v>
      </c>
      <c r="B173" s="195" t="s">
        <v>122</v>
      </c>
      <c r="C173" s="195" t="s">
        <v>724</v>
      </c>
      <c r="D173" s="196">
        <v>787.13</v>
      </c>
    </row>
    <row r="174" spans="1:4">
      <c r="A174" s="194">
        <v>45014</v>
      </c>
      <c r="B174" s="195" t="s">
        <v>120</v>
      </c>
      <c r="C174" s="195" t="s">
        <v>724</v>
      </c>
      <c r="D174" s="196">
        <v>1683.76</v>
      </c>
    </row>
    <row r="175" spans="1:4">
      <c r="A175" s="194">
        <v>45014</v>
      </c>
      <c r="B175" s="195" t="s">
        <v>113</v>
      </c>
      <c r="C175" s="195" t="s">
        <v>724</v>
      </c>
      <c r="D175" s="196">
        <v>1010.55</v>
      </c>
    </row>
    <row r="176" spans="1:4">
      <c r="A176" s="194">
        <v>45014</v>
      </c>
      <c r="B176" s="195" t="s">
        <v>116</v>
      </c>
      <c r="C176" s="195" t="s">
        <v>724</v>
      </c>
      <c r="D176" s="196">
        <v>1136.18</v>
      </c>
    </row>
    <row r="177" spans="1:4">
      <c r="A177" s="194">
        <v>45014</v>
      </c>
      <c r="B177" s="195" t="s">
        <v>124</v>
      </c>
      <c r="C177" s="195" t="s">
        <v>724</v>
      </c>
      <c r="D177" s="196">
        <v>3805.65</v>
      </c>
    </row>
    <row r="178" spans="1:4">
      <c r="A178" s="194">
        <v>45014</v>
      </c>
      <c r="B178" s="195" t="s">
        <v>131</v>
      </c>
      <c r="C178" s="195" t="s">
        <v>724</v>
      </c>
      <c r="D178" s="196">
        <v>565.44999999999982</v>
      </c>
    </row>
    <row r="179" spans="1:4">
      <c r="A179" s="194">
        <v>45014</v>
      </c>
      <c r="B179" s="195" t="s">
        <v>112</v>
      </c>
      <c r="C179" s="195" t="s">
        <v>724</v>
      </c>
      <c r="D179" s="196">
        <v>1178.51</v>
      </c>
    </row>
    <row r="180" spans="1:4">
      <c r="A180" s="194">
        <v>45014</v>
      </c>
      <c r="B180" s="195" t="s">
        <v>118</v>
      </c>
      <c r="C180" s="195" t="s">
        <v>724</v>
      </c>
      <c r="D180" s="196">
        <v>1016.1700000000002</v>
      </c>
    </row>
    <row r="181" spans="1:4">
      <c r="A181" s="194">
        <v>45014</v>
      </c>
      <c r="B181" s="195" t="s">
        <v>109</v>
      </c>
      <c r="C181" s="195" t="s">
        <v>724</v>
      </c>
      <c r="D181" s="196">
        <v>1497.47</v>
      </c>
    </row>
    <row r="182" spans="1:4">
      <c r="A182" s="194">
        <v>45014</v>
      </c>
      <c r="B182" s="195" t="s">
        <v>115</v>
      </c>
      <c r="C182" s="195" t="s">
        <v>724</v>
      </c>
      <c r="D182" s="196">
        <v>4.83</v>
      </c>
    </row>
    <row r="183" spans="1:4">
      <c r="A183" s="194">
        <v>45028</v>
      </c>
      <c r="B183" s="195" t="s">
        <v>119</v>
      </c>
      <c r="C183" s="195" t="s">
        <v>724</v>
      </c>
      <c r="D183" s="196">
        <v>10.680000000000007</v>
      </c>
    </row>
    <row r="184" spans="1:4">
      <c r="A184" s="194">
        <v>45028</v>
      </c>
      <c r="B184" s="195" t="s">
        <v>119</v>
      </c>
      <c r="C184" s="195" t="s">
        <v>724</v>
      </c>
      <c r="D184" s="196">
        <v>82.439999999999984</v>
      </c>
    </row>
    <row r="185" spans="1:4">
      <c r="A185" s="194">
        <v>45028</v>
      </c>
      <c r="B185" s="195" t="s">
        <v>129</v>
      </c>
      <c r="C185" s="195" t="s">
        <v>724</v>
      </c>
      <c r="D185" s="196">
        <v>308.73</v>
      </c>
    </row>
    <row r="186" spans="1:4">
      <c r="A186" s="194">
        <v>45037</v>
      </c>
      <c r="B186" s="195" t="s">
        <v>121</v>
      </c>
      <c r="C186" s="195" t="s">
        <v>724</v>
      </c>
      <c r="D186" s="196">
        <v>552.41000000000042</v>
      </c>
    </row>
    <row r="187" spans="1:4">
      <c r="A187" s="194">
        <v>45037</v>
      </c>
      <c r="B187" s="195" t="s">
        <v>111</v>
      </c>
      <c r="C187" s="195" t="s">
        <v>724</v>
      </c>
      <c r="D187" s="196">
        <v>3901.31</v>
      </c>
    </row>
    <row r="188" spans="1:4">
      <c r="A188" s="194">
        <v>45037</v>
      </c>
      <c r="B188" s="195" t="s">
        <v>122</v>
      </c>
      <c r="C188" s="195" t="s">
        <v>724</v>
      </c>
      <c r="D188" s="196">
        <v>3235.81</v>
      </c>
    </row>
    <row r="189" spans="1:4">
      <c r="A189" s="194">
        <v>45037</v>
      </c>
      <c r="B189" s="195" t="s">
        <v>113</v>
      </c>
      <c r="C189" s="195" t="s">
        <v>724</v>
      </c>
      <c r="D189" s="196">
        <v>2717.58</v>
      </c>
    </row>
    <row r="190" spans="1:4">
      <c r="A190" s="194">
        <v>45037</v>
      </c>
      <c r="B190" s="195" t="s">
        <v>116</v>
      </c>
      <c r="C190" s="195" t="s">
        <v>724</v>
      </c>
      <c r="D190" s="196">
        <v>3435.93</v>
      </c>
    </row>
    <row r="191" spans="1:4">
      <c r="A191" s="194">
        <v>45037</v>
      </c>
      <c r="B191" s="195" t="s">
        <v>124</v>
      </c>
      <c r="C191" s="195" t="s">
        <v>724</v>
      </c>
      <c r="D191" s="196">
        <v>1933.63</v>
      </c>
    </row>
    <row r="192" spans="1:4">
      <c r="A192" s="194">
        <v>45037</v>
      </c>
      <c r="B192" s="195" t="s">
        <v>131</v>
      </c>
      <c r="C192" s="195" t="s">
        <v>724</v>
      </c>
      <c r="D192" s="196">
        <v>1294.76</v>
      </c>
    </row>
    <row r="193" spans="1:4">
      <c r="A193" s="194">
        <v>45037</v>
      </c>
      <c r="B193" s="195" t="s">
        <v>112</v>
      </c>
      <c r="C193" s="195" t="s">
        <v>724</v>
      </c>
      <c r="D193" s="196">
        <v>174.67999999999961</v>
      </c>
    </row>
    <row r="194" spans="1:4">
      <c r="A194" s="194">
        <v>45037</v>
      </c>
      <c r="B194" s="195" t="s">
        <v>118</v>
      </c>
      <c r="C194" s="195" t="s">
        <v>724</v>
      </c>
      <c r="D194" s="196">
        <v>981.05000000000052</v>
      </c>
    </row>
    <row r="195" spans="1:4">
      <c r="A195" s="194">
        <v>45037</v>
      </c>
      <c r="B195" s="195" t="s">
        <v>109</v>
      </c>
      <c r="C195" s="195" t="s">
        <v>724</v>
      </c>
      <c r="D195" s="196">
        <v>4241.21</v>
      </c>
    </row>
    <row r="196" spans="1:4">
      <c r="A196" s="194">
        <v>45056</v>
      </c>
      <c r="B196" s="195" t="s">
        <v>119</v>
      </c>
      <c r="C196" s="195" t="s">
        <v>724</v>
      </c>
      <c r="D196" s="196">
        <v>30.949999999999996</v>
      </c>
    </row>
    <row r="197" spans="1:4">
      <c r="A197" s="194">
        <v>45056</v>
      </c>
      <c r="B197" s="195" t="s">
        <v>121</v>
      </c>
      <c r="C197" s="195" t="s">
        <v>724</v>
      </c>
      <c r="D197" s="196">
        <v>365.1</v>
      </c>
    </row>
    <row r="198" spans="1:4">
      <c r="A198" s="194">
        <v>45056</v>
      </c>
      <c r="B198" s="195" t="s">
        <v>125</v>
      </c>
      <c r="C198" s="195" t="s">
        <v>724</v>
      </c>
      <c r="D198" s="196">
        <v>5642.19</v>
      </c>
    </row>
    <row r="199" spans="1:4">
      <c r="A199" s="194">
        <v>45056</v>
      </c>
      <c r="B199" s="195" t="s">
        <v>120</v>
      </c>
      <c r="C199" s="195" t="s">
        <v>724</v>
      </c>
      <c r="D199" s="196">
        <v>1683.76</v>
      </c>
    </row>
    <row r="200" spans="1:4">
      <c r="A200" s="194">
        <v>45056</v>
      </c>
      <c r="B200" s="195" t="s">
        <v>131</v>
      </c>
      <c r="C200" s="195" t="s">
        <v>724</v>
      </c>
      <c r="D200" s="196">
        <v>433.8</v>
      </c>
    </row>
    <row r="201" spans="1:4">
      <c r="A201" s="194">
        <v>45056</v>
      </c>
      <c r="B201" s="195" t="s">
        <v>112</v>
      </c>
      <c r="C201" s="195" t="s">
        <v>724</v>
      </c>
      <c r="D201" s="196">
        <v>1152.3499999999999</v>
      </c>
    </row>
    <row r="202" spans="1:4">
      <c r="A202" s="194">
        <v>45056</v>
      </c>
      <c r="B202" s="195" t="s">
        <v>118</v>
      </c>
      <c r="C202" s="195" t="s">
        <v>724</v>
      </c>
      <c r="D202" s="196">
        <v>831.74</v>
      </c>
    </row>
    <row r="203" spans="1:4">
      <c r="A203" s="194">
        <v>45056</v>
      </c>
      <c r="B203" s="195" t="s">
        <v>115</v>
      </c>
      <c r="C203" s="195" t="s">
        <v>724</v>
      </c>
      <c r="D203" s="196">
        <v>4.83</v>
      </c>
    </row>
    <row r="204" spans="1:4">
      <c r="A204" s="194">
        <v>45056</v>
      </c>
      <c r="B204" s="195" t="s">
        <v>119</v>
      </c>
      <c r="C204" s="195" t="s">
        <v>724</v>
      </c>
      <c r="D204" s="196">
        <v>74.23</v>
      </c>
    </row>
    <row r="205" spans="1:4">
      <c r="A205" s="194">
        <v>45078</v>
      </c>
      <c r="B205" s="195" t="s">
        <v>121</v>
      </c>
      <c r="C205" s="195" t="s">
        <v>724</v>
      </c>
      <c r="D205" s="196">
        <v>559.25000000000023</v>
      </c>
    </row>
    <row r="206" spans="1:4">
      <c r="A206" s="194">
        <v>45078</v>
      </c>
      <c r="B206" s="195" t="s">
        <v>131</v>
      </c>
      <c r="C206" s="195" t="s">
        <v>724</v>
      </c>
      <c r="D206" s="196">
        <v>614.03000000000043</v>
      </c>
    </row>
    <row r="207" spans="1:4">
      <c r="A207" s="194">
        <v>45078</v>
      </c>
      <c r="B207" s="195" t="s">
        <v>112</v>
      </c>
      <c r="C207" s="195" t="s">
        <v>724</v>
      </c>
      <c r="D207" s="196">
        <v>1143.8699999999997</v>
      </c>
    </row>
    <row r="208" spans="1:4">
      <c r="A208" s="194">
        <v>45078</v>
      </c>
      <c r="B208" s="195" t="s">
        <v>118</v>
      </c>
      <c r="C208" s="195" t="s">
        <v>724</v>
      </c>
      <c r="D208" s="196">
        <v>1252.5300000000009</v>
      </c>
    </row>
    <row r="209" spans="1:4">
      <c r="A209" s="194">
        <v>45085</v>
      </c>
      <c r="B209" s="195" t="s">
        <v>119</v>
      </c>
      <c r="C209" s="195" t="s">
        <v>724</v>
      </c>
      <c r="D209" s="196">
        <v>88.72999999999999</v>
      </c>
    </row>
    <row r="210" spans="1:4">
      <c r="A210" s="194">
        <v>45091</v>
      </c>
      <c r="B210" s="195" t="s">
        <v>119</v>
      </c>
      <c r="C210" s="195" t="s">
        <v>724</v>
      </c>
      <c r="D210" s="196">
        <v>22.46</v>
      </c>
    </row>
    <row r="211" spans="1:4">
      <c r="A211" s="194">
        <v>45098</v>
      </c>
      <c r="B211" s="195" t="s">
        <v>121</v>
      </c>
      <c r="C211" s="195" t="s">
        <v>724</v>
      </c>
      <c r="D211" s="196">
        <v>474.21000000000009</v>
      </c>
    </row>
    <row r="212" spans="1:4">
      <c r="A212" s="194">
        <v>45098</v>
      </c>
      <c r="B212" s="195" t="s">
        <v>125</v>
      </c>
      <c r="C212" s="195" t="s">
        <v>724</v>
      </c>
      <c r="D212" s="196">
        <v>1875.73</v>
      </c>
    </row>
    <row r="213" spans="1:4">
      <c r="A213" s="194">
        <v>45098</v>
      </c>
      <c r="B213" s="195" t="s">
        <v>120</v>
      </c>
      <c r="C213" s="195" t="s">
        <v>724</v>
      </c>
      <c r="D213" s="196">
        <v>1683.57</v>
      </c>
    </row>
    <row r="214" spans="1:4">
      <c r="A214" s="194">
        <v>45098</v>
      </c>
      <c r="B214" s="195" t="s">
        <v>131</v>
      </c>
      <c r="C214" s="195" t="s">
        <v>724</v>
      </c>
      <c r="D214" s="196">
        <v>1150.3200000000002</v>
      </c>
    </row>
    <row r="215" spans="1:4">
      <c r="A215" s="194">
        <v>45098</v>
      </c>
      <c r="B215" s="195" t="s">
        <v>112</v>
      </c>
      <c r="C215" s="195" t="s">
        <v>724</v>
      </c>
      <c r="D215" s="196">
        <v>200.36</v>
      </c>
    </row>
    <row r="216" spans="1:4">
      <c r="A216" s="194">
        <v>45098</v>
      </c>
      <c r="B216" s="195" t="s">
        <v>118</v>
      </c>
      <c r="C216" s="195" t="s">
        <v>724</v>
      </c>
      <c r="D216" s="196">
        <v>693.21999999999991</v>
      </c>
    </row>
    <row r="217" spans="1:4">
      <c r="A217" s="194">
        <v>45098</v>
      </c>
      <c r="B217" s="195" t="s">
        <v>115</v>
      </c>
      <c r="C217" s="195" t="s">
        <v>724</v>
      </c>
      <c r="D217" s="196">
        <v>4.83</v>
      </c>
    </row>
    <row r="218" spans="1:4">
      <c r="A218" s="194">
        <v>45098</v>
      </c>
      <c r="B218" s="195" t="s">
        <v>121</v>
      </c>
      <c r="C218" s="195" t="s">
        <v>724</v>
      </c>
      <c r="D218" s="196">
        <v>107.51999999999998</v>
      </c>
    </row>
    <row r="219" spans="1:4">
      <c r="A219" s="194">
        <v>45098</v>
      </c>
      <c r="B219" s="195" t="s">
        <v>111</v>
      </c>
      <c r="C219" s="195" t="s">
        <v>724</v>
      </c>
      <c r="D219" s="196">
        <v>2276.2199999999998</v>
      </c>
    </row>
    <row r="220" spans="1:4">
      <c r="A220" s="194">
        <v>45098</v>
      </c>
      <c r="B220" s="195" t="s">
        <v>122</v>
      </c>
      <c r="C220" s="195" t="s">
        <v>724</v>
      </c>
      <c r="D220" s="196">
        <v>1158.06</v>
      </c>
    </row>
    <row r="221" spans="1:4">
      <c r="A221" s="194">
        <v>45098</v>
      </c>
      <c r="B221" s="195" t="s">
        <v>113</v>
      </c>
      <c r="C221" s="195" t="s">
        <v>724</v>
      </c>
      <c r="D221" s="196">
        <v>1388.82</v>
      </c>
    </row>
    <row r="222" spans="1:4">
      <c r="A222" s="194">
        <v>45098</v>
      </c>
      <c r="B222" s="195" t="s">
        <v>116</v>
      </c>
      <c r="C222" s="195" t="s">
        <v>724</v>
      </c>
      <c r="D222" s="196">
        <v>1549.45</v>
      </c>
    </row>
    <row r="223" spans="1:4">
      <c r="A223" s="194">
        <v>45098</v>
      </c>
      <c r="B223" s="195" t="s">
        <v>124</v>
      </c>
      <c r="C223" s="195" t="s">
        <v>724</v>
      </c>
      <c r="D223" s="196">
        <v>1913.09</v>
      </c>
    </row>
    <row r="224" spans="1:4">
      <c r="A224" s="194">
        <v>45098</v>
      </c>
      <c r="B224" s="195" t="s">
        <v>131</v>
      </c>
      <c r="C224" s="195" t="s">
        <v>724</v>
      </c>
      <c r="D224" s="196">
        <v>337.69999999999993</v>
      </c>
    </row>
    <row r="225" spans="1:4">
      <c r="A225" s="194">
        <v>45098</v>
      </c>
      <c r="B225" s="195" t="s">
        <v>112</v>
      </c>
      <c r="C225" s="195" t="s">
        <v>724</v>
      </c>
      <c r="D225" s="196">
        <v>130.23000000000002</v>
      </c>
    </row>
    <row r="226" spans="1:4">
      <c r="A226" s="194">
        <v>45098</v>
      </c>
      <c r="B226" s="195" t="s">
        <v>118</v>
      </c>
      <c r="C226" s="195" t="s">
        <v>724</v>
      </c>
      <c r="D226" s="196">
        <v>198.31</v>
      </c>
    </row>
    <row r="227" spans="1:4">
      <c r="A227" s="194">
        <v>45098</v>
      </c>
      <c r="B227" s="195" t="s">
        <v>109</v>
      </c>
      <c r="C227" s="195" t="s">
        <v>724</v>
      </c>
      <c r="D227" s="196">
        <v>1912.94</v>
      </c>
    </row>
    <row r="228" spans="1:4">
      <c r="A228" s="194">
        <v>45105</v>
      </c>
      <c r="B228" s="195" t="s">
        <v>119</v>
      </c>
      <c r="C228" s="195" t="s">
        <v>724</v>
      </c>
      <c r="D228" s="200">
        <v>8.76</v>
      </c>
    </row>
    <row r="229" spans="1:4">
      <c r="A229" s="194">
        <v>45121</v>
      </c>
      <c r="B229" s="195" t="s">
        <v>119</v>
      </c>
      <c r="C229" s="195" t="s">
        <v>724</v>
      </c>
      <c r="D229" s="200">
        <v>120.57000000000001</v>
      </c>
    </row>
    <row r="230" spans="1:4">
      <c r="A230" s="194">
        <v>45132</v>
      </c>
      <c r="B230" s="195" t="s">
        <v>121</v>
      </c>
      <c r="C230" s="195" t="s">
        <v>724</v>
      </c>
      <c r="D230" s="200">
        <v>1416.87</v>
      </c>
    </row>
    <row r="231" spans="1:4">
      <c r="A231" s="194">
        <v>45132</v>
      </c>
      <c r="B231" s="195" t="s">
        <v>131</v>
      </c>
      <c r="C231" s="195" t="s">
        <v>724</v>
      </c>
      <c r="D231" s="200">
        <v>1652.79</v>
      </c>
    </row>
    <row r="232" spans="1:4">
      <c r="A232" s="194">
        <v>45132</v>
      </c>
      <c r="B232" s="195" t="s">
        <v>112</v>
      </c>
      <c r="C232" s="195" t="s">
        <v>724</v>
      </c>
      <c r="D232" s="200">
        <v>1241.99</v>
      </c>
    </row>
    <row r="233" spans="1:4">
      <c r="A233" s="194">
        <v>45132</v>
      </c>
      <c r="B233" s="195" t="s">
        <v>118</v>
      </c>
      <c r="C233" s="195" t="s">
        <v>724</v>
      </c>
      <c r="D233" s="200">
        <v>1398.11</v>
      </c>
    </row>
    <row r="234" spans="1:4">
      <c r="A234" s="194">
        <v>45133</v>
      </c>
      <c r="B234" s="195" t="s">
        <v>129</v>
      </c>
      <c r="C234" s="195" t="s">
        <v>724</v>
      </c>
      <c r="D234" s="200">
        <v>308.73</v>
      </c>
    </row>
    <row r="235" spans="1:4">
      <c r="A235" s="194">
        <v>45133</v>
      </c>
      <c r="B235" s="195" t="s">
        <v>119</v>
      </c>
      <c r="C235" s="195" t="s">
        <v>724</v>
      </c>
      <c r="D235" s="200">
        <v>26.88</v>
      </c>
    </row>
    <row r="236" spans="1:4">
      <c r="A236" s="194">
        <v>45133</v>
      </c>
      <c r="B236" s="195" t="s">
        <v>110</v>
      </c>
      <c r="C236" s="195" t="s">
        <v>724</v>
      </c>
      <c r="D236" s="200">
        <v>188.59</v>
      </c>
    </row>
    <row r="237" spans="1:4">
      <c r="A237" s="194">
        <v>45135</v>
      </c>
      <c r="B237" s="195" t="s">
        <v>121</v>
      </c>
      <c r="C237" s="195" t="s">
        <v>724</v>
      </c>
      <c r="D237" s="200">
        <v>577.66000000000008</v>
      </c>
    </row>
    <row r="238" spans="1:4">
      <c r="A238" s="194">
        <v>45135</v>
      </c>
      <c r="B238" s="195" t="s">
        <v>125</v>
      </c>
      <c r="C238" s="195" t="s">
        <v>724</v>
      </c>
      <c r="D238" s="200">
        <v>1882.15</v>
      </c>
    </row>
    <row r="239" spans="1:4">
      <c r="A239" s="194">
        <v>45135</v>
      </c>
      <c r="B239" s="195" t="s">
        <v>120</v>
      </c>
      <c r="C239" s="195" t="s">
        <v>724</v>
      </c>
      <c r="D239" s="200">
        <v>1683.74</v>
      </c>
    </row>
    <row r="240" spans="1:4">
      <c r="A240" s="194">
        <v>45135</v>
      </c>
      <c r="B240" s="195" t="s">
        <v>131</v>
      </c>
      <c r="C240" s="195" t="s">
        <v>724</v>
      </c>
      <c r="D240" s="200">
        <v>1242.8399999999997</v>
      </c>
    </row>
    <row r="241" spans="1:4">
      <c r="A241" s="194">
        <v>45135</v>
      </c>
      <c r="B241" s="195" t="s">
        <v>112</v>
      </c>
      <c r="C241" s="195" t="s">
        <v>724</v>
      </c>
      <c r="D241" s="200">
        <v>202.5</v>
      </c>
    </row>
    <row r="242" spans="1:4">
      <c r="A242" s="194">
        <v>45135</v>
      </c>
      <c r="B242" s="195" t="s">
        <v>118</v>
      </c>
      <c r="C242" s="195" t="s">
        <v>724</v>
      </c>
      <c r="D242" s="200">
        <v>1389.52</v>
      </c>
    </row>
    <row r="243" spans="1:4">
      <c r="A243" s="194">
        <v>45135</v>
      </c>
      <c r="B243" s="195" t="s">
        <v>115</v>
      </c>
      <c r="C243" s="195" t="s">
        <v>724</v>
      </c>
      <c r="D243" s="200">
        <v>4.83</v>
      </c>
    </row>
    <row r="244" spans="1:4">
      <c r="A244" s="194">
        <v>45147</v>
      </c>
      <c r="B244" s="195" t="s">
        <v>129</v>
      </c>
      <c r="C244" s="195" t="s">
        <v>724</v>
      </c>
      <c r="D244" s="200">
        <v>631.04</v>
      </c>
    </row>
    <row r="245" spans="1:4">
      <c r="A245" s="194">
        <v>45147</v>
      </c>
      <c r="B245" s="195" t="s">
        <v>119</v>
      </c>
      <c r="C245" s="195" t="s">
        <v>724</v>
      </c>
      <c r="D245" s="200">
        <v>86.98</v>
      </c>
    </row>
    <row r="246" spans="1:4">
      <c r="A246" s="194">
        <v>45161</v>
      </c>
      <c r="B246" s="195" t="s">
        <v>129</v>
      </c>
      <c r="C246" s="195" t="s">
        <v>724</v>
      </c>
      <c r="D246" s="200">
        <v>167.62</v>
      </c>
    </row>
    <row r="247" spans="1:4">
      <c r="A247" s="194">
        <v>45161</v>
      </c>
      <c r="B247" s="195" t="s">
        <v>119</v>
      </c>
      <c r="C247" s="195" t="s">
        <v>724</v>
      </c>
      <c r="D247" s="200">
        <v>2.74</v>
      </c>
    </row>
    <row r="248" spans="1:4">
      <c r="A248" s="194">
        <v>45169</v>
      </c>
      <c r="B248" s="195" t="s">
        <v>121</v>
      </c>
      <c r="C248" s="195" t="s">
        <v>724</v>
      </c>
      <c r="D248" s="200">
        <v>819.79000000000053</v>
      </c>
    </row>
    <row r="249" spans="1:4">
      <c r="A249" s="194">
        <v>45169</v>
      </c>
      <c r="B249" s="195" t="s">
        <v>131</v>
      </c>
      <c r="C249" s="195" t="s">
        <v>724</v>
      </c>
      <c r="D249" s="200">
        <v>1160.1000000000004</v>
      </c>
    </row>
    <row r="250" spans="1:4">
      <c r="A250" s="194">
        <v>45169</v>
      </c>
      <c r="B250" s="195" t="s">
        <v>112</v>
      </c>
      <c r="C250" s="195" t="s">
        <v>724</v>
      </c>
      <c r="D250" s="200">
        <v>326.59999999999997</v>
      </c>
    </row>
    <row r="251" spans="1:4">
      <c r="A251" s="194">
        <v>45169</v>
      </c>
      <c r="B251" s="195" t="s">
        <v>118</v>
      </c>
      <c r="C251" s="195" t="s">
        <v>724</v>
      </c>
      <c r="D251" s="200">
        <v>718.96999999999969</v>
      </c>
    </row>
    <row r="252" spans="1:4">
      <c r="A252" s="194">
        <v>45169</v>
      </c>
      <c r="B252" s="195" t="s">
        <v>115</v>
      </c>
      <c r="C252" s="195" t="s">
        <v>724</v>
      </c>
      <c r="D252" s="200">
        <v>4.83</v>
      </c>
    </row>
    <row r="253" spans="1:4">
      <c r="A253" s="194">
        <v>45169</v>
      </c>
      <c r="B253" s="195" t="s">
        <v>121</v>
      </c>
      <c r="C253" s="195" t="s">
        <v>724</v>
      </c>
      <c r="D253" s="200">
        <v>455.51</v>
      </c>
    </row>
    <row r="254" spans="1:4">
      <c r="A254" s="194">
        <v>45169</v>
      </c>
      <c r="B254" s="195" t="s">
        <v>125</v>
      </c>
      <c r="C254" s="195" t="s">
        <v>724</v>
      </c>
      <c r="D254" s="200">
        <v>1883.91</v>
      </c>
    </row>
    <row r="255" spans="1:4">
      <c r="A255" s="194">
        <v>45169</v>
      </c>
      <c r="B255" s="195" t="s">
        <v>120</v>
      </c>
      <c r="C255" s="195" t="s">
        <v>724</v>
      </c>
      <c r="D255" s="200">
        <v>1683.37</v>
      </c>
    </row>
    <row r="256" spans="1:4">
      <c r="A256" s="194">
        <v>45169</v>
      </c>
      <c r="B256" s="195" t="s">
        <v>131</v>
      </c>
      <c r="C256" s="195" t="s">
        <v>724</v>
      </c>
      <c r="D256" s="200">
        <v>1212.03</v>
      </c>
    </row>
    <row r="257" spans="1:4">
      <c r="A257" s="194">
        <v>45169</v>
      </c>
      <c r="B257" s="195" t="s">
        <v>112</v>
      </c>
      <c r="C257" s="195" t="s">
        <v>724</v>
      </c>
      <c r="D257" s="200">
        <v>1546.48</v>
      </c>
    </row>
    <row r="258" spans="1:4">
      <c r="A258" s="194">
        <v>45169</v>
      </c>
      <c r="B258" s="195" t="s">
        <v>118</v>
      </c>
      <c r="C258" s="195" t="s">
        <v>724</v>
      </c>
      <c r="D258" s="200">
        <v>1692.52</v>
      </c>
    </row>
    <row r="259" spans="1:4">
      <c r="A259" s="194">
        <v>45180</v>
      </c>
      <c r="B259" s="195" t="s">
        <v>109</v>
      </c>
      <c r="C259" s="195" t="s">
        <v>724</v>
      </c>
      <c r="D259" s="196">
        <v>0.04</v>
      </c>
    </row>
    <row r="260" spans="1:4">
      <c r="A260" s="194">
        <v>45180</v>
      </c>
      <c r="B260" s="195" t="s">
        <v>121</v>
      </c>
      <c r="C260" s="195" t="s">
        <v>724</v>
      </c>
      <c r="D260" s="200">
        <v>392.21999999999991</v>
      </c>
    </row>
    <row r="261" spans="1:4">
      <c r="A261" s="194">
        <v>45180</v>
      </c>
      <c r="B261" s="195" t="s">
        <v>125</v>
      </c>
      <c r="C261" s="195" t="s">
        <v>724</v>
      </c>
      <c r="D261" s="200">
        <v>1882.15</v>
      </c>
    </row>
    <row r="262" spans="1:4">
      <c r="A262" s="194">
        <v>45180</v>
      </c>
      <c r="B262" s="195" t="s">
        <v>111</v>
      </c>
      <c r="C262" s="195" t="s">
        <v>724</v>
      </c>
      <c r="D262" s="200">
        <v>3826.22</v>
      </c>
    </row>
    <row r="263" spans="1:4">
      <c r="A263" s="194">
        <v>45180</v>
      </c>
      <c r="B263" s="195" t="s">
        <v>122</v>
      </c>
      <c r="C263" s="195" t="s">
        <v>724</v>
      </c>
      <c r="D263" s="200">
        <v>3085.68</v>
      </c>
    </row>
    <row r="264" spans="1:4">
      <c r="A264" s="194">
        <v>45180</v>
      </c>
      <c r="B264" s="195" t="s">
        <v>120</v>
      </c>
      <c r="C264" s="195" t="s">
        <v>724</v>
      </c>
      <c r="D264" s="200">
        <v>1683.73</v>
      </c>
    </row>
    <row r="265" spans="1:4">
      <c r="A265" s="194">
        <v>45180</v>
      </c>
      <c r="B265" s="195" t="s">
        <v>113</v>
      </c>
      <c r="C265" s="195" t="s">
        <v>724</v>
      </c>
      <c r="D265" s="200">
        <v>2916.65</v>
      </c>
    </row>
    <row r="266" spans="1:4">
      <c r="A266" s="194">
        <v>45180</v>
      </c>
      <c r="B266" s="195" t="s">
        <v>116</v>
      </c>
      <c r="C266" s="195" t="s">
        <v>724</v>
      </c>
      <c r="D266" s="200">
        <v>3060.78</v>
      </c>
    </row>
    <row r="267" spans="1:4">
      <c r="A267" s="194">
        <v>45180</v>
      </c>
      <c r="B267" s="195" t="s">
        <v>124</v>
      </c>
      <c r="C267" s="195" t="s">
        <v>724</v>
      </c>
      <c r="D267" s="200">
        <v>3821.28</v>
      </c>
    </row>
    <row r="268" spans="1:4">
      <c r="A268" s="194">
        <v>45180</v>
      </c>
      <c r="B268" s="195" t="s">
        <v>131</v>
      </c>
      <c r="C268" s="195" t="s">
        <v>724</v>
      </c>
      <c r="D268" s="200">
        <v>615.82999999999993</v>
      </c>
    </row>
    <row r="269" spans="1:4">
      <c r="A269" s="194">
        <v>45180</v>
      </c>
      <c r="B269" s="195" t="s">
        <v>112</v>
      </c>
      <c r="C269" s="195" t="s">
        <v>724</v>
      </c>
      <c r="D269" s="200">
        <v>1202.2400000000005</v>
      </c>
    </row>
    <row r="270" spans="1:4">
      <c r="A270" s="194">
        <v>45180</v>
      </c>
      <c r="B270" s="195" t="s">
        <v>118</v>
      </c>
      <c r="C270" s="195" t="s">
        <v>724</v>
      </c>
      <c r="D270" s="200">
        <v>1043.3300000000002</v>
      </c>
    </row>
    <row r="271" spans="1:4">
      <c r="A271" s="194">
        <v>45180</v>
      </c>
      <c r="B271" s="195" t="s">
        <v>109</v>
      </c>
      <c r="C271" s="195" t="s">
        <v>724</v>
      </c>
      <c r="D271" s="200">
        <v>3825.96</v>
      </c>
    </row>
    <row r="272" spans="1:4">
      <c r="A272" s="194">
        <v>45180</v>
      </c>
      <c r="B272" s="195" t="s">
        <v>115</v>
      </c>
      <c r="C272" s="195" t="s">
        <v>724</v>
      </c>
      <c r="D272" s="200">
        <v>4.83</v>
      </c>
    </row>
    <row r="273" spans="1:4">
      <c r="A273" s="194">
        <v>45183</v>
      </c>
      <c r="B273" s="195" t="s">
        <v>119</v>
      </c>
      <c r="C273" s="195" t="s">
        <v>724</v>
      </c>
      <c r="D273" s="200">
        <v>66.290000000000006</v>
      </c>
    </row>
    <row r="274" spans="1:4">
      <c r="A274" s="194">
        <v>45189</v>
      </c>
      <c r="B274" s="195" t="s">
        <v>129</v>
      </c>
      <c r="C274" s="195" t="s">
        <v>724</v>
      </c>
      <c r="D274" s="200">
        <v>273.75</v>
      </c>
    </row>
    <row r="275" spans="1:4">
      <c r="A275" s="194">
        <v>45189</v>
      </c>
      <c r="B275" s="195" t="s">
        <v>119</v>
      </c>
      <c r="C275" s="195" t="s">
        <v>724</v>
      </c>
      <c r="D275" s="200">
        <v>16.16</v>
      </c>
    </row>
    <row r="276" spans="1:4">
      <c r="A276" s="194">
        <v>45189</v>
      </c>
      <c r="B276" s="195" t="s">
        <v>130</v>
      </c>
      <c r="C276" s="195" t="s">
        <v>724</v>
      </c>
      <c r="D276" s="200">
        <v>70.25</v>
      </c>
    </row>
    <row r="277" spans="1:4">
      <c r="A277" s="194">
        <v>45197</v>
      </c>
      <c r="B277" s="195" t="s">
        <v>121</v>
      </c>
      <c r="C277" s="195" t="s">
        <v>724</v>
      </c>
      <c r="D277" s="200">
        <v>819.16000000000042</v>
      </c>
    </row>
    <row r="278" spans="1:4">
      <c r="A278" s="194">
        <v>45197</v>
      </c>
      <c r="B278" s="195" t="s">
        <v>111</v>
      </c>
      <c r="C278" s="195" t="s">
        <v>724</v>
      </c>
      <c r="D278" s="200">
        <v>1651.39</v>
      </c>
    </row>
    <row r="279" spans="1:4">
      <c r="A279" s="194">
        <v>45197</v>
      </c>
      <c r="B279" s="195" t="s">
        <v>122</v>
      </c>
      <c r="C279" s="195" t="s">
        <v>724</v>
      </c>
      <c r="D279" s="200">
        <v>1222.8499999999999</v>
      </c>
    </row>
    <row r="280" spans="1:4">
      <c r="A280" s="194">
        <v>45197</v>
      </c>
      <c r="B280" s="195" t="s">
        <v>113</v>
      </c>
      <c r="C280" s="195" t="s">
        <v>724</v>
      </c>
      <c r="D280" s="200">
        <v>1107.8699999999999</v>
      </c>
    </row>
    <row r="281" spans="1:4">
      <c r="A281" s="194">
        <v>45197</v>
      </c>
      <c r="B281" s="195" t="s">
        <v>116</v>
      </c>
      <c r="C281" s="195" t="s">
        <v>724</v>
      </c>
      <c r="D281" s="200">
        <v>1308.0999999999999</v>
      </c>
    </row>
    <row r="282" spans="1:4">
      <c r="A282" s="194">
        <v>45197</v>
      </c>
      <c r="B282" s="195" t="s">
        <v>124</v>
      </c>
      <c r="C282" s="195" t="s">
        <v>724</v>
      </c>
      <c r="D282" s="200">
        <v>1708.6</v>
      </c>
    </row>
    <row r="283" spans="1:4">
      <c r="A283" s="194">
        <v>45197</v>
      </c>
      <c r="B283" s="195" t="s">
        <v>131</v>
      </c>
      <c r="C283" s="195" t="s">
        <v>724</v>
      </c>
      <c r="D283" s="200">
        <v>1269.7800000000004</v>
      </c>
    </row>
    <row r="284" spans="1:4">
      <c r="A284" s="194">
        <v>45197</v>
      </c>
      <c r="B284" s="195" t="s">
        <v>112</v>
      </c>
      <c r="C284" s="195" t="s">
        <v>724</v>
      </c>
      <c r="D284" s="200">
        <v>889.00000000000023</v>
      </c>
    </row>
    <row r="285" spans="1:4">
      <c r="A285" s="194">
        <v>45197</v>
      </c>
      <c r="B285" s="195" t="s">
        <v>118</v>
      </c>
      <c r="C285" s="195" t="s">
        <v>724</v>
      </c>
      <c r="D285" s="200">
        <v>852.81000000000006</v>
      </c>
    </row>
    <row r="286" spans="1:4">
      <c r="A286" s="194">
        <v>45197</v>
      </c>
      <c r="B286" s="195" t="s">
        <v>109</v>
      </c>
      <c r="C286" s="195" t="s">
        <v>724</v>
      </c>
      <c r="D286" s="200">
        <v>1908.34</v>
      </c>
    </row>
    <row r="287" spans="1:4">
      <c r="A287" s="194">
        <v>45197</v>
      </c>
      <c r="B287" s="195" t="s">
        <v>115</v>
      </c>
      <c r="C287" s="195" t="s">
        <v>724</v>
      </c>
      <c r="D287" s="200">
        <v>4.83</v>
      </c>
    </row>
    <row r="288" spans="1:4">
      <c r="A288" s="194">
        <v>45203</v>
      </c>
      <c r="B288" s="195" t="s">
        <v>119</v>
      </c>
      <c r="C288" s="195" t="s">
        <v>724</v>
      </c>
      <c r="D288" s="200">
        <v>75.86</v>
      </c>
    </row>
    <row r="289" spans="1:4">
      <c r="A289" s="194">
        <v>45203</v>
      </c>
      <c r="B289" s="195" t="s">
        <v>130</v>
      </c>
      <c r="C289" s="195" t="s">
        <v>724</v>
      </c>
      <c r="D289" s="200">
        <v>70.25</v>
      </c>
    </row>
    <row r="290" spans="1:4">
      <c r="A290" s="194">
        <v>45203</v>
      </c>
      <c r="B290" s="195" t="s">
        <v>132</v>
      </c>
      <c r="C290" s="195" t="s">
        <v>724</v>
      </c>
      <c r="D290" s="200">
        <v>654.29</v>
      </c>
    </row>
    <row r="291" spans="1:4">
      <c r="A291" s="194">
        <v>45203</v>
      </c>
      <c r="B291" s="195" t="s">
        <v>110</v>
      </c>
      <c r="C291" s="195" t="s">
        <v>724</v>
      </c>
      <c r="D291" s="200">
        <v>82.2</v>
      </c>
    </row>
    <row r="292" spans="1:4">
      <c r="A292" s="194">
        <v>45232</v>
      </c>
      <c r="B292" s="195" t="s">
        <v>129</v>
      </c>
      <c r="C292" s="195" t="s">
        <v>724</v>
      </c>
      <c r="D292" s="200">
        <v>273.75</v>
      </c>
    </row>
    <row r="293" spans="1:4">
      <c r="A293" s="194">
        <v>45232</v>
      </c>
      <c r="B293" s="195" t="s">
        <v>119</v>
      </c>
      <c r="C293" s="195" t="s">
        <v>724</v>
      </c>
      <c r="D293" s="200">
        <v>19.45</v>
      </c>
    </row>
    <row r="294" spans="1:4">
      <c r="A294" s="194">
        <v>45232</v>
      </c>
      <c r="B294" s="195" t="s">
        <v>114</v>
      </c>
      <c r="C294" s="195" t="s">
        <v>724</v>
      </c>
      <c r="D294" s="200">
        <v>427.48</v>
      </c>
    </row>
    <row r="295" spans="1:4">
      <c r="A295" s="194">
        <v>45251</v>
      </c>
      <c r="B295" s="195" t="s">
        <v>119</v>
      </c>
      <c r="C295" s="195" t="s">
        <v>724</v>
      </c>
      <c r="D295" s="200">
        <v>87.339999999999989</v>
      </c>
    </row>
    <row r="296" spans="1:4">
      <c r="A296" s="194">
        <v>45251</v>
      </c>
      <c r="B296" s="195" t="s">
        <v>114</v>
      </c>
      <c r="C296" s="195" t="s">
        <v>724</v>
      </c>
      <c r="D296" s="200">
        <v>427.48</v>
      </c>
    </row>
    <row r="297" spans="1:4">
      <c r="A297" s="194">
        <v>45251</v>
      </c>
      <c r="B297" s="195" t="s">
        <v>129</v>
      </c>
      <c r="C297" s="195" t="s">
        <v>724</v>
      </c>
      <c r="D297" s="200">
        <v>273.75</v>
      </c>
    </row>
    <row r="298" spans="1:4">
      <c r="A298" s="194">
        <v>45251</v>
      </c>
      <c r="B298" s="195" t="s">
        <v>119</v>
      </c>
      <c r="C298" s="195" t="s">
        <v>724</v>
      </c>
      <c r="D298" s="200">
        <v>13.42</v>
      </c>
    </row>
    <row r="299" spans="1:4">
      <c r="A299" s="194">
        <v>45251</v>
      </c>
      <c r="B299" s="195" t="s">
        <v>114</v>
      </c>
      <c r="C299" s="195" t="s">
        <v>724</v>
      </c>
      <c r="D299" s="200">
        <v>427.48</v>
      </c>
    </row>
    <row r="300" spans="1:4">
      <c r="A300" s="194">
        <v>45251</v>
      </c>
      <c r="B300" s="195" t="s">
        <v>110</v>
      </c>
      <c r="C300" s="195" t="s">
        <v>724</v>
      </c>
      <c r="D300" s="200">
        <v>152.69</v>
      </c>
    </row>
    <row r="301" spans="1:4">
      <c r="A301" s="194">
        <v>45254</v>
      </c>
      <c r="B301" s="195" t="s">
        <v>121</v>
      </c>
      <c r="C301" s="195" t="s">
        <v>724</v>
      </c>
      <c r="D301" s="200">
        <v>271.66000000000003</v>
      </c>
    </row>
    <row r="302" spans="1:4">
      <c r="A302" s="194">
        <v>45254</v>
      </c>
      <c r="B302" s="195" t="s">
        <v>125</v>
      </c>
      <c r="C302" s="195" t="s">
        <v>724</v>
      </c>
      <c r="D302" s="200">
        <v>1883.91</v>
      </c>
    </row>
    <row r="303" spans="1:4">
      <c r="A303" s="194">
        <v>45254</v>
      </c>
      <c r="B303" s="195" t="s">
        <v>120</v>
      </c>
      <c r="C303" s="195" t="s">
        <v>724</v>
      </c>
      <c r="D303" s="200">
        <v>1683.37</v>
      </c>
    </row>
    <row r="304" spans="1:4">
      <c r="A304" s="194">
        <v>45254</v>
      </c>
      <c r="B304" s="195" t="s">
        <v>131</v>
      </c>
      <c r="C304" s="195" t="s">
        <v>724</v>
      </c>
      <c r="D304" s="200">
        <v>330.97999999999996</v>
      </c>
    </row>
    <row r="305" spans="1:4">
      <c r="A305" s="194">
        <v>45254</v>
      </c>
      <c r="B305" s="195" t="s">
        <v>112</v>
      </c>
      <c r="C305" s="195" t="s">
        <v>724</v>
      </c>
      <c r="D305" s="200">
        <v>152.31</v>
      </c>
    </row>
    <row r="306" spans="1:4">
      <c r="A306" s="194">
        <v>45254</v>
      </c>
      <c r="B306" s="195" t="s">
        <v>118</v>
      </c>
      <c r="C306" s="195" t="s">
        <v>724</v>
      </c>
      <c r="D306" s="200">
        <v>296.96000000000004</v>
      </c>
    </row>
    <row r="307" spans="1:4">
      <c r="A307" s="194">
        <v>45254</v>
      </c>
      <c r="B307" s="195" t="s">
        <v>121</v>
      </c>
      <c r="C307" s="195" t="s">
        <v>724</v>
      </c>
      <c r="D307" s="200">
        <v>756.29000000000042</v>
      </c>
    </row>
    <row r="308" spans="1:4">
      <c r="A308" s="194">
        <v>45254</v>
      </c>
      <c r="B308" s="195" t="s">
        <v>122</v>
      </c>
      <c r="C308" s="195" t="s">
        <v>724</v>
      </c>
      <c r="D308" s="200">
        <v>1356.39</v>
      </c>
    </row>
    <row r="309" spans="1:4">
      <c r="A309" s="194">
        <v>45254</v>
      </c>
      <c r="B309" s="195" t="s">
        <v>113</v>
      </c>
      <c r="C309" s="195" t="s">
        <v>724</v>
      </c>
      <c r="D309" s="200">
        <v>1570.17</v>
      </c>
    </row>
    <row r="310" spans="1:4">
      <c r="A310" s="194">
        <v>45254</v>
      </c>
      <c r="B310" s="195" t="s">
        <v>124</v>
      </c>
      <c r="C310" s="195" t="s">
        <v>724</v>
      </c>
      <c r="D310" s="200">
        <v>1869.49</v>
      </c>
    </row>
    <row r="311" spans="1:4">
      <c r="A311" s="194">
        <v>45254</v>
      </c>
      <c r="B311" s="195" t="s">
        <v>131</v>
      </c>
      <c r="C311" s="195" t="s">
        <v>724</v>
      </c>
      <c r="D311" s="200">
        <v>1078.19</v>
      </c>
    </row>
    <row r="312" spans="1:4">
      <c r="A312" s="194">
        <v>45254</v>
      </c>
      <c r="B312" s="195" t="s">
        <v>112</v>
      </c>
      <c r="C312" s="195" t="s">
        <v>724</v>
      </c>
      <c r="D312" s="200">
        <v>1072.1500000000001</v>
      </c>
    </row>
    <row r="313" spans="1:4">
      <c r="A313" s="194">
        <v>45254</v>
      </c>
      <c r="B313" s="195" t="s">
        <v>118</v>
      </c>
      <c r="C313" s="195" t="s">
        <v>724</v>
      </c>
      <c r="D313" s="200">
        <v>1309.93</v>
      </c>
    </row>
    <row r="314" spans="1:4">
      <c r="A314" s="194">
        <v>45273</v>
      </c>
      <c r="B314" s="195" t="s">
        <v>119</v>
      </c>
      <c r="C314" s="195" t="s">
        <v>724</v>
      </c>
      <c r="D314" s="200">
        <v>66.03</v>
      </c>
    </row>
    <row r="315" spans="1:4">
      <c r="A315" s="194">
        <v>45273</v>
      </c>
      <c r="B315" s="195" t="s">
        <v>110</v>
      </c>
      <c r="C315" s="195" t="s">
        <v>724</v>
      </c>
      <c r="D315" s="200">
        <v>149.63</v>
      </c>
    </row>
    <row r="316" spans="1:4">
      <c r="A316" s="194">
        <v>45278</v>
      </c>
      <c r="B316" s="195" t="s">
        <v>121</v>
      </c>
      <c r="C316" s="195" t="s">
        <v>724</v>
      </c>
      <c r="D316" s="200">
        <v>337.79000000000008</v>
      </c>
    </row>
    <row r="317" spans="1:4">
      <c r="A317" s="194">
        <v>45278</v>
      </c>
      <c r="B317" s="195" t="s">
        <v>125</v>
      </c>
      <c r="C317" s="195" t="s">
        <v>724</v>
      </c>
      <c r="D317" s="200">
        <v>1894.09</v>
      </c>
    </row>
    <row r="318" spans="1:4">
      <c r="A318" s="194">
        <v>45278</v>
      </c>
      <c r="B318" s="195" t="s">
        <v>111</v>
      </c>
      <c r="C318" s="195" t="s">
        <v>724</v>
      </c>
      <c r="D318" s="200">
        <v>1855.61</v>
      </c>
    </row>
    <row r="319" spans="1:4">
      <c r="A319" s="194">
        <v>45278</v>
      </c>
      <c r="B319" s="195" t="s">
        <v>120</v>
      </c>
      <c r="C319" s="195" t="s">
        <v>724</v>
      </c>
      <c r="D319" s="200">
        <v>1683.37</v>
      </c>
    </row>
    <row r="320" spans="1:4">
      <c r="A320" s="194">
        <v>45278</v>
      </c>
      <c r="B320" s="195" t="s">
        <v>113</v>
      </c>
      <c r="C320" s="195" t="s">
        <v>724</v>
      </c>
      <c r="D320" s="200">
        <v>1339.02</v>
      </c>
    </row>
    <row r="321" spans="1:4">
      <c r="A321" s="194">
        <v>45278</v>
      </c>
      <c r="B321" s="195" t="s">
        <v>116</v>
      </c>
      <c r="C321" s="195" t="s">
        <v>724</v>
      </c>
      <c r="D321" s="200">
        <v>3281.47</v>
      </c>
    </row>
    <row r="322" spans="1:4">
      <c r="A322" s="194">
        <v>45278</v>
      </c>
      <c r="B322" s="195" t="s">
        <v>131</v>
      </c>
      <c r="C322" s="195" t="s">
        <v>724</v>
      </c>
      <c r="D322" s="200">
        <v>431.7700000000001</v>
      </c>
    </row>
    <row r="323" spans="1:4">
      <c r="A323" s="194">
        <v>45278</v>
      </c>
      <c r="B323" s="195" t="s">
        <v>112</v>
      </c>
      <c r="C323" s="195" t="s">
        <v>724</v>
      </c>
      <c r="D323" s="200">
        <v>189.67</v>
      </c>
    </row>
    <row r="324" spans="1:4">
      <c r="A324" s="194">
        <v>45278</v>
      </c>
      <c r="B324" s="195" t="s">
        <v>118</v>
      </c>
      <c r="C324" s="195" t="s">
        <v>724</v>
      </c>
      <c r="D324" s="200">
        <v>330.90999999999997</v>
      </c>
    </row>
    <row r="325" spans="1:4">
      <c r="A325" s="194">
        <v>45278</v>
      </c>
      <c r="B325" s="195" t="s">
        <v>109</v>
      </c>
      <c r="C325" s="195" t="s">
        <v>724</v>
      </c>
      <c r="D325" s="200">
        <v>3830.6</v>
      </c>
    </row>
    <row r="326" spans="1:4">
      <c r="A326" s="194">
        <v>45278</v>
      </c>
      <c r="B326" s="195" t="s">
        <v>115</v>
      </c>
      <c r="C326" s="195" t="s">
        <v>724</v>
      </c>
      <c r="D326" s="200">
        <v>4.83</v>
      </c>
    </row>
    <row r="327" spans="1:4">
      <c r="A327" s="194">
        <v>45278</v>
      </c>
      <c r="B327" s="195" t="s">
        <v>121</v>
      </c>
      <c r="C327" s="195" t="s">
        <v>724</v>
      </c>
      <c r="D327" s="200">
        <v>398.20000000000005</v>
      </c>
    </row>
    <row r="328" spans="1:4">
      <c r="A328" s="194">
        <v>45278</v>
      </c>
      <c r="B328" s="195" t="s">
        <v>125</v>
      </c>
      <c r="C328" s="195" t="s">
        <v>724</v>
      </c>
      <c r="D328" s="200">
        <v>1894.09</v>
      </c>
    </row>
    <row r="329" spans="1:4">
      <c r="A329" s="194">
        <v>45278</v>
      </c>
      <c r="B329" s="195" t="s">
        <v>111</v>
      </c>
      <c r="C329" s="195" t="s">
        <v>724</v>
      </c>
      <c r="D329" s="200">
        <v>2260.27</v>
      </c>
    </row>
    <row r="330" spans="1:4">
      <c r="A330" s="194">
        <v>45278</v>
      </c>
      <c r="B330" s="195" t="s">
        <v>120</v>
      </c>
      <c r="C330" s="195" t="s">
        <v>724</v>
      </c>
      <c r="D330" s="200">
        <v>1679.37</v>
      </c>
    </row>
    <row r="331" spans="1:4">
      <c r="A331" s="194">
        <v>45278</v>
      </c>
      <c r="B331" s="195" t="s">
        <v>131</v>
      </c>
      <c r="C331" s="195" t="s">
        <v>724</v>
      </c>
      <c r="D331" s="200">
        <v>265.45000000000005</v>
      </c>
    </row>
    <row r="332" spans="1:4">
      <c r="A332" s="194">
        <v>45278</v>
      </c>
      <c r="B332" s="195" t="s">
        <v>112</v>
      </c>
      <c r="C332" s="195" t="s">
        <v>724</v>
      </c>
      <c r="D332" s="200">
        <v>1201.1599999999999</v>
      </c>
    </row>
    <row r="333" spans="1:4">
      <c r="A333" s="194">
        <v>45278</v>
      </c>
      <c r="B333" s="195" t="s">
        <v>118</v>
      </c>
      <c r="C333" s="195" t="s">
        <v>724</v>
      </c>
      <c r="D333" s="200">
        <v>688.26999999999987</v>
      </c>
    </row>
    <row r="334" spans="1:4">
      <c r="A334" s="194">
        <v>45278</v>
      </c>
      <c r="B334" s="195" t="s">
        <v>115</v>
      </c>
      <c r="C334" s="195" t="s">
        <v>724</v>
      </c>
      <c r="D334" s="200">
        <v>4.83</v>
      </c>
    </row>
    <row r="335" spans="1:4">
      <c r="A335" s="194">
        <v>45278</v>
      </c>
      <c r="B335" s="195" t="s">
        <v>131</v>
      </c>
      <c r="C335" s="195" t="s">
        <v>724</v>
      </c>
      <c r="D335" s="200">
        <v>-154.47999999999999</v>
      </c>
    </row>
    <row r="336" spans="1:4">
      <c r="A336" s="194">
        <v>45278</v>
      </c>
      <c r="B336" s="195" t="s">
        <v>118</v>
      </c>
      <c r="C336" s="195" t="s">
        <v>724</v>
      </c>
      <c r="D336" s="200">
        <v>-1.38</v>
      </c>
    </row>
    <row r="337" spans="1:4">
      <c r="A337" s="194">
        <v>45288</v>
      </c>
      <c r="B337" s="195" t="s">
        <v>119</v>
      </c>
      <c r="C337" s="195" t="s">
        <v>724</v>
      </c>
      <c r="D337" s="200">
        <v>4.66</v>
      </c>
    </row>
    <row r="338" spans="1:4">
      <c r="A338" s="194">
        <v>45288</v>
      </c>
      <c r="B338" s="195" t="s">
        <v>114</v>
      </c>
      <c r="C338" s="195" t="s">
        <v>724</v>
      </c>
      <c r="D338" s="200">
        <v>427.48</v>
      </c>
    </row>
    <row r="339" spans="1:4">
      <c r="A339" s="194">
        <v>45289</v>
      </c>
      <c r="B339" s="195" t="s">
        <v>121</v>
      </c>
      <c r="C339" s="195" t="s">
        <v>724</v>
      </c>
      <c r="D339" s="201">
        <v>817.02000000000066</v>
      </c>
    </row>
    <row r="340" spans="1:4">
      <c r="A340" s="194">
        <v>45289</v>
      </c>
      <c r="B340" s="195" t="s">
        <v>111</v>
      </c>
      <c r="C340" s="195" t="s">
        <v>724</v>
      </c>
      <c r="D340" s="201">
        <v>1882.01</v>
      </c>
    </row>
    <row r="341" spans="1:4">
      <c r="A341" s="194">
        <v>45289</v>
      </c>
      <c r="B341" s="195" t="s">
        <v>122</v>
      </c>
      <c r="C341" s="195" t="s">
        <v>724</v>
      </c>
      <c r="D341" s="201">
        <v>1351.75</v>
      </c>
    </row>
    <row r="342" spans="1:4">
      <c r="A342" s="194">
        <v>45289</v>
      </c>
      <c r="B342" s="195" t="s">
        <v>124</v>
      </c>
      <c r="C342" s="195" t="s">
        <v>724</v>
      </c>
      <c r="D342" s="201">
        <v>1880.98</v>
      </c>
    </row>
    <row r="343" spans="1:4">
      <c r="A343" s="194">
        <v>45289</v>
      </c>
      <c r="B343" s="195" t="s">
        <v>131</v>
      </c>
      <c r="C343" s="195" t="s">
        <v>724</v>
      </c>
      <c r="D343" s="201">
        <v>1376.4999999999998</v>
      </c>
    </row>
    <row r="344" spans="1:4">
      <c r="A344" s="194">
        <v>45289</v>
      </c>
      <c r="B344" s="195" t="s">
        <v>112</v>
      </c>
      <c r="C344" s="195" t="s">
        <v>724</v>
      </c>
      <c r="D344" s="201">
        <v>251.81999999999996</v>
      </c>
    </row>
    <row r="345" spans="1:4">
      <c r="A345" s="194">
        <v>45289</v>
      </c>
      <c r="B345" s="195" t="s">
        <v>118</v>
      </c>
      <c r="C345" s="195" t="s">
        <v>724</v>
      </c>
      <c r="D345" s="201">
        <v>1058.8399999999997</v>
      </c>
    </row>
    <row r="346" spans="1:4">
      <c r="A346" s="194">
        <v>45294</v>
      </c>
      <c r="B346" s="195" t="s">
        <v>121</v>
      </c>
      <c r="C346" s="195" t="s">
        <v>724</v>
      </c>
      <c r="D346" s="200">
        <v>722.39000000000067</v>
      </c>
    </row>
    <row r="347" spans="1:4">
      <c r="A347" s="194">
        <v>45294</v>
      </c>
      <c r="B347" s="195" t="s">
        <v>122</v>
      </c>
      <c r="C347" s="195" t="s">
        <v>724</v>
      </c>
      <c r="D347" s="200">
        <v>1686.1</v>
      </c>
    </row>
    <row r="348" spans="1:4">
      <c r="A348" s="194">
        <v>45294</v>
      </c>
      <c r="B348" s="195" t="s">
        <v>113</v>
      </c>
      <c r="C348" s="195" t="s">
        <v>724</v>
      </c>
      <c r="D348" s="200">
        <v>1332.78</v>
      </c>
    </row>
    <row r="349" spans="1:4">
      <c r="A349" s="194">
        <v>45294</v>
      </c>
      <c r="B349" s="195" t="s">
        <v>116</v>
      </c>
      <c r="C349" s="195" t="s">
        <v>724</v>
      </c>
      <c r="D349" s="200">
        <v>1528.79</v>
      </c>
    </row>
    <row r="350" spans="1:4">
      <c r="A350" s="194">
        <v>45294</v>
      </c>
      <c r="B350" s="195" t="s">
        <v>124</v>
      </c>
      <c r="C350" s="195" t="s">
        <v>724</v>
      </c>
      <c r="D350" s="200">
        <v>4101.4799999999996</v>
      </c>
    </row>
    <row r="351" spans="1:4">
      <c r="A351" s="194">
        <v>45294</v>
      </c>
      <c r="B351" s="195" t="s">
        <v>131</v>
      </c>
      <c r="C351" s="195" t="s">
        <v>724</v>
      </c>
      <c r="D351" s="200">
        <v>1406.6999999999998</v>
      </c>
    </row>
    <row r="352" spans="1:4">
      <c r="A352" s="194">
        <v>45294</v>
      </c>
      <c r="B352" s="195" t="s">
        <v>112</v>
      </c>
      <c r="C352" s="195" t="s">
        <v>724</v>
      </c>
      <c r="D352" s="200">
        <v>1094.8299999999997</v>
      </c>
    </row>
    <row r="353" spans="1:4">
      <c r="A353" s="194">
        <v>45294</v>
      </c>
      <c r="B353" s="195" t="s">
        <v>118</v>
      </c>
      <c r="C353" s="195" t="s">
        <v>724</v>
      </c>
      <c r="D353" s="200">
        <v>1291.6700000000008</v>
      </c>
    </row>
    <row r="354" spans="1:4">
      <c r="A354" s="194">
        <v>45294</v>
      </c>
      <c r="B354" s="195" t="s">
        <v>109</v>
      </c>
      <c r="C354" s="195" t="s">
        <v>724</v>
      </c>
      <c r="D354" s="200">
        <v>1908.04</v>
      </c>
    </row>
    <row r="355" spans="1:4">
      <c r="A355" s="194">
        <v>45294</v>
      </c>
      <c r="B355" s="195" t="s">
        <v>121</v>
      </c>
      <c r="C355" s="195" t="s">
        <v>724</v>
      </c>
      <c r="D355" s="200">
        <v>389.44000000000011</v>
      </c>
    </row>
    <row r="356" spans="1:4">
      <c r="A356" s="194">
        <v>45294</v>
      </c>
      <c r="B356" s="195" t="s">
        <v>125</v>
      </c>
      <c r="C356" s="195" t="s">
        <v>724</v>
      </c>
      <c r="D356" s="200">
        <v>1898.37</v>
      </c>
    </row>
    <row r="357" spans="1:4">
      <c r="A357" s="194">
        <v>45294</v>
      </c>
      <c r="B357" s="195" t="s">
        <v>122</v>
      </c>
      <c r="C357" s="195" t="s">
        <v>724</v>
      </c>
      <c r="D357" s="200">
        <v>1374.03</v>
      </c>
    </row>
    <row r="358" spans="1:4">
      <c r="A358" s="194">
        <v>45294</v>
      </c>
      <c r="B358" s="195" t="s">
        <v>120</v>
      </c>
      <c r="C358" s="195" t="s">
        <v>724</v>
      </c>
      <c r="D358" s="200">
        <v>1678.42</v>
      </c>
    </row>
    <row r="359" spans="1:4">
      <c r="A359" s="194">
        <v>45294</v>
      </c>
      <c r="B359" s="195" t="s">
        <v>131</v>
      </c>
      <c r="C359" s="195" t="s">
        <v>724</v>
      </c>
      <c r="D359" s="200">
        <v>375.11999999999989</v>
      </c>
    </row>
    <row r="360" spans="1:4">
      <c r="A360" s="194">
        <v>45294</v>
      </c>
      <c r="B360" s="195" t="s">
        <v>112</v>
      </c>
      <c r="C360" s="195" t="s">
        <v>724</v>
      </c>
      <c r="D360" s="200">
        <v>177.35000000000002</v>
      </c>
    </row>
    <row r="361" spans="1:4">
      <c r="A361" s="194">
        <v>45294</v>
      </c>
      <c r="B361" s="195" t="s">
        <v>118</v>
      </c>
      <c r="C361" s="195" t="s">
        <v>724</v>
      </c>
      <c r="D361" s="200">
        <v>519.62999999999988</v>
      </c>
    </row>
    <row r="362" spans="1:4">
      <c r="A362" s="194">
        <v>45294</v>
      </c>
      <c r="B362" s="195" t="s">
        <v>115</v>
      </c>
      <c r="C362" s="195" t="s">
        <v>724</v>
      </c>
      <c r="D362" s="200">
        <v>4.83</v>
      </c>
    </row>
    <row r="363" spans="1:4">
      <c r="A363" s="194">
        <v>45310</v>
      </c>
      <c r="B363" s="195" t="s">
        <v>121</v>
      </c>
      <c r="C363" s="195" t="s">
        <v>724</v>
      </c>
      <c r="D363" s="200">
        <v>730.04000000000053</v>
      </c>
    </row>
    <row r="364" spans="1:4">
      <c r="A364" s="194">
        <v>45310</v>
      </c>
      <c r="B364" s="195" t="s">
        <v>111</v>
      </c>
      <c r="C364" s="195" t="s">
        <v>724</v>
      </c>
      <c r="D364" s="200">
        <v>1909.95</v>
      </c>
    </row>
    <row r="365" spans="1:4">
      <c r="A365" s="194">
        <v>45310</v>
      </c>
      <c r="B365" s="195" t="s">
        <v>124</v>
      </c>
      <c r="C365" s="195" t="s">
        <v>724</v>
      </c>
      <c r="D365" s="200">
        <v>1908.29</v>
      </c>
    </row>
    <row r="366" spans="1:4">
      <c r="A366" s="194">
        <v>45310</v>
      </c>
      <c r="B366" s="195" t="s">
        <v>131</v>
      </c>
      <c r="C366" s="195" t="s">
        <v>724</v>
      </c>
      <c r="D366" s="200">
        <v>986.34000000000026</v>
      </c>
    </row>
    <row r="367" spans="1:4">
      <c r="A367" s="194">
        <v>45310</v>
      </c>
      <c r="B367" s="195" t="s">
        <v>112</v>
      </c>
      <c r="C367" s="195" t="s">
        <v>724</v>
      </c>
      <c r="D367" s="200">
        <v>1044.4099999999999</v>
      </c>
    </row>
    <row r="368" spans="1:4">
      <c r="A368" s="194">
        <v>45310</v>
      </c>
      <c r="B368" s="195" t="s">
        <v>118</v>
      </c>
      <c r="C368" s="195" t="s">
        <v>724</v>
      </c>
      <c r="D368" s="200">
        <v>1274.700000000001</v>
      </c>
    </row>
    <row r="369" spans="1:4">
      <c r="A369" s="194">
        <v>45316</v>
      </c>
      <c r="B369" s="195" t="s">
        <v>129</v>
      </c>
      <c r="C369" s="195" t="s">
        <v>724</v>
      </c>
      <c r="D369" s="200">
        <v>273.75</v>
      </c>
    </row>
    <row r="370" spans="1:4">
      <c r="A370" s="194">
        <v>45316</v>
      </c>
      <c r="B370" s="195" t="s">
        <v>119</v>
      </c>
      <c r="C370" s="195" t="s">
        <v>724</v>
      </c>
      <c r="D370" s="200">
        <v>78.099999999999994</v>
      </c>
    </row>
    <row r="371" spans="1:4">
      <c r="A371" s="194">
        <v>45316</v>
      </c>
      <c r="B371" s="195" t="s">
        <v>130</v>
      </c>
      <c r="C371" s="195" t="s">
        <v>724</v>
      </c>
      <c r="D371" s="200">
        <v>68.88</v>
      </c>
    </row>
    <row r="372" spans="1:4">
      <c r="A372" s="194">
        <v>45316</v>
      </c>
      <c r="B372" s="195" t="s">
        <v>119</v>
      </c>
      <c r="C372" s="195" t="s">
        <v>724</v>
      </c>
      <c r="D372" s="200">
        <v>14.79</v>
      </c>
    </row>
    <row r="373" spans="1:4">
      <c r="A373" s="194">
        <v>45316</v>
      </c>
      <c r="B373" s="195" t="s">
        <v>132</v>
      </c>
      <c r="C373" s="195" t="s">
        <v>724</v>
      </c>
      <c r="D373" s="200">
        <v>637.11</v>
      </c>
    </row>
    <row r="374" spans="1:4">
      <c r="A374" s="194">
        <v>45316</v>
      </c>
      <c r="B374" s="195" t="s">
        <v>114</v>
      </c>
      <c r="C374" s="195" t="s">
        <v>724</v>
      </c>
      <c r="D374" s="200">
        <v>427.48</v>
      </c>
    </row>
    <row r="375" spans="1:4">
      <c r="A375" s="194">
        <v>45316</v>
      </c>
      <c r="B375" s="195" t="s">
        <v>110</v>
      </c>
      <c r="C375" s="195" t="s">
        <v>724</v>
      </c>
      <c r="D375" s="200">
        <v>299.26</v>
      </c>
    </row>
    <row r="376" spans="1:4">
      <c r="A376" s="194">
        <v>45335</v>
      </c>
      <c r="B376" s="195" t="s">
        <v>121</v>
      </c>
      <c r="C376" s="195" t="s">
        <v>724</v>
      </c>
      <c r="D376" s="200">
        <v>341.03000000000009</v>
      </c>
    </row>
    <row r="377" spans="1:4">
      <c r="A377" s="194">
        <v>45335</v>
      </c>
      <c r="B377" s="195" t="s">
        <v>125</v>
      </c>
      <c r="C377" s="195" t="s">
        <v>724</v>
      </c>
      <c r="D377" s="200">
        <v>1899.2</v>
      </c>
    </row>
    <row r="378" spans="1:4">
      <c r="A378" s="194">
        <v>45335</v>
      </c>
      <c r="B378" s="195" t="s">
        <v>111</v>
      </c>
      <c r="C378" s="195" t="s">
        <v>724</v>
      </c>
      <c r="D378" s="200">
        <v>1909.95</v>
      </c>
    </row>
    <row r="379" spans="1:4">
      <c r="A379" s="194">
        <v>45335</v>
      </c>
      <c r="B379" s="195" t="s">
        <v>122</v>
      </c>
      <c r="C379" s="195" t="s">
        <v>724</v>
      </c>
      <c r="D379" s="200">
        <v>1361.36</v>
      </c>
    </row>
    <row r="380" spans="1:4">
      <c r="A380" s="194">
        <v>45335</v>
      </c>
      <c r="B380" s="195" t="s">
        <v>120</v>
      </c>
      <c r="C380" s="195" t="s">
        <v>724</v>
      </c>
      <c r="D380" s="200">
        <v>1678.42</v>
      </c>
    </row>
    <row r="381" spans="1:4">
      <c r="A381" s="194">
        <v>45335</v>
      </c>
      <c r="B381" s="195" t="s">
        <v>113</v>
      </c>
      <c r="C381" s="195" t="s">
        <v>724</v>
      </c>
      <c r="D381" s="200">
        <v>2684.28</v>
      </c>
    </row>
    <row r="382" spans="1:4">
      <c r="A382" s="194">
        <v>45335</v>
      </c>
      <c r="B382" s="195" t="s">
        <v>116</v>
      </c>
      <c r="C382" s="195" t="s">
        <v>724</v>
      </c>
      <c r="D382" s="200">
        <v>3032.15</v>
      </c>
    </row>
    <row r="383" spans="1:4">
      <c r="A383" s="194">
        <v>45335</v>
      </c>
      <c r="B383" s="195" t="s">
        <v>131</v>
      </c>
      <c r="C383" s="195" t="s">
        <v>724</v>
      </c>
      <c r="D383" s="200">
        <v>463.32999999999976</v>
      </c>
    </row>
    <row r="384" spans="1:4">
      <c r="A384" s="194">
        <v>45335</v>
      </c>
      <c r="B384" s="195" t="s">
        <v>112</v>
      </c>
      <c r="C384" s="195" t="s">
        <v>724</v>
      </c>
      <c r="D384" s="200">
        <v>173.4800000000001</v>
      </c>
    </row>
    <row r="385" spans="1:4">
      <c r="A385" s="194">
        <v>45335</v>
      </c>
      <c r="B385" s="195" t="s">
        <v>118</v>
      </c>
      <c r="C385" s="195" t="s">
        <v>724</v>
      </c>
      <c r="D385" s="200">
        <v>625.89</v>
      </c>
    </row>
    <row r="386" spans="1:4">
      <c r="A386" s="194">
        <v>45335</v>
      </c>
      <c r="B386" s="195" t="s">
        <v>109</v>
      </c>
      <c r="C386" s="195" t="s">
        <v>724</v>
      </c>
      <c r="D386" s="200">
        <v>1526.13</v>
      </c>
    </row>
    <row r="387" spans="1:4">
      <c r="A387" s="194">
        <v>45335</v>
      </c>
      <c r="B387" s="195" t="s">
        <v>115</v>
      </c>
      <c r="C387" s="195" t="s">
        <v>724</v>
      </c>
      <c r="D387" s="200">
        <v>4.83</v>
      </c>
    </row>
    <row r="388" spans="1:4">
      <c r="A388" s="194">
        <v>45364</v>
      </c>
      <c r="B388" s="195" t="s">
        <v>121</v>
      </c>
      <c r="C388" s="195" t="s">
        <v>724</v>
      </c>
      <c r="D388" s="200">
        <v>825.2299999999999</v>
      </c>
    </row>
    <row r="389" spans="1:4">
      <c r="A389" s="194">
        <v>45364</v>
      </c>
      <c r="B389" s="195" t="s">
        <v>124</v>
      </c>
      <c r="C389" s="195" t="s">
        <v>724</v>
      </c>
      <c r="D389" s="200">
        <v>1862.24</v>
      </c>
    </row>
    <row r="390" spans="1:4">
      <c r="A390" s="194">
        <v>45364</v>
      </c>
      <c r="B390" s="195" t="s">
        <v>131</v>
      </c>
      <c r="C390" s="195" t="s">
        <v>724</v>
      </c>
      <c r="D390" s="200">
        <v>1905.7799999999995</v>
      </c>
    </row>
    <row r="391" spans="1:4">
      <c r="A391" s="194">
        <v>45364</v>
      </c>
      <c r="B391" s="195" t="s">
        <v>112</v>
      </c>
      <c r="C391" s="195" t="s">
        <v>724</v>
      </c>
      <c r="D391" s="200">
        <v>336.50000000000006</v>
      </c>
    </row>
    <row r="392" spans="1:4">
      <c r="A392" s="194">
        <v>45364</v>
      </c>
      <c r="B392" s="195" t="s">
        <v>118</v>
      </c>
      <c r="C392" s="195" t="s">
        <v>724</v>
      </c>
      <c r="D392" s="200">
        <v>1014.5799999999997</v>
      </c>
    </row>
    <row r="393" spans="1:4">
      <c r="A393" s="194">
        <v>45364</v>
      </c>
      <c r="B393" s="195" t="s">
        <v>109</v>
      </c>
      <c r="C393" s="195" t="s">
        <v>724</v>
      </c>
      <c r="D393" s="200">
        <v>2289.9499999999998</v>
      </c>
    </row>
    <row r="394" spans="1:4">
      <c r="A394" s="194">
        <v>45364</v>
      </c>
      <c r="B394" s="195" t="s">
        <v>121</v>
      </c>
      <c r="C394" s="195" t="s">
        <v>724</v>
      </c>
      <c r="D394" s="200">
        <v>404.72</v>
      </c>
    </row>
    <row r="395" spans="1:4">
      <c r="A395" s="194">
        <v>45364</v>
      </c>
      <c r="B395" s="195" t="s">
        <v>125</v>
      </c>
      <c r="C395" s="195" t="s">
        <v>724</v>
      </c>
      <c r="D395" s="200">
        <v>1914.14</v>
      </c>
    </row>
    <row r="396" spans="1:4">
      <c r="A396" s="194">
        <v>45364</v>
      </c>
      <c r="B396" s="195" t="s">
        <v>111</v>
      </c>
      <c r="C396" s="195" t="s">
        <v>724</v>
      </c>
      <c r="D396" s="200">
        <v>1892.81</v>
      </c>
    </row>
    <row r="397" spans="1:4">
      <c r="A397" s="194">
        <v>45364</v>
      </c>
      <c r="B397" s="195" t="s">
        <v>122</v>
      </c>
      <c r="C397" s="195" t="s">
        <v>724</v>
      </c>
      <c r="D397" s="200">
        <v>1349.71</v>
      </c>
    </row>
    <row r="398" spans="1:4">
      <c r="A398" s="194">
        <v>45364</v>
      </c>
      <c r="B398" s="195" t="s">
        <v>120</v>
      </c>
      <c r="C398" s="195" t="s">
        <v>724</v>
      </c>
      <c r="D398" s="200">
        <v>1630.77</v>
      </c>
    </row>
    <row r="399" spans="1:4">
      <c r="A399" s="194">
        <v>45364</v>
      </c>
      <c r="B399" s="195" t="s">
        <v>113</v>
      </c>
      <c r="C399" s="195" t="s">
        <v>724</v>
      </c>
      <c r="D399" s="200">
        <v>1337.23</v>
      </c>
    </row>
    <row r="400" spans="1:4">
      <c r="A400" s="194">
        <v>45364</v>
      </c>
      <c r="B400" s="195" t="s">
        <v>116</v>
      </c>
      <c r="C400" s="195" t="s">
        <v>724</v>
      </c>
      <c r="D400" s="200">
        <v>1482.98</v>
      </c>
    </row>
    <row r="401" spans="1:4">
      <c r="A401" s="194">
        <v>45364</v>
      </c>
      <c r="B401" s="195" t="s">
        <v>131</v>
      </c>
      <c r="C401" s="195" t="s">
        <v>724</v>
      </c>
      <c r="D401" s="200">
        <v>538.13</v>
      </c>
    </row>
    <row r="402" spans="1:4">
      <c r="A402" s="194">
        <v>45364</v>
      </c>
      <c r="B402" s="195" t="s">
        <v>112</v>
      </c>
      <c r="C402" s="195" t="s">
        <v>724</v>
      </c>
      <c r="D402" s="200">
        <v>231.55000000000007</v>
      </c>
    </row>
    <row r="403" spans="1:4">
      <c r="A403" s="194">
        <v>45364</v>
      </c>
      <c r="B403" s="195" t="s">
        <v>118</v>
      </c>
      <c r="C403" s="195" t="s">
        <v>724</v>
      </c>
      <c r="D403" s="200">
        <v>647.01</v>
      </c>
    </row>
    <row r="404" spans="1:4">
      <c r="A404" s="194">
        <v>45364</v>
      </c>
      <c r="B404" s="195" t="s">
        <v>109</v>
      </c>
      <c r="C404" s="195" t="s">
        <v>724</v>
      </c>
      <c r="D404" s="200">
        <v>1889.68</v>
      </c>
    </row>
    <row r="405" spans="1:4">
      <c r="A405" s="194">
        <v>45364</v>
      </c>
      <c r="B405" s="195" t="s">
        <v>115</v>
      </c>
      <c r="C405" s="195" t="s">
        <v>724</v>
      </c>
      <c r="D405" s="200">
        <v>4.83</v>
      </c>
    </row>
    <row r="406" spans="1:4">
      <c r="A406" s="194">
        <v>45377</v>
      </c>
      <c r="B406" s="195" t="s">
        <v>129</v>
      </c>
      <c r="C406" s="195" t="s">
        <v>724</v>
      </c>
      <c r="D406" s="200">
        <v>273.75</v>
      </c>
    </row>
    <row r="407" spans="1:4">
      <c r="A407" s="194">
        <v>45377</v>
      </c>
      <c r="B407" s="195" t="s">
        <v>119</v>
      </c>
      <c r="C407" s="195" t="s">
        <v>724</v>
      </c>
      <c r="D407" s="200">
        <v>88.47</v>
      </c>
    </row>
    <row r="408" spans="1:4">
      <c r="A408" s="194">
        <v>45377</v>
      </c>
      <c r="B408" s="195" t="s">
        <v>130</v>
      </c>
      <c r="C408" s="195" t="s">
        <v>724</v>
      </c>
      <c r="D408" s="200">
        <v>68.88</v>
      </c>
    </row>
    <row r="409" spans="1:4">
      <c r="A409" s="194">
        <v>45377</v>
      </c>
      <c r="B409" s="195" t="s">
        <v>129</v>
      </c>
      <c r="C409" s="195" t="s">
        <v>724</v>
      </c>
      <c r="D409" s="200">
        <v>273.75</v>
      </c>
    </row>
    <row r="410" spans="1:4">
      <c r="A410" s="194">
        <v>45377</v>
      </c>
      <c r="B410" s="195" t="s">
        <v>119</v>
      </c>
      <c r="C410" s="195" t="s">
        <v>724</v>
      </c>
      <c r="D410" s="200">
        <v>10.68</v>
      </c>
    </row>
    <row r="411" spans="1:4">
      <c r="A411" s="194">
        <v>45377</v>
      </c>
      <c r="B411" s="195" t="s">
        <v>132</v>
      </c>
      <c r="C411" s="195" t="s">
        <v>724</v>
      </c>
      <c r="D411" s="200">
        <v>637.11</v>
      </c>
    </row>
    <row r="412" spans="1:4">
      <c r="A412" s="194">
        <v>45377</v>
      </c>
      <c r="B412" s="195" t="s">
        <v>114</v>
      </c>
      <c r="C412" s="195" t="s">
        <v>724</v>
      </c>
      <c r="D412" s="200">
        <v>427.48</v>
      </c>
    </row>
    <row r="413" spans="1:4">
      <c r="A413" s="194">
        <v>45377</v>
      </c>
      <c r="B413" s="195" t="s">
        <v>110</v>
      </c>
      <c r="C413" s="195" t="s">
        <v>724</v>
      </c>
      <c r="D413" s="200">
        <v>149.63</v>
      </c>
    </row>
    <row r="414" spans="1:4">
      <c r="A414" s="194">
        <v>45377</v>
      </c>
      <c r="B414" s="195" t="s">
        <v>119</v>
      </c>
      <c r="C414" s="195" t="s">
        <v>724</v>
      </c>
      <c r="D414" s="200">
        <v>76.419999999999987</v>
      </c>
    </row>
    <row r="415" spans="1:4">
      <c r="A415" s="194">
        <v>45380</v>
      </c>
      <c r="B415" s="195" t="s">
        <v>119</v>
      </c>
      <c r="C415" s="195" t="s">
        <v>724</v>
      </c>
      <c r="D415" s="200">
        <v>16.71</v>
      </c>
    </row>
    <row r="416" spans="1:4">
      <c r="A416" s="194">
        <v>45380</v>
      </c>
      <c r="B416" s="195" t="s">
        <v>114</v>
      </c>
      <c r="C416" s="195" t="s">
        <v>724</v>
      </c>
      <c r="D416" s="200">
        <v>425.18</v>
      </c>
    </row>
    <row r="417" spans="1:4">
      <c r="A417" s="194">
        <v>45387</v>
      </c>
      <c r="B417" s="195" t="s">
        <v>121</v>
      </c>
      <c r="C417" s="195" t="s">
        <v>724</v>
      </c>
      <c r="D417" s="200">
        <v>738.64000000000033</v>
      </c>
    </row>
    <row r="418" spans="1:4">
      <c r="A418" s="194">
        <v>45387</v>
      </c>
      <c r="B418" s="195" t="s">
        <v>131</v>
      </c>
      <c r="C418" s="195" t="s">
        <v>724</v>
      </c>
      <c r="D418" s="200">
        <v>945.36</v>
      </c>
    </row>
    <row r="419" spans="1:4">
      <c r="A419" s="194">
        <v>45387</v>
      </c>
      <c r="B419" s="195" t="s">
        <v>112</v>
      </c>
      <c r="C419" s="195" t="s">
        <v>724</v>
      </c>
      <c r="D419" s="200">
        <v>87.63</v>
      </c>
    </row>
    <row r="420" spans="1:4">
      <c r="A420" s="194">
        <v>45387</v>
      </c>
      <c r="B420" s="195" t="s">
        <v>118</v>
      </c>
      <c r="C420" s="195" t="s">
        <v>724</v>
      </c>
      <c r="D420" s="200">
        <v>842.98999999999978</v>
      </c>
    </row>
    <row r="421" spans="1:4">
      <c r="A421" s="194">
        <v>45391</v>
      </c>
      <c r="B421" s="195" t="s">
        <v>129</v>
      </c>
      <c r="C421" s="195" t="s">
        <v>724</v>
      </c>
      <c r="D421" s="200">
        <v>277.15000000000003</v>
      </c>
    </row>
    <row r="422" spans="1:4">
      <c r="A422" s="194">
        <v>45391</v>
      </c>
      <c r="B422" s="195" t="s">
        <v>119</v>
      </c>
      <c r="C422" s="195" t="s">
        <v>724</v>
      </c>
      <c r="D422" s="200">
        <v>72.31</v>
      </c>
    </row>
    <row r="423" spans="1:4">
      <c r="A423" s="194">
        <v>45401</v>
      </c>
      <c r="B423" s="195" t="s">
        <v>129</v>
      </c>
      <c r="C423" s="195" t="s">
        <v>724</v>
      </c>
      <c r="D423" s="200">
        <v>273.41000000000003</v>
      </c>
    </row>
    <row r="424" spans="1:4">
      <c r="A424" s="194">
        <v>45401</v>
      </c>
      <c r="B424" s="195" t="s">
        <v>119</v>
      </c>
      <c r="C424" s="195" t="s">
        <v>724</v>
      </c>
      <c r="D424" s="200">
        <v>47.879999999999995</v>
      </c>
    </row>
    <row r="425" spans="1:4">
      <c r="A425" s="194">
        <v>45401</v>
      </c>
      <c r="B425" s="195" t="s">
        <v>132</v>
      </c>
      <c r="C425" s="195" t="s">
        <v>724</v>
      </c>
      <c r="D425" s="200">
        <v>637.11</v>
      </c>
    </row>
    <row r="426" spans="1:4">
      <c r="A426" s="194">
        <v>45401</v>
      </c>
      <c r="B426" s="195" t="s">
        <v>114</v>
      </c>
      <c r="C426" s="195" t="s">
        <v>724</v>
      </c>
      <c r="D426" s="200">
        <v>426.29</v>
      </c>
    </row>
    <row r="427" spans="1:4">
      <c r="A427" s="194">
        <v>45401</v>
      </c>
      <c r="B427" s="195" t="s">
        <v>110</v>
      </c>
      <c r="C427" s="195" t="s">
        <v>724</v>
      </c>
      <c r="D427" s="200">
        <v>299.26</v>
      </c>
    </row>
    <row r="428" spans="1:4">
      <c r="A428" s="194">
        <v>45415</v>
      </c>
      <c r="B428" s="195" t="s">
        <v>121</v>
      </c>
      <c r="C428" s="195" t="s">
        <v>724</v>
      </c>
      <c r="D428" s="200">
        <v>394.64999999999992</v>
      </c>
    </row>
    <row r="429" spans="1:4">
      <c r="A429" s="194">
        <v>45415</v>
      </c>
      <c r="B429" s="195" t="s">
        <v>125</v>
      </c>
      <c r="C429" s="195" t="s">
        <v>724</v>
      </c>
      <c r="D429" s="200">
        <v>1921.89</v>
      </c>
    </row>
    <row r="430" spans="1:4">
      <c r="A430" s="194">
        <v>45415</v>
      </c>
      <c r="B430" s="195" t="s">
        <v>122</v>
      </c>
      <c r="C430" s="195" t="s">
        <v>724</v>
      </c>
      <c r="D430" s="200">
        <v>1354.22</v>
      </c>
    </row>
    <row r="431" spans="1:4">
      <c r="A431" s="194">
        <v>45415</v>
      </c>
      <c r="B431" s="195" t="s">
        <v>120</v>
      </c>
      <c r="C431" s="195" t="s">
        <v>724</v>
      </c>
      <c r="D431" s="200">
        <v>1658.03</v>
      </c>
    </row>
    <row r="432" spans="1:4">
      <c r="A432" s="194">
        <v>45415</v>
      </c>
      <c r="B432" s="195" t="s">
        <v>113</v>
      </c>
      <c r="C432" s="195" t="s">
        <v>724</v>
      </c>
      <c r="D432" s="200">
        <v>1337.23</v>
      </c>
    </row>
    <row r="433" spans="1:4">
      <c r="A433" s="194">
        <v>45415</v>
      </c>
      <c r="B433" s="195" t="s">
        <v>124</v>
      </c>
      <c r="C433" s="195" t="s">
        <v>724</v>
      </c>
      <c r="D433" s="200">
        <v>1850.64</v>
      </c>
    </row>
    <row r="434" spans="1:4">
      <c r="A434" s="194">
        <v>45415</v>
      </c>
      <c r="B434" s="195" t="s">
        <v>131</v>
      </c>
      <c r="C434" s="195" t="s">
        <v>724</v>
      </c>
      <c r="D434" s="200">
        <v>206.24999999999997</v>
      </c>
    </row>
    <row r="435" spans="1:4">
      <c r="A435" s="194">
        <v>45415</v>
      </c>
      <c r="B435" s="195" t="s">
        <v>112</v>
      </c>
      <c r="C435" s="195" t="s">
        <v>724</v>
      </c>
      <c r="D435" s="200">
        <v>2067.0099999999998</v>
      </c>
    </row>
    <row r="436" spans="1:4">
      <c r="A436" s="194">
        <v>45415</v>
      </c>
      <c r="B436" s="195" t="s">
        <v>118</v>
      </c>
      <c r="C436" s="195" t="s">
        <v>724</v>
      </c>
      <c r="D436" s="200">
        <v>1355.1700000000003</v>
      </c>
    </row>
    <row r="437" spans="1:4">
      <c r="A437" s="194">
        <v>45415</v>
      </c>
      <c r="B437" s="195" t="s">
        <v>115</v>
      </c>
      <c r="C437" s="195" t="s">
        <v>724</v>
      </c>
      <c r="D437" s="200">
        <v>4.83</v>
      </c>
    </row>
    <row r="438" spans="1:4">
      <c r="A438" s="194">
        <v>45415</v>
      </c>
      <c r="B438" s="195" t="s">
        <v>119</v>
      </c>
      <c r="C438" s="195" t="s">
        <v>724</v>
      </c>
      <c r="D438" s="200">
        <v>84.13</v>
      </c>
    </row>
    <row r="439" spans="1:4">
      <c r="A439" s="194">
        <v>45416</v>
      </c>
      <c r="B439" s="195" t="s">
        <v>121</v>
      </c>
      <c r="C439" s="195" t="s">
        <v>724</v>
      </c>
      <c r="D439" s="200">
        <v>795.83000000000038</v>
      </c>
    </row>
    <row r="440" spans="1:4">
      <c r="A440" s="194">
        <v>45416</v>
      </c>
      <c r="B440" s="195" t="s">
        <v>131</v>
      </c>
      <c r="C440" s="195" t="s">
        <v>724</v>
      </c>
      <c r="D440" s="200">
        <v>2201.86</v>
      </c>
    </row>
    <row r="441" spans="1:4">
      <c r="A441" s="194">
        <v>45416</v>
      </c>
      <c r="B441" s="195" t="s">
        <v>112</v>
      </c>
      <c r="C441" s="195" t="s">
        <v>724</v>
      </c>
      <c r="D441" s="200">
        <v>1143.7000000000003</v>
      </c>
    </row>
    <row r="442" spans="1:4">
      <c r="A442" s="194">
        <v>45416</v>
      </c>
      <c r="B442" s="195" t="s">
        <v>118</v>
      </c>
      <c r="C442" s="195" t="s">
        <v>724</v>
      </c>
      <c r="D442" s="200">
        <v>1284.7700000000009</v>
      </c>
    </row>
    <row r="443" spans="1:4">
      <c r="A443" s="194">
        <v>45416</v>
      </c>
      <c r="B443" s="195" t="s">
        <v>121</v>
      </c>
      <c r="C443" s="195" t="s">
        <v>724</v>
      </c>
      <c r="D443" s="200">
        <v>389.29</v>
      </c>
    </row>
    <row r="444" spans="1:4">
      <c r="A444" s="194">
        <v>45416</v>
      </c>
      <c r="B444" s="195" t="s">
        <v>125</v>
      </c>
      <c r="C444" s="195" t="s">
        <v>724</v>
      </c>
      <c r="D444" s="200">
        <v>1921.88</v>
      </c>
    </row>
    <row r="445" spans="1:4">
      <c r="A445" s="194">
        <v>45416</v>
      </c>
      <c r="B445" s="195" t="s">
        <v>111</v>
      </c>
      <c r="C445" s="195" t="s">
        <v>724</v>
      </c>
      <c r="D445" s="200">
        <v>1901.08</v>
      </c>
    </row>
    <row r="446" spans="1:4">
      <c r="A446" s="194">
        <v>45416</v>
      </c>
      <c r="B446" s="195" t="s">
        <v>120</v>
      </c>
      <c r="C446" s="195" t="s">
        <v>724</v>
      </c>
      <c r="D446" s="200">
        <v>1658.03</v>
      </c>
    </row>
    <row r="447" spans="1:4">
      <c r="A447" s="194">
        <v>45416</v>
      </c>
      <c r="B447" s="195" t="s">
        <v>113</v>
      </c>
      <c r="C447" s="195" t="s">
        <v>724</v>
      </c>
      <c r="D447" s="200">
        <v>1337.23</v>
      </c>
    </row>
    <row r="448" spans="1:4">
      <c r="A448" s="194">
        <v>45416</v>
      </c>
      <c r="B448" s="195" t="s">
        <v>116</v>
      </c>
      <c r="C448" s="195" t="s">
        <v>724</v>
      </c>
      <c r="D448" s="200">
        <v>1128.21</v>
      </c>
    </row>
    <row r="449" spans="1:4">
      <c r="A449" s="194">
        <v>45416</v>
      </c>
      <c r="B449" s="195" t="s">
        <v>124</v>
      </c>
      <c r="C449" s="195" t="s">
        <v>724</v>
      </c>
      <c r="D449" s="200">
        <v>1873.37</v>
      </c>
    </row>
    <row r="450" spans="1:4">
      <c r="A450" s="194">
        <v>45416</v>
      </c>
      <c r="B450" s="195" t="s">
        <v>131</v>
      </c>
      <c r="C450" s="195" t="s">
        <v>724</v>
      </c>
      <c r="D450" s="200">
        <v>429.84</v>
      </c>
    </row>
    <row r="451" spans="1:4">
      <c r="A451" s="194">
        <v>45416</v>
      </c>
      <c r="B451" s="195" t="s">
        <v>112</v>
      </c>
      <c r="C451" s="195" t="s">
        <v>724</v>
      </c>
      <c r="D451" s="200">
        <v>511.22</v>
      </c>
    </row>
    <row r="452" spans="1:4">
      <c r="A452" s="194">
        <v>45416</v>
      </c>
      <c r="B452" s="195" t="s">
        <v>118</v>
      </c>
      <c r="C452" s="195" t="s">
        <v>724</v>
      </c>
      <c r="D452" s="200">
        <v>740.85</v>
      </c>
    </row>
    <row r="453" spans="1:4">
      <c r="A453" s="194">
        <v>45416</v>
      </c>
      <c r="B453" s="195" t="s">
        <v>109</v>
      </c>
      <c r="C453" s="195" t="s">
        <v>724</v>
      </c>
      <c r="D453" s="200">
        <v>1898.02</v>
      </c>
    </row>
    <row r="454" spans="1:4">
      <c r="A454" s="194">
        <v>45416</v>
      </c>
      <c r="B454" s="195" t="s">
        <v>115</v>
      </c>
      <c r="C454" s="195" t="s">
        <v>724</v>
      </c>
      <c r="D454" s="200">
        <v>4.83</v>
      </c>
    </row>
    <row r="455" spans="1:4">
      <c r="A455" s="194">
        <v>45426</v>
      </c>
      <c r="B455" s="195" t="s">
        <v>129</v>
      </c>
      <c r="C455" s="195" t="s">
        <v>724</v>
      </c>
      <c r="D455" s="200">
        <v>273.41000000000003</v>
      </c>
    </row>
    <row r="456" spans="1:4">
      <c r="A456" s="194">
        <v>45426</v>
      </c>
      <c r="B456" s="195" t="s">
        <v>119</v>
      </c>
      <c r="C456" s="195" t="s">
        <v>724</v>
      </c>
      <c r="D456" s="200">
        <v>37.770000000000003</v>
      </c>
    </row>
    <row r="457" spans="1:4">
      <c r="A457" s="194">
        <v>45442</v>
      </c>
      <c r="B457" s="195" t="s">
        <v>119</v>
      </c>
      <c r="C457" s="195" t="s">
        <v>724</v>
      </c>
      <c r="D457" s="200">
        <v>58.1</v>
      </c>
    </row>
    <row r="458" spans="1:4">
      <c r="A458" s="194">
        <v>45442</v>
      </c>
      <c r="B458" s="195" t="s">
        <v>132</v>
      </c>
      <c r="C458" s="195" t="s">
        <v>724</v>
      </c>
      <c r="D458" s="200">
        <v>636.51</v>
      </c>
    </row>
    <row r="459" spans="1:4">
      <c r="A459" s="194">
        <v>45442</v>
      </c>
      <c r="B459" s="195" t="s">
        <v>114</v>
      </c>
      <c r="C459" s="195" t="s">
        <v>724</v>
      </c>
      <c r="D459" s="200">
        <v>423.91</v>
      </c>
    </row>
    <row r="460" spans="1:4">
      <c r="A460" s="194">
        <v>45442</v>
      </c>
      <c r="B460" s="195" t="s">
        <v>130</v>
      </c>
      <c r="C460" s="195" t="s">
        <v>724</v>
      </c>
      <c r="D460" s="200">
        <v>66.5</v>
      </c>
    </row>
    <row r="461" spans="1:4">
      <c r="A461" s="194">
        <v>45443</v>
      </c>
      <c r="B461" s="195" t="s">
        <v>121</v>
      </c>
      <c r="C461" s="195" t="s">
        <v>724</v>
      </c>
      <c r="D461" s="200">
        <v>752.74</v>
      </c>
    </row>
    <row r="462" spans="1:4">
      <c r="A462" s="194">
        <v>45443</v>
      </c>
      <c r="B462" s="195" t="s">
        <v>111</v>
      </c>
      <c r="C462" s="195" t="s">
        <v>724</v>
      </c>
      <c r="D462" s="200">
        <v>1902.94</v>
      </c>
    </row>
    <row r="463" spans="1:4">
      <c r="A463" s="194">
        <v>45443</v>
      </c>
      <c r="B463" s="195" t="s">
        <v>122</v>
      </c>
      <c r="C463" s="195" t="s">
        <v>724</v>
      </c>
      <c r="D463" s="200">
        <v>1344.6</v>
      </c>
    </row>
    <row r="464" spans="1:4">
      <c r="A464" s="194">
        <v>45443</v>
      </c>
      <c r="B464" s="195" t="s">
        <v>116</v>
      </c>
      <c r="C464" s="195" t="s">
        <v>724</v>
      </c>
      <c r="D464" s="200">
        <v>1836.07</v>
      </c>
    </row>
    <row r="465" spans="1:4">
      <c r="A465" s="194">
        <v>45443</v>
      </c>
      <c r="B465" s="195" t="s">
        <v>131</v>
      </c>
      <c r="C465" s="195" t="s">
        <v>724</v>
      </c>
      <c r="D465" s="200">
        <v>1329.13</v>
      </c>
    </row>
    <row r="466" spans="1:4">
      <c r="A466" s="194">
        <v>45443</v>
      </c>
      <c r="B466" s="195" t="s">
        <v>112</v>
      </c>
      <c r="C466" s="195" t="s">
        <v>724</v>
      </c>
      <c r="D466" s="200">
        <v>1112.3499999999999</v>
      </c>
    </row>
    <row r="467" spans="1:4">
      <c r="A467" s="194">
        <v>45443</v>
      </c>
      <c r="B467" s="195" t="s">
        <v>118</v>
      </c>
      <c r="C467" s="195" t="s">
        <v>724</v>
      </c>
      <c r="D467" s="200">
        <v>1318.49</v>
      </c>
    </row>
    <row r="468" spans="1:4">
      <c r="A468" s="194">
        <v>45443</v>
      </c>
      <c r="B468" s="195" t="s">
        <v>109</v>
      </c>
      <c r="C468" s="195" t="s">
        <v>724</v>
      </c>
      <c r="D468" s="200">
        <v>1897.57</v>
      </c>
    </row>
    <row r="469" spans="1:4">
      <c r="A469" s="194">
        <v>45462</v>
      </c>
      <c r="B469" s="195" t="s">
        <v>129</v>
      </c>
      <c r="C469" s="195" t="s">
        <v>724</v>
      </c>
      <c r="D469" s="200">
        <v>273.41000000000003</v>
      </c>
    </row>
    <row r="470" spans="1:4">
      <c r="A470" s="194">
        <v>45462</v>
      </c>
      <c r="B470" s="195" t="s">
        <v>119</v>
      </c>
      <c r="C470" s="195" t="s">
        <v>724</v>
      </c>
      <c r="D470" s="200">
        <v>15.02</v>
      </c>
    </row>
    <row r="471" spans="1:4">
      <c r="A471" s="194">
        <v>45470</v>
      </c>
      <c r="B471" s="195" t="s">
        <v>121</v>
      </c>
      <c r="C471" s="195" t="s">
        <v>724</v>
      </c>
      <c r="D471" s="196">
        <v>505.48</v>
      </c>
    </row>
    <row r="472" spans="1:4">
      <c r="A472" s="194">
        <v>45470</v>
      </c>
      <c r="B472" s="195" t="s">
        <v>125</v>
      </c>
      <c r="C472" s="195" t="s">
        <v>724</v>
      </c>
      <c r="D472" s="196">
        <v>1912.59</v>
      </c>
    </row>
    <row r="473" spans="1:4">
      <c r="A473" s="194">
        <v>45470</v>
      </c>
      <c r="B473" s="195" t="s">
        <v>120</v>
      </c>
      <c r="C473" s="195" t="s">
        <v>724</v>
      </c>
      <c r="D473" s="196">
        <v>1568.79</v>
      </c>
    </row>
    <row r="474" spans="1:4">
      <c r="A474" s="194">
        <v>45470</v>
      </c>
      <c r="B474" s="195" t="s">
        <v>124</v>
      </c>
      <c r="C474" s="195" t="s">
        <v>724</v>
      </c>
      <c r="D474" s="196">
        <v>1218.98</v>
      </c>
    </row>
    <row r="475" spans="1:4">
      <c r="A475" s="194">
        <v>45470</v>
      </c>
      <c r="B475" s="195" t="s">
        <v>131</v>
      </c>
      <c r="C475" s="195" t="s">
        <v>724</v>
      </c>
      <c r="D475" s="196">
        <v>351.65</v>
      </c>
    </row>
    <row r="476" spans="1:4">
      <c r="A476" s="194">
        <v>45470</v>
      </c>
      <c r="B476" s="195" t="s">
        <v>112</v>
      </c>
      <c r="C476" s="195" t="s">
        <v>724</v>
      </c>
      <c r="D476" s="196">
        <v>180.72</v>
      </c>
    </row>
    <row r="477" spans="1:4">
      <c r="A477" s="194">
        <v>45470</v>
      </c>
      <c r="B477" s="195" t="s">
        <v>118</v>
      </c>
      <c r="C477" s="195" t="s">
        <v>724</v>
      </c>
      <c r="D477" s="196">
        <v>480.04</v>
      </c>
    </row>
    <row r="478" spans="1:4">
      <c r="A478" s="194">
        <v>45470</v>
      </c>
      <c r="B478" s="195" t="s">
        <v>115</v>
      </c>
      <c r="C478" s="195" t="s">
        <v>724</v>
      </c>
      <c r="D478" s="196">
        <v>4.83</v>
      </c>
    </row>
    <row r="479" spans="1:4">
      <c r="A479" s="194">
        <v>45476</v>
      </c>
      <c r="B479" s="195" t="s">
        <v>121</v>
      </c>
      <c r="C479" s="195" t="s">
        <v>724</v>
      </c>
      <c r="D479" s="200">
        <v>266.29000000000002</v>
      </c>
    </row>
    <row r="480" spans="1:4">
      <c r="A480" s="194">
        <v>45476</v>
      </c>
      <c r="B480" s="195" t="s">
        <v>125</v>
      </c>
      <c r="C480" s="195" t="s">
        <v>724</v>
      </c>
      <c r="D480" s="200">
        <v>1912.51</v>
      </c>
    </row>
    <row r="481" spans="1:4">
      <c r="A481" s="194">
        <v>45476</v>
      </c>
      <c r="B481" s="195" t="s">
        <v>120</v>
      </c>
      <c r="C481" s="195" t="s">
        <v>724</v>
      </c>
      <c r="D481" s="200">
        <v>1593.06</v>
      </c>
    </row>
    <row r="482" spans="1:4">
      <c r="A482" s="194">
        <v>45476</v>
      </c>
      <c r="B482" s="195" t="s">
        <v>113</v>
      </c>
      <c r="C482" s="195" t="s">
        <v>724</v>
      </c>
      <c r="D482" s="200">
        <v>1310.5899999999999</v>
      </c>
    </row>
    <row r="483" spans="1:4">
      <c r="A483" s="194">
        <v>45476</v>
      </c>
      <c r="B483" s="195" t="s">
        <v>124</v>
      </c>
      <c r="C483" s="195" t="s">
        <v>724</v>
      </c>
      <c r="D483" s="200">
        <v>8.11</v>
      </c>
    </row>
    <row r="484" spans="1:4">
      <c r="A484" s="194">
        <v>45476</v>
      </c>
      <c r="B484" s="195" t="s">
        <v>131</v>
      </c>
      <c r="C484" s="195" t="s">
        <v>724</v>
      </c>
      <c r="D484" s="200">
        <v>604.16</v>
      </c>
    </row>
    <row r="485" spans="1:4">
      <c r="A485" s="194">
        <v>45476</v>
      </c>
      <c r="B485" s="195" t="s">
        <v>112</v>
      </c>
      <c r="C485" s="195" t="s">
        <v>724</v>
      </c>
      <c r="D485" s="200">
        <v>440.63</v>
      </c>
    </row>
    <row r="486" spans="1:4">
      <c r="A486" s="194">
        <v>45476</v>
      </c>
      <c r="B486" s="195" t="s">
        <v>118</v>
      </c>
      <c r="C486" s="195" t="s">
        <v>724</v>
      </c>
      <c r="D486" s="200">
        <v>578.41999999999996</v>
      </c>
    </row>
    <row r="487" spans="1:4">
      <c r="A487" s="194">
        <v>45476</v>
      </c>
      <c r="B487" s="195" t="s">
        <v>109</v>
      </c>
      <c r="C487" s="195" t="s">
        <v>724</v>
      </c>
      <c r="D487" s="200">
        <v>1127.9100000000001</v>
      </c>
    </row>
    <row r="488" spans="1:4">
      <c r="A488" s="194">
        <v>45476</v>
      </c>
      <c r="B488" s="195" t="s">
        <v>115</v>
      </c>
      <c r="C488" s="195" t="s">
        <v>724</v>
      </c>
      <c r="D488" s="200">
        <v>4.83</v>
      </c>
    </row>
    <row r="489" spans="1:4">
      <c r="A489" s="194">
        <v>45482</v>
      </c>
      <c r="B489" s="195" t="s">
        <v>119</v>
      </c>
      <c r="C489" s="195" t="s">
        <v>724</v>
      </c>
      <c r="D489" s="200">
        <v>130.78</v>
      </c>
    </row>
    <row r="490" spans="1:4">
      <c r="A490" s="194">
        <v>45482</v>
      </c>
      <c r="B490" s="195" t="s">
        <v>132</v>
      </c>
      <c r="C490" s="195" t="s">
        <v>724</v>
      </c>
      <c r="D490" s="200">
        <v>1273.32</v>
      </c>
    </row>
    <row r="491" spans="1:4">
      <c r="A491" s="194">
        <v>45482</v>
      </c>
      <c r="B491" s="195" t="s">
        <v>114</v>
      </c>
      <c r="C491" s="195" t="s">
        <v>724</v>
      </c>
      <c r="D491" s="200">
        <v>423.91</v>
      </c>
    </row>
    <row r="492" spans="1:4">
      <c r="A492" s="194">
        <v>45482</v>
      </c>
      <c r="B492" s="195" t="s">
        <v>110</v>
      </c>
      <c r="C492" s="195" t="s">
        <v>724</v>
      </c>
      <c r="D492" s="200">
        <v>299.26</v>
      </c>
    </row>
    <row r="493" spans="1:4">
      <c r="A493" s="194">
        <v>45485</v>
      </c>
      <c r="B493" s="195" t="s">
        <v>129</v>
      </c>
      <c r="C493" s="195" t="s">
        <v>724</v>
      </c>
      <c r="D493" s="200">
        <v>273.41000000000003</v>
      </c>
    </row>
    <row r="494" spans="1:4">
      <c r="A494" s="194">
        <v>45485</v>
      </c>
      <c r="B494" s="195" t="s">
        <v>119</v>
      </c>
      <c r="C494" s="195" t="s">
        <v>724</v>
      </c>
      <c r="D494" s="200">
        <v>19.510000000000002</v>
      </c>
    </row>
    <row r="495" spans="1:4">
      <c r="A495" s="194">
        <v>45485</v>
      </c>
      <c r="B495" s="195" t="s">
        <v>130</v>
      </c>
      <c r="C495" s="195" t="s">
        <v>724</v>
      </c>
      <c r="D495" s="200">
        <v>31.45</v>
      </c>
    </row>
    <row r="496" spans="1:4">
      <c r="A496" s="194">
        <v>45492</v>
      </c>
      <c r="B496" s="195" t="s">
        <v>121</v>
      </c>
      <c r="C496" s="195" t="s">
        <v>724</v>
      </c>
      <c r="D496" s="200">
        <v>849.71</v>
      </c>
    </row>
    <row r="497" spans="1:4">
      <c r="A497" s="194">
        <v>45492</v>
      </c>
      <c r="B497" s="195" t="s">
        <v>111</v>
      </c>
      <c r="C497" s="195" t="s">
        <v>724</v>
      </c>
      <c r="D497" s="200">
        <v>1650.67</v>
      </c>
    </row>
    <row r="498" spans="1:4">
      <c r="A498" s="194">
        <v>45492</v>
      </c>
      <c r="B498" s="195" t="s">
        <v>122</v>
      </c>
      <c r="C498" s="195" t="s">
        <v>724</v>
      </c>
      <c r="D498" s="200">
        <v>1316.76</v>
      </c>
    </row>
    <row r="499" spans="1:4">
      <c r="A499" s="194">
        <v>45492</v>
      </c>
      <c r="B499" s="195" t="s">
        <v>113</v>
      </c>
      <c r="C499" s="195" t="s">
        <v>724</v>
      </c>
      <c r="D499" s="200">
        <v>1291.58</v>
      </c>
    </row>
    <row r="500" spans="1:4">
      <c r="A500" s="194">
        <v>45492</v>
      </c>
      <c r="B500" s="195" t="s">
        <v>116</v>
      </c>
      <c r="C500" s="195" t="s">
        <v>724</v>
      </c>
      <c r="D500" s="200">
        <v>1403.91</v>
      </c>
    </row>
    <row r="501" spans="1:4">
      <c r="A501" s="194">
        <v>45492</v>
      </c>
      <c r="B501" s="195" t="s">
        <v>131</v>
      </c>
      <c r="C501" s="195" t="s">
        <v>724</v>
      </c>
      <c r="D501" s="200">
        <v>1056.3800000000001</v>
      </c>
    </row>
    <row r="502" spans="1:4">
      <c r="A502" s="194">
        <v>45492</v>
      </c>
      <c r="B502" s="195" t="s">
        <v>112</v>
      </c>
      <c r="C502" s="195" t="s">
        <v>724</v>
      </c>
      <c r="D502" s="200">
        <v>453.36</v>
      </c>
    </row>
    <row r="503" spans="1:4">
      <c r="A503" s="194">
        <v>45492</v>
      </c>
      <c r="B503" s="195" t="s">
        <v>118</v>
      </c>
      <c r="C503" s="195" t="s">
        <v>724</v>
      </c>
      <c r="D503" s="200">
        <v>909.31999999999994</v>
      </c>
    </row>
    <row r="504" spans="1:4">
      <c r="A504" s="194">
        <v>45493</v>
      </c>
      <c r="B504" s="195" t="s">
        <v>121</v>
      </c>
      <c r="C504" s="195" t="s">
        <v>724</v>
      </c>
      <c r="D504" s="200">
        <v>799.95</v>
      </c>
    </row>
    <row r="505" spans="1:4">
      <c r="A505" s="194">
        <v>45493</v>
      </c>
      <c r="B505" s="195" t="s">
        <v>111</v>
      </c>
      <c r="C505" s="195" t="s">
        <v>724</v>
      </c>
      <c r="D505" s="200">
        <v>1752.09</v>
      </c>
    </row>
    <row r="506" spans="1:4">
      <c r="A506" s="194">
        <v>45493</v>
      </c>
      <c r="B506" s="195" t="s">
        <v>122</v>
      </c>
      <c r="C506" s="195" t="s">
        <v>724</v>
      </c>
      <c r="D506" s="200">
        <v>2644.15</v>
      </c>
    </row>
    <row r="507" spans="1:4">
      <c r="A507" s="194">
        <v>45493</v>
      </c>
      <c r="B507" s="195" t="s">
        <v>113</v>
      </c>
      <c r="C507" s="195" t="s">
        <v>724</v>
      </c>
      <c r="D507" s="200">
        <v>1310.5899999999999</v>
      </c>
    </row>
    <row r="508" spans="1:4">
      <c r="A508" s="194">
        <v>45493</v>
      </c>
      <c r="B508" s="195" t="s">
        <v>116</v>
      </c>
      <c r="C508" s="195" t="s">
        <v>724</v>
      </c>
      <c r="D508" s="200">
        <v>1441.73</v>
      </c>
    </row>
    <row r="509" spans="1:4">
      <c r="A509" s="194">
        <v>45493</v>
      </c>
      <c r="B509" s="195" t="s">
        <v>124</v>
      </c>
      <c r="C509" s="195" t="s">
        <v>724</v>
      </c>
      <c r="D509" s="200">
        <v>3689.64</v>
      </c>
    </row>
    <row r="510" spans="1:4">
      <c r="A510" s="194">
        <v>45493</v>
      </c>
      <c r="B510" s="195" t="s">
        <v>131</v>
      </c>
      <c r="C510" s="195" t="s">
        <v>724</v>
      </c>
      <c r="D510" s="200">
        <v>1482.81</v>
      </c>
    </row>
    <row r="511" spans="1:4">
      <c r="A511" s="194">
        <v>45493</v>
      </c>
      <c r="B511" s="195" t="s">
        <v>112</v>
      </c>
      <c r="C511" s="195" t="s">
        <v>724</v>
      </c>
      <c r="D511" s="200">
        <v>154.21</v>
      </c>
    </row>
    <row r="512" spans="1:4">
      <c r="A512" s="194">
        <v>45493</v>
      </c>
      <c r="B512" s="195" t="s">
        <v>118</v>
      </c>
      <c r="C512" s="195" t="s">
        <v>724</v>
      </c>
      <c r="D512" s="200">
        <v>1175.0899999999999</v>
      </c>
    </row>
    <row r="513" spans="1:4">
      <c r="A513" s="194">
        <v>45493</v>
      </c>
      <c r="B513" s="195" t="s">
        <v>109</v>
      </c>
      <c r="C513" s="195" t="s">
        <v>724</v>
      </c>
      <c r="D513" s="200">
        <v>1719.63</v>
      </c>
    </row>
    <row r="514" spans="1:4">
      <c r="A514" s="194">
        <v>45524</v>
      </c>
      <c r="B514" s="195" t="s">
        <v>121</v>
      </c>
      <c r="C514" s="195" t="s">
        <v>724</v>
      </c>
      <c r="D514" s="200">
        <v>457.47</v>
      </c>
    </row>
    <row r="515" spans="1:4">
      <c r="A515" s="194">
        <v>45524</v>
      </c>
      <c r="B515" s="195" t="s">
        <v>125</v>
      </c>
      <c r="C515" s="195" t="s">
        <v>724</v>
      </c>
      <c r="D515" s="200">
        <v>1912.51</v>
      </c>
    </row>
    <row r="516" spans="1:4">
      <c r="A516" s="194">
        <v>45524</v>
      </c>
      <c r="B516" s="195" t="s">
        <v>120</v>
      </c>
      <c r="C516" s="195" t="s">
        <v>724</v>
      </c>
      <c r="D516" s="200">
        <v>1593.06</v>
      </c>
    </row>
    <row r="517" spans="1:4">
      <c r="A517" s="194">
        <v>45524</v>
      </c>
      <c r="B517" s="195" t="s">
        <v>131</v>
      </c>
      <c r="C517" s="195" t="s">
        <v>724</v>
      </c>
      <c r="D517" s="200">
        <v>865.93</v>
      </c>
    </row>
    <row r="518" spans="1:4">
      <c r="A518" s="194">
        <v>45524</v>
      </c>
      <c r="B518" s="195" t="s">
        <v>112</v>
      </c>
      <c r="C518" s="195" t="s">
        <v>724</v>
      </c>
      <c r="D518" s="200">
        <v>1744.14</v>
      </c>
    </row>
    <row r="519" spans="1:4">
      <c r="A519" s="194">
        <v>45524</v>
      </c>
      <c r="B519" s="195" t="s">
        <v>118</v>
      </c>
      <c r="C519" s="195" t="s">
        <v>724</v>
      </c>
      <c r="D519" s="200">
        <v>1198.5999999999999</v>
      </c>
    </row>
    <row r="520" spans="1:4">
      <c r="A520" s="194">
        <v>45524</v>
      </c>
      <c r="B520" s="195" t="s">
        <v>115</v>
      </c>
      <c r="C520" s="195" t="s">
        <v>724</v>
      </c>
      <c r="D520" s="200">
        <v>4.83</v>
      </c>
    </row>
    <row r="521" spans="1:4">
      <c r="A521" s="194">
        <v>45509</v>
      </c>
      <c r="B521" s="195" t="s">
        <v>119</v>
      </c>
      <c r="C521" s="195" t="s">
        <v>724</v>
      </c>
      <c r="D521" s="200">
        <v>74.44</v>
      </c>
    </row>
    <row r="522" spans="1:4">
      <c r="A522" s="194">
        <v>45559</v>
      </c>
      <c r="B522" s="195" t="s">
        <v>121</v>
      </c>
      <c r="C522" s="195" t="s">
        <v>724</v>
      </c>
      <c r="D522" s="200">
        <v>795.05</v>
      </c>
    </row>
    <row r="523" spans="1:4">
      <c r="A523" s="194">
        <v>45559</v>
      </c>
      <c r="B523" s="195" t="s">
        <v>111</v>
      </c>
      <c r="C523" s="195" t="s">
        <v>724</v>
      </c>
      <c r="D523" s="200">
        <v>1194.9000000000001</v>
      </c>
    </row>
    <row r="524" spans="1:4">
      <c r="A524" s="194">
        <v>45559</v>
      </c>
      <c r="B524" s="195" t="s">
        <v>113</v>
      </c>
      <c r="C524" s="195" t="s">
        <v>724</v>
      </c>
      <c r="D524" s="200">
        <v>1310.5899999999999</v>
      </c>
    </row>
    <row r="525" spans="1:4">
      <c r="A525" s="194">
        <v>45559</v>
      </c>
      <c r="B525" s="195" t="s">
        <v>116</v>
      </c>
      <c r="C525" s="195" t="s">
        <v>724</v>
      </c>
      <c r="D525" s="200">
        <v>1242.6500000000001</v>
      </c>
    </row>
    <row r="526" spans="1:4">
      <c r="A526" s="194">
        <v>45559</v>
      </c>
      <c r="B526" s="195" t="s">
        <v>124</v>
      </c>
      <c r="C526" s="195" t="s">
        <v>724</v>
      </c>
      <c r="D526" s="200">
        <v>1844.82</v>
      </c>
    </row>
    <row r="527" spans="1:4">
      <c r="A527" s="194">
        <v>45559</v>
      </c>
      <c r="B527" s="195" t="s">
        <v>131</v>
      </c>
      <c r="C527" s="195" t="s">
        <v>724</v>
      </c>
      <c r="D527" s="200">
        <v>1553.15</v>
      </c>
    </row>
    <row r="528" spans="1:4">
      <c r="A528" s="194">
        <v>45559</v>
      </c>
      <c r="B528" s="195" t="s">
        <v>112</v>
      </c>
      <c r="C528" s="195" t="s">
        <v>724</v>
      </c>
      <c r="D528" s="200">
        <v>1158.3599999999999</v>
      </c>
    </row>
    <row r="529" spans="1:4">
      <c r="A529" s="194">
        <v>45559</v>
      </c>
      <c r="B529" s="195" t="s">
        <v>118</v>
      </c>
      <c r="C529" s="195" t="s">
        <v>724</v>
      </c>
      <c r="D529" s="200">
        <v>1401.75</v>
      </c>
    </row>
    <row r="530" spans="1:4">
      <c r="A530" s="194">
        <v>45559</v>
      </c>
      <c r="B530" s="195" t="s">
        <v>109</v>
      </c>
      <c r="C530" s="195" t="s">
        <v>724</v>
      </c>
      <c r="D530" s="200">
        <v>1668.7</v>
      </c>
    </row>
    <row r="531" spans="1:4">
      <c r="A531" s="194">
        <v>45524</v>
      </c>
      <c r="B531" s="195" t="s">
        <v>129</v>
      </c>
      <c r="C531" s="195" t="s">
        <v>724</v>
      </c>
      <c r="D531" s="200">
        <v>273.41000000000003</v>
      </c>
    </row>
    <row r="532" spans="1:4">
      <c r="A532" s="194">
        <v>45524</v>
      </c>
      <c r="B532" s="195" t="s">
        <v>119</v>
      </c>
      <c r="C532" s="195" t="s">
        <v>724</v>
      </c>
      <c r="D532" s="200">
        <v>17.399999999999999</v>
      </c>
    </row>
    <row r="533" spans="1:4">
      <c r="A533" s="194">
        <v>45524</v>
      </c>
      <c r="B533" s="195" t="s">
        <v>132</v>
      </c>
      <c r="C533" s="195" t="s">
        <v>724</v>
      </c>
      <c r="D533" s="200">
        <v>1295.8800000000001</v>
      </c>
    </row>
    <row r="534" spans="1:4">
      <c r="A534" s="194">
        <v>45524</v>
      </c>
      <c r="B534" s="195" t="s">
        <v>114</v>
      </c>
      <c r="C534" s="195" t="s">
        <v>724</v>
      </c>
      <c r="D534" s="200">
        <v>860.74</v>
      </c>
    </row>
    <row r="535" spans="1:4">
      <c r="A535" s="194">
        <v>45524</v>
      </c>
      <c r="B535" s="195" t="s">
        <v>110</v>
      </c>
      <c r="C535" s="195" t="s">
        <v>724</v>
      </c>
      <c r="D535" s="200">
        <v>301.11</v>
      </c>
    </row>
    <row r="536" spans="1:4">
      <c r="A536" s="194">
        <v>45524</v>
      </c>
      <c r="B536" s="195" t="s">
        <v>130</v>
      </c>
      <c r="C536" s="195" t="s">
        <v>724</v>
      </c>
      <c r="D536" s="200">
        <v>136.79</v>
      </c>
    </row>
    <row r="537" spans="1:4">
      <c r="A537" s="194">
        <v>45561</v>
      </c>
      <c r="B537" s="195" t="s">
        <v>121</v>
      </c>
      <c r="C537" s="195" t="s">
        <v>724</v>
      </c>
      <c r="D537" s="200">
        <v>394.33</v>
      </c>
    </row>
    <row r="538" spans="1:4">
      <c r="A538" s="194">
        <v>45561</v>
      </c>
      <c r="B538" s="195" t="s">
        <v>125</v>
      </c>
      <c r="C538" s="195" t="s">
        <v>724</v>
      </c>
      <c r="D538" s="200">
        <v>1912.53</v>
      </c>
    </row>
    <row r="539" spans="1:4">
      <c r="A539" s="194">
        <v>45561</v>
      </c>
      <c r="B539" s="195" t="s">
        <v>111</v>
      </c>
      <c r="C539" s="195" t="s">
        <v>724</v>
      </c>
      <c r="D539" s="200">
        <v>2309.2800000000002</v>
      </c>
    </row>
    <row r="540" spans="1:4">
      <c r="A540" s="194">
        <v>45561</v>
      </c>
      <c r="B540" s="195" t="s">
        <v>120</v>
      </c>
      <c r="C540" s="195" t="s">
        <v>724</v>
      </c>
      <c r="D540" s="200">
        <v>1629.1</v>
      </c>
    </row>
    <row r="541" spans="1:4">
      <c r="A541" s="194">
        <v>45561</v>
      </c>
      <c r="B541" s="195" t="s">
        <v>116</v>
      </c>
      <c r="C541" s="195" t="s">
        <v>724</v>
      </c>
      <c r="D541" s="200">
        <v>1640.81</v>
      </c>
    </row>
    <row r="542" spans="1:4">
      <c r="A542" s="194">
        <v>45561</v>
      </c>
      <c r="B542" s="195" t="s">
        <v>131</v>
      </c>
      <c r="C542" s="195" t="s">
        <v>724</v>
      </c>
      <c r="D542" s="200">
        <v>757.99</v>
      </c>
    </row>
    <row r="543" spans="1:4">
      <c r="A543" s="194">
        <v>45561</v>
      </c>
      <c r="B543" s="195" t="s">
        <v>112</v>
      </c>
      <c r="C543" s="195" t="s">
        <v>724</v>
      </c>
      <c r="D543" s="200">
        <v>306.62</v>
      </c>
    </row>
    <row r="544" spans="1:4">
      <c r="A544" s="194">
        <v>45561</v>
      </c>
      <c r="B544" s="195" t="s">
        <v>118</v>
      </c>
      <c r="C544" s="195" t="s">
        <v>724</v>
      </c>
      <c r="D544" s="200">
        <v>712.14</v>
      </c>
    </row>
    <row r="545" spans="1:4">
      <c r="A545" s="194">
        <v>45561</v>
      </c>
      <c r="B545" s="195" t="s">
        <v>115</v>
      </c>
      <c r="C545" s="195" t="s">
        <v>724</v>
      </c>
      <c r="D545" s="200">
        <v>4.83</v>
      </c>
    </row>
    <row r="546" spans="1:4">
      <c r="A546" s="194">
        <v>45538</v>
      </c>
      <c r="B546" s="195" t="s">
        <v>119</v>
      </c>
      <c r="C546" s="195" t="s">
        <v>724</v>
      </c>
      <c r="D546" s="200">
        <v>66.930000000000007</v>
      </c>
    </row>
    <row r="547" spans="1:4">
      <c r="A547" s="194">
        <v>45538</v>
      </c>
      <c r="B547" s="195" t="s">
        <v>117</v>
      </c>
      <c r="C547" s="195" t="s">
        <v>724</v>
      </c>
      <c r="D547" s="200">
        <v>2140.96</v>
      </c>
    </row>
    <row r="548" spans="1:4">
      <c r="A548" s="194">
        <v>45560</v>
      </c>
      <c r="B548" s="195" t="s">
        <v>136</v>
      </c>
      <c r="C548" s="195" t="s">
        <v>724</v>
      </c>
      <c r="D548" s="200">
        <v>1339.08</v>
      </c>
    </row>
    <row r="549" spans="1:4">
      <c r="A549" s="194">
        <v>45561</v>
      </c>
      <c r="B549" s="195" t="s">
        <v>121</v>
      </c>
      <c r="C549" s="195" t="s">
        <v>724</v>
      </c>
      <c r="D549" s="200">
        <v>776.39</v>
      </c>
    </row>
    <row r="550" spans="1:4">
      <c r="A550" s="194">
        <v>45561</v>
      </c>
      <c r="B550" s="195" t="s">
        <v>131</v>
      </c>
      <c r="C550" s="195" t="s">
        <v>724</v>
      </c>
      <c r="D550" s="200">
        <v>1462.05</v>
      </c>
    </row>
    <row r="551" spans="1:4">
      <c r="A551" s="194">
        <v>45561</v>
      </c>
      <c r="B551" s="195" t="s">
        <v>112</v>
      </c>
      <c r="C551" s="195" t="s">
        <v>724</v>
      </c>
      <c r="D551" s="200">
        <v>247</v>
      </c>
    </row>
    <row r="552" spans="1:4">
      <c r="A552" s="194">
        <v>45561</v>
      </c>
      <c r="B552" s="195" t="s">
        <v>118</v>
      </c>
      <c r="C552" s="195" t="s">
        <v>724</v>
      </c>
      <c r="D552" s="200">
        <v>749.27</v>
      </c>
    </row>
    <row r="553" spans="1:4">
      <c r="A553" s="194">
        <v>45561</v>
      </c>
      <c r="B553" s="195" t="s">
        <v>109</v>
      </c>
      <c r="C553" s="195" t="s">
        <v>724</v>
      </c>
      <c r="D553" s="200">
        <v>1716.9</v>
      </c>
    </row>
    <row r="554" spans="1:4">
      <c r="A554" s="194">
        <v>45561</v>
      </c>
      <c r="B554" s="195" t="s">
        <v>115</v>
      </c>
      <c r="C554" s="195" t="s">
        <v>724</v>
      </c>
      <c r="D554" s="200">
        <v>4.83</v>
      </c>
    </row>
    <row r="555" spans="1:4">
      <c r="A555" s="194">
        <v>45561</v>
      </c>
      <c r="B555" s="195" t="s">
        <v>126</v>
      </c>
      <c r="C555" s="195" t="s">
        <v>724</v>
      </c>
      <c r="D555" s="200">
        <v>435.79</v>
      </c>
    </row>
    <row r="556" spans="1:4">
      <c r="A556" s="194">
        <v>45551</v>
      </c>
      <c r="B556" s="195" t="s">
        <v>129</v>
      </c>
      <c r="C556" s="195" t="s">
        <v>724</v>
      </c>
      <c r="D556" s="200">
        <v>273.41000000000003</v>
      </c>
    </row>
    <row r="557" spans="1:4">
      <c r="A557" s="194">
        <v>45551</v>
      </c>
      <c r="B557" s="195" t="s">
        <v>119</v>
      </c>
      <c r="C557" s="195" t="s">
        <v>724</v>
      </c>
      <c r="D557" s="200">
        <v>29.59</v>
      </c>
    </row>
    <row r="558" spans="1:4">
      <c r="A558" s="194">
        <v>45551</v>
      </c>
      <c r="B558" s="195" t="s">
        <v>114</v>
      </c>
      <c r="C558" s="195" t="s">
        <v>724</v>
      </c>
      <c r="D558" s="200">
        <v>431.37</v>
      </c>
    </row>
    <row r="559" spans="1:4">
      <c r="A559" s="194">
        <v>45586</v>
      </c>
      <c r="B559" s="194" t="s">
        <v>121</v>
      </c>
      <c r="C559" s="195" t="s">
        <v>724</v>
      </c>
      <c r="D559" s="200">
        <v>367.4</v>
      </c>
    </row>
    <row r="560" spans="1:4">
      <c r="A560" s="194">
        <v>45586</v>
      </c>
      <c r="B560" s="194" t="s">
        <v>125</v>
      </c>
      <c r="C560" s="195" t="s">
        <v>724</v>
      </c>
      <c r="D560" s="200">
        <v>1912.52</v>
      </c>
    </row>
    <row r="561" spans="1:4">
      <c r="A561" s="194">
        <v>45586</v>
      </c>
      <c r="B561" s="194" t="s">
        <v>111</v>
      </c>
      <c r="C561" s="195" t="s">
        <v>724</v>
      </c>
      <c r="D561" s="200">
        <v>1769.12</v>
      </c>
    </row>
    <row r="562" spans="1:4">
      <c r="A562" s="194">
        <v>45586</v>
      </c>
      <c r="B562" s="194" t="s">
        <v>122</v>
      </c>
      <c r="C562" s="195" t="s">
        <v>724</v>
      </c>
      <c r="D562" s="200">
        <v>2644.17</v>
      </c>
    </row>
    <row r="563" spans="1:4">
      <c r="A563" s="194">
        <v>45586</v>
      </c>
      <c r="B563" s="194" t="s">
        <v>120</v>
      </c>
      <c r="C563" s="195" t="s">
        <v>724</v>
      </c>
      <c r="D563" s="200">
        <v>1683.67</v>
      </c>
    </row>
    <row r="564" spans="1:4">
      <c r="A564" s="194">
        <v>45586</v>
      </c>
      <c r="B564" s="194" t="s">
        <v>113</v>
      </c>
      <c r="C564" s="195" t="s">
        <v>724</v>
      </c>
      <c r="D564" s="200">
        <v>1310.5899999999999</v>
      </c>
    </row>
    <row r="565" spans="1:4">
      <c r="A565" s="194">
        <v>45586</v>
      </c>
      <c r="B565" s="194" t="s">
        <v>124</v>
      </c>
      <c r="C565" s="195" t="s">
        <v>724</v>
      </c>
      <c r="D565" s="200">
        <v>1839.93</v>
      </c>
    </row>
    <row r="566" spans="1:4">
      <c r="A566" s="194">
        <v>45586</v>
      </c>
      <c r="B566" s="194" t="s">
        <v>131</v>
      </c>
      <c r="C566" s="195" t="s">
        <v>724</v>
      </c>
      <c r="D566" s="200">
        <v>330.74</v>
      </c>
    </row>
    <row r="567" spans="1:4">
      <c r="A567" s="194">
        <v>45586</v>
      </c>
      <c r="B567" s="194" t="s">
        <v>112</v>
      </c>
      <c r="C567" s="195" t="s">
        <v>724</v>
      </c>
      <c r="D567" s="200">
        <v>1104.7</v>
      </c>
    </row>
    <row r="568" spans="1:4">
      <c r="A568" s="194">
        <v>45586</v>
      </c>
      <c r="B568" s="194" t="s">
        <v>118</v>
      </c>
      <c r="C568" s="195" t="s">
        <v>724</v>
      </c>
      <c r="D568" s="200">
        <v>816.13</v>
      </c>
    </row>
    <row r="569" spans="1:4">
      <c r="A569" s="194">
        <v>45567</v>
      </c>
      <c r="B569" s="194" t="s">
        <v>119</v>
      </c>
      <c r="C569" s="195" t="s">
        <v>724</v>
      </c>
      <c r="D569" s="200">
        <v>71.92</v>
      </c>
    </row>
    <row r="570" spans="1:4">
      <c r="A570" s="194">
        <v>45567</v>
      </c>
      <c r="B570" s="194" t="s">
        <v>117</v>
      </c>
      <c r="C570" s="195" t="s">
        <v>724</v>
      </c>
      <c r="D570" s="200">
        <v>2142.2399999999998</v>
      </c>
    </row>
    <row r="571" spans="1:4">
      <c r="A571" s="194">
        <v>45583</v>
      </c>
      <c r="B571" s="194" t="s">
        <v>136</v>
      </c>
      <c r="C571" s="195" t="s">
        <v>724</v>
      </c>
      <c r="D571" s="200">
        <v>1094.07</v>
      </c>
    </row>
    <row r="572" spans="1:4">
      <c r="A572" s="194">
        <v>45586</v>
      </c>
      <c r="B572" s="194" t="s">
        <v>121</v>
      </c>
      <c r="C572" s="195" t="s">
        <v>724</v>
      </c>
      <c r="D572" s="200">
        <v>785.4</v>
      </c>
    </row>
    <row r="573" spans="1:4">
      <c r="A573" s="194">
        <v>45586</v>
      </c>
      <c r="B573" s="194" t="s">
        <v>131</v>
      </c>
      <c r="C573" s="195" t="s">
        <v>724</v>
      </c>
      <c r="D573" s="200">
        <v>1618.87</v>
      </c>
    </row>
    <row r="574" spans="1:4">
      <c r="A574" s="194">
        <v>45586</v>
      </c>
      <c r="B574" s="194" t="s">
        <v>112</v>
      </c>
      <c r="C574" s="195" t="s">
        <v>724</v>
      </c>
      <c r="D574" s="200">
        <v>1131.96</v>
      </c>
    </row>
    <row r="575" spans="1:4">
      <c r="A575" s="194">
        <v>45586</v>
      </c>
      <c r="B575" s="194" t="s">
        <v>118</v>
      </c>
      <c r="C575" s="195" t="s">
        <v>724</v>
      </c>
      <c r="D575" s="200">
        <v>1408.93</v>
      </c>
    </row>
    <row r="576" spans="1:4">
      <c r="A576" s="194">
        <v>45586</v>
      </c>
      <c r="B576" s="194" t="s">
        <v>126</v>
      </c>
      <c r="C576" s="195" t="s">
        <v>724</v>
      </c>
      <c r="D576" s="200">
        <v>227.99</v>
      </c>
    </row>
    <row r="577" spans="1:4">
      <c r="A577" s="194">
        <v>45583</v>
      </c>
      <c r="B577" s="194" t="s">
        <v>129</v>
      </c>
      <c r="C577" s="195" t="s">
        <v>724</v>
      </c>
      <c r="D577" s="200">
        <v>510.46</v>
      </c>
    </row>
    <row r="578" spans="1:4">
      <c r="A578" s="194">
        <v>45583</v>
      </c>
      <c r="B578" s="194" t="s">
        <v>119</v>
      </c>
      <c r="C578" s="195" t="s">
        <v>724</v>
      </c>
      <c r="D578" s="200">
        <v>21.1</v>
      </c>
    </row>
    <row r="579" spans="1:4">
      <c r="A579" s="194">
        <v>45583</v>
      </c>
      <c r="B579" s="194" t="s">
        <v>132</v>
      </c>
      <c r="C579" s="195" t="s">
        <v>724</v>
      </c>
      <c r="D579" s="200">
        <v>675.09</v>
      </c>
    </row>
    <row r="580" spans="1:4">
      <c r="A580" s="194">
        <v>45583</v>
      </c>
      <c r="B580" s="194" t="s">
        <v>110</v>
      </c>
      <c r="C580" s="195" t="s">
        <v>724</v>
      </c>
      <c r="D580" s="200">
        <v>151.47999999999999</v>
      </c>
    </row>
    <row r="581" spans="1:4">
      <c r="A581" s="194">
        <v>45583</v>
      </c>
      <c r="B581" s="194" t="s">
        <v>130</v>
      </c>
      <c r="C581" s="195" t="s">
        <v>724</v>
      </c>
      <c r="D581" s="200">
        <v>140.16</v>
      </c>
    </row>
    <row r="582" spans="1:4">
      <c r="A582" s="194">
        <v>45619</v>
      </c>
      <c r="B582" s="194" t="s">
        <v>121</v>
      </c>
      <c r="C582" s="195" t="s">
        <v>724</v>
      </c>
      <c r="D582" s="200">
        <v>444.01</v>
      </c>
    </row>
    <row r="583" spans="1:4">
      <c r="A583" s="194">
        <v>45619</v>
      </c>
      <c r="B583" s="194" t="s">
        <v>125</v>
      </c>
      <c r="C583" s="195" t="s">
        <v>724</v>
      </c>
      <c r="D583" s="200">
        <v>1912.54</v>
      </c>
    </row>
    <row r="584" spans="1:4">
      <c r="A584" s="194">
        <v>45619</v>
      </c>
      <c r="B584" s="194" t="s">
        <v>122</v>
      </c>
      <c r="C584" s="195" t="s">
        <v>724</v>
      </c>
      <c r="D584" s="200">
        <v>1326.54</v>
      </c>
    </row>
    <row r="585" spans="1:4">
      <c r="A585" s="194">
        <v>45619</v>
      </c>
      <c r="B585" s="194" t="s">
        <v>120</v>
      </c>
      <c r="C585" s="195" t="s">
        <v>724</v>
      </c>
      <c r="D585" s="200">
        <v>1683.67</v>
      </c>
    </row>
    <row r="586" spans="1:4">
      <c r="A586" s="194">
        <v>45619</v>
      </c>
      <c r="B586" s="194" t="s">
        <v>113</v>
      </c>
      <c r="C586" s="195" t="s">
        <v>724</v>
      </c>
      <c r="D586" s="200">
        <v>1310.5899999999999</v>
      </c>
    </row>
    <row r="587" spans="1:4">
      <c r="A587" s="194">
        <v>45619</v>
      </c>
      <c r="B587" s="194" t="s">
        <v>116</v>
      </c>
      <c r="C587" s="195" t="s">
        <v>724</v>
      </c>
      <c r="D587" s="200">
        <v>1182.8699999999999</v>
      </c>
    </row>
    <row r="588" spans="1:4">
      <c r="A588" s="194">
        <v>45619</v>
      </c>
      <c r="B588" s="194" t="s">
        <v>124</v>
      </c>
      <c r="C588" s="195" t="s">
        <v>724</v>
      </c>
      <c r="D588" s="200">
        <v>1850.89</v>
      </c>
    </row>
    <row r="589" spans="1:4">
      <c r="A589" s="194">
        <v>45619</v>
      </c>
      <c r="B589" s="194" t="s">
        <v>131</v>
      </c>
      <c r="C589" s="195" t="s">
        <v>724</v>
      </c>
      <c r="D589" s="200">
        <v>476.85</v>
      </c>
    </row>
    <row r="590" spans="1:4">
      <c r="A590" s="194">
        <v>45619</v>
      </c>
      <c r="B590" s="194" t="s">
        <v>112</v>
      </c>
      <c r="C590" s="195" t="s">
        <v>724</v>
      </c>
      <c r="D590" s="200">
        <v>245.53</v>
      </c>
    </row>
    <row r="591" spans="1:4">
      <c r="A591" s="194">
        <v>45619</v>
      </c>
      <c r="B591" s="194" t="s">
        <v>118</v>
      </c>
      <c r="C591" s="195" t="s">
        <v>724</v>
      </c>
      <c r="D591" s="200">
        <v>615.33000000000004</v>
      </c>
    </row>
    <row r="592" spans="1:4">
      <c r="A592" s="194">
        <v>45619</v>
      </c>
      <c r="B592" s="194" t="s">
        <v>109</v>
      </c>
      <c r="C592" s="195" t="s">
        <v>724</v>
      </c>
      <c r="D592" s="200">
        <v>1715.56</v>
      </c>
    </row>
    <row r="593" spans="1:4">
      <c r="A593" s="194">
        <v>45619</v>
      </c>
      <c r="B593" s="194" t="s">
        <v>115</v>
      </c>
      <c r="C593" s="195" t="s">
        <v>724</v>
      </c>
      <c r="D593" s="200">
        <v>4.83</v>
      </c>
    </row>
    <row r="594" spans="1:4">
      <c r="A594" s="194">
        <v>45596</v>
      </c>
      <c r="B594" s="194" t="s">
        <v>119</v>
      </c>
      <c r="C594" s="195" t="s">
        <v>724</v>
      </c>
      <c r="D594" s="200">
        <v>102.71</v>
      </c>
    </row>
    <row r="595" spans="1:4">
      <c r="A595" s="194">
        <v>45596</v>
      </c>
      <c r="B595" s="194" t="s">
        <v>114</v>
      </c>
      <c r="C595" s="195" t="s">
        <v>724</v>
      </c>
      <c r="D595" s="200">
        <v>430.37</v>
      </c>
    </row>
    <row r="596" spans="1:4">
      <c r="A596" s="194">
        <v>45614</v>
      </c>
      <c r="B596" s="194" t="s">
        <v>136</v>
      </c>
      <c r="C596" s="195" t="s">
        <v>724</v>
      </c>
      <c r="D596" s="200">
        <v>1654.76</v>
      </c>
    </row>
    <row r="597" spans="1:4">
      <c r="A597" s="194">
        <v>45619</v>
      </c>
      <c r="B597" s="194" t="s">
        <v>121</v>
      </c>
      <c r="C597" s="195" t="s">
        <v>724</v>
      </c>
      <c r="D597" s="200">
        <v>889.81</v>
      </c>
    </row>
    <row r="598" spans="1:4">
      <c r="A598" s="194">
        <v>45619</v>
      </c>
      <c r="B598" s="194" t="s">
        <v>174</v>
      </c>
      <c r="C598" s="195" t="s">
        <v>724</v>
      </c>
      <c r="D598" s="200">
        <v>1981.95</v>
      </c>
    </row>
    <row r="599" spans="1:4">
      <c r="A599" s="194">
        <v>45619</v>
      </c>
      <c r="B599" s="194" t="s">
        <v>111</v>
      </c>
      <c r="C599" s="195" t="s">
        <v>724</v>
      </c>
      <c r="D599" s="200">
        <v>1349.42</v>
      </c>
    </row>
    <row r="600" spans="1:4">
      <c r="A600" s="194">
        <v>45619</v>
      </c>
      <c r="B600" s="194" t="s">
        <v>122</v>
      </c>
      <c r="C600" s="195" t="s">
        <v>724</v>
      </c>
      <c r="D600" s="200">
        <v>1317.46</v>
      </c>
    </row>
    <row r="601" spans="1:4">
      <c r="A601" s="194">
        <v>45619</v>
      </c>
      <c r="B601" s="194" t="s">
        <v>116</v>
      </c>
      <c r="C601" s="195" t="s">
        <v>724</v>
      </c>
      <c r="D601" s="200">
        <v>1378.64</v>
      </c>
    </row>
    <row r="602" spans="1:4">
      <c r="A602" s="194">
        <v>45619</v>
      </c>
      <c r="B602" s="194" t="s">
        <v>124</v>
      </c>
      <c r="C602" s="195" t="s">
        <v>724</v>
      </c>
      <c r="D602" s="200">
        <v>1845.41</v>
      </c>
    </row>
    <row r="603" spans="1:4">
      <c r="A603" s="194">
        <v>45619</v>
      </c>
      <c r="B603" s="194" t="s">
        <v>131</v>
      </c>
      <c r="C603" s="195" t="s">
        <v>724</v>
      </c>
      <c r="D603" s="200">
        <v>1257.9100000000001</v>
      </c>
    </row>
    <row r="604" spans="1:4">
      <c r="A604" s="194">
        <v>45619</v>
      </c>
      <c r="B604" s="194" t="s">
        <v>112</v>
      </c>
      <c r="C604" s="195" t="s">
        <v>724</v>
      </c>
      <c r="D604" s="200">
        <v>1172.29</v>
      </c>
    </row>
    <row r="605" spans="1:4">
      <c r="A605" s="194">
        <v>45619</v>
      </c>
      <c r="B605" s="194" t="s">
        <v>118</v>
      </c>
      <c r="C605" s="195" t="s">
        <v>724</v>
      </c>
      <c r="D605" s="200">
        <v>1384.14</v>
      </c>
    </row>
    <row r="606" spans="1:4">
      <c r="A606" s="194">
        <v>45619</v>
      </c>
      <c r="B606" s="194" t="s">
        <v>109</v>
      </c>
      <c r="C606" s="195" t="s">
        <v>724</v>
      </c>
      <c r="D606" s="200">
        <v>1728.24</v>
      </c>
    </row>
    <row r="607" spans="1:4">
      <c r="A607" s="194">
        <v>45619</v>
      </c>
      <c r="B607" s="194" t="s">
        <v>162</v>
      </c>
      <c r="C607" s="195" t="s">
        <v>724</v>
      </c>
      <c r="D607" s="200">
        <v>6646.09</v>
      </c>
    </row>
    <row r="608" spans="1:4">
      <c r="A608" s="194">
        <v>45619</v>
      </c>
      <c r="B608" s="194" t="s">
        <v>126</v>
      </c>
      <c r="C608" s="195" t="s">
        <v>724</v>
      </c>
      <c r="D608" s="200">
        <v>224.12</v>
      </c>
    </row>
    <row r="609" spans="1:4">
      <c r="A609" s="194">
        <v>45610</v>
      </c>
      <c r="B609" s="194" t="s">
        <v>119</v>
      </c>
      <c r="C609" s="195" t="s">
        <v>724</v>
      </c>
      <c r="D609" s="200">
        <v>2.74</v>
      </c>
    </row>
    <row r="610" spans="1:4">
      <c r="A610" s="194">
        <v>45610</v>
      </c>
      <c r="B610" s="194" t="s">
        <v>132</v>
      </c>
      <c r="C610" s="195" t="s">
        <v>724</v>
      </c>
      <c r="D610" s="200">
        <v>668.35</v>
      </c>
    </row>
    <row r="611" spans="1:4">
      <c r="A611" s="194">
        <v>45610</v>
      </c>
      <c r="B611" s="194" t="s">
        <v>114</v>
      </c>
      <c r="C611" s="195" t="s">
        <v>724</v>
      </c>
      <c r="D611" s="200">
        <v>430.37</v>
      </c>
    </row>
    <row r="612" spans="1:4">
      <c r="A612" s="194">
        <v>45610</v>
      </c>
      <c r="B612" s="194" t="s">
        <v>110</v>
      </c>
      <c r="C612" s="195" t="s">
        <v>724</v>
      </c>
      <c r="D612" s="200">
        <v>151.47999999999999</v>
      </c>
    </row>
    <row r="613" spans="1:4">
      <c r="A613" s="194">
        <v>45610</v>
      </c>
      <c r="B613" s="194" t="s">
        <v>169</v>
      </c>
      <c r="C613" s="195" t="s">
        <v>724</v>
      </c>
      <c r="D613" s="200">
        <v>4399.12</v>
      </c>
    </row>
    <row r="614" spans="1:4">
      <c r="A614" s="194">
        <v>45625</v>
      </c>
      <c r="B614" s="194" t="s">
        <v>119</v>
      </c>
      <c r="C614" s="195" t="s">
        <v>724</v>
      </c>
      <c r="D614" s="200">
        <v>44.48</v>
      </c>
    </row>
    <row r="615" spans="1:4">
      <c r="A615" s="194">
        <v>45625</v>
      </c>
      <c r="B615" s="194" t="s">
        <v>117</v>
      </c>
      <c r="C615" s="195" t="s">
        <v>724</v>
      </c>
      <c r="D615" s="200">
        <v>6378.15</v>
      </c>
    </row>
    <row r="616" spans="1:4">
      <c r="A616" s="194">
        <v>45625</v>
      </c>
      <c r="B616" s="194" t="s">
        <v>114</v>
      </c>
      <c r="C616" s="195" t="s">
        <v>724</v>
      </c>
      <c r="D616" s="200">
        <v>3.21</v>
      </c>
    </row>
    <row r="617" spans="1:4">
      <c r="A617" s="194">
        <v>45625</v>
      </c>
      <c r="B617" s="194" t="s">
        <v>169</v>
      </c>
      <c r="C617" s="195" t="s">
        <v>724</v>
      </c>
      <c r="D617" s="200">
        <v>1887.72</v>
      </c>
    </row>
    <row r="618" spans="1:4">
      <c r="A618" s="194">
        <v>45649</v>
      </c>
      <c r="B618" s="194" t="s">
        <v>121</v>
      </c>
      <c r="C618" s="195" t="s">
        <v>724</v>
      </c>
      <c r="D618" s="200">
        <v>222.8</v>
      </c>
    </row>
    <row r="619" spans="1:4">
      <c r="A619" s="194">
        <v>45649</v>
      </c>
      <c r="B619" s="194" t="s">
        <v>125</v>
      </c>
      <c r="C619" s="195" t="s">
        <v>724</v>
      </c>
      <c r="D619" s="200">
        <v>1912.54</v>
      </c>
    </row>
    <row r="620" spans="1:4">
      <c r="A620" s="194">
        <v>45649</v>
      </c>
      <c r="B620" s="194" t="s">
        <v>111</v>
      </c>
      <c r="C620" s="195" t="s">
        <v>724</v>
      </c>
      <c r="D620" s="200">
        <v>2188.8200000000002</v>
      </c>
    </row>
    <row r="621" spans="1:4">
      <c r="A621" s="194">
        <v>45649</v>
      </c>
      <c r="B621" s="194" t="s">
        <v>120</v>
      </c>
      <c r="C621" s="195" t="s">
        <v>724</v>
      </c>
      <c r="D621" s="200">
        <v>1653.22</v>
      </c>
    </row>
    <row r="622" spans="1:4">
      <c r="A622" s="194">
        <v>45649</v>
      </c>
      <c r="B622" s="194" t="s">
        <v>113</v>
      </c>
      <c r="C622" s="195" t="s">
        <v>724</v>
      </c>
      <c r="D622" s="200">
        <v>1310.5899999999999</v>
      </c>
    </row>
    <row r="623" spans="1:4">
      <c r="A623" s="194">
        <v>45649</v>
      </c>
      <c r="B623" s="194" t="s">
        <v>116</v>
      </c>
      <c r="C623" s="195" t="s">
        <v>724</v>
      </c>
      <c r="D623" s="200">
        <v>1715.82</v>
      </c>
    </row>
    <row r="624" spans="1:4">
      <c r="A624" s="194">
        <v>45649</v>
      </c>
      <c r="B624" s="194" t="s">
        <v>131</v>
      </c>
      <c r="C624" s="195" t="s">
        <v>724</v>
      </c>
      <c r="D624" s="200">
        <v>578.47</v>
      </c>
    </row>
    <row r="625" spans="1:4">
      <c r="A625" s="194">
        <v>45649</v>
      </c>
      <c r="B625" s="194" t="s">
        <v>112</v>
      </c>
      <c r="C625" s="195" t="s">
        <v>724</v>
      </c>
      <c r="D625" s="200">
        <v>271.33999999999997</v>
      </c>
    </row>
    <row r="626" spans="1:4">
      <c r="A626" s="194">
        <v>45649</v>
      </c>
      <c r="B626" s="194" t="s">
        <v>118</v>
      </c>
      <c r="C626" s="195" t="s">
        <v>724</v>
      </c>
      <c r="D626" s="200">
        <v>495.61</v>
      </c>
    </row>
    <row r="627" spans="1:4">
      <c r="A627" s="194">
        <v>45649</v>
      </c>
      <c r="B627" s="194" t="s">
        <v>109</v>
      </c>
      <c r="C627" s="195" t="s">
        <v>724</v>
      </c>
      <c r="D627" s="200">
        <v>1716.84</v>
      </c>
    </row>
    <row r="628" spans="1:4">
      <c r="A628" s="194">
        <v>45649</v>
      </c>
      <c r="B628" s="194" t="s">
        <v>115</v>
      </c>
      <c r="C628" s="195" t="s">
        <v>724</v>
      </c>
      <c r="D628" s="200">
        <v>4.83</v>
      </c>
    </row>
    <row r="629" spans="1:4">
      <c r="A629" s="194">
        <v>45646</v>
      </c>
      <c r="B629" s="194" t="s">
        <v>121</v>
      </c>
      <c r="C629" s="195" t="s">
        <v>724</v>
      </c>
      <c r="D629" s="200">
        <v>839.09</v>
      </c>
    </row>
    <row r="630" spans="1:4">
      <c r="A630" s="194">
        <v>45646</v>
      </c>
      <c r="B630" s="194" t="s">
        <v>174</v>
      </c>
      <c r="C630" s="195" t="s">
        <v>724</v>
      </c>
      <c r="D630" s="200">
        <v>16</v>
      </c>
    </row>
    <row r="631" spans="1:4">
      <c r="A631" s="194">
        <v>45646</v>
      </c>
      <c r="B631" s="194" t="s">
        <v>131</v>
      </c>
      <c r="C631" s="195" t="s">
        <v>724</v>
      </c>
      <c r="D631" s="200">
        <v>1062.48</v>
      </c>
    </row>
    <row r="632" spans="1:4">
      <c r="A632" s="194">
        <v>45646</v>
      </c>
      <c r="B632" s="194" t="s">
        <v>112</v>
      </c>
      <c r="C632" s="195" t="s">
        <v>724</v>
      </c>
      <c r="D632" s="200">
        <v>116.96</v>
      </c>
    </row>
    <row r="633" spans="1:4">
      <c r="A633" s="194">
        <v>45646</v>
      </c>
      <c r="B633" s="194" t="s">
        <v>118</v>
      </c>
      <c r="C633" s="195" t="s">
        <v>724</v>
      </c>
      <c r="D633" s="200">
        <v>909.85</v>
      </c>
    </row>
    <row r="634" spans="1:4">
      <c r="A634" s="194">
        <v>45646</v>
      </c>
      <c r="B634" s="194" t="s">
        <v>162</v>
      </c>
      <c r="C634" s="195" t="s">
        <v>724</v>
      </c>
      <c r="D634" s="200">
        <v>2212.31</v>
      </c>
    </row>
    <row r="635" spans="1:4">
      <c r="A635" s="194">
        <v>45646</v>
      </c>
      <c r="B635" s="194" t="s">
        <v>126</v>
      </c>
      <c r="C635" s="195" t="s">
        <v>724</v>
      </c>
      <c r="D635" s="200">
        <v>224.12</v>
      </c>
    </row>
    <row r="636" spans="1:4">
      <c r="A636" s="194">
        <v>45642</v>
      </c>
      <c r="B636" s="194" t="s">
        <v>129</v>
      </c>
      <c r="C636" s="195" t="s">
        <v>724</v>
      </c>
      <c r="D636" s="200">
        <v>255.23</v>
      </c>
    </row>
    <row r="637" spans="1:4">
      <c r="A637" s="194">
        <v>45642</v>
      </c>
      <c r="B637" s="194" t="s">
        <v>119</v>
      </c>
      <c r="C637" s="195" t="s">
        <v>724</v>
      </c>
      <c r="D637" s="200">
        <v>16.71</v>
      </c>
    </row>
    <row r="638" spans="1:4">
      <c r="A638" s="194">
        <v>45642</v>
      </c>
      <c r="B638" s="194" t="s">
        <v>132</v>
      </c>
      <c r="C638" s="195" t="s">
        <v>724</v>
      </c>
      <c r="D638" s="200">
        <v>668.35</v>
      </c>
    </row>
    <row r="639" spans="1:4">
      <c r="A639" s="194">
        <v>45642</v>
      </c>
      <c r="B639" s="194" t="s">
        <v>114</v>
      </c>
      <c r="C639" s="195" t="s">
        <v>724</v>
      </c>
      <c r="D639" s="200">
        <v>-3.21</v>
      </c>
    </row>
    <row r="640" spans="1:4">
      <c r="A640" s="194">
        <v>45642</v>
      </c>
      <c r="B640" s="194" t="s">
        <v>110</v>
      </c>
      <c r="C640" s="195" t="s">
        <v>724</v>
      </c>
      <c r="D640" s="200">
        <v>151.47999999999999</v>
      </c>
    </row>
    <row r="641" spans="1:4">
      <c r="A641" s="194">
        <v>45642</v>
      </c>
      <c r="B641" s="194" t="s">
        <v>130</v>
      </c>
      <c r="C641" s="195" t="s">
        <v>724</v>
      </c>
      <c r="D641" s="200">
        <v>70.08</v>
      </c>
    </row>
    <row r="642" spans="1:4">
      <c r="A642" s="194">
        <v>45687</v>
      </c>
      <c r="B642" s="194" t="s">
        <v>121</v>
      </c>
      <c r="C642" s="195" t="s">
        <v>724</v>
      </c>
      <c r="D642" s="200">
        <v>210.49</v>
      </c>
    </row>
    <row r="643" spans="1:4">
      <c r="A643" s="194">
        <v>45687</v>
      </c>
      <c r="B643" s="194" t="s">
        <v>167</v>
      </c>
      <c r="C643" s="195" t="s">
        <v>724</v>
      </c>
      <c r="D643" s="200">
        <v>6.53</v>
      </c>
    </row>
    <row r="644" spans="1:4">
      <c r="A644" s="194">
        <v>45687</v>
      </c>
      <c r="B644" s="194" t="s">
        <v>125</v>
      </c>
      <c r="C644" s="195" t="s">
        <v>724</v>
      </c>
      <c r="D644" s="200">
        <v>1912.49</v>
      </c>
    </row>
    <row r="645" spans="1:4">
      <c r="A645" s="194">
        <v>45687</v>
      </c>
      <c r="B645" s="194" t="s">
        <v>131</v>
      </c>
      <c r="C645" s="195" t="s">
        <v>724</v>
      </c>
      <c r="D645" s="200">
        <v>262.79000000000002</v>
      </c>
    </row>
    <row r="646" spans="1:4">
      <c r="A646" s="194">
        <v>45687</v>
      </c>
      <c r="B646" s="194" t="s">
        <v>112</v>
      </c>
      <c r="C646" s="195" t="s">
        <v>724</v>
      </c>
      <c r="D646" s="200">
        <v>538.07000000000005</v>
      </c>
    </row>
    <row r="647" spans="1:4">
      <c r="A647" s="194">
        <v>45687</v>
      </c>
      <c r="B647" s="194" t="s">
        <v>118</v>
      </c>
      <c r="C647" s="195" t="s">
        <v>724</v>
      </c>
      <c r="D647" s="200">
        <v>480.88</v>
      </c>
    </row>
    <row r="648" spans="1:4">
      <c r="A648" s="194">
        <v>45687</v>
      </c>
      <c r="B648" s="194" t="s">
        <v>115</v>
      </c>
      <c r="C648" s="195" t="s">
        <v>724</v>
      </c>
      <c r="D648" s="200">
        <v>4.83</v>
      </c>
    </row>
    <row r="649" spans="1:4">
      <c r="A649" s="194">
        <v>45659</v>
      </c>
      <c r="B649" s="194" t="s">
        <v>119</v>
      </c>
      <c r="C649" s="195" t="s">
        <v>724</v>
      </c>
      <c r="D649" s="200">
        <v>62.76</v>
      </c>
    </row>
    <row r="650" spans="1:4">
      <c r="A650" s="194">
        <v>45659</v>
      </c>
      <c r="B650" s="194" t="s">
        <v>114</v>
      </c>
      <c r="C650" s="195" t="s">
        <v>724</v>
      </c>
      <c r="D650" s="200">
        <v>460.88</v>
      </c>
    </row>
    <row r="651" spans="1:4">
      <c r="A651" s="194">
        <v>45659</v>
      </c>
      <c r="B651" s="194" t="s">
        <v>169</v>
      </c>
      <c r="C651" s="195" t="s">
        <v>724</v>
      </c>
      <c r="D651" s="200">
        <v>2040.66</v>
      </c>
    </row>
    <row r="652" spans="1:4">
      <c r="A652" s="194">
        <v>45681</v>
      </c>
      <c r="B652" s="194" t="s">
        <v>136</v>
      </c>
      <c r="C652" s="195" t="s">
        <v>724</v>
      </c>
      <c r="D652" s="200">
        <v>1566.11</v>
      </c>
    </row>
    <row r="653" spans="1:4">
      <c r="A653" s="194">
        <v>45687</v>
      </c>
      <c r="B653" s="194" t="s">
        <v>121</v>
      </c>
      <c r="C653" s="195" t="s">
        <v>724</v>
      </c>
      <c r="D653" s="200">
        <v>811.64</v>
      </c>
    </row>
    <row r="654" spans="1:4">
      <c r="A654" s="194">
        <v>45687</v>
      </c>
      <c r="B654" s="194" t="s">
        <v>167</v>
      </c>
      <c r="C654" s="195" t="s">
        <v>724</v>
      </c>
      <c r="D654" s="200">
        <v>68.77</v>
      </c>
    </row>
    <row r="655" spans="1:4">
      <c r="A655" s="194">
        <v>45687</v>
      </c>
      <c r="B655" s="194" t="s">
        <v>111</v>
      </c>
      <c r="C655" s="195" t="s">
        <v>724</v>
      </c>
      <c r="D655" s="200">
        <v>1827.95</v>
      </c>
    </row>
    <row r="656" spans="1:4">
      <c r="A656" s="194">
        <v>45687</v>
      </c>
      <c r="B656" s="194" t="s">
        <v>122</v>
      </c>
      <c r="C656" s="195" t="s">
        <v>724</v>
      </c>
      <c r="D656" s="200">
        <v>788.79</v>
      </c>
    </row>
    <row r="657" spans="1:4">
      <c r="A657" s="194">
        <v>45687</v>
      </c>
      <c r="B657" s="194" t="s">
        <v>113</v>
      </c>
      <c r="C657" s="195" t="s">
        <v>724</v>
      </c>
      <c r="D657" s="200">
        <v>1315.96</v>
      </c>
    </row>
    <row r="658" spans="1:4">
      <c r="A658" s="194">
        <v>45687</v>
      </c>
      <c r="B658" s="194" t="s">
        <v>116</v>
      </c>
      <c r="C658" s="195" t="s">
        <v>724</v>
      </c>
      <c r="D658" s="200">
        <v>1462.17</v>
      </c>
    </row>
    <row r="659" spans="1:4">
      <c r="A659" s="194">
        <v>45687</v>
      </c>
      <c r="B659" s="194" t="s">
        <v>131</v>
      </c>
      <c r="C659" s="195" t="s">
        <v>724</v>
      </c>
      <c r="D659" s="200">
        <v>1518.45</v>
      </c>
    </row>
    <row r="660" spans="1:4">
      <c r="A660" s="194">
        <v>45687</v>
      </c>
      <c r="B660" s="194" t="s">
        <v>112</v>
      </c>
      <c r="C660" s="195" t="s">
        <v>724</v>
      </c>
      <c r="D660" s="200">
        <v>146.35</v>
      </c>
    </row>
    <row r="661" spans="1:4">
      <c r="A661" s="194">
        <v>45687</v>
      </c>
      <c r="B661" s="194" t="s">
        <v>118</v>
      </c>
      <c r="C661" s="195" t="s">
        <v>724</v>
      </c>
      <c r="D661" s="200">
        <v>937.29</v>
      </c>
    </row>
    <row r="662" spans="1:4">
      <c r="A662" s="194">
        <v>45687</v>
      </c>
      <c r="B662" s="194" t="s">
        <v>109</v>
      </c>
      <c r="C662" s="195" t="s">
        <v>724</v>
      </c>
      <c r="D662" s="200">
        <v>1806.36</v>
      </c>
    </row>
    <row r="663" spans="1:4">
      <c r="A663" s="194">
        <v>45687</v>
      </c>
      <c r="B663" s="194" t="s">
        <v>162</v>
      </c>
      <c r="C663" s="195" t="s">
        <v>724</v>
      </c>
      <c r="D663" s="200">
        <v>1937.61</v>
      </c>
    </row>
    <row r="664" spans="1:4">
      <c r="A664" s="194">
        <v>45674</v>
      </c>
      <c r="B664" s="194" t="s">
        <v>129</v>
      </c>
      <c r="C664" s="195" t="s">
        <v>724</v>
      </c>
      <c r="D664" s="200">
        <v>255.23</v>
      </c>
    </row>
    <row r="665" spans="1:4">
      <c r="A665" s="194">
        <v>45674</v>
      </c>
      <c r="B665" s="194" t="s">
        <v>119</v>
      </c>
      <c r="C665" s="195" t="s">
        <v>724</v>
      </c>
      <c r="D665" s="200">
        <v>37.53</v>
      </c>
    </row>
    <row r="666" spans="1:4">
      <c r="A666" s="194">
        <v>45674</v>
      </c>
      <c r="B666" s="194" t="s">
        <v>117</v>
      </c>
      <c r="C666" s="195" t="s">
        <v>724</v>
      </c>
      <c r="D666" s="200">
        <v>2065.7399999999998</v>
      </c>
    </row>
    <row r="667" spans="1:4">
      <c r="A667" s="194">
        <v>45674</v>
      </c>
      <c r="B667" s="194" t="s">
        <v>132</v>
      </c>
      <c r="C667" s="195" t="s">
        <v>724</v>
      </c>
      <c r="D667" s="200">
        <v>662.91</v>
      </c>
    </row>
    <row r="668" spans="1:4">
      <c r="A668" s="194">
        <v>45674</v>
      </c>
      <c r="B668" s="194" t="s">
        <v>133</v>
      </c>
      <c r="C668" s="195" t="s">
        <v>724</v>
      </c>
      <c r="D668" s="200">
        <v>1711.91</v>
      </c>
    </row>
    <row r="669" spans="1:4">
      <c r="A669" s="194">
        <v>45674</v>
      </c>
      <c r="B669" s="194" t="s">
        <v>114</v>
      </c>
      <c r="C669" s="195" t="s">
        <v>724</v>
      </c>
      <c r="D669" s="200">
        <v>430.37</v>
      </c>
    </row>
    <row r="670" spans="1:4">
      <c r="A670" s="194">
        <v>45674</v>
      </c>
      <c r="B670" s="194" t="s">
        <v>110</v>
      </c>
      <c r="C670" s="195" t="s">
        <v>724</v>
      </c>
      <c r="D670" s="200">
        <v>151.47999999999999</v>
      </c>
    </row>
    <row r="671" spans="1:4">
      <c r="A671" s="194">
        <v>45674</v>
      </c>
      <c r="B671" s="194" t="s">
        <v>130</v>
      </c>
      <c r="C671" s="195" t="s">
        <v>724</v>
      </c>
      <c r="D671" s="200">
        <v>70.8</v>
      </c>
    </row>
    <row r="672" spans="1:4">
      <c r="A672" s="194">
        <v>45687</v>
      </c>
      <c r="B672" s="194" t="s">
        <v>121</v>
      </c>
      <c r="C672" s="195" t="s">
        <v>724</v>
      </c>
      <c r="D672" s="200">
        <v>400.93</v>
      </c>
    </row>
    <row r="673" spans="1:4">
      <c r="A673" s="194">
        <v>45687</v>
      </c>
      <c r="B673" s="194" t="s">
        <v>174</v>
      </c>
      <c r="C673" s="195" t="s">
        <v>724</v>
      </c>
      <c r="D673" s="200">
        <v>-69.930000000000007</v>
      </c>
    </row>
    <row r="674" spans="1:4">
      <c r="A674" s="194">
        <v>45687</v>
      </c>
      <c r="B674" s="194" t="s">
        <v>161</v>
      </c>
      <c r="C674" s="195" t="s">
        <v>724</v>
      </c>
      <c r="D674" s="200">
        <v>13.13</v>
      </c>
    </row>
    <row r="675" spans="1:4">
      <c r="A675" s="194">
        <v>45687</v>
      </c>
      <c r="B675" s="194" t="s">
        <v>167</v>
      </c>
      <c r="C675" s="195" t="s">
        <v>724</v>
      </c>
      <c r="D675" s="200">
        <v>387.64</v>
      </c>
    </row>
    <row r="676" spans="1:4">
      <c r="A676" s="194">
        <v>45687</v>
      </c>
      <c r="B676" s="194" t="s">
        <v>125</v>
      </c>
      <c r="C676" s="195" t="s">
        <v>724</v>
      </c>
      <c r="D676" s="200">
        <v>1912.49</v>
      </c>
    </row>
    <row r="677" spans="1:4">
      <c r="A677" s="194">
        <v>45687</v>
      </c>
      <c r="B677" s="194" t="s">
        <v>131</v>
      </c>
      <c r="C677" s="195" t="s">
        <v>724</v>
      </c>
      <c r="D677" s="200">
        <v>587.92999999999995</v>
      </c>
    </row>
    <row r="678" spans="1:4">
      <c r="A678" s="194">
        <v>45687</v>
      </c>
      <c r="B678" s="194" t="s">
        <v>112</v>
      </c>
      <c r="C678" s="195" t="s">
        <v>724</v>
      </c>
      <c r="D678" s="200">
        <v>577.29</v>
      </c>
    </row>
    <row r="679" spans="1:4">
      <c r="A679" s="194">
        <v>45687</v>
      </c>
      <c r="B679" s="194" t="s">
        <v>118</v>
      </c>
      <c r="C679" s="195" t="s">
        <v>724</v>
      </c>
      <c r="D679" s="200">
        <v>575.26</v>
      </c>
    </row>
    <row r="680" spans="1:4">
      <c r="A680" s="194">
        <v>45687</v>
      </c>
      <c r="B680" s="194" t="s">
        <v>149</v>
      </c>
      <c r="C680" s="195" t="s">
        <v>724</v>
      </c>
      <c r="D680" s="200">
        <v>8.57</v>
      </c>
    </row>
    <row r="681" spans="1:4">
      <c r="A681" s="194">
        <v>45687</v>
      </c>
      <c r="B681" s="194" t="s">
        <v>115</v>
      </c>
      <c r="C681" s="195" t="s">
        <v>724</v>
      </c>
      <c r="D681" s="200">
        <v>4.83</v>
      </c>
    </row>
    <row r="682" spans="1:4">
      <c r="A682" s="194">
        <v>45688</v>
      </c>
      <c r="B682" s="194" t="s">
        <v>119</v>
      </c>
      <c r="C682" s="195" t="s">
        <v>724</v>
      </c>
      <c r="D682" s="200">
        <v>70.66</v>
      </c>
    </row>
    <row r="683" spans="1:4">
      <c r="A683" s="194">
        <v>45688</v>
      </c>
      <c r="B683" s="194" t="s">
        <v>114</v>
      </c>
      <c r="C683" s="195" t="s">
        <v>724</v>
      </c>
      <c r="D683" s="200">
        <v>8.59</v>
      </c>
    </row>
    <row r="684" spans="1:4">
      <c r="A684" s="194">
        <v>45688</v>
      </c>
      <c r="B684" s="194" t="s">
        <v>169</v>
      </c>
      <c r="C684" s="195" t="s">
        <v>724</v>
      </c>
      <c r="D684" s="200">
        <v>1.27</v>
      </c>
    </row>
    <row r="685" spans="1:4">
      <c r="A685" s="194">
        <v>45702</v>
      </c>
      <c r="B685" s="194" t="s">
        <v>136</v>
      </c>
      <c r="C685" s="195" t="s">
        <v>724</v>
      </c>
      <c r="D685" s="200">
        <v>3130.93</v>
      </c>
    </row>
    <row r="686" spans="1:4">
      <c r="A686" s="194">
        <v>45706</v>
      </c>
      <c r="B686" s="194" t="s">
        <v>121</v>
      </c>
      <c r="C686" s="195" t="s">
        <v>724</v>
      </c>
      <c r="D686" s="200">
        <v>773.2</v>
      </c>
    </row>
    <row r="687" spans="1:4">
      <c r="A687" s="194">
        <v>45706</v>
      </c>
      <c r="B687" s="194" t="s">
        <v>158</v>
      </c>
      <c r="C687" s="195" t="s">
        <v>724</v>
      </c>
      <c r="D687" s="200">
        <v>264.60000000000002</v>
      </c>
    </row>
    <row r="688" spans="1:4">
      <c r="A688" s="194">
        <v>45706</v>
      </c>
      <c r="B688" s="194" t="s">
        <v>161</v>
      </c>
      <c r="C688" s="195" t="s">
        <v>724</v>
      </c>
      <c r="D688" s="200">
        <v>49.89</v>
      </c>
    </row>
    <row r="689" spans="1:4">
      <c r="A689" s="194">
        <v>45706</v>
      </c>
      <c r="B689" s="194" t="s">
        <v>167</v>
      </c>
      <c r="C689" s="195" t="s">
        <v>724</v>
      </c>
      <c r="D689" s="200">
        <v>1719.47</v>
      </c>
    </row>
    <row r="690" spans="1:4">
      <c r="A690" s="194">
        <v>45706</v>
      </c>
      <c r="B690" s="194" t="s">
        <v>160</v>
      </c>
      <c r="C690" s="195" t="s">
        <v>724</v>
      </c>
      <c r="D690" s="200">
        <v>43.97</v>
      </c>
    </row>
    <row r="691" spans="1:4">
      <c r="A691" s="194">
        <v>45706</v>
      </c>
      <c r="B691" s="194" t="s">
        <v>111</v>
      </c>
      <c r="C691" s="195" t="s">
        <v>724</v>
      </c>
      <c r="D691" s="200">
        <v>1869.47</v>
      </c>
    </row>
    <row r="692" spans="1:4">
      <c r="A692" s="194">
        <v>45706</v>
      </c>
      <c r="B692" s="194" t="s">
        <v>122</v>
      </c>
      <c r="C692" s="195" t="s">
        <v>724</v>
      </c>
      <c r="D692" s="200">
        <v>1325.11</v>
      </c>
    </row>
    <row r="693" spans="1:4">
      <c r="A693" s="194">
        <v>45706</v>
      </c>
      <c r="B693" s="194" t="s">
        <v>113</v>
      </c>
      <c r="C693" s="195" t="s">
        <v>724</v>
      </c>
      <c r="D693" s="200">
        <v>1322.56</v>
      </c>
    </row>
    <row r="694" spans="1:4">
      <c r="A694" s="194">
        <v>45706</v>
      </c>
      <c r="B694" s="194" t="s">
        <v>116</v>
      </c>
      <c r="C694" s="195" t="s">
        <v>724</v>
      </c>
      <c r="D694" s="200">
        <v>1449.61</v>
      </c>
    </row>
    <row r="695" spans="1:4">
      <c r="A695" s="194">
        <v>45706</v>
      </c>
      <c r="B695" s="194" t="s">
        <v>124</v>
      </c>
      <c r="C695" s="195" t="s">
        <v>724</v>
      </c>
      <c r="D695" s="200">
        <v>1834.26</v>
      </c>
    </row>
    <row r="696" spans="1:4">
      <c r="A696" s="194">
        <v>45706</v>
      </c>
      <c r="B696" s="194" t="s">
        <v>131</v>
      </c>
      <c r="C696" s="195" t="s">
        <v>724</v>
      </c>
      <c r="D696" s="200">
        <v>1068.92</v>
      </c>
    </row>
    <row r="697" spans="1:4">
      <c r="A697" s="194">
        <v>45706</v>
      </c>
      <c r="B697" s="194" t="s">
        <v>112</v>
      </c>
      <c r="C697" s="195" t="s">
        <v>724</v>
      </c>
      <c r="D697" s="200">
        <v>317.77</v>
      </c>
    </row>
    <row r="698" spans="1:4">
      <c r="A698" s="194">
        <v>45706</v>
      </c>
      <c r="B698" s="194" t="s">
        <v>118</v>
      </c>
      <c r="C698" s="195" t="s">
        <v>724</v>
      </c>
      <c r="D698" s="200">
        <v>990.73</v>
      </c>
    </row>
    <row r="699" spans="1:4">
      <c r="A699" s="194">
        <v>45706</v>
      </c>
      <c r="B699" s="194" t="s">
        <v>149</v>
      </c>
      <c r="C699" s="195" t="s">
        <v>724</v>
      </c>
      <c r="D699" s="200">
        <v>79.510000000000005</v>
      </c>
    </row>
    <row r="700" spans="1:4">
      <c r="A700" s="194">
        <v>45706</v>
      </c>
      <c r="B700" s="194" t="s">
        <v>126</v>
      </c>
      <c r="C700" s="195" t="s">
        <v>724</v>
      </c>
      <c r="D700" s="200">
        <v>450.1</v>
      </c>
    </row>
    <row r="701" spans="1:4">
      <c r="A701" s="194">
        <v>45701</v>
      </c>
      <c r="B701" s="194" t="s">
        <v>129</v>
      </c>
      <c r="C701" s="195" t="s">
        <v>724</v>
      </c>
      <c r="D701" s="200">
        <v>255.23</v>
      </c>
    </row>
    <row r="702" spans="1:4">
      <c r="A702" s="194">
        <v>45701</v>
      </c>
      <c r="B702" s="194" t="s">
        <v>119</v>
      </c>
      <c r="C702" s="195" t="s">
        <v>724</v>
      </c>
      <c r="D702" s="200">
        <v>22.97</v>
      </c>
    </row>
    <row r="703" spans="1:4">
      <c r="A703" s="194">
        <v>45701</v>
      </c>
      <c r="B703" s="194" t="s">
        <v>132</v>
      </c>
      <c r="C703" s="195" t="s">
        <v>724</v>
      </c>
      <c r="D703" s="200">
        <v>659.66</v>
      </c>
    </row>
    <row r="704" spans="1:4">
      <c r="A704" s="194">
        <v>45701</v>
      </c>
      <c r="B704" s="194" t="s">
        <v>135</v>
      </c>
      <c r="C704" s="195" t="s">
        <v>724</v>
      </c>
      <c r="D704" s="200">
        <v>1.19</v>
      </c>
    </row>
    <row r="705" spans="1:4">
      <c r="A705" s="194">
        <v>45701</v>
      </c>
      <c r="B705" s="194" t="s">
        <v>114</v>
      </c>
      <c r="C705" s="195" t="s">
        <v>724</v>
      </c>
      <c r="D705" s="200">
        <v>-39.1</v>
      </c>
    </row>
    <row r="706" spans="1:4">
      <c r="A706" s="194">
        <v>45701</v>
      </c>
      <c r="B706" s="194" t="s">
        <v>130</v>
      </c>
      <c r="C706" s="195" t="s">
        <v>724</v>
      </c>
      <c r="D706" s="200">
        <v>68.64</v>
      </c>
    </row>
    <row r="707" spans="1:4">
      <c r="A707" s="194">
        <v>45701</v>
      </c>
      <c r="B707" s="194" t="s">
        <v>169</v>
      </c>
      <c r="C707" s="195" t="s">
        <v>724</v>
      </c>
      <c r="D707" s="200">
        <v>1.43</v>
      </c>
    </row>
    <row r="708" spans="1:4">
      <c r="A708" s="194">
        <v>45733</v>
      </c>
      <c r="B708" s="194" t="s">
        <v>121</v>
      </c>
      <c r="C708" s="195" t="s">
        <v>724</v>
      </c>
      <c r="D708" s="200">
        <v>368.43</v>
      </c>
    </row>
    <row r="709" spans="1:4">
      <c r="A709" s="194">
        <v>45733</v>
      </c>
      <c r="B709" s="194" t="s">
        <v>158</v>
      </c>
      <c r="C709" s="195" t="s">
        <v>724</v>
      </c>
      <c r="D709" s="200">
        <v>220.49</v>
      </c>
    </row>
    <row r="710" spans="1:4">
      <c r="A710" s="194">
        <v>45733</v>
      </c>
      <c r="B710" s="194" t="s">
        <v>161</v>
      </c>
      <c r="C710" s="195" t="s">
        <v>724</v>
      </c>
      <c r="D710" s="200">
        <v>1631.45</v>
      </c>
    </row>
    <row r="711" spans="1:4">
      <c r="A711" s="194">
        <v>45733</v>
      </c>
      <c r="B711" s="194" t="s">
        <v>167</v>
      </c>
      <c r="C711" s="195" t="s">
        <v>724</v>
      </c>
      <c r="D711" s="200">
        <v>671.59</v>
      </c>
    </row>
    <row r="712" spans="1:4">
      <c r="A712" s="194">
        <v>45733</v>
      </c>
      <c r="B712" s="194" t="s">
        <v>160</v>
      </c>
      <c r="C712" s="195" t="s">
        <v>724</v>
      </c>
      <c r="D712" s="200">
        <v>368.55</v>
      </c>
    </row>
    <row r="713" spans="1:4">
      <c r="A713" s="194">
        <v>45733</v>
      </c>
      <c r="B713" s="194" t="s">
        <v>148</v>
      </c>
      <c r="C713" s="195" t="s">
        <v>724</v>
      </c>
      <c r="D713" s="200">
        <v>12.24</v>
      </c>
    </row>
    <row r="714" spans="1:4">
      <c r="A714" s="194">
        <v>45733</v>
      </c>
      <c r="B714" s="194" t="s">
        <v>120</v>
      </c>
      <c r="C714" s="195" t="s">
        <v>724</v>
      </c>
      <c r="D714" s="200">
        <v>5017.7299999999996</v>
      </c>
    </row>
    <row r="715" spans="1:4">
      <c r="A715" s="194">
        <v>45733</v>
      </c>
      <c r="B715" s="194" t="s">
        <v>124</v>
      </c>
      <c r="C715" s="195" t="s">
        <v>724</v>
      </c>
      <c r="D715" s="200">
        <v>1857.1299999999999</v>
      </c>
    </row>
    <row r="716" spans="1:4">
      <c r="A716" s="194">
        <v>45733</v>
      </c>
      <c r="B716" s="194" t="s">
        <v>131</v>
      </c>
      <c r="C716" s="195" t="s">
        <v>724</v>
      </c>
      <c r="D716" s="200">
        <v>489.54</v>
      </c>
    </row>
    <row r="717" spans="1:4">
      <c r="A717" s="194">
        <v>45733</v>
      </c>
      <c r="B717" s="194" t="s">
        <v>112</v>
      </c>
      <c r="C717" s="195" t="s">
        <v>724</v>
      </c>
      <c r="D717" s="200">
        <v>2236.7399999999998</v>
      </c>
    </row>
    <row r="718" spans="1:4">
      <c r="A718" s="194">
        <v>45733</v>
      </c>
      <c r="B718" s="194" t="s">
        <v>118</v>
      </c>
      <c r="C718" s="195" t="s">
        <v>724</v>
      </c>
      <c r="D718" s="200">
        <v>1587.07</v>
      </c>
    </row>
    <row r="719" spans="1:4">
      <c r="A719" s="194">
        <v>45733</v>
      </c>
      <c r="B719" s="194" t="s">
        <v>149</v>
      </c>
      <c r="C719" s="195" t="s">
        <v>724</v>
      </c>
      <c r="D719" s="200">
        <v>244.92</v>
      </c>
    </row>
    <row r="720" spans="1:4">
      <c r="A720" s="194">
        <v>45733</v>
      </c>
      <c r="B720" s="194" t="s">
        <v>109</v>
      </c>
      <c r="C720" s="195" t="s">
        <v>724</v>
      </c>
      <c r="D720" s="200">
        <v>1356.09</v>
      </c>
    </row>
    <row r="721" spans="1:4">
      <c r="A721" s="194">
        <v>45733</v>
      </c>
      <c r="B721" s="194" t="s">
        <v>115</v>
      </c>
      <c r="C721" s="195" t="s">
        <v>724</v>
      </c>
      <c r="D721" s="200">
        <v>4.83</v>
      </c>
    </row>
    <row r="722" spans="1:4">
      <c r="A722" s="194">
        <v>45733</v>
      </c>
      <c r="B722" s="194" t="s">
        <v>162</v>
      </c>
      <c r="C722" s="195" t="s">
        <v>724</v>
      </c>
      <c r="D722" s="200">
        <v>3.1</v>
      </c>
    </row>
    <row r="723" spans="1:4">
      <c r="A723" s="194">
        <v>45720</v>
      </c>
      <c r="B723" s="194" t="s">
        <v>119</v>
      </c>
      <c r="C723" s="195" t="s">
        <v>724</v>
      </c>
      <c r="D723" s="200">
        <v>97.27</v>
      </c>
    </row>
    <row r="724" spans="1:4">
      <c r="A724" s="194">
        <v>45720</v>
      </c>
      <c r="B724" s="194" t="s">
        <v>117</v>
      </c>
      <c r="C724" s="195" t="s">
        <v>724</v>
      </c>
      <c r="D724" s="200">
        <v>2065.7399999999998</v>
      </c>
    </row>
    <row r="725" spans="1:4">
      <c r="A725" s="194">
        <v>45720</v>
      </c>
      <c r="B725" s="194" t="s">
        <v>133</v>
      </c>
      <c r="C725" s="195" t="s">
        <v>724</v>
      </c>
      <c r="D725" s="200">
        <v>5140.05</v>
      </c>
    </row>
    <row r="726" spans="1:4">
      <c r="A726" s="194">
        <v>45720</v>
      </c>
      <c r="B726" s="194" t="s">
        <v>114</v>
      </c>
      <c r="C726" s="195" t="s">
        <v>724</v>
      </c>
      <c r="D726" s="200">
        <v>427.56</v>
      </c>
    </row>
    <row r="727" spans="1:4">
      <c r="A727" s="194">
        <v>45720</v>
      </c>
      <c r="B727" s="194" t="s">
        <v>110</v>
      </c>
      <c r="C727" s="195" t="s">
        <v>724</v>
      </c>
      <c r="D727" s="200">
        <v>305.38</v>
      </c>
    </row>
    <row r="728" spans="1:4">
      <c r="A728" s="194">
        <v>45720</v>
      </c>
      <c r="B728" s="194" t="s">
        <v>169</v>
      </c>
      <c r="C728" s="195" t="s">
        <v>724</v>
      </c>
      <c r="D728" s="200">
        <v>2206.91</v>
      </c>
    </row>
    <row r="729" spans="1:4">
      <c r="A729" s="194">
        <v>45737</v>
      </c>
      <c r="B729" s="194" t="s">
        <v>136</v>
      </c>
      <c r="C729" s="195" t="s">
        <v>724</v>
      </c>
      <c r="D729" s="200">
        <v>1643.44</v>
      </c>
    </row>
    <row r="730" spans="1:4">
      <c r="A730" s="194">
        <v>45733</v>
      </c>
      <c r="B730" s="194" t="s">
        <v>121</v>
      </c>
      <c r="C730" s="195" t="s">
        <v>724</v>
      </c>
      <c r="D730" s="200">
        <v>794.9800000000007</v>
      </c>
    </row>
    <row r="731" spans="1:4">
      <c r="A731" s="194">
        <v>45733</v>
      </c>
      <c r="B731" s="194" t="s">
        <v>174</v>
      </c>
      <c r="C731" s="195" t="s">
        <v>724</v>
      </c>
      <c r="D731" s="200">
        <v>350.14</v>
      </c>
    </row>
    <row r="732" spans="1:4">
      <c r="A732" s="194">
        <v>45733</v>
      </c>
      <c r="B732" s="194" t="s">
        <v>158</v>
      </c>
      <c r="C732" s="195" t="s">
        <v>724</v>
      </c>
      <c r="D732" s="200">
        <v>1297.73</v>
      </c>
    </row>
    <row r="733" spans="1:4">
      <c r="A733" s="194">
        <v>45733</v>
      </c>
      <c r="B733" s="194" t="s">
        <v>161</v>
      </c>
      <c r="C733" s="195" t="s">
        <v>724</v>
      </c>
      <c r="D733" s="200">
        <v>294.1099999999999</v>
      </c>
    </row>
    <row r="734" spans="1:4">
      <c r="A734" s="194">
        <v>45733</v>
      </c>
      <c r="B734" s="194" t="s">
        <v>167</v>
      </c>
      <c r="C734" s="195" t="s">
        <v>724</v>
      </c>
      <c r="D734" s="200">
        <v>704.23000000000013</v>
      </c>
    </row>
    <row r="735" spans="1:4">
      <c r="A735" s="194">
        <v>45733</v>
      </c>
      <c r="B735" s="194" t="s">
        <v>160</v>
      </c>
      <c r="C735" s="195" t="s">
        <v>724</v>
      </c>
      <c r="D735" s="200">
        <v>621.79000000000019</v>
      </c>
    </row>
    <row r="736" spans="1:4">
      <c r="A736" s="194">
        <v>45733</v>
      </c>
      <c r="B736" s="194" t="s">
        <v>148</v>
      </c>
      <c r="C736" s="195" t="s">
        <v>724</v>
      </c>
      <c r="D736" s="200">
        <v>100.15</v>
      </c>
    </row>
    <row r="737" spans="1:4">
      <c r="A737" s="194">
        <v>45733</v>
      </c>
      <c r="B737" s="194" t="s">
        <v>131</v>
      </c>
      <c r="C737" s="195" t="s">
        <v>724</v>
      </c>
      <c r="D737" s="200">
        <v>1255.2399999999998</v>
      </c>
    </row>
    <row r="738" spans="1:4">
      <c r="A738" s="194">
        <v>45733</v>
      </c>
      <c r="B738" s="194" t="s">
        <v>112</v>
      </c>
      <c r="C738" s="195" t="s">
        <v>724</v>
      </c>
      <c r="D738" s="200">
        <v>667.63999999999987</v>
      </c>
    </row>
    <row r="739" spans="1:4">
      <c r="A739" s="194">
        <v>45733</v>
      </c>
      <c r="B739" s="194" t="s">
        <v>118</v>
      </c>
      <c r="C739" s="195" t="s">
        <v>724</v>
      </c>
      <c r="D739" s="200">
        <v>1289.9500000000003</v>
      </c>
    </row>
    <row r="740" spans="1:4">
      <c r="A740" s="194">
        <v>45733</v>
      </c>
      <c r="B740" s="194" t="s">
        <v>149</v>
      </c>
      <c r="C740" s="195" t="s">
        <v>724</v>
      </c>
      <c r="D740" s="200">
        <v>135.80999999999995</v>
      </c>
    </row>
    <row r="741" spans="1:4">
      <c r="A741" s="194">
        <v>45733</v>
      </c>
      <c r="B741" s="194" t="s">
        <v>109</v>
      </c>
      <c r="C741" s="195" t="s">
        <v>724</v>
      </c>
      <c r="D741" s="200">
        <v>2283.61</v>
      </c>
    </row>
    <row r="742" spans="1:4">
      <c r="A742" s="194">
        <v>45733</v>
      </c>
      <c r="B742" s="194" t="s">
        <v>162</v>
      </c>
      <c r="C742" s="195" t="s">
        <v>724</v>
      </c>
      <c r="D742" s="200">
        <v>4.62</v>
      </c>
    </row>
    <row r="743" spans="1:4">
      <c r="A743" s="194">
        <v>45733</v>
      </c>
      <c r="B743" s="194" t="s">
        <v>126</v>
      </c>
      <c r="C743" s="195" t="s">
        <v>724</v>
      </c>
      <c r="D743" s="200">
        <v>152.51</v>
      </c>
    </row>
    <row r="744" spans="1:4">
      <c r="A744" s="194">
        <v>45729</v>
      </c>
      <c r="B744" s="194" t="s">
        <v>119</v>
      </c>
      <c r="C744" s="195" t="s">
        <v>724</v>
      </c>
      <c r="D744" s="200">
        <v>4.66</v>
      </c>
    </row>
    <row r="745" spans="1:4">
      <c r="A745" s="194">
        <v>45729</v>
      </c>
      <c r="B745" s="194" t="s">
        <v>117</v>
      </c>
      <c r="C745" s="195" t="s">
        <v>724</v>
      </c>
      <c r="D745" s="200">
        <v>2063.29</v>
      </c>
    </row>
    <row r="746" spans="1:4">
      <c r="A746" s="194">
        <v>45729</v>
      </c>
      <c r="B746" s="194" t="s">
        <v>132</v>
      </c>
      <c r="C746" s="195" t="s">
        <v>724</v>
      </c>
      <c r="D746" s="200">
        <v>662.09</v>
      </c>
    </row>
    <row r="747" spans="1:4">
      <c r="A747" s="194">
        <v>45729</v>
      </c>
      <c r="B747" s="194" t="s">
        <v>110</v>
      </c>
      <c r="C747" s="195" t="s">
        <v>724</v>
      </c>
      <c r="D747" s="200">
        <v>305.38</v>
      </c>
    </row>
    <row r="748" spans="1:4">
      <c r="A748" s="194">
        <v>45729</v>
      </c>
      <c r="B748" s="194" t="s">
        <v>130</v>
      </c>
      <c r="C748" s="195" t="s">
        <v>724</v>
      </c>
      <c r="D748" s="200">
        <v>64.64</v>
      </c>
    </row>
    <row r="749" spans="1:4">
      <c r="A749" s="194">
        <v>45729</v>
      </c>
      <c r="B749" s="194" t="s">
        <v>169</v>
      </c>
      <c r="C749" s="195" t="s">
        <v>724</v>
      </c>
      <c r="D749" s="200">
        <v>2134.66</v>
      </c>
    </row>
    <row r="750" spans="1:4">
      <c r="A750" s="194">
        <v>45748</v>
      </c>
      <c r="B750" s="194" t="s">
        <v>121</v>
      </c>
      <c r="C750" s="195" t="s">
        <v>724</v>
      </c>
      <c r="D750" s="200">
        <v>376.18</v>
      </c>
    </row>
    <row r="751" spans="1:4">
      <c r="A751" s="194">
        <v>45748</v>
      </c>
      <c r="B751" s="194" t="s">
        <v>174</v>
      </c>
      <c r="C751" s="195" t="s">
        <v>724</v>
      </c>
      <c r="D751" s="200">
        <v>12115.54</v>
      </c>
    </row>
    <row r="752" spans="1:4">
      <c r="A752" s="194">
        <v>45748</v>
      </c>
      <c r="B752" s="194" t="s">
        <v>158</v>
      </c>
      <c r="C752" s="195" t="s">
        <v>724</v>
      </c>
      <c r="D752" s="200">
        <v>43.25</v>
      </c>
    </row>
    <row r="753" spans="1:4">
      <c r="A753" s="194">
        <v>45748</v>
      </c>
      <c r="B753" s="194" t="s">
        <v>161</v>
      </c>
      <c r="C753" s="195" t="s">
        <v>724</v>
      </c>
      <c r="D753" s="200">
        <v>113.54</v>
      </c>
    </row>
    <row r="754" spans="1:4">
      <c r="A754" s="194">
        <v>45748</v>
      </c>
      <c r="B754" s="194" t="s">
        <v>167</v>
      </c>
      <c r="C754" s="195" t="s">
        <v>724</v>
      </c>
      <c r="D754" s="200">
        <v>66.900000000000006</v>
      </c>
    </row>
    <row r="755" spans="1:4">
      <c r="A755" s="194">
        <v>45748</v>
      </c>
      <c r="B755" s="194" t="s">
        <v>160</v>
      </c>
      <c r="C755" s="195" t="s">
        <v>724</v>
      </c>
      <c r="D755" s="200">
        <v>14.13</v>
      </c>
    </row>
    <row r="756" spans="1:4">
      <c r="A756" s="194">
        <v>45748</v>
      </c>
      <c r="B756" s="194" t="s">
        <v>125</v>
      </c>
      <c r="C756" s="195" t="s">
        <v>724</v>
      </c>
      <c r="D756" s="200">
        <v>5706.92</v>
      </c>
    </row>
    <row r="757" spans="1:4">
      <c r="A757" s="194">
        <v>45748</v>
      </c>
      <c r="B757" s="194" t="s">
        <v>148</v>
      </c>
      <c r="C757" s="195" t="s">
        <v>724</v>
      </c>
      <c r="D757" s="200">
        <v>365.3</v>
      </c>
    </row>
    <row r="758" spans="1:4">
      <c r="A758" s="194">
        <v>45748</v>
      </c>
      <c r="B758" s="194" t="s">
        <v>122</v>
      </c>
      <c r="C758" s="195" t="s">
        <v>724</v>
      </c>
      <c r="D758" s="200">
        <v>2240.2199999999998</v>
      </c>
    </row>
    <row r="759" spans="1:4">
      <c r="A759" s="194">
        <v>45748</v>
      </c>
      <c r="B759" s="194" t="s">
        <v>113</v>
      </c>
      <c r="C759" s="195" t="s">
        <v>724</v>
      </c>
      <c r="D759" s="200">
        <v>1820.38</v>
      </c>
    </row>
    <row r="760" spans="1:4">
      <c r="A760" s="194">
        <v>45748</v>
      </c>
      <c r="B760" s="194" t="s">
        <v>116</v>
      </c>
      <c r="C760" s="195" t="s">
        <v>724</v>
      </c>
      <c r="D760" s="200">
        <v>1972.94</v>
      </c>
    </row>
    <row r="761" spans="1:4">
      <c r="A761" s="194">
        <v>45748</v>
      </c>
      <c r="B761" s="194" t="s">
        <v>124</v>
      </c>
      <c r="C761" s="195" t="s">
        <v>724</v>
      </c>
      <c r="D761" s="200">
        <v>1298.27</v>
      </c>
    </row>
    <row r="762" spans="1:4">
      <c r="A762" s="194">
        <v>45748</v>
      </c>
      <c r="B762" s="194" t="s">
        <v>131</v>
      </c>
      <c r="C762" s="195" t="s">
        <v>724</v>
      </c>
      <c r="D762" s="200">
        <v>376.71</v>
      </c>
    </row>
    <row r="763" spans="1:4">
      <c r="A763" s="194">
        <v>45748</v>
      </c>
      <c r="B763" s="194" t="s">
        <v>112</v>
      </c>
      <c r="C763" s="195" t="s">
        <v>724</v>
      </c>
      <c r="D763" s="200">
        <v>616.4</v>
      </c>
    </row>
    <row r="764" spans="1:4">
      <c r="A764" s="194">
        <v>45748</v>
      </c>
      <c r="B764" s="194" t="s">
        <v>118</v>
      </c>
      <c r="C764" s="195" t="s">
        <v>724</v>
      </c>
      <c r="D764" s="200">
        <v>531.76</v>
      </c>
    </row>
    <row r="765" spans="1:4">
      <c r="A765" s="194">
        <v>45748</v>
      </c>
      <c r="B765" s="194" t="s">
        <v>149</v>
      </c>
      <c r="C765" s="195" t="s">
        <v>724</v>
      </c>
      <c r="D765" s="200">
        <v>69.959999999999994</v>
      </c>
    </row>
    <row r="766" spans="1:4">
      <c r="A766" s="194">
        <v>45748</v>
      </c>
      <c r="B766" s="194" t="s">
        <v>115</v>
      </c>
      <c r="C766" s="195" t="s">
        <v>724</v>
      </c>
      <c r="D766" s="200">
        <v>4.83</v>
      </c>
    </row>
    <row r="767" spans="1:4">
      <c r="A767" s="194">
        <v>45748</v>
      </c>
      <c r="B767" s="194" t="s">
        <v>162</v>
      </c>
      <c r="C767" s="195" t="s">
        <v>724</v>
      </c>
      <c r="D767" s="200">
        <v>3959.31</v>
      </c>
    </row>
    <row r="768" spans="1:4">
      <c r="A768" s="194">
        <v>45748</v>
      </c>
      <c r="B768" s="194" t="s">
        <v>129</v>
      </c>
      <c r="C768" s="195" t="s">
        <v>724</v>
      </c>
      <c r="D768" s="200">
        <v>255.23</v>
      </c>
    </row>
    <row r="769" spans="1:4">
      <c r="A769" s="194">
        <v>45748</v>
      </c>
      <c r="B769" s="194" t="s">
        <v>119</v>
      </c>
      <c r="C769" s="195" t="s">
        <v>724</v>
      </c>
      <c r="D769" s="200">
        <v>64.36</v>
      </c>
    </row>
    <row r="770" spans="1:4">
      <c r="A770" s="194">
        <v>45748</v>
      </c>
      <c r="B770" s="194" t="s">
        <v>117</v>
      </c>
      <c r="C770" s="195" t="s">
        <v>724</v>
      </c>
      <c r="D770" s="200">
        <v>2063.29</v>
      </c>
    </row>
    <row r="771" spans="1:4">
      <c r="A771" s="194">
        <v>45748</v>
      </c>
      <c r="B771" s="194" t="s">
        <v>114</v>
      </c>
      <c r="C771" s="195" t="s">
        <v>724</v>
      </c>
      <c r="D771" s="200">
        <v>424.75</v>
      </c>
    </row>
    <row r="772" spans="1:4">
      <c r="A772" s="194">
        <v>45768</v>
      </c>
      <c r="B772" s="194" t="s">
        <v>136</v>
      </c>
      <c r="C772" s="195" t="s">
        <v>724</v>
      </c>
      <c r="D772" s="200">
        <v>1985.67</v>
      </c>
    </row>
    <row r="773" spans="1:4">
      <c r="A773" s="194">
        <v>45777</v>
      </c>
      <c r="B773" s="194" t="s">
        <v>121</v>
      </c>
      <c r="C773" s="195" t="s">
        <v>724</v>
      </c>
      <c r="D773" s="200">
        <v>780.45</v>
      </c>
    </row>
    <row r="774" spans="1:4">
      <c r="A774" s="194">
        <v>45777</v>
      </c>
      <c r="B774" s="194" t="s">
        <v>174</v>
      </c>
      <c r="C774" s="195" t="s">
        <v>724</v>
      </c>
      <c r="D774" s="200">
        <v>2826.55</v>
      </c>
    </row>
    <row r="775" spans="1:4">
      <c r="A775" s="194">
        <v>45777</v>
      </c>
      <c r="B775" s="194" t="s">
        <v>158</v>
      </c>
      <c r="C775" s="195" t="s">
        <v>724</v>
      </c>
      <c r="D775" s="200">
        <v>984.95</v>
      </c>
    </row>
    <row r="776" spans="1:4">
      <c r="A776" s="194">
        <v>45777</v>
      </c>
      <c r="B776" s="194" t="s">
        <v>161</v>
      </c>
      <c r="C776" s="195" t="s">
        <v>724</v>
      </c>
      <c r="D776" s="200">
        <v>57.37</v>
      </c>
    </row>
    <row r="777" spans="1:4">
      <c r="A777" s="194">
        <v>45777</v>
      </c>
      <c r="B777" s="194" t="s">
        <v>167</v>
      </c>
      <c r="C777" s="195" t="s">
        <v>724</v>
      </c>
      <c r="D777" s="200">
        <v>68.289999999999992</v>
      </c>
    </row>
    <row r="778" spans="1:4">
      <c r="A778" s="194">
        <v>45777</v>
      </c>
      <c r="B778" s="194" t="s">
        <v>160</v>
      </c>
      <c r="C778" s="195" t="s">
        <v>724</v>
      </c>
      <c r="D778" s="200">
        <v>15.84</v>
      </c>
    </row>
    <row r="779" spans="1:4">
      <c r="A779" s="194">
        <v>45777</v>
      </c>
      <c r="B779" s="194" t="s">
        <v>111</v>
      </c>
      <c r="C779" s="195" t="s">
        <v>724</v>
      </c>
      <c r="D779" s="200">
        <v>3741.78</v>
      </c>
    </row>
    <row r="780" spans="1:4">
      <c r="A780" s="194">
        <v>45777</v>
      </c>
      <c r="B780" s="194" t="s">
        <v>148</v>
      </c>
      <c r="C780" s="195" t="s">
        <v>724</v>
      </c>
      <c r="D780" s="200">
        <v>880.65</v>
      </c>
    </row>
    <row r="781" spans="1:4">
      <c r="A781" s="194">
        <v>45777</v>
      </c>
      <c r="B781" s="194" t="s">
        <v>122</v>
      </c>
      <c r="C781" s="195" t="s">
        <v>724</v>
      </c>
      <c r="D781" s="200">
        <v>1064.54</v>
      </c>
    </row>
    <row r="782" spans="1:4">
      <c r="A782" s="194">
        <v>45777</v>
      </c>
      <c r="B782" s="194" t="s">
        <v>120</v>
      </c>
      <c r="C782" s="195" t="s">
        <v>724</v>
      </c>
      <c r="D782" s="200">
        <v>-0.48</v>
      </c>
    </row>
    <row r="783" spans="1:4">
      <c r="A783" s="194">
        <v>45777</v>
      </c>
      <c r="B783" s="194" t="s">
        <v>113</v>
      </c>
      <c r="C783" s="195" t="s">
        <v>724</v>
      </c>
      <c r="D783" s="200">
        <v>844.2</v>
      </c>
    </row>
    <row r="784" spans="1:4">
      <c r="A784" s="194">
        <v>45777</v>
      </c>
      <c r="B784" s="194" t="s">
        <v>116</v>
      </c>
      <c r="C784" s="195" t="s">
        <v>724</v>
      </c>
      <c r="D784" s="200">
        <v>969.2</v>
      </c>
    </row>
    <row r="785" spans="1:4">
      <c r="A785" s="194">
        <v>45777</v>
      </c>
      <c r="B785" s="194" t="s">
        <v>124</v>
      </c>
      <c r="C785" s="195" t="s">
        <v>724</v>
      </c>
      <c r="D785" s="200">
        <v>97.58</v>
      </c>
    </row>
    <row r="786" spans="1:4">
      <c r="A786" s="194">
        <v>45777</v>
      </c>
      <c r="B786" s="194" t="s">
        <v>131</v>
      </c>
      <c r="C786" s="195" t="s">
        <v>724</v>
      </c>
      <c r="D786" s="200">
        <v>1931.98</v>
      </c>
    </row>
    <row r="787" spans="1:4">
      <c r="A787" s="194">
        <v>45777</v>
      </c>
      <c r="B787" s="194" t="s">
        <v>112</v>
      </c>
      <c r="C787" s="195" t="s">
        <v>724</v>
      </c>
      <c r="D787" s="200">
        <v>813.48</v>
      </c>
    </row>
    <row r="788" spans="1:4">
      <c r="A788" s="194">
        <v>45777</v>
      </c>
      <c r="B788" s="194" t="s">
        <v>118</v>
      </c>
      <c r="C788" s="195" t="s">
        <v>724</v>
      </c>
      <c r="D788" s="200">
        <v>1483.8</v>
      </c>
    </row>
    <row r="789" spans="1:4">
      <c r="A789" s="194">
        <v>45777</v>
      </c>
      <c r="B789" s="194" t="s">
        <v>149</v>
      </c>
      <c r="C789" s="195" t="s">
        <v>724</v>
      </c>
      <c r="D789" s="200">
        <v>13.9</v>
      </c>
    </row>
    <row r="790" spans="1:4">
      <c r="A790" s="194">
        <v>45777</v>
      </c>
      <c r="B790" s="194" t="s">
        <v>109</v>
      </c>
      <c r="C790" s="195" t="s">
        <v>724</v>
      </c>
      <c r="D790" s="200">
        <v>1837.49</v>
      </c>
    </row>
    <row r="791" spans="1:4">
      <c r="A791" s="194">
        <v>45777</v>
      </c>
      <c r="B791" s="194" t="s">
        <v>162</v>
      </c>
      <c r="C791" s="195" t="s">
        <v>724</v>
      </c>
      <c r="D791" s="200">
        <v>1908.43</v>
      </c>
    </row>
    <row r="792" spans="1:4">
      <c r="A792" s="194">
        <v>45777</v>
      </c>
      <c r="B792" s="194" t="s">
        <v>126</v>
      </c>
      <c r="C792" s="195" t="s">
        <v>724</v>
      </c>
      <c r="D792" s="200">
        <v>152.51</v>
      </c>
    </row>
    <row r="793" spans="1:4">
      <c r="A793" s="194">
        <v>45763</v>
      </c>
      <c r="B793" s="194" t="s">
        <v>119</v>
      </c>
      <c r="C793" s="195" t="s">
        <v>724</v>
      </c>
      <c r="D793" s="200">
        <v>16.940000000000001</v>
      </c>
    </row>
    <row r="794" spans="1:4">
      <c r="A794" s="194">
        <v>45763</v>
      </c>
      <c r="B794" s="194" t="s">
        <v>117</v>
      </c>
      <c r="C794" s="195" t="s">
        <v>724</v>
      </c>
      <c r="D794" s="200">
        <v>1939.48</v>
      </c>
    </row>
    <row r="795" spans="1:4">
      <c r="A795" s="194">
        <v>45763</v>
      </c>
      <c r="B795" s="194" t="s">
        <v>135</v>
      </c>
      <c r="C795" s="195" t="s">
        <v>724</v>
      </c>
      <c r="D795" s="200">
        <v>-1.19</v>
      </c>
    </row>
    <row r="796" spans="1:4">
      <c r="A796" s="194">
        <v>45763</v>
      </c>
      <c r="B796" s="194" t="s">
        <v>168</v>
      </c>
      <c r="C796" s="195" t="s">
        <v>724</v>
      </c>
      <c r="D796" s="200">
        <v>152.59</v>
      </c>
    </row>
    <row r="797" spans="1:4">
      <c r="A797" s="194">
        <v>45763</v>
      </c>
      <c r="B797" s="194" t="s">
        <v>169</v>
      </c>
      <c r="C797" s="195" t="s">
        <v>724</v>
      </c>
      <c r="D797" s="200">
        <v>-22.23</v>
      </c>
    </row>
    <row r="798" spans="1:4">
      <c r="A798" s="194">
        <v>45777</v>
      </c>
      <c r="B798" s="194" t="s">
        <v>121</v>
      </c>
      <c r="C798" s="195" t="s">
        <v>724</v>
      </c>
      <c r="D798" s="200">
        <v>556.79</v>
      </c>
    </row>
    <row r="799" spans="1:4">
      <c r="A799" s="194">
        <v>45777</v>
      </c>
      <c r="B799" s="194" t="s">
        <v>161</v>
      </c>
      <c r="C799" s="195" t="s">
        <v>724</v>
      </c>
      <c r="D799" s="200">
        <v>26.32</v>
      </c>
    </row>
    <row r="800" spans="1:4">
      <c r="A800" s="194">
        <v>45777</v>
      </c>
      <c r="B800" s="194" t="s">
        <v>167</v>
      </c>
      <c r="C800" s="195" t="s">
        <v>724</v>
      </c>
      <c r="D800" s="200">
        <v>34.11</v>
      </c>
    </row>
    <row r="801" spans="1:4">
      <c r="A801" s="194">
        <v>45777</v>
      </c>
      <c r="B801" s="194" t="s">
        <v>160</v>
      </c>
      <c r="C801" s="195" t="s">
        <v>724</v>
      </c>
      <c r="D801" s="200">
        <v>2.57</v>
      </c>
    </row>
    <row r="802" spans="1:4">
      <c r="A802" s="194">
        <v>45777</v>
      </c>
      <c r="B802" s="194" t="s">
        <v>148</v>
      </c>
      <c r="C802" s="195" t="s">
        <v>724</v>
      </c>
      <c r="D802" s="200">
        <v>39.39</v>
      </c>
    </row>
    <row r="803" spans="1:4">
      <c r="A803" s="194">
        <v>45777</v>
      </c>
      <c r="B803" s="194" t="s">
        <v>120</v>
      </c>
      <c r="C803" s="195" t="s">
        <v>724</v>
      </c>
      <c r="D803" s="200">
        <v>3363.35</v>
      </c>
    </row>
    <row r="804" spans="1:4">
      <c r="A804" s="194">
        <v>45777</v>
      </c>
      <c r="B804" s="194" t="s">
        <v>131</v>
      </c>
      <c r="C804" s="195" t="s">
        <v>724</v>
      </c>
      <c r="D804" s="200">
        <v>609.43999999999994</v>
      </c>
    </row>
    <row r="805" spans="1:4">
      <c r="A805" s="194">
        <v>45777</v>
      </c>
      <c r="B805" s="194" t="s">
        <v>112</v>
      </c>
      <c r="C805" s="195" t="s">
        <v>724</v>
      </c>
      <c r="D805" s="200">
        <v>882.7</v>
      </c>
    </row>
    <row r="806" spans="1:4">
      <c r="A806" s="194">
        <v>45777</v>
      </c>
      <c r="B806" s="194" t="s">
        <v>118</v>
      </c>
      <c r="C806" s="195" t="s">
        <v>724</v>
      </c>
      <c r="D806" s="200">
        <v>799.38</v>
      </c>
    </row>
    <row r="807" spans="1:4">
      <c r="A807" s="194">
        <v>45777</v>
      </c>
      <c r="B807" s="194" t="s">
        <v>149</v>
      </c>
      <c r="C807" s="195" t="s">
        <v>724</v>
      </c>
      <c r="D807" s="200">
        <v>27.45</v>
      </c>
    </row>
    <row r="808" spans="1:4">
      <c r="A808" s="194">
        <v>45777</v>
      </c>
      <c r="B808" s="194" t="s">
        <v>115</v>
      </c>
      <c r="C808" s="195" t="s">
        <v>724</v>
      </c>
      <c r="D808" s="200">
        <v>4.83</v>
      </c>
    </row>
    <row r="809" spans="1:4">
      <c r="A809" s="194">
        <v>45776</v>
      </c>
      <c r="B809" s="194" t="s">
        <v>129</v>
      </c>
      <c r="C809" s="195" t="s">
        <v>724</v>
      </c>
      <c r="D809" s="200">
        <v>252.77</v>
      </c>
    </row>
    <row r="810" spans="1:4">
      <c r="A810" s="194">
        <v>45776</v>
      </c>
      <c r="B810" s="194" t="s">
        <v>119</v>
      </c>
      <c r="C810" s="195" t="s">
        <v>724</v>
      </c>
      <c r="D810" s="200">
        <v>118.36</v>
      </c>
    </row>
    <row r="811" spans="1:4">
      <c r="A811" s="194">
        <v>45776</v>
      </c>
      <c r="B811" s="194" t="s">
        <v>132</v>
      </c>
      <c r="C811" s="195" t="s">
        <v>724</v>
      </c>
      <c r="D811" s="200">
        <v>641.46</v>
      </c>
    </row>
    <row r="812" spans="1:4">
      <c r="A812" s="194">
        <v>45776</v>
      </c>
      <c r="B812" s="194" t="s">
        <v>135</v>
      </c>
      <c r="C812" s="195" t="s">
        <v>724</v>
      </c>
      <c r="D812" s="200">
        <v>1364.46</v>
      </c>
    </row>
    <row r="813" spans="1:4">
      <c r="A813" s="194">
        <v>45776</v>
      </c>
      <c r="B813" s="194" t="s">
        <v>114</v>
      </c>
      <c r="C813" s="195" t="s">
        <v>724</v>
      </c>
      <c r="D813" s="200">
        <v>423.39</v>
      </c>
    </row>
    <row r="814" spans="1:4">
      <c r="A814" s="194">
        <v>45776</v>
      </c>
      <c r="B814" s="194" t="s">
        <v>110</v>
      </c>
      <c r="C814" s="195" t="s">
        <v>724</v>
      </c>
      <c r="D814" s="200">
        <v>150.9</v>
      </c>
    </row>
    <row r="815" spans="1:4">
      <c r="A815" s="194">
        <v>45776</v>
      </c>
      <c r="B815" s="194" t="s">
        <v>130</v>
      </c>
      <c r="C815" s="195" t="s">
        <v>724</v>
      </c>
      <c r="D815" s="200">
        <v>64.430000000000007</v>
      </c>
    </row>
    <row r="816" spans="1:4">
      <c r="A816" s="194">
        <v>45776</v>
      </c>
      <c r="B816" s="194" t="s">
        <v>169</v>
      </c>
      <c r="C816" s="195" t="s">
        <v>724</v>
      </c>
      <c r="D816" s="200">
        <v>2101.33</v>
      </c>
    </row>
    <row r="817" spans="1:4">
      <c r="A817" s="194">
        <v>45804</v>
      </c>
      <c r="B817" s="194" t="s">
        <v>136</v>
      </c>
      <c r="C817" s="195" t="s">
        <v>724</v>
      </c>
      <c r="D817" s="200">
        <v>2294.48</v>
      </c>
    </row>
    <row r="818" spans="1:4">
      <c r="A818" s="194">
        <v>45799</v>
      </c>
      <c r="B818" s="194" t="s">
        <v>121</v>
      </c>
      <c r="C818" s="195" t="s">
        <v>724</v>
      </c>
      <c r="D818" s="200">
        <v>765.5</v>
      </c>
    </row>
    <row r="819" spans="1:4">
      <c r="A819" s="194">
        <v>45799</v>
      </c>
      <c r="B819" s="194" t="s">
        <v>174</v>
      </c>
      <c r="C819" s="195" t="s">
        <v>724</v>
      </c>
      <c r="D819" s="200">
        <v>1980.29</v>
      </c>
    </row>
    <row r="820" spans="1:4">
      <c r="A820" s="194">
        <v>45799</v>
      </c>
      <c r="B820" s="194" t="s">
        <v>158</v>
      </c>
      <c r="C820" s="195" t="s">
        <v>724</v>
      </c>
      <c r="D820" s="200">
        <v>5.23</v>
      </c>
    </row>
    <row r="821" spans="1:4">
      <c r="A821" s="194">
        <v>45799</v>
      </c>
      <c r="B821" s="194" t="s">
        <v>161</v>
      </c>
      <c r="C821" s="195" t="s">
        <v>724</v>
      </c>
      <c r="D821" s="200">
        <v>6837.82</v>
      </c>
    </row>
    <row r="822" spans="1:4">
      <c r="A822" s="194">
        <v>45799</v>
      </c>
      <c r="B822" s="194" t="s">
        <v>167</v>
      </c>
      <c r="C822" s="195" t="s">
        <v>724</v>
      </c>
      <c r="D822" s="200">
        <v>5895.09</v>
      </c>
    </row>
    <row r="823" spans="1:4">
      <c r="A823" s="194">
        <v>45799</v>
      </c>
      <c r="B823" s="194" t="s">
        <v>111</v>
      </c>
      <c r="C823" s="195" t="s">
        <v>724</v>
      </c>
      <c r="D823" s="200">
        <v>1856.74</v>
      </c>
    </row>
    <row r="824" spans="1:4">
      <c r="A824" s="194">
        <v>45799</v>
      </c>
      <c r="B824" s="194" t="s">
        <v>148</v>
      </c>
      <c r="C824" s="195" t="s">
        <v>724</v>
      </c>
      <c r="D824" s="200">
        <v>5127.0200000000004</v>
      </c>
    </row>
    <row r="825" spans="1:4">
      <c r="A825" s="194">
        <v>45799</v>
      </c>
      <c r="B825" s="194" t="s">
        <v>122</v>
      </c>
      <c r="C825" s="195" t="s">
        <v>724</v>
      </c>
      <c r="D825" s="200">
        <v>988.1</v>
      </c>
    </row>
    <row r="826" spans="1:4">
      <c r="A826" s="194">
        <v>45799</v>
      </c>
      <c r="B826" s="194" t="s">
        <v>113</v>
      </c>
      <c r="C826" s="195" t="s">
        <v>724</v>
      </c>
      <c r="D826" s="200">
        <v>1030.92</v>
      </c>
    </row>
    <row r="827" spans="1:4">
      <c r="A827" s="194">
        <v>45799</v>
      </c>
      <c r="B827" s="194" t="s">
        <v>116</v>
      </c>
      <c r="C827" s="195" t="s">
        <v>724</v>
      </c>
      <c r="D827" s="200">
        <v>1462.47</v>
      </c>
    </row>
    <row r="828" spans="1:4">
      <c r="A828" s="194">
        <v>45799</v>
      </c>
      <c r="B828" s="194" t="s">
        <v>124</v>
      </c>
      <c r="C828" s="195" t="s">
        <v>724</v>
      </c>
      <c r="D828" s="200">
        <v>3810.71</v>
      </c>
    </row>
    <row r="829" spans="1:4">
      <c r="A829" s="194">
        <v>45799</v>
      </c>
      <c r="B829" s="194" t="s">
        <v>131</v>
      </c>
      <c r="C829" s="195" t="s">
        <v>724</v>
      </c>
      <c r="D829" s="200">
        <v>1413.05</v>
      </c>
    </row>
    <row r="830" spans="1:4">
      <c r="A830" s="194">
        <v>45799</v>
      </c>
      <c r="B830" s="194" t="s">
        <v>112</v>
      </c>
      <c r="C830" s="195" t="s">
        <v>724</v>
      </c>
      <c r="D830" s="200">
        <v>573.45000000000005</v>
      </c>
    </row>
    <row r="831" spans="1:4">
      <c r="A831" s="194">
        <v>45799</v>
      </c>
      <c r="B831" s="194" t="s">
        <v>118</v>
      </c>
      <c r="C831" s="195" t="s">
        <v>724</v>
      </c>
      <c r="D831" s="200">
        <v>1143.28</v>
      </c>
    </row>
    <row r="832" spans="1:4">
      <c r="A832" s="194">
        <v>45799</v>
      </c>
      <c r="B832" s="194" t="s">
        <v>149</v>
      </c>
      <c r="C832" s="195" t="s">
        <v>724</v>
      </c>
      <c r="D832" s="200">
        <v>3975.3700000000003</v>
      </c>
    </row>
    <row r="833" spans="1:4">
      <c r="A833" s="194">
        <v>45799</v>
      </c>
      <c r="B833" s="194" t="s">
        <v>109</v>
      </c>
      <c r="C833" s="195" t="s">
        <v>724</v>
      </c>
      <c r="D833" s="200">
        <v>1855.5</v>
      </c>
    </row>
    <row r="834" spans="1:4">
      <c r="A834" s="194">
        <v>45799</v>
      </c>
      <c r="B834" s="194" t="s">
        <v>126</v>
      </c>
      <c r="C834" s="195" t="s">
        <v>724</v>
      </c>
      <c r="D834" s="200">
        <v>152.51</v>
      </c>
    </row>
    <row r="835" spans="1:4">
      <c r="A835" s="194">
        <v>45791</v>
      </c>
      <c r="B835" s="194" t="s">
        <v>119</v>
      </c>
      <c r="C835" s="195" t="s">
        <v>724</v>
      </c>
      <c r="D835" s="200">
        <v>13.66</v>
      </c>
    </row>
    <row r="836" spans="1:4">
      <c r="A836" s="194">
        <v>45791</v>
      </c>
      <c r="B836" s="194" t="s">
        <v>134</v>
      </c>
      <c r="C836" s="195" t="s">
        <v>724</v>
      </c>
      <c r="D836" s="200">
        <v>1006.51</v>
      </c>
    </row>
    <row r="837" spans="1:4">
      <c r="A837" s="194">
        <v>45791</v>
      </c>
      <c r="B837" s="194" t="s">
        <v>156</v>
      </c>
      <c r="C837" s="195" t="s">
        <v>724</v>
      </c>
      <c r="D837" s="200">
        <v>1702.79</v>
      </c>
    </row>
    <row r="838" spans="1:4">
      <c r="A838" s="194">
        <v>45821</v>
      </c>
      <c r="B838" s="194" t="s">
        <v>121</v>
      </c>
      <c r="C838" s="195" t="s">
        <v>724</v>
      </c>
      <c r="D838" s="197">
        <v>341.59</v>
      </c>
    </row>
    <row r="839" spans="1:4">
      <c r="A839" s="194">
        <v>45821</v>
      </c>
      <c r="B839" s="194" t="s">
        <v>158</v>
      </c>
      <c r="C839" s="195" t="s">
        <v>724</v>
      </c>
      <c r="D839" s="197">
        <v>15.04</v>
      </c>
    </row>
    <row r="840" spans="1:4">
      <c r="A840" s="194">
        <v>45821</v>
      </c>
      <c r="B840" s="194" t="s">
        <v>167</v>
      </c>
      <c r="C840" s="195" t="s">
        <v>724</v>
      </c>
      <c r="D840" s="197">
        <v>7.96</v>
      </c>
    </row>
    <row r="841" spans="1:4">
      <c r="A841" s="194">
        <v>45821</v>
      </c>
      <c r="B841" s="194" t="s">
        <v>160</v>
      </c>
      <c r="C841" s="195" t="s">
        <v>724</v>
      </c>
      <c r="D841" s="197">
        <v>11.39</v>
      </c>
    </row>
    <row r="842" spans="1:4">
      <c r="A842" s="194">
        <v>45821</v>
      </c>
      <c r="B842" s="194" t="s">
        <v>125</v>
      </c>
      <c r="C842" s="195" t="s">
        <v>724</v>
      </c>
      <c r="D842" s="197">
        <v>1844.8</v>
      </c>
    </row>
    <row r="843" spans="1:4">
      <c r="A843" s="194">
        <v>45821</v>
      </c>
      <c r="B843" s="194" t="s">
        <v>111</v>
      </c>
      <c r="C843" s="195" t="s">
        <v>724</v>
      </c>
      <c r="D843" s="197">
        <v>1883.07</v>
      </c>
    </row>
    <row r="844" spans="1:4">
      <c r="A844" s="194">
        <v>45821</v>
      </c>
      <c r="B844" s="194" t="s">
        <v>148</v>
      </c>
      <c r="C844" s="195" t="s">
        <v>724</v>
      </c>
      <c r="D844" s="197">
        <v>7.44</v>
      </c>
    </row>
    <row r="845" spans="1:4">
      <c r="A845" s="194">
        <v>45821</v>
      </c>
      <c r="B845" s="194" t="s">
        <v>122</v>
      </c>
      <c r="C845" s="195" t="s">
        <v>724</v>
      </c>
      <c r="D845" s="197">
        <v>1736.25</v>
      </c>
    </row>
    <row r="846" spans="1:4">
      <c r="A846" s="194">
        <v>45821</v>
      </c>
      <c r="B846" s="194" t="s">
        <v>120</v>
      </c>
      <c r="C846" s="195" t="s">
        <v>724</v>
      </c>
      <c r="D846" s="197">
        <v>1564.38</v>
      </c>
    </row>
    <row r="847" spans="1:4">
      <c r="A847" s="194">
        <v>45821</v>
      </c>
      <c r="B847" s="194" t="s">
        <v>113</v>
      </c>
      <c r="C847" s="195" t="s">
        <v>724</v>
      </c>
      <c r="D847" s="197">
        <v>1624.66</v>
      </c>
    </row>
    <row r="848" spans="1:4">
      <c r="A848" s="194">
        <v>45821</v>
      </c>
      <c r="B848" s="194" t="s">
        <v>116</v>
      </c>
      <c r="C848" s="195" t="s">
        <v>724</v>
      </c>
      <c r="D848" s="197">
        <v>1498.99</v>
      </c>
    </row>
    <row r="849" spans="1:4">
      <c r="A849" s="194">
        <v>45821</v>
      </c>
      <c r="B849" s="194" t="s">
        <v>124</v>
      </c>
      <c r="C849" s="195" t="s">
        <v>724</v>
      </c>
      <c r="D849" s="197">
        <v>1957.31</v>
      </c>
    </row>
    <row r="850" spans="1:4">
      <c r="A850" s="194">
        <v>45821</v>
      </c>
      <c r="B850" s="194" t="s">
        <v>131</v>
      </c>
      <c r="C850" s="195" t="s">
        <v>724</v>
      </c>
      <c r="D850" s="197">
        <v>334.61</v>
      </c>
    </row>
    <row r="851" spans="1:4">
      <c r="A851" s="194">
        <v>45821</v>
      </c>
      <c r="B851" s="194" t="s">
        <v>112</v>
      </c>
      <c r="C851" s="195" t="s">
        <v>724</v>
      </c>
      <c r="D851" s="197">
        <v>621.04</v>
      </c>
    </row>
    <row r="852" spans="1:4">
      <c r="A852" s="194">
        <v>45821</v>
      </c>
      <c r="B852" s="194" t="s">
        <v>118</v>
      </c>
      <c r="C852" s="195" t="s">
        <v>724</v>
      </c>
      <c r="D852" s="197">
        <v>601.04</v>
      </c>
    </row>
    <row r="853" spans="1:4">
      <c r="A853" s="194">
        <v>45821</v>
      </c>
      <c r="B853" s="194" t="s">
        <v>149</v>
      </c>
      <c r="C853" s="195" t="s">
        <v>724</v>
      </c>
      <c r="D853" s="197">
        <v>3.899999999999999</v>
      </c>
    </row>
    <row r="854" spans="1:4">
      <c r="A854" s="194">
        <v>45821</v>
      </c>
      <c r="B854" s="194" t="s">
        <v>109</v>
      </c>
      <c r="C854" s="195" t="s">
        <v>724</v>
      </c>
      <c r="D854" s="197">
        <v>1853.52</v>
      </c>
    </row>
    <row r="855" spans="1:4">
      <c r="A855" s="194">
        <v>45821</v>
      </c>
      <c r="B855" s="194" t="s">
        <v>115</v>
      </c>
      <c r="C855" s="195" t="s">
        <v>724</v>
      </c>
      <c r="D855" s="197">
        <v>4.83</v>
      </c>
    </row>
    <row r="856" spans="1:4">
      <c r="A856" s="194">
        <v>45811</v>
      </c>
      <c r="B856" s="194" t="s">
        <v>129</v>
      </c>
      <c r="C856" s="195" t="s">
        <v>724</v>
      </c>
      <c r="D856" s="200">
        <v>125.78</v>
      </c>
    </row>
    <row r="857" spans="1:4">
      <c r="A857" s="194">
        <v>45811</v>
      </c>
      <c r="B857" s="194" t="s">
        <v>119</v>
      </c>
      <c r="C857" s="195" t="s">
        <v>724</v>
      </c>
      <c r="D857" s="200">
        <v>77.790000000000006</v>
      </c>
    </row>
    <row r="858" spans="1:4">
      <c r="A858" s="194">
        <v>45811</v>
      </c>
      <c r="B858" s="194" t="s">
        <v>117</v>
      </c>
      <c r="C858" s="195" t="s">
        <v>724</v>
      </c>
      <c r="D858" s="200">
        <v>4002.77</v>
      </c>
    </row>
    <row r="859" spans="1:4">
      <c r="A859" s="194">
        <v>45811</v>
      </c>
      <c r="B859" s="194" t="s">
        <v>133</v>
      </c>
      <c r="C859" s="195" t="s">
        <v>724</v>
      </c>
      <c r="D859" s="200">
        <v>1706.32</v>
      </c>
    </row>
    <row r="860" spans="1:4">
      <c r="A860" s="194">
        <v>45811</v>
      </c>
      <c r="B860" s="194" t="s">
        <v>114</v>
      </c>
      <c r="C860" s="195" t="s">
        <v>724</v>
      </c>
      <c r="D860" s="200">
        <v>423.39</v>
      </c>
    </row>
    <row r="861" spans="1:4">
      <c r="A861" s="194">
        <v>45811</v>
      </c>
      <c r="B861" s="194" t="s">
        <v>172</v>
      </c>
      <c r="C861" s="195" t="s">
        <v>724</v>
      </c>
      <c r="D861" s="200">
        <v>2950.33</v>
      </c>
    </row>
    <row r="862" spans="1:4">
      <c r="A862" s="194">
        <v>45811</v>
      </c>
      <c r="B862" s="194" t="s">
        <v>168</v>
      </c>
      <c r="C862" s="195" t="s">
        <v>724</v>
      </c>
      <c r="D862" s="200">
        <v>152.59</v>
      </c>
    </row>
    <row r="863" spans="1:4">
      <c r="A863" s="194">
        <v>45835</v>
      </c>
      <c r="B863" s="194" t="s">
        <v>136</v>
      </c>
      <c r="C863" s="195" t="s">
        <v>724</v>
      </c>
      <c r="D863" s="200">
        <v>2219.6999999999998</v>
      </c>
    </row>
    <row r="864" spans="1:4">
      <c r="A864" s="194">
        <v>45824</v>
      </c>
      <c r="B864" s="194" t="s">
        <v>121</v>
      </c>
      <c r="C864" s="195" t="s">
        <v>724</v>
      </c>
      <c r="D864" s="200">
        <v>783.79</v>
      </c>
    </row>
    <row r="865" spans="1:4">
      <c r="A865" s="194">
        <v>45824</v>
      </c>
      <c r="B865" s="194" t="s">
        <v>174</v>
      </c>
      <c r="C865" s="195" t="s">
        <v>724</v>
      </c>
      <c r="D865" s="200">
        <v>1966.7</v>
      </c>
    </row>
    <row r="866" spans="1:4">
      <c r="A866" s="194">
        <v>45824</v>
      </c>
      <c r="B866" s="194" t="s">
        <v>158</v>
      </c>
      <c r="C866" s="195" t="s">
        <v>724</v>
      </c>
      <c r="D866" s="200">
        <v>1932.44</v>
      </c>
    </row>
    <row r="867" spans="1:4">
      <c r="A867" s="194">
        <v>45824</v>
      </c>
      <c r="B867" s="194" t="s">
        <v>161</v>
      </c>
      <c r="C867" s="195" t="s">
        <v>724</v>
      </c>
      <c r="D867" s="200">
        <v>2282.2800000000002</v>
      </c>
    </row>
    <row r="868" spans="1:4">
      <c r="A868" s="194">
        <v>45824</v>
      </c>
      <c r="B868" s="194" t="s">
        <v>167</v>
      </c>
      <c r="C868" s="195" t="s">
        <v>724</v>
      </c>
      <c r="D868" s="200">
        <v>5.09</v>
      </c>
    </row>
    <row r="869" spans="1:4">
      <c r="A869" s="194">
        <v>45824</v>
      </c>
      <c r="B869" s="194" t="s">
        <v>160</v>
      </c>
      <c r="C869" s="195" t="s">
        <v>724</v>
      </c>
      <c r="D869" s="200">
        <v>4.12</v>
      </c>
    </row>
    <row r="870" spans="1:4">
      <c r="A870" s="194">
        <v>45824</v>
      </c>
      <c r="B870" s="194" t="s">
        <v>148</v>
      </c>
      <c r="C870" s="195" t="s">
        <v>724</v>
      </c>
      <c r="D870" s="200">
        <v>20.350000000000001</v>
      </c>
    </row>
    <row r="871" spans="1:4">
      <c r="A871" s="194">
        <v>45824</v>
      </c>
      <c r="B871" s="194" t="s">
        <v>124</v>
      </c>
      <c r="C871" s="195" t="s">
        <v>724</v>
      </c>
      <c r="D871" s="200">
        <v>328.86</v>
      </c>
    </row>
    <row r="872" spans="1:4">
      <c r="A872" s="194">
        <v>45824</v>
      </c>
      <c r="B872" s="194" t="s">
        <v>131</v>
      </c>
      <c r="C872" s="195" t="s">
        <v>724</v>
      </c>
      <c r="D872" s="200">
        <v>1112.77</v>
      </c>
    </row>
    <row r="873" spans="1:4">
      <c r="A873" s="194">
        <v>45824</v>
      </c>
      <c r="B873" s="194" t="s">
        <v>112</v>
      </c>
      <c r="C873" s="195" t="s">
        <v>724</v>
      </c>
      <c r="D873" s="200">
        <v>267.56</v>
      </c>
    </row>
    <row r="874" spans="1:4">
      <c r="A874" s="194">
        <v>45824</v>
      </c>
      <c r="B874" s="194" t="s">
        <v>118</v>
      </c>
      <c r="C874" s="195" t="s">
        <v>724</v>
      </c>
      <c r="D874" s="200">
        <v>907.06</v>
      </c>
    </row>
    <row r="875" spans="1:4">
      <c r="A875" s="194">
        <v>45824</v>
      </c>
      <c r="B875" s="194" t="s">
        <v>149</v>
      </c>
      <c r="C875" s="195" t="s">
        <v>724</v>
      </c>
      <c r="D875" s="200">
        <v>688.42000000000007</v>
      </c>
    </row>
    <row r="876" spans="1:4">
      <c r="A876" s="194">
        <v>45824</v>
      </c>
      <c r="B876" s="194" t="s">
        <v>162</v>
      </c>
      <c r="C876" s="195" t="s">
        <v>724</v>
      </c>
      <c r="D876" s="200">
        <v>3904.92</v>
      </c>
    </row>
    <row r="877" spans="1:4">
      <c r="A877" s="194">
        <v>45824</v>
      </c>
      <c r="B877" s="194" t="s">
        <v>165</v>
      </c>
      <c r="C877" s="195" t="s">
        <v>724</v>
      </c>
      <c r="D877" s="200">
        <v>2234.15</v>
      </c>
    </row>
    <row r="878" spans="1:4">
      <c r="A878" s="194">
        <v>45824</v>
      </c>
      <c r="B878" s="194" t="s">
        <v>150</v>
      </c>
      <c r="C878" s="195" t="s">
        <v>724</v>
      </c>
      <c r="D878" s="200">
        <v>1395.73</v>
      </c>
    </row>
    <row r="879" spans="1:4">
      <c r="A879" s="194">
        <v>45824</v>
      </c>
      <c r="B879" s="194" t="s">
        <v>126</v>
      </c>
      <c r="C879" s="195" t="s">
        <v>724</v>
      </c>
      <c r="D879" s="200">
        <v>153.01</v>
      </c>
    </row>
    <row r="880" spans="1:4">
      <c r="A880" s="194">
        <v>45831</v>
      </c>
      <c r="B880" s="194" t="s">
        <v>129</v>
      </c>
      <c r="C880" s="195" t="s">
        <v>724</v>
      </c>
      <c r="D880" s="200">
        <v>0.26</v>
      </c>
    </row>
    <row r="881" spans="1:4">
      <c r="A881" s="194">
        <v>45831</v>
      </c>
      <c r="B881" s="194" t="s">
        <v>119</v>
      </c>
      <c r="C881" s="195" t="s">
        <v>724</v>
      </c>
      <c r="D881" s="200">
        <v>12.6</v>
      </c>
    </row>
    <row r="882" spans="1:4">
      <c r="A882" s="194">
        <v>45831</v>
      </c>
      <c r="B882" s="194" t="s">
        <v>117</v>
      </c>
      <c r="C882" s="195" t="s">
        <v>724</v>
      </c>
      <c r="D882" s="200">
        <v>1939.48</v>
      </c>
    </row>
  </sheetData>
  <autoFilter ref="A4:D4" xr:uid="{D7289309-11E3-4604-B023-A62A37ACD53E}">
    <sortState xmlns:xlrd2="http://schemas.microsoft.com/office/spreadsheetml/2017/richdata2" ref="A5:D513">
      <sortCondition ref="A4"/>
    </sortState>
  </autoFilter>
  <pageMargins left="0.7" right="0.7" top="0.75" bottom="0.75" header="0.3" footer="0.3"/>
  <headerFooter>
    <oddFooter>&amp;C_x000D_&amp;1#&amp;"Calibri"&amp;10&amp;K000000 Level 3 - Restricted</oddFooter>
  </headerFooter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E16B-6FD1-4AF5-BE08-511DED207D83}">
  <sheetPr codeName="Sheet1">
    <tabColor theme="6" tint="0.39997558519241921"/>
  </sheetPr>
  <dimension ref="A2:Y85"/>
  <sheetViews>
    <sheetView workbookViewId="0">
      <selection activeCell="F49" sqref="F49:F50"/>
    </sheetView>
  </sheetViews>
  <sheetFormatPr defaultRowHeight="15"/>
  <cols>
    <col min="3" max="3" width="38.140625" bestFit="1" customWidth="1"/>
    <col min="4" max="4" width="30.85546875" bestFit="1" customWidth="1"/>
    <col min="5" max="6" width="30.85546875" customWidth="1"/>
    <col min="7" max="8" width="22.5703125" bestFit="1" customWidth="1"/>
    <col min="9" max="9" width="30.140625" bestFit="1" customWidth="1"/>
    <col min="10" max="10" width="22.5703125" customWidth="1"/>
    <col min="11" max="11" width="28.140625" bestFit="1" customWidth="1"/>
    <col min="12" max="12" width="28" bestFit="1" customWidth="1"/>
    <col min="13" max="14" width="22.42578125" bestFit="1" customWidth="1"/>
    <col min="15" max="15" width="16.140625" bestFit="1" customWidth="1"/>
    <col min="16" max="18" width="12.5703125" bestFit="1" customWidth="1"/>
    <col min="19" max="19" width="13.5703125" bestFit="1" customWidth="1"/>
    <col min="21" max="23" width="13.5703125" bestFit="1" customWidth="1"/>
    <col min="24" max="24" width="11.7109375" bestFit="1" customWidth="1"/>
  </cols>
  <sheetData>
    <row r="2" spans="3:15" s="122" customFormat="1">
      <c r="C2" s="123" t="s">
        <v>725</v>
      </c>
    </row>
    <row r="3" spans="3:15">
      <c r="C3" s="5"/>
    </row>
    <row r="4" spans="3:15">
      <c r="C4" s="48" t="s">
        <v>726</v>
      </c>
      <c r="D4" s="87">
        <v>2020</v>
      </c>
      <c r="F4" s="31" t="s">
        <v>33</v>
      </c>
      <c r="G4" s="83" t="s">
        <v>727</v>
      </c>
      <c r="H4" s="62" t="s">
        <v>728</v>
      </c>
      <c r="I4" s="48" t="s">
        <v>729</v>
      </c>
      <c r="J4" s="31" t="s">
        <v>730</v>
      </c>
      <c r="K4" s="48" t="s">
        <v>731</v>
      </c>
      <c r="L4" s="48" t="s">
        <v>732</v>
      </c>
      <c r="M4" s="48" t="s">
        <v>733</v>
      </c>
      <c r="N4" s="48" t="s">
        <v>734</v>
      </c>
    </row>
    <row r="5" spans="3:15">
      <c r="C5" s="48" t="s">
        <v>735</v>
      </c>
      <c r="D5" s="118" t="s">
        <v>736</v>
      </c>
      <c r="F5" s="84">
        <v>1</v>
      </c>
      <c r="G5" s="125">
        <v>80</v>
      </c>
      <c r="H5" s="56">
        <v>2020</v>
      </c>
      <c r="I5" s="86">
        <v>0.85</v>
      </c>
      <c r="J5" s="85">
        <v>5</v>
      </c>
      <c r="K5" s="57">
        <v>0</v>
      </c>
      <c r="L5" s="57">
        <v>0.1</v>
      </c>
      <c r="M5" s="57">
        <v>0.9</v>
      </c>
      <c r="N5" s="57">
        <v>0.25</v>
      </c>
    </row>
    <row r="6" spans="3:15">
      <c r="C6" s="48" t="s">
        <v>737</v>
      </c>
      <c r="D6" s="57">
        <v>0.1</v>
      </c>
      <c r="F6" s="84">
        <v>2</v>
      </c>
      <c r="G6" s="125">
        <v>80</v>
      </c>
      <c r="H6" s="56">
        <v>2021</v>
      </c>
      <c r="I6" s="86">
        <v>0.85</v>
      </c>
      <c r="J6" s="86">
        <v>5</v>
      </c>
      <c r="K6" s="57">
        <v>0.4</v>
      </c>
      <c r="L6" s="57">
        <v>0.1</v>
      </c>
      <c r="M6" s="57">
        <v>0.5</v>
      </c>
      <c r="N6" s="57">
        <v>0.25</v>
      </c>
    </row>
    <row r="7" spans="3:15">
      <c r="C7" s="48" t="s">
        <v>738</v>
      </c>
      <c r="D7" s="57">
        <v>0.5</v>
      </c>
    </row>
    <row r="8" spans="3:15">
      <c r="C8" s="48" t="s">
        <v>739</v>
      </c>
      <c r="D8" s="57">
        <v>1</v>
      </c>
    </row>
    <row r="9" spans="3:15">
      <c r="C9" s="48" t="s">
        <v>740</v>
      </c>
      <c r="D9" s="57">
        <v>0</v>
      </c>
      <c r="F9" s="32"/>
      <c r="G9" s="127"/>
      <c r="I9" s="98"/>
      <c r="J9" s="98"/>
      <c r="O9" s="129"/>
    </row>
    <row r="11" spans="3:15" s="122" customFormat="1">
      <c r="C11" s="123" t="s">
        <v>741</v>
      </c>
    </row>
    <row r="12" spans="3:15">
      <c r="D12" s="120"/>
    </row>
    <row r="13" spans="3:15">
      <c r="D13" s="48" t="s">
        <v>99</v>
      </c>
      <c r="E13" s="48" t="s">
        <v>75</v>
      </c>
    </row>
    <row r="14" spans="3:15">
      <c r="C14" s="62" t="s">
        <v>742</v>
      </c>
      <c r="D14" s="395">
        <v>0.95</v>
      </c>
      <c r="E14" s="395"/>
      <c r="J14" s="131"/>
    </row>
    <row r="16" spans="3:15" s="9" customFormat="1">
      <c r="C16"/>
      <c r="D16"/>
      <c r="E16"/>
      <c r="F16"/>
      <c r="G16"/>
      <c r="H16"/>
    </row>
    <row r="18" spans="3:16" s="122" customFormat="1">
      <c r="C18" s="123" t="s">
        <v>743</v>
      </c>
    </row>
    <row r="20" spans="3:16">
      <c r="C20" s="48"/>
      <c r="D20" s="48" t="s">
        <v>33</v>
      </c>
      <c r="E20" s="48" t="s">
        <v>106</v>
      </c>
      <c r="F20" s="48" t="s">
        <v>744</v>
      </c>
      <c r="G20" s="48" t="s">
        <v>745</v>
      </c>
      <c r="H20" s="48" t="s">
        <v>746</v>
      </c>
      <c r="I20" s="48" t="s">
        <v>747</v>
      </c>
      <c r="J20" s="48" t="s">
        <v>199</v>
      </c>
      <c r="M20" s="48" t="s">
        <v>33</v>
      </c>
      <c r="N20" s="48" t="s">
        <v>106</v>
      </c>
      <c r="O20" s="48" t="s">
        <v>1</v>
      </c>
      <c r="P20" s="48" t="s">
        <v>199</v>
      </c>
    </row>
    <row r="21" spans="3:16">
      <c r="C21" s="119" t="s">
        <v>11</v>
      </c>
      <c r="D21" s="119">
        <v>1</v>
      </c>
      <c r="E21" s="48" t="s">
        <v>195</v>
      </c>
      <c r="F21" s="66">
        <f>$K$5</f>
        <v>0</v>
      </c>
      <c r="G21" s="124" t="s">
        <v>748</v>
      </c>
      <c r="H21" s="124">
        <v>0</v>
      </c>
      <c r="I21" s="300">
        <f t="shared" ref="I21:I38" si="0">IFERROR(IF(G21="Retail",INDEX($G$43:$G$45,MATCH(C21,$C$43:$C$45,0))*(1+H21),IF(G21="RVOS",INDEX($H$43:$H$45,MATCH(C21,$C$43:$C$45,0))+H21,IF(G21="Custom",H21))),0)</f>
        <v>0.11234</v>
      </c>
      <c r="J21" s="139">
        <v>0</v>
      </c>
      <c r="L21" s="396" t="s">
        <v>11</v>
      </c>
      <c r="M21" s="302">
        <v>1</v>
      </c>
      <c r="N21" s="48" t="s">
        <v>749</v>
      </c>
      <c r="O21" s="301">
        <f>I21</f>
        <v>0.11234</v>
      </c>
      <c r="P21" s="29">
        <f>J21*F21+J22*F22+J23*F23</f>
        <v>0</v>
      </c>
    </row>
    <row r="22" spans="3:16">
      <c r="C22" s="119" t="s">
        <v>11</v>
      </c>
      <c r="D22" s="119">
        <v>1</v>
      </c>
      <c r="E22" s="48" t="s">
        <v>196</v>
      </c>
      <c r="F22" s="66">
        <f>$L$5</f>
        <v>0.1</v>
      </c>
      <c r="G22" s="124" t="s">
        <v>748</v>
      </c>
      <c r="H22" s="124">
        <v>0</v>
      </c>
      <c r="I22" s="48">
        <f t="shared" si="0"/>
        <v>0.11234</v>
      </c>
      <c r="J22" s="139">
        <v>0</v>
      </c>
      <c r="L22" s="397"/>
      <c r="M22" s="302">
        <v>2</v>
      </c>
      <c r="N22" s="48" t="s">
        <v>750</v>
      </c>
      <c r="O22" s="301">
        <f>I24</f>
        <v>0.11234</v>
      </c>
      <c r="P22" s="29">
        <f>J24</f>
        <v>0.02</v>
      </c>
    </row>
    <row r="23" spans="3:16">
      <c r="C23" s="119" t="s">
        <v>11</v>
      </c>
      <c r="D23" s="119">
        <v>1</v>
      </c>
      <c r="E23" s="48" t="s">
        <v>197</v>
      </c>
      <c r="F23" s="66">
        <v>0.85</v>
      </c>
      <c r="G23" s="124" t="s">
        <v>748</v>
      </c>
      <c r="H23" s="124">
        <v>0</v>
      </c>
      <c r="I23" s="48">
        <f t="shared" si="0"/>
        <v>0.11234</v>
      </c>
      <c r="J23" s="139">
        <v>0</v>
      </c>
      <c r="L23" s="398"/>
      <c r="M23" s="48">
        <v>2</v>
      </c>
      <c r="N23" s="48" t="s">
        <v>197</v>
      </c>
      <c r="O23" s="301">
        <f>I26</f>
        <v>0.101106</v>
      </c>
      <c r="P23" s="303">
        <f>J26</f>
        <v>0.02</v>
      </c>
    </row>
    <row r="24" spans="3:16">
      <c r="C24" s="119" t="s">
        <v>11</v>
      </c>
      <c r="D24" s="119">
        <v>2</v>
      </c>
      <c r="E24" s="48" t="s">
        <v>195</v>
      </c>
      <c r="F24" s="66">
        <f>$K$6</f>
        <v>0.4</v>
      </c>
      <c r="G24" s="124" t="s">
        <v>748</v>
      </c>
      <c r="H24" s="124">
        <v>0</v>
      </c>
      <c r="I24" s="48">
        <f t="shared" si="0"/>
        <v>0.11234</v>
      </c>
      <c r="J24" s="139">
        <v>0.02</v>
      </c>
    </row>
    <row r="25" spans="3:16">
      <c r="C25" s="119" t="s">
        <v>11</v>
      </c>
      <c r="D25" s="119">
        <v>2</v>
      </c>
      <c r="E25" s="48" t="s">
        <v>196</v>
      </c>
      <c r="F25" s="66">
        <f>$L$6</f>
        <v>0.1</v>
      </c>
      <c r="G25" s="124" t="s">
        <v>748</v>
      </c>
      <c r="H25" s="124">
        <v>0</v>
      </c>
      <c r="I25" s="48">
        <f t="shared" si="0"/>
        <v>0.11234</v>
      </c>
      <c r="J25" s="139">
        <v>0.02</v>
      </c>
      <c r="L25" s="394" t="s">
        <v>12</v>
      </c>
      <c r="M25" s="302">
        <v>1</v>
      </c>
      <c r="N25" s="48" t="s">
        <v>749</v>
      </c>
      <c r="O25" s="301">
        <f>I27</f>
        <v>9.7699999999999995E-2</v>
      </c>
      <c r="P25" s="29">
        <f>J27*F27+J28*F28+J29*F29</f>
        <v>0</v>
      </c>
    </row>
    <row r="26" spans="3:16">
      <c r="C26" s="119" t="s">
        <v>11</v>
      </c>
      <c r="D26" s="119">
        <v>2</v>
      </c>
      <c r="E26" s="48" t="s">
        <v>197</v>
      </c>
      <c r="F26" s="66">
        <v>0.45</v>
      </c>
      <c r="G26" s="124" t="s">
        <v>748</v>
      </c>
      <c r="H26" s="124">
        <v>-0.1</v>
      </c>
      <c r="I26" s="48">
        <f t="shared" si="0"/>
        <v>0.101106</v>
      </c>
      <c r="J26" s="139">
        <v>0.02</v>
      </c>
      <c r="L26" s="394"/>
      <c r="M26" s="302">
        <v>2</v>
      </c>
      <c r="N26" s="48" t="s">
        <v>750</v>
      </c>
      <c r="O26" s="301">
        <f>I30</f>
        <v>9.7699999999999995E-2</v>
      </c>
      <c r="P26" s="29">
        <f>J30</f>
        <v>0.02</v>
      </c>
    </row>
    <row r="27" spans="3:16">
      <c r="C27" s="119" t="s">
        <v>12</v>
      </c>
      <c r="D27" s="119">
        <v>1</v>
      </c>
      <c r="E27" s="48" t="s">
        <v>195</v>
      </c>
      <c r="F27" s="66">
        <f>$K$5</f>
        <v>0</v>
      </c>
      <c r="G27" s="124" t="s">
        <v>748</v>
      </c>
      <c r="H27" s="124">
        <v>0</v>
      </c>
      <c r="I27" s="48">
        <f t="shared" si="0"/>
        <v>9.7699999999999995E-2</v>
      </c>
      <c r="J27" s="139">
        <v>0</v>
      </c>
      <c r="L27" s="394"/>
      <c r="M27" s="304">
        <v>2</v>
      </c>
      <c r="N27" s="48" t="s">
        <v>197</v>
      </c>
      <c r="O27" s="301">
        <f>I32</f>
        <v>8.7929999999999994E-2</v>
      </c>
      <c r="P27" s="303">
        <f>J32</f>
        <v>0.02</v>
      </c>
    </row>
    <row r="28" spans="3:16">
      <c r="C28" s="119" t="s">
        <v>12</v>
      </c>
      <c r="D28" s="119">
        <v>1</v>
      </c>
      <c r="E28" s="48" t="s">
        <v>196</v>
      </c>
      <c r="F28" s="66">
        <f>$L$5</f>
        <v>0.1</v>
      </c>
      <c r="G28" s="124" t="s">
        <v>748</v>
      </c>
      <c r="H28" s="124">
        <v>0</v>
      </c>
      <c r="I28" s="48">
        <f t="shared" si="0"/>
        <v>9.7699999999999995E-2</v>
      </c>
      <c r="J28" s="139">
        <v>0</v>
      </c>
    </row>
    <row r="29" spans="3:16">
      <c r="C29" s="119" t="s">
        <v>12</v>
      </c>
      <c r="D29" s="119">
        <v>1</v>
      </c>
      <c r="E29" s="48" t="s">
        <v>197</v>
      </c>
      <c r="F29" s="66">
        <v>0.85</v>
      </c>
      <c r="G29" s="124" t="s">
        <v>748</v>
      </c>
      <c r="H29" s="124">
        <v>0</v>
      </c>
      <c r="I29" s="48">
        <f t="shared" si="0"/>
        <v>9.7699999999999995E-2</v>
      </c>
      <c r="J29" s="139">
        <v>0</v>
      </c>
      <c r="L29" s="394" t="s">
        <v>13</v>
      </c>
      <c r="M29" s="302">
        <v>1</v>
      </c>
      <c r="N29" s="48" t="s">
        <v>749</v>
      </c>
      <c r="O29" s="301">
        <f>I33</f>
        <v>8.48E-2</v>
      </c>
      <c r="P29" s="29">
        <f>J33*F33+J34*F34+J35*F35</f>
        <v>0</v>
      </c>
    </row>
    <row r="30" spans="3:16">
      <c r="C30" s="119" t="s">
        <v>12</v>
      </c>
      <c r="D30" s="119">
        <v>2</v>
      </c>
      <c r="E30" s="48" t="s">
        <v>195</v>
      </c>
      <c r="F30" s="66">
        <f>$K$6</f>
        <v>0.4</v>
      </c>
      <c r="G30" s="124" t="s">
        <v>748</v>
      </c>
      <c r="H30" s="124">
        <v>0</v>
      </c>
      <c r="I30" s="48">
        <f t="shared" si="0"/>
        <v>9.7699999999999995E-2</v>
      </c>
      <c r="J30" s="139">
        <v>0.02</v>
      </c>
      <c r="L30" s="394"/>
      <c r="M30" s="302">
        <v>2</v>
      </c>
      <c r="N30" s="48" t="s">
        <v>750</v>
      </c>
      <c r="O30" s="301">
        <f>I36</f>
        <v>8.48E-2</v>
      </c>
      <c r="P30" s="29">
        <f>J36</f>
        <v>0.02</v>
      </c>
    </row>
    <row r="31" spans="3:16">
      <c r="C31" s="119" t="s">
        <v>12</v>
      </c>
      <c r="D31" s="119">
        <v>2</v>
      </c>
      <c r="E31" s="48" t="s">
        <v>196</v>
      </c>
      <c r="F31" s="66">
        <f>$L$6</f>
        <v>0.1</v>
      </c>
      <c r="G31" s="124" t="s">
        <v>748</v>
      </c>
      <c r="H31" s="124">
        <v>0</v>
      </c>
      <c r="I31" s="48">
        <f t="shared" si="0"/>
        <v>9.7699999999999995E-2</v>
      </c>
      <c r="J31" s="139">
        <v>0.02</v>
      </c>
      <c r="L31" s="394"/>
      <c r="M31" s="48">
        <v>2</v>
      </c>
      <c r="N31" s="48" t="s">
        <v>197</v>
      </c>
      <c r="O31" s="301">
        <f>I38</f>
        <v>7.6319999999999999E-2</v>
      </c>
      <c r="P31" s="303">
        <f>J38</f>
        <v>0.02</v>
      </c>
    </row>
    <row r="32" spans="3:16">
      <c r="C32" s="119" t="s">
        <v>12</v>
      </c>
      <c r="D32" s="119">
        <v>2</v>
      </c>
      <c r="E32" s="48" t="s">
        <v>197</v>
      </c>
      <c r="F32" s="66">
        <v>0.45</v>
      </c>
      <c r="G32" s="124" t="s">
        <v>748</v>
      </c>
      <c r="H32" s="124">
        <v>-0.1</v>
      </c>
      <c r="I32" s="48">
        <f t="shared" si="0"/>
        <v>8.7929999999999994E-2</v>
      </c>
      <c r="J32" s="139">
        <v>0.02</v>
      </c>
      <c r="L32" s="130"/>
      <c r="M32" s="127"/>
      <c r="N32" s="47"/>
    </row>
    <row r="33" spans="1:14">
      <c r="C33" s="119" t="s">
        <v>13</v>
      </c>
      <c r="D33" s="119">
        <v>1</v>
      </c>
      <c r="E33" s="48" t="s">
        <v>195</v>
      </c>
      <c r="F33" s="66">
        <f>$K$5</f>
        <v>0</v>
      </c>
      <c r="G33" s="124" t="s">
        <v>748</v>
      </c>
      <c r="H33" s="124">
        <v>0</v>
      </c>
      <c r="I33" s="48">
        <f t="shared" si="0"/>
        <v>8.48E-2</v>
      </c>
      <c r="J33" s="139">
        <v>0</v>
      </c>
    </row>
    <row r="34" spans="1:14">
      <c r="C34" s="119" t="s">
        <v>13</v>
      </c>
      <c r="D34" s="119">
        <v>1</v>
      </c>
      <c r="E34" s="48" t="s">
        <v>196</v>
      </c>
      <c r="F34" s="66">
        <f>$L$5</f>
        <v>0.1</v>
      </c>
      <c r="G34" s="124" t="s">
        <v>748</v>
      </c>
      <c r="H34" s="124">
        <v>0</v>
      </c>
      <c r="I34" s="48">
        <f t="shared" si="0"/>
        <v>8.48E-2</v>
      </c>
      <c r="J34" s="139">
        <v>0</v>
      </c>
    </row>
    <row r="35" spans="1:14">
      <c r="C35" s="119" t="s">
        <v>13</v>
      </c>
      <c r="D35" s="119">
        <v>1</v>
      </c>
      <c r="E35" s="48" t="s">
        <v>197</v>
      </c>
      <c r="F35" s="66">
        <v>0.85</v>
      </c>
      <c r="G35" s="124" t="s">
        <v>748</v>
      </c>
      <c r="H35" s="124">
        <v>0</v>
      </c>
      <c r="I35" s="48">
        <f t="shared" si="0"/>
        <v>8.48E-2</v>
      </c>
      <c r="J35" s="139">
        <v>0</v>
      </c>
    </row>
    <row r="36" spans="1:14">
      <c r="C36" s="119" t="s">
        <v>13</v>
      </c>
      <c r="D36" s="119">
        <v>2</v>
      </c>
      <c r="E36" s="48" t="s">
        <v>195</v>
      </c>
      <c r="F36" s="66">
        <f>$K$6</f>
        <v>0.4</v>
      </c>
      <c r="G36" s="124" t="s">
        <v>748</v>
      </c>
      <c r="H36" s="124">
        <v>0</v>
      </c>
      <c r="I36" s="48">
        <f t="shared" si="0"/>
        <v>8.48E-2</v>
      </c>
      <c r="J36" s="139">
        <v>0.02</v>
      </c>
    </row>
    <row r="37" spans="1:14">
      <c r="C37" s="119" t="s">
        <v>13</v>
      </c>
      <c r="D37" s="119">
        <v>2</v>
      </c>
      <c r="E37" s="48" t="s">
        <v>196</v>
      </c>
      <c r="F37" s="66">
        <f>$L$6</f>
        <v>0.1</v>
      </c>
      <c r="G37" s="124" t="s">
        <v>748</v>
      </c>
      <c r="H37" s="124">
        <v>0</v>
      </c>
      <c r="I37" s="48">
        <f t="shared" si="0"/>
        <v>8.48E-2</v>
      </c>
      <c r="J37" s="139">
        <v>0.02</v>
      </c>
    </row>
    <row r="38" spans="1:14">
      <c r="C38" s="119" t="s">
        <v>13</v>
      </c>
      <c r="D38" s="119">
        <v>2</v>
      </c>
      <c r="E38" s="48" t="s">
        <v>197</v>
      </c>
      <c r="F38" s="66">
        <v>0.45</v>
      </c>
      <c r="G38" s="124" t="s">
        <v>748</v>
      </c>
      <c r="H38" s="124">
        <v>-0.1</v>
      </c>
      <c r="I38" s="48">
        <f t="shared" si="0"/>
        <v>7.6319999999999999E-2</v>
      </c>
      <c r="J38" s="139">
        <v>0.02</v>
      </c>
    </row>
    <row r="39" spans="1:14">
      <c r="C39" s="9"/>
      <c r="D39" s="95"/>
      <c r="E39" s="95"/>
      <c r="F39" s="95"/>
    </row>
    <row r="40" spans="1:14">
      <c r="A40" s="122"/>
      <c r="B40" s="122"/>
      <c r="C40" s="123" t="s">
        <v>751</v>
      </c>
      <c r="D40" s="122"/>
      <c r="E40" s="122"/>
      <c r="F40" s="122"/>
      <c r="G40" s="122"/>
      <c r="H40" s="122"/>
      <c r="I40" s="122"/>
      <c r="J40" s="122"/>
    </row>
    <row r="42" spans="1:14">
      <c r="C42" s="48" t="s">
        <v>35</v>
      </c>
      <c r="D42" s="48" t="s">
        <v>752</v>
      </c>
      <c r="E42" s="59" t="s">
        <v>26</v>
      </c>
      <c r="F42" s="48" t="s">
        <v>41</v>
      </c>
      <c r="G42" s="48" t="s">
        <v>753</v>
      </c>
      <c r="H42" s="48" t="s">
        <v>754</v>
      </c>
      <c r="I42" s="48" t="s">
        <v>755</v>
      </c>
      <c r="J42" s="48" t="s">
        <v>40</v>
      </c>
    </row>
    <row r="43" spans="1:14">
      <c r="C43" s="48" t="s">
        <v>11</v>
      </c>
      <c r="D43" s="28">
        <v>3726</v>
      </c>
      <c r="E43" s="60">
        <v>1937818036</v>
      </c>
      <c r="F43" s="29">
        <f>D43/SUM($D$43:$D$45)</f>
        <v>0.57849507440788095</v>
      </c>
      <c r="G43" s="48">
        <v>0.11234</v>
      </c>
      <c r="H43" s="56">
        <v>4.9540000000000001E-2</v>
      </c>
      <c r="I43" s="93">
        <v>0.11</v>
      </c>
      <c r="J43" s="19">
        <v>110500</v>
      </c>
      <c r="M43" s="127"/>
      <c r="N43" s="47"/>
    </row>
    <row r="44" spans="1:14">
      <c r="C44" s="48" t="s">
        <v>12</v>
      </c>
      <c r="D44" s="28">
        <v>2584</v>
      </c>
      <c r="E44" s="60">
        <v>1331889672</v>
      </c>
      <c r="F44" s="29">
        <f>D44/SUM($D$43:$D$45)</f>
        <v>0.40118928402307147</v>
      </c>
      <c r="G44" s="48">
        <v>9.7699999999999995E-2</v>
      </c>
      <c r="H44" s="56">
        <v>4.9639999999999997E-2</v>
      </c>
      <c r="I44" s="93">
        <v>0.2</v>
      </c>
      <c r="J44" s="19">
        <v>190000</v>
      </c>
      <c r="M44" s="127"/>
      <c r="N44" s="47"/>
    </row>
    <row r="45" spans="1:14">
      <c r="C45" s="48" t="s">
        <v>13</v>
      </c>
      <c r="D45" s="31">
        <v>130.85</v>
      </c>
      <c r="E45" s="60">
        <v>59953614</v>
      </c>
      <c r="F45" s="29">
        <f>D45/SUM($D$43:$D$45)</f>
        <v>2.0315641569047561E-2</v>
      </c>
      <c r="G45" s="48">
        <v>8.48E-2</v>
      </c>
      <c r="H45" s="56">
        <v>4.8529999999999997E-2</v>
      </c>
      <c r="I45" s="93">
        <v>0.48</v>
      </c>
      <c r="J45" s="19">
        <v>3700</v>
      </c>
    </row>
    <row r="46" spans="1:14">
      <c r="C46" s="48" t="s">
        <v>10</v>
      </c>
      <c r="D46" s="28">
        <f>SUM(D43:D45)</f>
        <v>6440.85</v>
      </c>
      <c r="E46" s="121">
        <f>SUM(E43:E45)</f>
        <v>3329661322</v>
      </c>
      <c r="F46" s="29">
        <f>D46/SUM($D$43:$D$45)</f>
        <v>1</v>
      </c>
      <c r="G46" s="61"/>
      <c r="H46" s="61"/>
      <c r="I46" s="61"/>
      <c r="J46" s="61"/>
    </row>
    <row r="48" spans="1:14">
      <c r="C48" s="54" t="s">
        <v>756</v>
      </c>
      <c r="D48" s="128">
        <v>0.02</v>
      </c>
      <c r="E48" s="5"/>
    </row>
    <row r="49" spans="3:6">
      <c r="C49" s="54" t="s">
        <v>757</v>
      </c>
      <c r="D49" s="58">
        <v>4.41E-2</v>
      </c>
      <c r="F49" t="s">
        <v>758</v>
      </c>
    </row>
    <row r="50" spans="3:6">
      <c r="C50" s="48" t="s">
        <v>759</v>
      </c>
      <c r="D50" s="58">
        <v>2.8000000000000001E-2</v>
      </c>
      <c r="F50" t="s">
        <v>760</v>
      </c>
    </row>
    <row r="52" spans="3:6" s="122" customFormat="1"/>
    <row r="58" spans="3:6">
      <c r="C58" s="127"/>
      <c r="E58" s="55"/>
      <c r="F58" s="55"/>
    </row>
    <row r="59" spans="3:6">
      <c r="C59" s="127"/>
      <c r="E59" s="55"/>
      <c r="F59" s="55"/>
    </row>
    <row r="60" spans="3:6">
      <c r="C60" s="127"/>
      <c r="E60" s="55"/>
      <c r="F60" s="55"/>
    </row>
    <row r="61" spans="3:6">
      <c r="C61" s="127"/>
      <c r="E61" s="55"/>
      <c r="F61" s="55"/>
    </row>
    <row r="62" spans="3:6">
      <c r="C62" s="127"/>
      <c r="E62" s="55"/>
      <c r="F62" s="55"/>
    </row>
    <row r="63" spans="3:6">
      <c r="C63" s="127"/>
      <c r="E63" s="55"/>
      <c r="F63" s="55"/>
    </row>
    <row r="64" spans="3:6">
      <c r="E64" s="55"/>
      <c r="F64" s="55"/>
    </row>
    <row r="65" spans="5:25">
      <c r="E65" s="55"/>
      <c r="F65" s="55"/>
    </row>
    <row r="66" spans="5:25">
      <c r="R66" s="42"/>
      <c r="S66" s="42"/>
      <c r="T66" s="42"/>
      <c r="U66" s="42"/>
      <c r="V66" s="47"/>
      <c r="W66" s="42"/>
      <c r="X66" s="42"/>
    </row>
    <row r="67" spans="5:25">
      <c r="R67" s="42"/>
      <c r="S67" s="42"/>
      <c r="T67" s="42"/>
      <c r="U67" s="42"/>
      <c r="W67" s="42"/>
      <c r="X67" s="42"/>
    </row>
    <row r="68" spans="5:25">
      <c r="R68" s="42"/>
      <c r="S68" s="42"/>
      <c r="T68" s="42"/>
      <c r="U68" s="42"/>
      <c r="W68" s="42"/>
      <c r="X68" s="42"/>
    </row>
    <row r="69" spans="5:25">
      <c r="R69" s="42"/>
      <c r="S69" s="42"/>
      <c r="T69" s="42"/>
      <c r="U69" s="42"/>
      <c r="W69" s="42"/>
      <c r="X69" s="42"/>
    </row>
    <row r="70" spans="5:25">
      <c r="R70" s="42"/>
      <c r="S70" s="42"/>
      <c r="T70" s="42"/>
      <c r="U70" s="42"/>
      <c r="W70" s="42"/>
      <c r="X70" s="42"/>
    </row>
    <row r="71" spans="5:25">
      <c r="R71" s="42"/>
      <c r="S71" s="42"/>
      <c r="T71" s="42"/>
      <c r="U71" s="42"/>
      <c r="W71" s="42"/>
      <c r="X71" s="42"/>
    </row>
    <row r="72" spans="5:25">
      <c r="R72" s="42"/>
      <c r="S72" s="42"/>
      <c r="T72" s="42"/>
      <c r="U72" s="42"/>
      <c r="W72" s="42"/>
      <c r="X72" s="42"/>
    </row>
    <row r="73" spans="5:25">
      <c r="R73" s="42"/>
      <c r="S73" s="42"/>
      <c r="T73" s="42"/>
      <c r="U73" s="42"/>
      <c r="W73" s="42"/>
      <c r="X73" s="42"/>
    </row>
    <row r="74" spans="5:25">
      <c r="R74" s="42"/>
      <c r="S74" s="42"/>
      <c r="T74" s="42"/>
      <c r="U74" s="42"/>
      <c r="W74" s="42"/>
      <c r="X74" s="42"/>
    </row>
    <row r="75" spans="5:25">
      <c r="R75" s="42"/>
      <c r="S75" s="42"/>
      <c r="T75" s="42"/>
      <c r="U75" s="42"/>
      <c r="W75" s="42"/>
      <c r="X75" s="42"/>
    </row>
    <row r="76" spans="5:25">
      <c r="R76" s="42"/>
      <c r="S76" s="42"/>
      <c r="T76" s="42"/>
      <c r="U76" s="42"/>
      <c r="W76" s="42"/>
      <c r="X76" s="42"/>
    </row>
    <row r="77" spans="5:25">
      <c r="R77" s="42"/>
      <c r="S77" s="42"/>
      <c r="T77" s="42"/>
      <c r="U77" s="42"/>
      <c r="W77" s="42"/>
      <c r="X77" s="42"/>
    </row>
    <row r="78" spans="5:25">
      <c r="R78" s="42"/>
      <c r="S78" s="42"/>
      <c r="T78" s="42"/>
      <c r="U78" s="42"/>
      <c r="W78" s="42"/>
      <c r="X78" s="42"/>
    </row>
    <row r="79" spans="5:25">
      <c r="R79" s="42"/>
      <c r="S79" s="42"/>
      <c r="T79" s="42"/>
      <c r="U79" s="42"/>
      <c r="W79" s="42"/>
      <c r="X79" s="42"/>
      <c r="Y79" s="81"/>
    </row>
    <row r="80" spans="5:25">
      <c r="R80" s="42"/>
      <c r="S80" s="42"/>
      <c r="T80" s="42"/>
      <c r="U80" s="42"/>
      <c r="W80" s="42"/>
      <c r="X80" s="42"/>
      <c r="Y80" s="9"/>
    </row>
    <row r="81" spans="18:25">
      <c r="R81" s="42"/>
      <c r="S81" s="42"/>
      <c r="T81" s="42"/>
      <c r="U81" s="42"/>
      <c r="W81" s="42"/>
      <c r="X81" s="42"/>
      <c r="Y81" s="9"/>
    </row>
    <row r="82" spans="18:25">
      <c r="R82" s="42"/>
      <c r="S82" s="42"/>
      <c r="T82" s="42"/>
      <c r="U82" s="42"/>
      <c r="W82" s="42"/>
      <c r="X82" s="42"/>
      <c r="Y82" s="9"/>
    </row>
    <row r="83" spans="18:25">
      <c r="R83" s="42"/>
      <c r="S83" s="42"/>
      <c r="T83" s="42"/>
      <c r="U83" s="42"/>
      <c r="W83" s="42"/>
      <c r="X83" s="42"/>
      <c r="Y83" s="9"/>
    </row>
    <row r="84" spans="18:25">
      <c r="R84" s="42"/>
      <c r="S84" s="42"/>
      <c r="T84" s="42"/>
      <c r="U84" s="42"/>
      <c r="W84" s="42"/>
      <c r="X84" s="42"/>
      <c r="Y84" s="9"/>
    </row>
    <row r="85" spans="18:25">
      <c r="R85" s="42"/>
      <c r="S85" s="42"/>
      <c r="T85" s="42"/>
      <c r="U85" s="42"/>
      <c r="W85" s="42"/>
      <c r="X85" s="42"/>
      <c r="Y85" s="81"/>
    </row>
  </sheetData>
  <protectedRanges>
    <protectedRange sqref="D14 G43:H45 I5:J5 E43 D49:D50 D8:D9 L41 D5" name="ProgInputs"/>
  </protectedRanges>
  <mergeCells count="4">
    <mergeCell ref="L29:L31"/>
    <mergeCell ref="D14:E14"/>
    <mergeCell ref="L21:L23"/>
    <mergeCell ref="L25:L27"/>
  </mergeCells>
  <dataValidations disablePrompts="1" count="1">
    <dataValidation type="list" allowBlank="1" showInputMessage="1" showErrorMessage="1" sqref="D5 G21:G38" xr:uid="{BDC6B79A-74DA-487B-86C4-40557885925A}">
      <formula1>#REF!</formula1>
    </dataValidation>
  </dataValidation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B38B-37C7-4FA3-ADF2-98B235B14627}">
  <sheetPr codeName="Sheet2">
    <tabColor theme="9" tint="0.39997558519241921"/>
  </sheetPr>
  <dimension ref="B2:AP52"/>
  <sheetViews>
    <sheetView topLeftCell="W17" workbookViewId="0">
      <selection activeCell="AE14" sqref="AE14:AP47"/>
    </sheetView>
  </sheetViews>
  <sheetFormatPr defaultRowHeight="15"/>
  <cols>
    <col min="1" max="1" width="1.85546875" bestFit="1" customWidth="1"/>
    <col min="2" max="2" width="20.42578125" bestFit="1" customWidth="1"/>
    <col min="3" max="3" width="30.28515625" bestFit="1" customWidth="1"/>
    <col min="4" max="4" width="17" bestFit="1" customWidth="1"/>
    <col min="5" max="5" width="23.140625" bestFit="1" customWidth="1"/>
    <col min="6" max="6" width="15.85546875" bestFit="1" customWidth="1"/>
    <col min="7" max="7" width="16.42578125" bestFit="1" customWidth="1"/>
    <col min="8" max="9" width="23.28515625" bestFit="1" customWidth="1"/>
    <col min="10" max="10" width="16.85546875" bestFit="1" customWidth="1"/>
    <col min="11" max="11" width="25" bestFit="1" customWidth="1"/>
    <col min="12" max="12" width="24.42578125" bestFit="1" customWidth="1"/>
    <col min="13" max="13" width="26.85546875" bestFit="1" customWidth="1"/>
    <col min="14" max="14" width="24" bestFit="1" customWidth="1"/>
    <col min="15" max="16" width="11" bestFit="1" customWidth="1"/>
    <col min="17" max="17" width="25.5703125" bestFit="1" customWidth="1"/>
    <col min="18" max="18" width="22.140625" bestFit="1" customWidth="1"/>
    <col min="19" max="19" width="24" bestFit="1" customWidth="1"/>
    <col min="20" max="20" width="20.28515625" bestFit="1" customWidth="1"/>
    <col min="21" max="21" width="20" bestFit="1" customWidth="1"/>
    <col min="22" max="22" width="16.28515625" bestFit="1" customWidth="1"/>
    <col min="23" max="23" width="17.7109375" bestFit="1" customWidth="1"/>
    <col min="24" max="24" width="15.28515625" bestFit="1" customWidth="1"/>
    <col min="25" max="25" width="14.85546875" bestFit="1" customWidth="1"/>
    <col min="26" max="26" width="16.28515625" bestFit="1" customWidth="1"/>
    <col min="27" max="27" width="19" bestFit="1" customWidth="1"/>
    <col min="28" max="28" width="13" bestFit="1" customWidth="1"/>
    <col min="29" max="29" width="1.85546875" bestFit="1" customWidth="1"/>
    <col min="30" max="30" width="13.7109375" bestFit="1" customWidth="1"/>
    <col min="31" max="31" width="8.5703125" bestFit="1" customWidth="1"/>
    <col min="32" max="32" width="13.5703125" bestFit="1" customWidth="1"/>
    <col min="33" max="33" width="14.28515625" bestFit="1" customWidth="1"/>
    <col min="34" max="34" width="12.5703125" bestFit="1" customWidth="1"/>
    <col min="35" max="35" width="11.5703125" bestFit="1" customWidth="1"/>
    <col min="36" max="36" width="14.42578125" bestFit="1" customWidth="1"/>
    <col min="37" max="37" width="14.140625" bestFit="1" customWidth="1"/>
    <col min="38" max="38" width="12.5703125" bestFit="1" customWidth="1"/>
    <col min="39" max="39" width="11.5703125" bestFit="1" customWidth="1"/>
    <col min="40" max="40" width="14.42578125" bestFit="1" customWidth="1"/>
    <col min="41" max="41" width="19" bestFit="1" customWidth="1"/>
    <col min="42" max="42" width="14" bestFit="1" customWidth="1"/>
  </cols>
  <sheetData>
    <row r="2" spans="2:42">
      <c r="D2" s="294" t="s">
        <v>0</v>
      </c>
      <c r="E2" s="295"/>
      <c r="F2" s="355" t="s">
        <v>1</v>
      </c>
      <c r="G2" s="356"/>
      <c r="H2" s="357"/>
      <c r="I2" s="110" t="s">
        <v>2</v>
      </c>
      <c r="J2" s="296" t="s">
        <v>3</v>
      </c>
      <c r="K2" s="297"/>
      <c r="L2" s="113" t="s">
        <v>4</v>
      </c>
      <c r="M2" s="298" t="s">
        <v>5</v>
      </c>
      <c r="N2" s="299"/>
    </row>
    <row r="3" spans="2:42">
      <c r="B3" s="127"/>
      <c r="C3" s="61"/>
      <c r="D3" s="109" t="s">
        <v>6</v>
      </c>
      <c r="E3" s="109" t="s">
        <v>7</v>
      </c>
      <c r="F3" s="80" t="s">
        <v>6</v>
      </c>
      <c r="G3" s="80" t="s">
        <v>8</v>
      </c>
      <c r="H3" s="80" t="s">
        <v>9</v>
      </c>
      <c r="I3" s="111" t="s">
        <v>10</v>
      </c>
      <c r="J3" s="112" t="s">
        <v>6</v>
      </c>
      <c r="K3" s="112" t="s">
        <v>7</v>
      </c>
      <c r="L3" s="114" t="s">
        <v>10</v>
      </c>
      <c r="M3" s="134" t="s">
        <v>6</v>
      </c>
      <c r="N3" s="134" t="s">
        <v>7</v>
      </c>
    </row>
    <row r="4" spans="2:42">
      <c r="B4" s="127"/>
      <c r="C4" s="48" t="s">
        <v>11</v>
      </c>
      <c r="D4" s="31">
        <f>SUM('Unallocated Scenarios'!B3:C3)/1000</f>
        <v>32.207000000000001</v>
      </c>
      <c r="E4" s="31">
        <f>SUM('Unallocated Scenarios'!B4:C4)/1000</f>
        <v>80.933000000000007</v>
      </c>
      <c r="F4" s="116">
        <f>IF(D4=0,"N/A",'Program Inputs'!O21)</f>
        <v>0.11234</v>
      </c>
      <c r="G4" s="116">
        <f>IF(E4=0,"N/A",'Program Inputs'!O22)</f>
        <v>0.11234</v>
      </c>
      <c r="H4" s="116">
        <f>IF(F4=0,"N/A",'Program Inputs'!O23)</f>
        <v>0.101106</v>
      </c>
      <c r="I4" s="121">
        <f>H47</f>
        <v>300140362.19999999</v>
      </c>
      <c r="J4" s="121">
        <f>'PGE Ratepayer Costs'!D78</f>
        <v>53559105.189999998</v>
      </c>
      <c r="K4" s="121">
        <f>'PGE Ratepayer Costs'!D115</f>
        <v>224961101.38</v>
      </c>
      <c r="L4" s="121">
        <f>L47</f>
        <v>217836395.34999999</v>
      </c>
      <c r="M4" s="121">
        <f>'PGE Ratepayer Costs'!H78</f>
        <v>43862656.009999998</v>
      </c>
      <c r="N4" s="121">
        <f>'PGE Ratepayer Costs'!H115</f>
        <v>155652877.53</v>
      </c>
    </row>
    <row r="5" spans="2:42">
      <c r="B5" s="127"/>
      <c r="C5" s="54" t="s">
        <v>12</v>
      </c>
      <c r="D5" s="31">
        <f>SUM('Unallocated Scenarios'!D3:E3)/1000</f>
        <v>22.213000000000001</v>
      </c>
      <c r="E5" s="31">
        <f>SUM('Unallocated Scenarios'!D4:E4)/1000</f>
        <v>72.387</v>
      </c>
      <c r="F5" s="116">
        <f>IF(D5=0,"N/A",'Program Inputs'!O25)</f>
        <v>9.7699999999999995E-2</v>
      </c>
      <c r="G5" s="116">
        <f>IF(E5=0,"N/A",'Program Inputs'!O26)</f>
        <v>9.7699999999999995E-2</v>
      </c>
      <c r="H5" s="116">
        <f>IF(F5=0,"N/A",'Program Inputs'!O27)</f>
        <v>8.7929999999999994E-2</v>
      </c>
      <c r="I5" s="323">
        <f>V47</f>
        <v>247384096.65999994</v>
      </c>
      <c r="J5" s="323">
        <f>'PAC Ratepayer Costs'!D78</f>
        <v>34285265.359999985</v>
      </c>
      <c r="K5" s="323">
        <f>'PAC Ratepayer Costs'!D115</f>
        <v>196042564.12</v>
      </c>
      <c r="L5" s="323">
        <f>Z47</f>
        <v>174769222.28</v>
      </c>
      <c r="M5" s="323">
        <f>'PAC Ratepayer Costs'!H78</f>
        <v>26436844.300000001</v>
      </c>
      <c r="N5" s="121">
        <f>'PAC Ratepayer Costs'!H115</f>
        <v>133919780.65000002</v>
      </c>
    </row>
    <row r="6" spans="2:42">
      <c r="B6" s="127"/>
      <c r="C6" s="54" t="s">
        <v>13</v>
      </c>
      <c r="D6" s="31">
        <f>'Unallocated Scenarios'!F3/1000</f>
        <v>3.28</v>
      </c>
      <c r="E6" s="31">
        <v>0</v>
      </c>
      <c r="F6" s="116">
        <f>IF(D6=0,"N/A",'Program Inputs'!O29)</f>
        <v>8.48E-2</v>
      </c>
      <c r="G6" s="116" t="str">
        <f>IF(E6=0,"N/A",'Program Inputs'!O30)</f>
        <v>N/A</v>
      </c>
      <c r="H6" s="116" t="str">
        <f>IF(E6=0,"N/A",'Program Inputs'!O31)</f>
        <v>N/A</v>
      </c>
      <c r="I6" s="323">
        <f>AJ47</f>
        <v>3962098.82</v>
      </c>
      <c r="J6" s="323">
        <f>'IPC Ratepayer Costs'!D78</f>
        <v>3221963.99</v>
      </c>
      <c r="K6" s="323">
        <v>0</v>
      </c>
      <c r="L6" s="323">
        <f>AN47</f>
        <v>3204761.2399999993</v>
      </c>
      <c r="M6" s="323">
        <f>'IPC Ratepayer Costs'!H78</f>
        <v>2574982.7000000007</v>
      </c>
      <c r="N6" s="323">
        <v>0</v>
      </c>
      <c r="O6" s="10"/>
    </row>
    <row r="7" spans="2:42">
      <c r="B7" s="127"/>
      <c r="C7" s="107" t="s">
        <v>10</v>
      </c>
      <c r="D7" s="108">
        <f>SUM(D4:D6)</f>
        <v>57.7</v>
      </c>
      <c r="E7" s="108">
        <f t="shared" ref="E7" si="0">SUM(E4:E6)</f>
        <v>153.32</v>
      </c>
      <c r="F7" s="115"/>
      <c r="G7" s="115"/>
      <c r="H7" s="115"/>
      <c r="I7" s="324">
        <f t="shared" ref="I7:N7" si="1">SUM(I4:I6)</f>
        <v>551486557.67999995</v>
      </c>
      <c r="J7" s="324">
        <f t="shared" si="1"/>
        <v>91066334.539999977</v>
      </c>
      <c r="K7" s="324">
        <f t="shared" si="1"/>
        <v>421003665.5</v>
      </c>
      <c r="L7" s="324">
        <f>SUM(L4:L6)</f>
        <v>395810378.87</v>
      </c>
      <c r="M7" s="324">
        <f t="shared" si="1"/>
        <v>72874483.010000005</v>
      </c>
      <c r="N7" s="324">
        <f t="shared" si="1"/>
        <v>289572658.18000001</v>
      </c>
      <c r="O7" s="10"/>
    </row>
    <row r="8" spans="2:42">
      <c r="W8" s="10"/>
    </row>
    <row r="9" spans="2:42">
      <c r="S9" s="10"/>
      <c r="T9" s="10"/>
    </row>
    <row r="10" spans="2:42">
      <c r="B10" t="s">
        <v>14</v>
      </c>
      <c r="C10" s="29">
        <v>2.8000000000000001E-2</v>
      </c>
      <c r="S10" s="10"/>
      <c r="T10" s="10"/>
    </row>
    <row r="11" spans="2:42">
      <c r="I11" s="10"/>
      <c r="W11" s="10"/>
      <c r="Z11" s="10"/>
      <c r="AK11" s="10"/>
      <c r="AN11" s="10"/>
    </row>
    <row r="12" spans="2:42">
      <c r="B12" s="349" t="s">
        <v>15</v>
      </c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1"/>
      <c r="P12" s="352" t="s">
        <v>16</v>
      </c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4"/>
      <c r="AD12" s="358" t="s">
        <v>17</v>
      </c>
      <c r="AE12" s="359"/>
      <c r="AF12" s="359"/>
      <c r="AG12" s="359"/>
      <c r="AH12" s="359"/>
      <c r="AI12" s="359"/>
      <c r="AJ12" s="359"/>
      <c r="AK12" s="359"/>
      <c r="AL12" s="359"/>
      <c r="AM12" s="359"/>
      <c r="AN12" s="359"/>
      <c r="AO12" s="359"/>
      <c r="AP12" s="360"/>
    </row>
    <row r="13" spans="2:42" ht="60">
      <c r="B13" s="48"/>
      <c r="C13" s="1" t="s">
        <v>18</v>
      </c>
      <c r="D13" s="1" t="s">
        <v>19</v>
      </c>
      <c r="E13" s="1" t="s">
        <v>20</v>
      </c>
      <c r="F13" s="1" t="s">
        <v>21</v>
      </c>
      <c r="G13" s="1" t="s">
        <v>22</v>
      </c>
      <c r="H13" s="1" t="s">
        <v>23</v>
      </c>
      <c r="I13" s="1" t="s">
        <v>5</v>
      </c>
      <c r="J13" s="1" t="s">
        <v>24</v>
      </c>
      <c r="K13" s="1" t="s">
        <v>25</v>
      </c>
      <c r="L13" s="1" t="s">
        <v>4</v>
      </c>
      <c r="M13" s="2" t="s">
        <v>26</v>
      </c>
      <c r="N13" s="1" t="s">
        <v>27</v>
      </c>
      <c r="P13" s="48"/>
      <c r="Q13" s="1" t="s">
        <v>18</v>
      </c>
      <c r="R13" s="1" t="s">
        <v>19</v>
      </c>
      <c r="S13" s="1" t="s">
        <v>20</v>
      </c>
      <c r="T13" s="1" t="s">
        <v>28</v>
      </c>
      <c r="U13" s="1" t="s">
        <v>22</v>
      </c>
      <c r="V13" s="1" t="s">
        <v>23</v>
      </c>
      <c r="W13" s="1" t="s">
        <v>5</v>
      </c>
      <c r="X13" s="1" t="s">
        <v>24</v>
      </c>
      <c r="Y13" s="1" t="s">
        <v>25</v>
      </c>
      <c r="Z13" s="1" t="s">
        <v>4</v>
      </c>
      <c r="AA13" s="2" t="s">
        <v>26</v>
      </c>
      <c r="AB13" s="1" t="s">
        <v>27</v>
      </c>
      <c r="AD13" s="48"/>
      <c r="AE13" s="1" t="s">
        <v>18</v>
      </c>
      <c r="AF13" s="1" t="s">
        <v>19</v>
      </c>
      <c r="AG13" s="1" t="s">
        <v>20</v>
      </c>
      <c r="AH13" s="1" t="s">
        <v>21</v>
      </c>
      <c r="AI13" s="1" t="s">
        <v>22</v>
      </c>
      <c r="AJ13" s="1" t="s">
        <v>29</v>
      </c>
      <c r="AK13" s="1" t="s">
        <v>5</v>
      </c>
      <c r="AL13" s="1" t="s">
        <v>24</v>
      </c>
      <c r="AM13" s="1" t="s">
        <v>25</v>
      </c>
      <c r="AN13" s="1" t="s">
        <v>4</v>
      </c>
      <c r="AO13" s="2" t="s">
        <v>26</v>
      </c>
      <c r="AP13" s="1" t="s">
        <v>27</v>
      </c>
    </row>
    <row r="14" spans="2:42">
      <c r="B14" s="48">
        <f>'PGE Ratepayer Costs'!A8</f>
        <v>2018</v>
      </c>
      <c r="C14" s="96">
        <f>'PGE Ratepayer Costs'!B8</f>
        <v>0</v>
      </c>
      <c r="D14" s="96">
        <f>'PGE Ratepayer Costs'!C8</f>
        <v>0</v>
      </c>
      <c r="E14" s="89">
        <f>ROUND('PGE Ratepayer Costs'!D8,2)</f>
        <v>0</v>
      </c>
      <c r="F14" s="89">
        <f>ROUND('PGE Ratepayer Costs'!E8,2)</f>
        <v>0</v>
      </c>
      <c r="G14" s="89">
        <f>ROUND('PGE Ratepayer Costs'!F8,2)</f>
        <v>0</v>
      </c>
      <c r="H14" s="89">
        <f>SUM(E14:G14)</f>
        <v>0</v>
      </c>
      <c r="I14" s="89">
        <f>ROUND(E14*(1-$C$10)^($B14-$B$20),2)</f>
        <v>0</v>
      </c>
      <c r="J14" s="89">
        <f t="shared" ref="J14:K14" si="2">ROUND(F14*(1-$C$10)^($B14-$B$20),2)</f>
        <v>0</v>
      </c>
      <c r="K14" s="89">
        <f t="shared" si="2"/>
        <v>0</v>
      </c>
      <c r="L14" s="89">
        <f>SUM(I14:K14)</f>
        <v>0</v>
      </c>
      <c r="M14" s="89">
        <f>ROUND('PGE Ratepayer Costs'!J8,2)</f>
        <v>1937818036</v>
      </c>
      <c r="N14" s="48">
        <f>L14/M14</f>
        <v>0</v>
      </c>
      <c r="P14" s="84">
        <f>'PAC Ratepayer Costs'!A8</f>
        <v>2018</v>
      </c>
      <c r="Q14" s="96">
        <f>'PAC Ratepayer Costs'!B8</f>
        <v>0</v>
      </c>
      <c r="R14" s="96">
        <f>'PAC Ratepayer Costs'!C8</f>
        <v>0</v>
      </c>
      <c r="S14" s="89">
        <f>ROUND('PAC Ratepayer Costs'!D8,2)</f>
        <v>0</v>
      </c>
      <c r="T14" s="89">
        <f>ROUND('PAC Ratepayer Costs'!E8,2)</f>
        <v>0</v>
      </c>
      <c r="U14" s="89">
        <f>ROUND('PAC Ratepayer Costs'!F8,2)</f>
        <v>0</v>
      </c>
      <c r="V14" s="89">
        <f>SUM(S14:U14)</f>
        <v>0</v>
      </c>
      <c r="W14" s="89">
        <f>ROUND(S14*(1-$C$10)^($P14-$P$20),2)</f>
        <v>0</v>
      </c>
      <c r="X14" s="89">
        <f>ROUND(T14*(1-$C$10)^($P14-$P$20),2)</f>
        <v>0</v>
      </c>
      <c r="Y14" s="89">
        <f>ROUND(U14*(1-$C$10)^($P14-$P$20),2)</f>
        <v>0</v>
      </c>
      <c r="Z14" s="89">
        <f>SUM(W14:Y14)</f>
        <v>0</v>
      </c>
      <c r="AA14" s="89">
        <f>'PAC Ratepayer Costs'!J8</f>
        <v>1937818036</v>
      </c>
      <c r="AB14" s="48">
        <f>Z14/AA14</f>
        <v>0</v>
      </c>
      <c r="AD14" s="48">
        <f>'IPC Ratepayer Costs'!A8</f>
        <v>2018</v>
      </c>
      <c r="AE14" s="96">
        <f>'IPC Ratepayer Costs'!B8</f>
        <v>0</v>
      </c>
      <c r="AF14" s="96">
        <f>'IPC Ratepayer Costs'!C8</f>
        <v>0</v>
      </c>
      <c r="AG14" s="89">
        <f>ROUND('IPC Ratepayer Costs'!D8,2)</f>
        <v>0</v>
      </c>
      <c r="AH14" s="89">
        <f>ROUND('IPC Ratepayer Costs'!E8,2)</f>
        <v>0</v>
      </c>
      <c r="AI14" s="89">
        <f>ROUND('IPC Ratepayer Costs'!F8,2)</f>
        <v>0</v>
      </c>
      <c r="AJ14" s="89">
        <f t="shared" ref="AJ14:AJ46" si="3">SUM(AG14:AI14)</f>
        <v>0</v>
      </c>
      <c r="AK14" s="89">
        <f>ROUND(AG14*(1-$C$10)^($AD14-$AD$20),2)</f>
        <v>0</v>
      </c>
      <c r="AL14" s="89">
        <f>ROUND(AH14*(1-$C$10)^($AD14-$AD$20),2)</f>
        <v>0</v>
      </c>
      <c r="AM14" s="89">
        <f>ROUND(AI14*(1-$C$10)^($AD14-$AD$20),2)</f>
        <v>0</v>
      </c>
      <c r="AN14" s="89">
        <f>SUM(AK14:AM14)</f>
        <v>0</v>
      </c>
      <c r="AO14" s="89">
        <f>'IPC Ratepayer Costs'!J8</f>
        <v>1937818036</v>
      </c>
      <c r="AP14" s="48">
        <f>AN14/AO14</f>
        <v>0</v>
      </c>
    </row>
    <row r="15" spans="2:42">
      <c r="B15" s="48">
        <f>'PGE Ratepayer Costs'!A9</f>
        <v>2019</v>
      </c>
      <c r="C15" s="96">
        <f>'PGE Ratepayer Costs'!B9</f>
        <v>0</v>
      </c>
      <c r="D15" s="96">
        <f>'PGE Ratepayer Costs'!C9</f>
        <v>0</v>
      </c>
      <c r="E15" s="89">
        <f>ROUND('PGE Ratepayer Costs'!D9,2)</f>
        <v>0</v>
      </c>
      <c r="F15" s="89">
        <f>ROUND('PGE Ratepayer Costs'!E9,2)</f>
        <v>968643.81</v>
      </c>
      <c r="G15" s="89">
        <f>ROUND('PGE Ratepayer Costs'!F9,2)</f>
        <v>110500</v>
      </c>
      <c r="H15" s="89">
        <f t="shared" ref="H15:H46" si="4">SUM(E15:G15)</f>
        <v>1079143.81</v>
      </c>
      <c r="I15" s="89">
        <f t="shared" ref="I15:I46" si="5">ROUND(E15*(1-$C$10)^($B15-$B$20),2)</f>
        <v>0</v>
      </c>
      <c r="J15" s="89">
        <f t="shared" ref="J15:J46" si="6">ROUND(F15*(1-$C$10)^($B15-$B$20),2)</f>
        <v>1116433.3</v>
      </c>
      <c r="K15" s="89">
        <f t="shared" ref="K15:K46" si="7">ROUND(G15*(1-$C$10)^($B15-$B$20),2)</f>
        <v>127359.39</v>
      </c>
      <c r="L15" s="89">
        <f t="shared" ref="L15:L46" si="8">SUM(I15:K15)</f>
        <v>1243792.69</v>
      </c>
      <c r="M15" s="89">
        <f>ROUND('PGE Ratepayer Costs'!J9,2)</f>
        <v>1968167131.7</v>
      </c>
      <c r="N15" s="48">
        <f t="shared" ref="N15:N46" si="9">L15/M15</f>
        <v>6.3195481215341538E-4</v>
      </c>
      <c r="P15" s="84">
        <f>'PAC Ratepayer Costs'!A9</f>
        <v>2019</v>
      </c>
      <c r="Q15" s="96">
        <f>'PAC Ratepayer Costs'!B9</f>
        <v>0</v>
      </c>
      <c r="R15" s="96">
        <f>'PAC Ratepayer Costs'!C9</f>
        <v>0</v>
      </c>
      <c r="S15" s="89">
        <f>ROUND('PAC Ratepayer Costs'!D9,2)</f>
        <v>0</v>
      </c>
      <c r="T15" s="89">
        <f>ROUND('PAC Ratepayer Costs'!E9,2)</f>
        <v>671759.42</v>
      </c>
      <c r="U15" s="89">
        <f>ROUND('PAC Ratepayer Costs'!F9,2)</f>
        <v>190000</v>
      </c>
      <c r="V15" s="89">
        <f t="shared" ref="V15:V46" si="10">SUM(S15:U15)</f>
        <v>861759.42</v>
      </c>
      <c r="W15" s="89">
        <f t="shared" ref="W15:W46" si="11">ROUND(S15*(1-$C$10)^($P15-$P$20),2)</f>
        <v>0</v>
      </c>
      <c r="X15" s="89">
        <f t="shared" ref="X15:X46" si="12">ROUND(T15*(1-$C$10)^($P15-$P$20),2)</f>
        <v>774252.19</v>
      </c>
      <c r="Y15" s="89">
        <f t="shared" ref="Y15:Y46" si="13">ROUND(U15*(1-$C$10)^($P15-$P$20),2)</f>
        <v>218988.99</v>
      </c>
      <c r="Z15" s="89">
        <f t="shared" ref="Z15:Z46" si="14">SUM(W15:Y15)</f>
        <v>993241.17999999993</v>
      </c>
      <c r="AA15" s="89">
        <f>'PAC Ratepayer Costs'!J9</f>
        <v>1968167131.6999998</v>
      </c>
      <c r="AB15" s="48">
        <f t="shared" ref="AB15:AB46" si="15">Z15/AA15</f>
        <v>5.0465286407973405E-4</v>
      </c>
      <c r="AD15" s="48">
        <f>'IPC Ratepayer Costs'!A9</f>
        <v>2019</v>
      </c>
      <c r="AE15" s="96">
        <f>'IPC Ratepayer Costs'!B9</f>
        <v>0</v>
      </c>
      <c r="AF15" s="96">
        <f>'IPC Ratepayer Costs'!C9</f>
        <v>0</v>
      </c>
      <c r="AG15" s="89">
        <f>ROUND('IPC Ratepayer Costs'!D9,2)</f>
        <v>0</v>
      </c>
      <c r="AH15" s="89">
        <f>ROUND('IPC Ratepayer Costs'!E9,2)</f>
        <v>34016.92</v>
      </c>
      <c r="AI15" s="89">
        <f>ROUND('IPC Ratepayer Costs'!F9,2)</f>
        <v>3700</v>
      </c>
      <c r="AJ15" s="89">
        <f t="shared" si="3"/>
        <v>37716.92</v>
      </c>
      <c r="AK15" s="89">
        <f t="shared" ref="AK15:AK46" si="16">ROUND(AG15*(1-$C$10)^($AD15-$AD$20),2)</f>
        <v>0</v>
      </c>
      <c r="AL15" s="89">
        <f t="shared" ref="AL15:AL46" si="17">ROUND(AH15*(1-$C$10)^($AD15-$AD$20),2)</f>
        <v>39207</v>
      </c>
      <c r="AM15" s="89">
        <f t="shared" ref="AM15:AM46" si="18">ROUND(AI15*(1-$C$10)^($AD15-$AD$20),2)</f>
        <v>4264.5200000000004</v>
      </c>
      <c r="AN15" s="89">
        <f t="shared" ref="AN15:AN46" si="19">SUM(AK15:AM15)</f>
        <v>43471.520000000004</v>
      </c>
      <c r="AO15" s="89">
        <f>'IPC Ratepayer Costs'!J9</f>
        <v>1968167131.6999998</v>
      </c>
      <c r="AP15" s="48">
        <f t="shared" ref="AP15:AP46" si="20">AN15/AO15</f>
        <v>2.2087311234819564E-5</v>
      </c>
    </row>
    <row r="16" spans="2:42">
      <c r="B16" s="48">
        <f>'PGE Ratepayer Costs'!A10</f>
        <v>2020</v>
      </c>
      <c r="C16" s="96">
        <f>'PGE Ratepayer Costs'!B10</f>
        <v>0</v>
      </c>
      <c r="D16" s="96">
        <f>'PGE Ratepayer Costs'!C10</f>
        <v>0</v>
      </c>
      <c r="E16" s="89">
        <f>ROUND('PGE Ratepayer Costs'!D10,2)</f>
        <v>0</v>
      </c>
      <c r="F16" s="89">
        <f>ROUND('PGE Ratepayer Costs'!E10,2)</f>
        <v>1559241.49</v>
      </c>
      <c r="G16" s="89">
        <f>ROUND('PGE Ratepayer Costs'!F10,2)</f>
        <v>110500</v>
      </c>
      <c r="H16" s="89">
        <f t="shared" si="4"/>
        <v>1669741.49</v>
      </c>
      <c r="I16" s="89">
        <f t="shared" si="5"/>
        <v>0</v>
      </c>
      <c r="J16" s="89">
        <f t="shared" si="6"/>
        <v>1746820.67</v>
      </c>
      <c r="K16" s="89">
        <f t="shared" si="7"/>
        <v>123793.32</v>
      </c>
      <c r="L16" s="89">
        <f t="shared" si="8"/>
        <v>1870613.99</v>
      </c>
      <c r="M16" s="89">
        <f>ROUND('PGE Ratepayer Costs'!J10,2)</f>
        <v>1998991539.1099999</v>
      </c>
      <c r="N16" s="48">
        <f t="shared" si="9"/>
        <v>9.3577884318251953E-4</v>
      </c>
      <c r="P16" s="84">
        <f>'PAC Ratepayer Costs'!A10</f>
        <v>2020</v>
      </c>
      <c r="Q16" s="96">
        <f>'PAC Ratepayer Costs'!B10</f>
        <v>0</v>
      </c>
      <c r="R16" s="96">
        <f>'PAC Ratepayer Costs'!C10</f>
        <v>0</v>
      </c>
      <c r="S16" s="89">
        <f>ROUND('PAC Ratepayer Costs'!D10,2)</f>
        <v>0</v>
      </c>
      <c r="T16" s="89">
        <f>ROUND('PAC Ratepayer Costs'!E10,2)</f>
        <v>1081341.93</v>
      </c>
      <c r="U16" s="89">
        <f>ROUND('PAC Ratepayer Costs'!F10,2)</f>
        <v>190000</v>
      </c>
      <c r="V16" s="89">
        <f t="shared" si="10"/>
        <v>1271341.93</v>
      </c>
      <c r="W16" s="89">
        <f t="shared" si="11"/>
        <v>0</v>
      </c>
      <c r="X16" s="89">
        <f t="shared" si="12"/>
        <v>1211429.05</v>
      </c>
      <c r="Y16" s="89">
        <f t="shared" si="13"/>
        <v>212857.3</v>
      </c>
      <c r="Z16" s="89">
        <f t="shared" si="14"/>
        <v>1424286.35</v>
      </c>
      <c r="AA16" s="89">
        <f>'PAC Ratepayer Costs'!J10</f>
        <v>1998991539.1128111</v>
      </c>
      <c r="AB16" s="48">
        <f t="shared" si="15"/>
        <v>7.1250244042159595E-4</v>
      </c>
      <c r="AD16" s="48">
        <f>'IPC Ratepayer Costs'!A10</f>
        <v>2020</v>
      </c>
      <c r="AE16" s="96">
        <f>'IPC Ratepayer Costs'!B10</f>
        <v>0</v>
      </c>
      <c r="AF16" s="96">
        <f>'IPC Ratepayer Costs'!C10</f>
        <v>0</v>
      </c>
      <c r="AG16" s="89">
        <f>ROUND('IPC Ratepayer Costs'!D10,2)</f>
        <v>0</v>
      </c>
      <c r="AH16" s="89">
        <f>ROUND('IPC Ratepayer Costs'!E10,2)</f>
        <v>54757.58</v>
      </c>
      <c r="AI16" s="89">
        <f>ROUND('IPC Ratepayer Costs'!F10,2)</f>
        <v>3700</v>
      </c>
      <c r="AJ16" s="89">
        <f t="shared" si="3"/>
        <v>58457.58</v>
      </c>
      <c r="AK16" s="89">
        <f t="shared" si="16"/>
        <v>0</v>
      </c>
      <c r="AL16" s="89">
        <f t="shared" si="17"/>
        <v>61345</v>
      </c>
      <c r="AM16" s="89">
        <f t="shared" si="18"/>
        <v>4145.12</v>
      </c>
      <c r="AN16" s="89">
        <f t="shared" si="19"/>
        <v>65490.12</v>
      </c>
      <c r="AO16" s="89">
        <f>'IPC Ratepayer Costs'!J10</f>
        <v>1998991539.1128111</v>
      </c>
      <c r="AP16" s="48">
        <f t="shared" si="20"/>
        <v>3.2761579385706513E-5</v>
      </c>
    </row>
    <row r="17" spans="2:42">
      <c r="B17" s="48">
        <f>'PGE Ratepayer Costs'!A11</f>
        <v>2021</v>
      </c>
      <c r="C17" s="96">
        <f>'PGE Ratepayer Costs'!B11</f>
        <v>5.95</v>
      </c>
      <c r="D17" s="96">
        <f>'PGE Ratepayer Costs'!C11</f>
        <v>813.45978845833326</v>
      </c>
      <c r="E17" s="89">
        <f>ROUND('PGE Ratepayer Costs'!D11,2)</f>
        <v>736079.08</v>
      </c>
      <c r="F17" s="89">
        <f>ROUND('PGE Ratepayer Costs'!E11,2)</f>
        <v>1174647.83</v>
      </c>
      <c r="G17" s="89">
        <f>ROUND('PGE Ratepayer Costs'!F11,2)</f>
        <v>103824.1</v>
      </c>
      <c r="H17" s="89">
        <f t="shared" si="4"/>
        <v>2014551.0100000002</v>
      </c>
      <c r="I17" s="89">
        <f t="shared" si="5"/>
        <v>801540.89</v>
      </c>
      <c r="J17" s="89">
        <f t="shared" si="6"/>
        <v>1279112.92</v>
      </c>
      <c r="K17" s="89">
        <f t="shared" si="7"/>
        <v>113057.5</v>
      </c>
      <c r="L17" s="89">
        <f t="shared" si="8"/>
        <v>2193711.31</v>
      </c>
      <c r="M17" s="89">
        <f>ROUND('PGE Ratepayer Costs'!J11,2)</f>
        <v>2030298702.3199999</v>
      </c>
      <c r="N17" s="48">
        <f t="shared" si="9"/>
        <v>1.0804869783413004E-3</v>
      </c>
      <c r="P17" s="84">
        <f>'PAC Ratepayer Costs'!A11</f>
        <v>2021</v>
      </c>
      <c r="Q17" s="96">
        <f>'PAC Ratepayer Costs'!B11</f>
        <v>0</v>
      </c>
      <c r="R17" s="96">
        <f>'PAC Ratepayer Costs'!C11</f>
        <v>0</v>
      </c>
      <c r="S17" s="89">
        <f>ROUND('PAC Ratepayer Costs'!D11,2)</f>
        <v>0</v>
      </c>
      <c r="T17" s="89">
        <f>ROUND('PAC Ratepayer Costs'!E11,2)</f>
        <v>814624.26</v>
      </c>
      <c r="U17" s="89">
        <f>ROUND('PAC Ratepayer Costs'!F11,2)</f>
        <v>190000</v>
      </c>
      <c r="V17" s="89">
        <f t="shared" si="10"/>
        <v>1004624.26</v>
      </c>
      <c r="W17" s="89">
        <f t="shared" si="11"/>
        <v>0</v>
      </c>
      <c r="X17" s="89">
        <f t="shared" si="12"/>
        <v>887071.33</v>
      </c>
      <c r="Y17" s="89">
        <f t="shared" si="13"/>
        <v>206897.29</v>
      </c>
      <c r="Z17" s="89">
        <f t="shared" si="14"/>
        <v>1093968.6199999999</v>
      </c>
      <c r="AA17" s="89">
        <f>'PAC Ratepayer Costs'!J11</f>
        <v>2030298702.3226516</v>
      </c>
      <c r="AB17" s="48">
        <f t="shared" si="15"/>
        <v>5.3882151367604439E-4</v>
      </c>
      <c r="AD17" s="48">
        <f>'IPC Ratepayer Costs'!A11</f>
        <v>2021</v>
      </c>
      <c r="AE17" s="96">
        <f>'IPC Ratepayer Costs'!B11</f>
        <v>0</v>
      </c>
      <c r="AF17" s="96">
        <f>'IPC Ratepayer Costs'!C11</f>
        <v>0</v>
      </c>
      <c r="AG17" s="89">
        <f>ROUND('IPC Ratepayer Costs'!D11,2)</f>
        <v>0</v>
      </c>
      <c r="AH17" s="89">
        <f>ROUND('IPC Ratepayer Costs'!E11,2)</f>
        <v>41251.39</v>
      </c>
      <c r="AI17" s="89">
        <f>ROUND('IPC Ratepayer Costs'!F11,2)</f>
        <v>3700</v>
      </c>
      <c r="AJ17" s="89">
        <f t="shared" si="3"/>
        <v>44951.39</v>
      </c>
      <c r="AK17" s="89">
        <f t="shared" si="16"/>
        <v>0</v>
      </c>
      <c r="AL17" s="89">
        <f t="shared" si="17"/>
        <v>44920</v>
      </c>
      <c r="AM17" s="89">
        <f t="shared" si="18"/>
        <v>4029.05</v>
      </c>
      <c r="AN17" s="89">
        <f t="shared" si="19"/>
        <v>48949.05</v>
      </c>
      <c r="AO17" s="89">
        <f>'IPC Ratepayer Costs'!J11</f>
        <v>2030298702.3226516</v>
      </c>
      <c r="AP17" s="48">
        <f t="shared" si="20"/>
        <v>2.4109284975655323E-5</v>
      </c>
    </row>
    <row r="18" spans="2:42">
      <c r="B18" s="48">
        <f>'PGE Ratepayer Costs'!A12</f>
        <v>2022</v>
      </c>
      <c r="C18" s="96">
        <f>'PGE Ratepayer Costs'!B12</f>
        <v>9.8899999999999988</v>
      </c>
      <c r="D18" s="96">
        <f>'PGE Ratepayer Costs'!C12</f>
        <v>1352.1205559416665</v>
      </c>
      <c r="E18" s="89">
        <f>ROUND('PGE Ratepayer Costs'!D12,2)</f>
        <v>1185012.3600000001</v>
      </c>
      <c r="F18" s="89">
        <f>ROUND('PGE Ratepayer Costs'!E12,2)</f>
        <v>1782855.6799999999</v>
      </c>
      <c r="G18" s="89">
        <f>ROUND('PGE Ratepayer Costs'!F12,2)</f>
        <v>99413.98</v>
      </c>
      <c r="H18" s="89">
        <f t="shared" si="4"/>
        <v>3067282.02</v>
      </c>
      <c r="I18" s="89">
        <f t="shared" si="5"/>
        <v>1254268.02</v>
      </c>
      <c r="J18" s="89">
        <f t="shared" si="6"/>
        <v>1887051.09</v>
      </c>
      <c r="K18" s="89">
        <f t="shared" si="7"/>
        <v>105224.03</v>
      </c>
      <c r="L18" s="89">
        <f t="shared" si="8"/>
        <v>3246543.14</v>
      </c>
      <c r="M18" s="89">
        <f>ROUND('PGE Ratepayer Costs'!J12,2)</f>
        <v>2062096182</v>
      </c>
      <c r="N18" s="48">
        <f t="shared" si="9"/>
        <v>1.5743897730566673E-3</v>
      </c>
      <c r="P18" s="84">
        <f>'PAC Ratepayer Costs'!A12</f>
        <v>2022</v>
      </c>
      <c r="Q18" s="96">
        <f>'PAC Ratepayer Costs'!B12</f>
        <v>0.28999999999999998</v>
      </c>
      <c r="R18" s="96">
        <f>'PAC Ratepayer Costs'!C12</f>
        <v>48.397937116666668</v>
      </c>
      <c r="S18" s="89">
        <f>ROUND('PAC Ratepayer Costs'!D12,2)</f>
        <v>36547.769999999997</v>
      </c>
      <c r="T18" s="89">
        <f>ROUND('PAC Ratepayer Costs'!E12,2)</f>
        <v>1236419.51</v>
      </c>
      <c r="U18" s="89">
        <f>ROUND('PAC Ratepayer Costs'!F12,2)</f>
        <v>189686.8</v>
      </c>
      <c r="V18" s="89">
        <f t="shared" si="10"/>
        <v>1462654.08</v>
      </c>
      <c r="W18" s="89">
        <f t="shared" si="11"/>
        <v>38683.730000000003</v>
      </c>
      <c r="X18" s="89">
        <f t="shared" si="12"/>
        <v>1308679.56</v>
      </c>
      <c r="Y18" s="89">
        <f t="shared" si="13"/>
        <v>200772.66</v>
      </c>
      <c r="Z18" s="89">
        <f t="shared" si="14"/>
        <v>1548135.95</v>
      </c>
      <c r="AA18" s="89">
        <f>'PAC Ratepayer Costs'!J12</f>
        <v>2062096181.9991055</v>
      </c>
      <c r="AB18" s="48">
        <f t="shared" si="15"/>
        <v>7.507583610863169E-4</v>
      </c>
      <c r="AD18" s="48">
        <f>'IPC Ratepayer Costs'!A12</f>
        <v>2022</v>
      </c>
      <c r="AE18" s="96">
        <f>'IPC Ratepayer Costs'!B12</f>
        <v>0</v>
      </c>
      <c r="AF18" s="96">
        <f>'IPC Ratepayer Costs'!C12</f>
        <v>0</v>
      </c>
      <c r="AG18" s="89">
        <f>ROUND('IPC Ratepayer Costs'!D12,2)</f>
        <v>0</v>
      </c>
      <c r="AH18" s="89">
        <f>ROUND('IPC Ratepayer Costs'!E12,2)</f>
        <v>62610.48</v>
      </c>
      <c r="AI18" s="89">
        <f>ROUND('IPC Ratepayer Costs'!F12,2)</f>
        <v>3700</v>
      </c>
      <c r="AJ18" s="89">
        <f t="shared" si="3"/>
        <v>66310.48000000001</v>
      </c>
      <c r="AK18" s="89">
        <f t="shared" si="16"/>
        <v>0</v>
      </c>
      <c r="AL18" s="89">
        <f t="shared" si="17"/>
        <v>66269.62</v>
      </c>
      <c r="AM18" s="89">
        <f t="shared" si="18"/>
        <v>3916.24</v>
      </c>
      <c r="AN18" s="89">
        <f t="shared" si="19"/>
        <v>70185.86</v>
      </c>
      <c r="AO18" s="89">
        <f>'IPC Ratepayer Costs'!J12</f>
        <v>2062096181.9991055</v>
      </c>
      <c r="AP18" s="48">
        <f t="shared" si="20"/>
        <v>3.4036171839452272E-5</v>
      </c>
    </row>
    <row r="19" spans="2:42">
      <c r="B19" s="48">
        <f>'PGE Ratepayer Costs'!A13</f>
        <v>2023</v>
      </c>
      <c r="C19" s="96">
        <f>'PGE Ratepayer Costs'!B13</f>
        <v>26.519999999999996</v>
      </c>
      <c r="D19" s="96">
        <f>'PGE Ratepayer Costs'!C13</f>
        <v>3643.8882524499995</v>
      </c>
      <c r="E19" s="89">
        <f>ROUND('PGE Ratepayer Costs'!D13,2)</f>
        <v>3078302.9</v>
      </c>
      <c r="F19" s="89">
        <f>ROUND('PGE Ratepayer Costs'!E13,2)</f>
        <v>1586903.77</v>
      </c>
      <c r="G19" s="89">
        <f>ROUND('PGE Ratepayer Costs'!F13,2)</f>
        <v>80765.679999999993</v>
      </c>
      <c r="H19" s="89">
        <f t="shared" si="4"/>
        <v>4745972.3499999996</v>
      </c>
      <c r="I19" s="89">
        <f t="shared" si="5"/>
        <v>3166978.29</v>
      </c>
      <c r="J19" s="89">
        <f t="shared" si="6"/>
        <v>1632617.05</v>
      </c>
      <c r="K19" s="89">
        <f t="shared" si="7"/>
        <v>83092.259999999995</v>
      </c>
      <c r="L19" s="89">
        <f t="shared" si="8"/>
        <v>4882687.5999999996</v>
      </c>
      <c r="M19" s="89">
        <f>ROUND('PGE Ratepayer Costs'!J13,2)</f>
        <v>2094391657.22</v>
      </c>
      <c r="N19" s="48">
        <f t="shared" si="9"/>
        <v>2.3313154362355781E-3</v>
      </c>
      <c r="P19" s="84">
        <f>'PAC Ratepayer Costs'!A13</f>
        <v>2023</v>
      </c>
      <c r="Q19" s="96">
        <f>'PAC Ratepayer Costs'!B13</f>
        <v>1.41</v>
      </c>
      <c r="R19" s="96">
        <f>'PAC Ratepayer Costs'!C13</f>
        <v>235.96128545000002</v>
      </c>
      <c r="S19" s="89">
        <f>ROUND('PAC Ratepayer Costs'!D13,2)</f>
        <v>168853.26</v>
      </c>
      <c r="T19" s="89">
        <f>ROUND('PAC Ratepayer Costs'!E13,2)</f>
        <v>1100525.8600000001</v>
      </c>
      <c r="U19" s="89">
        <f>ROUND('PAC Ratepayer Costs'!F13,2)</f>
        <v>187891.6</v>
      </c>
      <c r="V19" s="89">
        <f t="shared" si="10"/>
        <v>1457270.7200000002</v>
      </c>
      <c r="W19" s="89">
        <f t="shared" si="11"/>
        <v>173717.35</v>
      </c>
      <c r="X19" s="89">
        <f t="shared" si="12"/>
        <v>1132228.25</v>
      </c>
      <c r="Y19" s="89">
        <f t="shared" si="13"/>
        <v>193304.12</v>
      </c>
      <c r="Z19" s="89">
        <f t="shared" si="14"/>
        <v>1499249.7200000002</v>
      </c>
      <c r="AA19" s="89">
        <f>'PAC Ratepayer Costs'!J13</f>
        <v>2094391657.2230213</v>
      </c>
      <c r="AB19" s="48">
        <f t="shared" si="15"/>
        <v>7.1584018912101337E-4</v>
      </c>
      <c r="AD19" s="48">
        <f>'IPC Ratepayer Costs'!A13</f>
        <v>2023</v>
      </c>
      <c r="AE19" s="96">
        <f>'IPC Ratepayer Costs'!B13</f>
        <v>0</v>
      </c>
      <c r="AF19" s="96">
        <f>'IPC Ratepayer Costs'!C13</f>
        <v>0</v>
      </c>
      <c r="AG19" s="89">
        <f>ROUND('IPC Ratepayer Costs'!D13,2)</f>
        <v>0</v>
      </c>
      <c r="AH19" s="89">
        <f>ROUND('IPC Ratepayer Costs'!E13,2)</f>
        <v>55729.03</v>
      </c>
      <c r="AI19" s="89">
        <f>ROUND('IPC Ratepayer Costs'!F13,2)</f>
        <v>3700</v>
      </c>
      <c r="AJ19" s="89">
        <f t="shared" si="3"/>
        <v>59429.03</v>
      </c>
      <c r="AK19" s="89">
        <f t="shared" si="16"/>
        <v>0</v>
      </c>
      <c r="AL19" s="89">
        <f t="shared" si="17"/>
        <v>57334.39</v>
      </c>
      <c r="AM19" s="89">
        <f t="shared" si="18"/>
        <v>3806.58</v>
      </c>
      <c r="AN19" s="89">
        <f t="shared" si="19"/>
        <v>61140.97</v>
      </c>
      <c r="AO19" s="89">
        <f>'IPC Ratepayer Costs'!J13</f>
        <v>2094391657.2230213</v>
      </c>
      <c r="AP19" s="48">
        <f t="shared" si="20"/>
        <v>2.9192710823279128E-5</v>
      </c>
    </row>
    <row r="20" spans="2:42">
      <c r="B20" s="48">
        <f>'PGE Ratepayer Costs'!A14</f>
        <v>2024</v>
      </c>
      <c r="C20" s="96">
        <f>'PGE Ratepayer Costs'!B14</f>
        <v>30.86</v>
      </c>
      <c r="D20" s="96">
        <f>'PGE Ratepayer Costs'!C14</f>
        <v>4273.8969875166658</v>
      </c>
      <c r="E20" s="89">
        <f>ROUND('PGE Ratepayer Costs'!D14,2)</f>
        <v>3535477.58</v>
      </c>
      <c r="F20" s="89">
        <f>ROUND('PGE Ratepayer Costs'!E14,2)</f>
        <v>1379119.18</v>
      </c>
      <c r="G20" s="89">
        <f>ROUND('PGE Ratepayer Costs'!F14,2)</f>
        <v>75991.240000000005</v>
      </c>
      <c r="H20" s="89">
        <f t="shared" si="4"/>
        <v>4990588</v>
      </c>
      <c r="I20" s="89">
        <f t="shared" si="5"/>
        <v>3535477.58</v>
      </c>
      <c r="J20" s="89">
        <f t="shared" si="6"/>
        <v>1379119.18</v>
      </c>
      <c r="K20" s="89">
        <f t="shared" si="7"/>
        <v>75991.240000000005</v>
      </c>
      <c r="L20" s="89">
        <f t="shared" si="8"/>
        <v>4990588</v>
      </c>
      <c r="M20" s="89">
        <f>ROUND('PGE Ratepayer Costs'!J14,2)</f>
        <v>2127192927.3399999</v>
      </c>
      <c r="N20" s="48">
        <f t="shared" si="9"/>
        <v>2.3460909143960922E-3</v>
      </c>
      <c r="P20" s="84">
        <f>'PAC Ratepayer Costs'!A14</f>
        <v>2024</v>
      </c>
      <c r="Q20" s="96">
        <f>'PAC Ratepayer Costs'!B14</f>
        <v>6.4399999999999995</v>
      </c>
      <c r="R20" s="96">
        <f>'PAC Ratepayer Costs'!C14</f>
        <v>1081.9138999916668</v>
      </c>
      <c r="S20" s="89">
        <f>ROUND('PAC Ratepayer Costs'!D14,2)</f>
        <v>740600.29</v>
      </c>
      <c r="T20" s="89">
        <f>ROUND('PAC Ratepayer Costs'!E14,2)</f>
        <v>956426.19</v>
      </c>
      <c r="U20" s="89">
        <f>ROUND('PAC Ratepayer Costs'!F14,2)</f>
        <v>177832</v>
      </c>
      <c r="V20" s="89">
        <f t="shared" si="10"/>
        <v>1874858.48</v>
      </c>
      <c r="W20" s="89">
        <f t="shared" si="11"/>
        <v>740600.29</v>
      </c>
      <c r="X20" s="89">
        <f t="shared" si="12"/>
        <v>956426.19</v>
      </c>
      <c r="Y20" s="89">
        <f t="shared" si="13"/>
        <v>177832</v>
      </c>
      <c r="Z20" s="89">
        <f t="shared" si="14"/>
        <v>1874858.48</v>
      </c>
      <c r="AA20" s="89">
        <f>'PAC Ratepayer Costs'!J14</f>
        <v>2127192927.3410082</v>
      </c>
      <c r="AB20" s="48">
        <f t="shared" si="15"/>
        <v>8.8137679281567261E-4</v>
      </c>
      <c r="AD20" s="48">
        <f>'IPC Ratepayer Costs'!A14</f>
        <v>2024</v>
      </c>
      <c r="AE20" s="96">
        <f>'IPC Ratepayer Costs'!B14</f>
        <v>1.63</v>
      </c>
      <c r="AF20" s="96">
        <f>'IPC Ratepayer Costs'!C14</f>
        <v>322.75481941666663</v>
      </c>
      <c r="AG20" s="89">
        <f>ROUND('IPC Ratepayer Costs'!D14,2)</f>
        <v>107051.32</v>
      </c>
      <c r="AH20" s="89">
        <f>ROUND('IPC Ratepayer Costs'!E14,2)</f>
        <v>48432.03</v>
      </c>
      <c r="AI20" s="89">
        <f>ROUND('IPC Ratepayer Costs'!F14,2)</f>
        <v>0</v>
      </c>
      <c r="AJ20" s="89">
        <f t="shared" si="3"/>
        <v>155483.35</v>
      </c>
      <c r="AK20" s="89">
        <f t="shared" si="16"/>
        <v>107051.32</v>
      </c>
      <c r="AL20" s="89">
        <f t="shared" si="17"/>
        <v>48432.03</v>
      </c>
      <c r="AM20" s="89">
        <f t="shared" si="18"/>
        <v>0</v>
      </c>
      <c r="AN20" s="89">
        <f t="shared" si="19"/>
        <v>155483.35</v>
      </c>
      <c r="AO20" s="89">
        <f>'IPC Ratepayer Costs'!J14</f>
        <v>2127192927.3410082</v>
      </c>
      <c r="AP20" s="48">
        <f t="shared" si="20"/>
        <v>7.309320560517011E-5</v>
      </c>
    </row>
    <row r="21" spans="2:42">
      <c r="B21" s="48">
        <f>'PGE Ratepayer Costs'!A15</f>
        <v>2025</v>
      </c>
      <c r="C21" s="96">
        <f>'PGE Ratepayer Costs'!B15</f>
        <v>54.99</v>
      </c>
      <c r="D21" s="96">
        <f>'PGE Ratepayer Costs'!C15</f>
        <v>7744.3372586916666</v>
      </c>
      <c r="E21" s="89">
        <f>ROUND('PGE Ratepayer Costs'!D15,2)</f>
        <v>3375151.6</v>
      </c>
      <c r="F21" s="89">
        <f>ROUND('PGE Ratepayer Costs'!E15,2)</f>
        <v>1158319.01</v>
      </c>
      <c r="G21" s="89">
        <f>ROUND('PGE Ratepayer Costs'!F15,2)</f>
        <v>48980.74</v>
      </c>
      <c r="H21" s="89">
        <f t="shared" si="4"/>
        <v>4582451.3500000006</v>
      </c>
      <c r="I21" s="89">
        <f t="shared" si="5"/>
        <v>3280647.36</v>
      </c>
      <c r="J21" s="89">
        <f t="shared" si="6"/>
        <v>1125886.08</v>
      </c>
      <c r="K21" s="89">
        <f t="shared" si="7"/>
        <v>47609.279999999999</v>
      </c>
      <c r="L21" s="89">
        <f t="shared" si="8"/>
        <v>4454142.72</v>
      </c>
      <c r="M21" s="89">
        <f>ROUND('PGE Ratepayer Costs'!J15,2)</f>
        <v>2160507913.8499999</v>
      </c>
      <c r="N21" s="48">
        <f t="shared" si="9"/>
        <v>2.0616183312482154E-3</v>
      </c>
      <c r="P21" s="84">
        <f>'PAC Ratepayer Costs'!A15</f>
        <v>2025</v>
      </c>
      <c r="Q21" s="96">
        <f>'PAC Ratepayer Costs'!B15</f>
        <v>24.53</v>
      </c>
      <c r="R21" s="96">
        <f>'PAC Ratepayer Costs'!C15</f>
        <v>4124.4309859166669</v>
      </c>
      <c r="S21" s="89">
        <f>ROUND('PAC Ratepayer Costs'!D15,2)</f>
        <v>1658762.1</v>
      </c>
      <c r="T21" s="89">
        <f>ROUND('PAC Ratepayer Costs'!E15,2)</f>
        <v>803300.14</v>
      </c>
      <c r="U21" s="89">
        <f>ROUND('PAC Ratepayer Costs'!F15,2)</f>
        <v>141917.20000000001</v>
      </c>
      <c r="V21" s="89">
        <f t="shared" si="10"/>
        <v>2603979.4400000004</v>
      </c>
      <c r="W21" s="89">
        <f t="shared" si="11"/>
        <v>1612316.76</v>
      </c>
      <c r="X21" s="89">
        <f t="shared" si="12"/>
        <v>780807.74</v>
      </c>
      <c r="Y21" s="89">
        <f t="shared" si="13"/>
        <v>137943.51999999999</v>
      </c>
      <c r="Z21" s="89">
        <f t="shared" si="14"/>
        <v>2531068.02</v>
      </c>
      <c r="AA21" s="89">
        <f>'PAC Ratepayer Costs'!J15</f>
        <v>2160507913.8489752</v>
      </c>
      <c r="AB21" s="48">
        <f t="shared" si="15"/>
        <v>1.171515273688985E-3</v>
      </c>
      <c r="AD21" s="48">
        <f>'IPC Ratepayer Costs'!A15</f>
        <v>2025</v>
      </c>
      <c r="AE21" s="96">
        <f>'IPC Ratepayer Costs'!B15</f>
        <v>2.95</v>
      </c>
      <c r="AF21" s="96">
        <f>'IPC Ratepayer Costs'!C15</f>
        <v>584.12682041666676</v>
      </c>
      <c r="AG21" s="89">
        <f>ROUND('IPC Ratepayer Costs'!D15,2)</f>
        <v>233467.96</v>
      </c>
      <c r="AH21" s="89">
        <f>ROUND('IPC Ratepayer Costs'!E15,2)</f>
        <v>40677.949999999997</v>
      </c>
      <c r="AI21" s="89">
        <f>ROUND('IPC Ratepayer Costs'!F15,2)</f>
        <v>0</v>
      </c>
      <c r="AJ21" s="89">
        <f t="shared" si="3"/>
        <v>274145.90999999997</v>
      </c>
      <c r="AK21" s="89">
        <f t="shared" si="16"/>
        <v>226930.86</v>
      </c>
      <c r="AL21" s="89">
        <f t="shared" si="17"/>
        <v>39538.97</v>
      </c>
      <c r="AM21" s="89">
        <f t="shared" si="18"/>
        <v>0</v>
      </c>
      <c r="AN21" s="89">
        <f t="shared" si="19"/>
        <v>266469.82999999996</v>
      </c>
      <c r="AO21" s="89">
        <f>'IPC Ratepayer Costs'!J15</f>
        <v>2160507913.8489752</v>
      </c>
      <c r="AP21" s="48">
        <f t="shared" si="20"/>
        <v>1.2333666000106439E-4</v>
      </c>
    </row>
    <row r="22" spans="2:42">
      <c r="B22" s="48">
        <f>'PGE Ratepayer Costs'!A16</f>
        <v>2026</v>
      </c>
      <c r="C22" s="96">
        <f>'PGE Ratepayer Costs'!B16</f>
        <v>65.400000000000006</v>
      </c>
      <c r="D22" s="96">
        <f>'PGE Ratepayer Costs'!C16</f>
        <v>9270.9775259166672</v>
      </c>
      <c r="E22" s="89">
        <f>ROUND('PGE Ratepayer Costs'!D16,2)</f>
        <v>6851362.0099999998</v>
      </c>
      <c r="F22" s="89">
        <f>ROUND('PGE Ratepayer Costs'!E16,2)</f>
        <v>1043203.26</v>
      </c>
      <c r="G22" s="89">
        <f>ROUND('PGE Ratepayer Costs'!F16,2)</f>
        <v>38272.239999999998</v>
      </c>
      <c r="H22" s="89">
        <f t="shared" si="4"/>
        <v>7932837.5099999998</v>
      </c>
      <c r="I22" s="89">
        <f t="shared" si="5"/>
        <v>6473057.21</v>
      </c>
      <c r="J22" s="89">
        <f t="shared" si="6"/>
        <v>985601.75</v>
      </c>
      <c r="K22" s="89">
        <f t="shared" si="7"/>
        <v>36159</v>
      </c>
      <c r="L22" s="89">
        <f t="shared" si="8"/>
        <v>7494817.96</v>
      </c>
      <c r="M22" s="89">
        <f>ROUND('PGE Ratepayer Costs'!J16,2)</f>
        <v>2194344662.3099999</v>
      </c>
      <c r="N22" s="48">
        <f t="shared" si="9"/>
        <v>3.4155153876830632E-3</v>
      </c>
      <c r="P22" s="84">
        <f>'PAC Ratepayer Costs'!A16</f>
        <v>2026</v>
      </c>
      <c r="Q22" s="96">
        <f>'PAC Ratepayer Costs'!B16</f>
        <v>43.410000000000004</v>
      </c>
      <c r="R22" s="96">
        <f>'PAC Ratepayer Costs'!C16</f>
        <v>7303.7254558000013</v>
      </c>
      <c r="S22" s="89">
        <f>ROUND('PAC Ratepayer Costs'!D16,2)</f>
        <v>3200204.03</v>
      </c>
      <c r="T22" s="89">
        <f>ROUND('PAC Ratepayer Costs'!E16,2)</f>
        <v>723466.78</v>
      </c>
      <c r="U22" s="89">
        <f>ROUND('PAC Ratepayer Costs'!F16,2)</f>
        <v>104185.24</v>
      </c>
      <c r="V22" s="89">
        <f t="shared" si="10"/>
        <v>4027856.05</v>
      </c>
      <c r="W22" s="89">
        <f t="shared" si="11"/>
        <v>3023501.56</v>
      </c>
      <c r="X22" s="89">
        <f t="shared" si="12"/>
        <v>683519.84</v>
      </c>
      <c r="Y22" s="89">
        <f t="shared" si="13"/>
        <v>98432.55</v>
      </c>
      <c r="Z22" s="89">
        <f t="shared" si="14"/>
        <v>3805453.9499999997</v>
      </c>
      <c r="AA22" s="89">
        <f>'PAC Ratepayer Costs'!J16</f>
        <v>2194344662.3051701</v>
      </c>
      <c r="AB22" s="48">
        <f t="shared" si="15"/>
        <v>1.7342097690352578E-3</v>
      </c>
      <c r="AD22" s="48">
        <f>'IPC Ratepayer Costs'!A16</f>
        <v>2026</v>
      </c>
      <c r="AE22" s="96">
        <f>'IPC Ratepayer Costs'!B16</f>
        <v>2.95</v>
      </c>
      <c r="AF22" s="96">
        <f>'IPC Ratepayer Costs'!C16</f>
        <v>584.12682041666676</v>
      </c>
      <c r="AG22" s="89">
        <f>ROUND('IPC Ratepayer Costs'!D16,2)</f>
        <v>159143.22</v>
      </c>
      <c r="AH22" s="89">
        <f>ROUND('IPC Ratepayer Costs'!E16,2)</f>
        <v>36635.300000000003</v>
      </c>
      <c r="AI22" s="89">
        <f>ROUND('IPC Ratepayer Costs'!F16,2)</f>
        <v>0</v>
      </c>
      <c r="AJ22" s="89">
        <f t="shared" si="3"/>
        <v>195778.52000000002</v>
      </c>
      <c r="AK22" s="89">
        <f t="shared" si="16"/>
        <v>150355.97</v>
      </c>
      <c r="AL22" s="89">
        <f t="shared" si="17"/>
        <v>34612.449999999997</v>
      </c>
      <c r="AM22" s="89">
        <f t="shared" si="18"/>
        <v>0</v>
      </c>
      <c r="AN22" s="89">
        <f t="shared" si="19"/>
        <v>184968.41999999998</v>
      </c>
      <c r="AO22" s="89">
        <f>'IPC Ratepayer Costs'!J16</f>
        <v>2194344662.3051701</v>
      </c>
      <c r="AP22" s="48">
        <f t="shared" si="20"/>
        <v>8.4293239424699007E-5</v>
      </c>
    </row>
    <row r="23" spans="2:42">
      <c r="B23" s="48">
        <f>'PGE Ratepayer Costs'!A17</f>
        <v>2027</v>
      </c>
      <c r="C23" s="96">
        <f>'PGE Ratepayer Costs'!B17</f>
        <v>79.490000000000009</v>
      </c>
      <c r="D23" s="96">
        <f>'PGE Ratepayer Costs'!C17</f>
        <v>11337.294659941666</v>
      </c>
      <c r="E23" s="89">
        <f>ROUND('PGE Ratepayer Costs'!D17,2)</f>
        <v>8412088.9199999999</v>
      </c>
      <c r="F23" s="89">
        <f>ROUND('PGE Ratepayer Costs'!E17,2)</f>
        <v>945450.19</v>
      </c>
      <c r="G23" s="89">
        <f>ROUND('PGE Ratepayer Costs'!F17,2)</f>
        <v>26613.34</v>
      </c>
      <c r="H23" s="89">
        <f t="shared" si="4"/>
        <v>9384152.4499999993</v>
      </c>
      <c r="I23" s="89">
        <f t="shared" si="5"/>
        <v>7725074.0199999996</v>
      </c>
      <c r="J23" s="89">
        <f t="shared" si="6"/>
        <v>868235.32</v>
      </c>
      <c r="K23" s="89">
        <f t="shared" si="7"/>
        <v>24439.83</v>
      </c>
      <c r="L23" s="89">
        <f t="shared" si="8"/>
        <v>8617749.1699999999</v>
      </c>
      <c r="M23" s="89">
        <f>ROUND('PGE Ratepayer Costs'!J17,2)</f>
        <v>2228711344.27</v>
      </c>
      <c r="N23" s="48">
        <f t="shared" si="9"/>
        <v>3.8666959685722279E-3</v>
      </c>
      <c r="P23" s="84">
        <f>'PAC Ratepayer Costs'!A17</f>
        <v>2027</v>
      </c>
      <c r="Q23" s="96">
        <f>'PAC Ratepayer Costs'!B17</f>
        <v>57.160000000000004</v>
      </c>
      <c r="R23" s="96">
        <f>'PAC Ratepayer Costs'!C17</f>
        <v>9633.6455040083347</v>
      </c>
      <c r="S23" s="89">
        <f>ROUND('PAC Ratepayer Costs'!D17,2)</f>
        <v>7402772.1299999999</v>
      </c>
      <c r="T23" s="89">
        <f>ROUND('PAC Ratepayer Costs'!E17,2)</f>
        <v>655674.53</v>
      </c>
      <c r="U23" s="89">
        <f>ROUND('PAC Ratepayer Costs'!F17,2)</f>
        <v>82594.42</v>
      </c>
      <c r="V23" s="89">
        <f t="shared" si="10"/>
        <v>8141041.0800000001</v>
      </c>
      <c r="W23" s="89">
        <f t="shared" si="11"/>
        <v>6798188.0899999999</v>
      </c>
      <c r="X23" s="89">
        <f t="shared" si="12"/>
        <v>602125.62</v>
      </c>
      <c r="Y23" s="89">
        <f t="shared" si="13"/>
        <v>75848.94</v>
      </c>
      <c r="Z23" s="89">
        <f t="shared" si="14"/>
        <v>7476162.6500000004</v>
      </c>
      <c r="AA23" s="89">
        <f>'PAC Ratepayer Costs'!J17</f>
        <v>2228711344.2731791</v>
      </c>
      <c r="AB23" s="48">
        <f t="shared" si="15"/>
        <v>3.35447776546321E-3</v>
      </c>
      <c r="AD23" s="48">
        <f>'IPC Ratepayer Costs'!A17</f>
        <v>2027</v>
      </c>
      <c r="AE23" s="96">
        <f>'IPC Ratepayer Costs'!B17</f>
        <v>2.95</v>
      </c>
      <c r="AF23" s="96">
        <f>'IPC Ratepayer Costs'!C17</f>
        <v>584.12682041666676</v>
      </c>
      <c r="AG23" s="89">
        <f>ROUND('IPC Ratepayer Costs'!D17,2)</f>
        <v>148881.51999999999</v>
      </c>
      <c r="AH23" s="89">
        <f>ROUND('IPC Ratepayer Costs'!E17,2)</f>
        <v>33202.400000000001</v>
      </c>
      <c r="AI23" s="89">
        <f>ROUND('IPC Ratepayer Costs'!F17,2)</f>
        <v>0</v>
      </c>
      <c r="AJ23" s="89">
        <f t="shared" si="3"/>
        <v>182083.91999999998</v>
      </c>
      <c r="AK23" s="89">
        <f t="shared" si="16"/>
        <v>136722.37</v>
      </c>
      <c r="AL23" s="89">
        <f t="shared" si="17"/>
        <v>30490.76</v>
      </c>
      <c r="AM23" s="89">
        <f t="shared" si="18"/>
        <v>0</v>
      </c>
      <c r="AN23" s="89">
        <f t="shared" si="19"/>
        <v>167213.13</v>
      </c>
      <c r="AO23" s="89">
        <f>'IPC Ratepayer Costs'!J17</f>
        <v>2228711344.2731791</v>
      </c>
      <c r="AP23" s="48">
        <f t="shared" si="20"/>
        <v>7.5026822306829992E-5</v>
      </c>
    </row>
    <row r="24" spans="2:42">
      <c r="B24" s="48">
        <f>'PGE Ratepayer Costs'!A18</f>
        <v>2028</v>
      </c>
      <c r="C24" s="96">
        <f>'PGE Ratepayer Costs'!B18</f>
        <v>97.490000000000009</v>
      </c>
      <c r="D24" s="96">
        <f>'PGE Ratepayer Costs'!C18</f>
        <v>13977.018464941666</v>
      </c>
      <c r="E24" s="89">
        <f>ROUND('PGE Ratepayer Costs'!D18,2)</f>
        <v>10536230.529999999</v>
      </c>
      <c r="F24" s="89">
        <f>ROUND('PGE Ratepayer Costs'!E18,2)</f>
        <v>688239.15</v>
      </c>
      <c r="G24" s="89">
        <f>ROUND('PGE Ratepayer Costs'!F18,2)</f>
        <v>15715.42</v>
      </c>
      <c r="H24" s="89">
        <f t="shared" si="4"/>
        <v>11240185.1</v>
      </c>
      <c r="I24" s="89">
        <f t="shared" si="5"/>
        <v>9404816.4499999993</v>
      </c>
      <c r="J24" s="89">
        <f t="shared" si="6"/>
        <v>614333.82999999996</v>
      </c>
      <c r="K24" s="89">
        <f t="shared" si="7"/>
        <v>14027.85</v>
      </c>
      <c r="L24" s="89">
        <f t="shared" si="8"/>
        <v>10033178.129999999</v>
      </c>
      <c r="M24" s="89">
        <f>ROUND('PGE Ratepayer Costs'!J18,2)</f>
        <v>2263616259.3000002</v>
      </c>
      <c r="N24" s="48">
        <f t="shared" si="9"/>
        <v>4.432367053726083E-3</v>
      </c>
      <c r="P24" s="84">
        <f>'PAC Ratepayer Costs'!A18</f>
        <v>2028</v>
      </c>
      <c r="Q24" s="96">
        <f>'PAC Ratepayer Costs'!B18</f>
        <v>76.41</v>
      </c>
      <c r="R24" s="96">
        <f>'PAC Ratepayer Costs'!C18</f>
        <v>12898.176212550001</v>
      </c>
      <c r="S24" s="89">
        <f>ROUND('PAC Ratepayer Costs'!D18,2)</f>
        <v>8956655.9299999997</v>
      </c>
      <c r="T24" s="89">
        <f>ROUND('PAC Ratepayer Costs'!E18,2)</f>
        <v>477297.36</v>
      </c>
      <c r="U24" s="89">
        <f>ROUND('PAC Ratepayer Costs'!F18,2)</f>
        <v>62600.56</v>
      </c>
      <c r="V24" s="89">
        <f t="shared" si="10"/>
        <v>9496553.8499999996</v>
      </c>
      <c r="W24" s="89">
        <f t="shared" si="11"/>
        <v>7994861.6100000003</v>
      </c>
      <c r="X24" s="89">
        <f t="shared" si="12"/>
        <v>426043.65</v>
      </c>
      <c r="Y24" s="89">
        <f t="shared" si="13"/>
        <v>55878.31</v>
      </c>
      <c r="Z24" s="89">
        <f t="shared" si="14"/>
        <v>8476783.5700000003</v>
      </c>
      <c r="AA24" s="89">
        <f>'PAC Ratepayer Costs'!J18</f>
        <v>2263616259.2953563</v>
      </c>
      <c r="AB24" s="48">
        <f t="shared" si="15"/>
        <v>3.7447970852792639E-3</v>
      </c>
      <c r="AD24" s="48">
        <f>'IPC Ratepayer Costs'!A18</f>
        <v>2028</v>
      </c>
      <c r="AE24" s="96">
        <f>'IPC Ratepayer Costs'!B18</f>
        <v>3.12</v>
      </c>
      <c r="AF24" s="96">
        <f>'IPC Ratepayer Costs'!C18</f>
        <v>617.78836600000011</v>
      </c>
      <c r="AG24" s="89">
        <f>ROUND('IPC Ratepayer Costs'!D18,2)</f>
        <v>188458.53</v>
      </c>
      <c r="AH24" s="89">
        <f>ROUND('IPC Ratepayer Costs'!E18,2)</f>
        <v>24169.64</v>
      </c>
      <c r="AI24" s="89">
        <f>ROUND('IPC Ratepayer Costs'!F18,2)</f>
        <v>0</v>
      </c>
      <c r="AJ24" s="89">
        <f t="shared" si="3"/>
        <v>212628.16999999998</v>
      </c>
      <c r="AK24" s="89">
        <f t="shared" si="16"/>
        <v>168221.25</v>
      </c>
      <c r="AL24" s="89">
        <f t="shared" si="17"/>
        <v>21574.23</v>
      </c>
      <c r="AM24" s="89">
        <f t="shared" si="18"/>
        <v>0</v>
      </c>
      <c r="AN24" s="89">
        <f t="shared" si="19"/>
        <v>189795.48</v>
      </c>
      <c r="AO24" s="89">
        <f>'IPC Ratepayer Costs'!J18</f>
        <v>2263616259.2953563</v>
      </c>
      <c r="AP24" s="48">
        <f t="shared" si="20"/>
        <v>8.3846137445170002E-5</v>
      </c>
    </row>
    <row r="25" spans="2:42">
      <c r="B25" s="48">
        <f>'PGE Ratepayer Costs'!A19</f>
        <v>2029</v>
      </c>
      <c r="C25" s="96">
        <f>'PGE Ratepayer Costs'!B19</f>
        <v>113.15</v>
      </c>
      <c r="D25" s="96">
        <f>'PGE Ratepayer Costs'!C19</f>
        <v>16273.578175291666</v>
      </c>
      <c r="E25" s="89">
        <f>ROUND('PGE Ratepayer Costs'!D19,2)</f>
        <v>12368361.560000001</v>
      </c>
      <c r="F25" s="89">
        <f>ROUND('PGE Ratepayer Costs'!E19,2)</f>
        <v>588414.43000000005</v>
      </c>
      <c r="G25" s="89">
        <f>ROUND('PGE Ratepayer Costs'!F19,2)</f>
        <v>6402.82</v>
      </c>
      <c r="H25" s="89">
        <f t="shared" si="4"/>
        <v>12963178.810000001</v>
      </c>
      <c r="I25" s="89">
        <f t="shared" si="5"/>
        <v>10731081.59</v>
      </c>
      <c r="J25" s="89">
        <f t="shared" si="6"/>
        <v>510522.21</v>
      </c>
      <c r="K25" s="89">
        <f t="shared" si="7"/>
        <v>5555.24</v>
      </c>
      <c r="L25" s="89">
        <f t="shared" si="8"/>
        <v>11247159.040000001</v>
      </c>
      <c r="M25" s="89">
        <f>ROUND('PGE Ratepayer Costs'!J19,2)</f>
        <v>2299067836.9000001</v>
      </c>
      <c r="N25" s="48">
        <f t="shared" si="9"/>
        <v>4.8920518392207863E-3</v>
      </c>
      <c r="P25" s="84">
        <f>'PAC Ratepayer Costs'!A19</f>
        <v>2029</v>
      </c>
      <c r="Q25" s="96">
        <f>'PAC Ratepayer Costs'!B19</f>
        <v>94.6</v>
      </c>
      <c r="R25" s="96">
        <f>'PAC Ratepayer Costs'!C19</f>
        <v>15982.945749608334</v>
      </c>
      <c r="S25" s="89">
        <f>ROUND('PAC Ratepayer Costs'!D19,2)</f>
        <v>10016893.4</v>
      </c>
      <c r="T25" s="89">
        <f>ROUND('PAC Ratepayer Costs'!E19,2)</f>
        <v>408068.41</v>
      </c>
      <c r="U25" s="89">
        <f>ROUND('PAC Ratepayer Costs'!F19,2)</f>
        <v>43684.12</v>
      </c>
      <c r="V25" s="89">
        <f t="shared" si="10"/>
        <v>10468645.93</v>
      </c>
      <c r="W25" s="89">
        <f t="shared" si="11"/>
        <v>8690892.4700000007</v>
      </c>
      <c r="X25" s="89">
        <f t="shared" si="12"/>
        <v>354049.76</v>
      </c>
      <c r="Y25" s="89">
        <f t="shared" si="13"/>
        <v>37901.370000000003</v>
      </c>
      <c r="Z25" s="89">
        <f t="shared" si="14"/>
        <v>9082843.5999999996</v>
      </c>
      <c r="AA25" s="89">
        <f>'PAC Ratepayer Costs'!J19</f>
        <v>2299067836.897161</v>
      </c>
      <c r="AB25" s="48">
        <f t="shared" si="15"/>
        <v>3.9506635925359527E-3</v>
      </c>
      <c r="AD25" s="48">
        <f>'IPC Ratepayer Costs'!A19</f>
        <v>2029</v>
      </c>
      <c r="AE25" s="96">
        <f>'IPC Ratepayer Costs'!B19</f>
        <v>3.2800000000000002</v>
      </c>
      <c r="AF25" s="96">
        <f>'IPC Ratepayer Costs'!C19</f>
        <v>649.46982066666681</v>
      </c>
      <c r="AG25" s="89">
        <f>ROUND('IPC Ratepayer Costs'!D19,2)</f>
        <v>238845.26</v>
      </c>
      <c r="AH25" s="89">
        <f>ROUND('IPC Ratepayer Costs'!E19,2)</f>
        <v>20663.990000000002</v>
      </c>
      <c r="AI25" s="89">
        <f>ROUND('IPC Ratepayer Costs'!F19,2)</f>
        <v>0</v>
      </c>
      <c r="AJ25" s="89">
        <f t="shared" si="3"/>
        <v>259509.25</v>
      </c>
      <c r="AK25" s="89">
        <f t="shared" si="16"/>
        <v>207227.77</v>
      </c>
      <c r="AL25" s="89">
        <f t="shared" si="17"/>
        <v>17928.560000000001</v>
      </c>
      <c r="AM25" s="89">
        <f t="shared" si="18"/>
        <v>0</v>
      </c>
      <c r="AN25" s="89">
        <f t="shared" si="19"/>
        <v>225156.33</v>
      </c>
      <c r="AO25" s="89">
        <f>'IPC Ratepayer Costs'!J19</f>
        <v>2299067836.897161</v>
      </c>
      <c r="AP25" s="48">
        <f t="shared" si="20"/>
        <v>9.7933747924494756E-5</v>
      </c>
    </row>
    <row r="26" spans="2:42">
      <c r="B26" s="48">
        <f>'PGE Ratepayer Costs'!A20</f>
        <v>2030</v>
      </c>
      <c r="C26" s="96">
        <f>'PGE Ratepayer Costs'!B20</f>
        <v>113.15</v>
      </c>
      <c r="D26" s="96">
        <f>'PGE Ratepayer Costs'!C20</f>
        <v>16273.578175291666</v>
      </c>
      <c r="E26" s="89">
        <f>ROUND('PGE Ratepayer Costs'!D20,2)</f>
        <v>12441144.109999999</v>
      </c>
      <c r="F26" s="89">
        <f>ROUND('PGE Ratepayer Costs'!E20,2)</f>
        <v>344265.82</v>
      </c>
      <c r="G26" s="89">
        <f>ROUND('PGE Ratepayer Costs'!F20,2)</f>
        <v>6402.82</v>
      </c>
      <c r="H26" s="89">
        <f t="shared" si="4"/>
        <v>12791812.75</v>
      </c>
      <c r="I26" s="89">
        <f t="shared" si="5"/>
        <v>10491991.02</v>
      </c>
      <c r="J26" s="89">
        <f t="shared" si="6"/>
        <v>290329.71999999997</v>
      </c>
      <c r="K26" s="89">
        <f t="shared" si="7"/>
        <v>5399.69</v>
      </c>
      <c r="L26" s="89">
        <f t="shared" si="8"/>
        <v>10787720.43</v>
      </c>
      <c r="M26" s="89">
        <f>ROUND('PGE Ratepayer Costs'!J20,2)</f>
        <v>2335074638.6199999</v>
      </c>
      <c r="N26" s="48">
        <f t="shared" si="9"/>
        <v>4.6198610749228165E-3</v>
      </c>
      <c r="P26" s="84">
        <f>'PAC Ratepayer Costs'!A20</f>
        <v>2030</v>
      </c>
      <c r="Q26" s="96">
        <f>'PAC Ratepayer Costs'!B20</f>
        <v>94.6</v>
      </c>
      <c r="R26" s="96">
        <f>'PAC Ratepayer Costs'!C20</f>
        <v>15982.945749608334</v>
      </c>
      <c r="S26" s="89">
        <f>ROUND('PAC Ratepayer Costs'!D20,2)</f>
        <v>9976733.8900000006</v>
      </c>
      <c r="T26" s="89">
        <f>ROUND('PAC Ratepayer Costs'!E20,2)</f>
        <v>238750.1</v>
      </c>
      <c r="U26" s="89">
        <f>ROUND('PAC Ratepayer Costs'!F20,2)</f>
        <v>43684.12</v>
      </c>
      <c r="V26" s="89">
        <f t="shared" si="10"/>
        <v>10259168.109999999</v>
      </c>
      <c r="W26" s="89">
        <f t="shared" si="11"/>
        <v>8413679.7599999998</v>
      </c>
      <c r="X26" s="89">
        <f t="shared" si="12"/>
        <v>201345.14</v>
      </c>
      <c r="Y26" s="89">
        <f t="shared" si="13"/>
        <v>36840.129999999997</v>
      </c>
      <c r="Z26" s="89">
        <f t="shared" si="14"/>
        <v>8651865.0300000012</v>
      </c>
      <c r="AA26" s="89">
        <f>'PAC Ratepayer Costs'!J20</f>
        <v>2335074638.6228848</v>
      </c>
      <c r="AB26" s="48">
        <f t="shared" si="15"/>
        <v>3.7051770795225873E-3</v>
      </c>
      <c r="AD26" s="48">
        <f>'IPC Ratepayer Costs'!A20</f>
        <v>2030</v>
      </c>
      <c r="AE26" s="96">
        <f>'IPC Ratepayer Costs'!B20</f>
        <v>3.2800000000000002</v>
      </c>
      <c r="AF26" s="96">
        <f>'IPC Ratepayer Costs'!C20</f>
        <v>649.46982066666681</v>
      </c>
      <c r="AG26" s="89">
        <f>ROUND('IPC Ratepayer Costs'!D20,2)</f>
        <v>256239.01</v>
      </c>
      <c r="AH26" s="89">
        <f>ROUND('IPC Ratepayer Costs'!E20,2)</f>
        <v>12089.96</v>
      </c>
      <c r="AI26" s="89">
        <f>ROUND('IPC Ratepayer Costs'!F20,2)</f>
        <v>0</v>
      </c>
      <c r="AJ26" s="89">
        <f t="shared" si="3"/>
        <v>268328.97000000003</v>
      </c>
      <c r="AK26" s="89">
        <f t="shared" si="16"/>
        <v>216094.06</v>
      </c>
      <c r="AL26" s="89">
        <f t="shared" si="17"/>
        <v>10195.83</v>
      </c>
      <c r="AM26" s="89">
        <f t="shared" si="18"/>
        <v>0</v>
      </c>
      <c r="AN26" s="89">
        <f t="shared" si="19"/>
        <v>226289.88999999998</v>
      </c>
      <c r="AO26" s="89">
        <f>'IPC Ratepayer Costs'!J20</f>
        <v>2335074638.6228848</v>
      </c>
      <c r="AP26" s="48">
        <f t="shared" si="20"/>
        <v>9.6909060745679174E-5</v>
      </c>
    </row>
    <row r="27" spans="2:42">
      <c r="B27" s="48">
        <f>'PGE Ratepayer Costs'!A21</f>
        <v>2031</v>
      </c>
      <c r="C27" s="96">
        <f>'PGE Ratepayer Costs'!B21</f>
        <v>113.15</v>
      </c>
      <c r="D27" s="96">
        <f>'PGE Ratepayer Costs'!C21</f>
        <v>16273.578175291666</v>
      </c>
      <c r="E27" s="89">
        <f>ROUND('PGE Ratepayer Costs'!D21,2)</f>
        <v>12692293.15</v>
      </c>
      <c r="F27" s="89">
        <f>ROUND('PGE Ratepayer Costs'!E21,2)</f>
        <v>173133.09</v>
      </c>
      <c r="G27" s="89">
        <f>ROUND('PGE Ratepayer Costs'!F21,2)</f>
        <v>6402.82</v>
      </c>
      <c r="H27" s="89">
        <f t="shared" si="4"/>
        <v>12871829.060000001</v>
      </c>
      <c r="I27" s="89">
        <f t="shared" si="5"/>
        <v>10404086.369999999</v>
      </c>
      <c r="J27" s="89">
        <f t="shared" si="6"/>
        <v>141920.10999999999</v>
      </c>
      <c r="K27" s="89">
        <f t="shared" si="7"/>
        <v>5248.5</v>
      </c>
      <c r="L27" s="89">
        <f t="shared" si="8"/>
        <v>10551254.979999999</v>
      </c>
      <c r="M27" s="89">
        <f>ROUND('PGE Ratepayer Costs'!J21,2)</f>
        <v>2371645360.0999999</v>
      </c>
      <c r="N27" s="48">
        <f t="shared" si="9"/>
        <v>4.4489176828508238E-3</v>
      </c>
      <c r="P27" s="84">
        <f>'PAC Ratepayer Costs'!A21</f>
        <v>2031</v>
      </c>
      <c r="Q27" s="96">
        <f>'PAC Ratepayer Costs'!B21</f>
        <v>94.6</v>
      </c>
      <c r="R27" s="96">
        <f>'PAC Ratepayer Costs'!C21</f>
        <v>15982.945749608334</v>
      </c>
      <c r="S27" s="89">
        <f>ROUND('PAC Ratepayer Costs'!D21,2)</f>
        <v>10256849.539999999</v>
      </c>
      <c r="T27" s="89">
        <f>ROUND('PAC Ratepayer Costs'!E21,2)</f>
        <v>120068.68</v>
      </c>
      <c r="U27" s="89">
        <f>ROUND('PAC Ratepayer Costs'!F21,2)</f>
        <v>43684.12</v>
      </c>
      <c r="V27" s="89">
        <f t="shared" si="10"/>
        <v>10420602.339999998</v>
      </c>
      <c r="W27" s="89">
        <f t="shared" si="11"/>
        <v>8407712.2400000002</v>
      </c>
      <c r="X27" s="89">
        <f t="shared" si="12"/>
        <v>98422.32</v>
      </c>
      <c r="Y27" s="89">
        <f t="shared" si="13"/>
        <v>35808.61</v>
      </c>
      <c r="Z27" s="89">
        <f t="shared" si="14"/>
        <v>8541943.1699999999</v>
      </c>
      <c r="AA27" s="89">
        <f>'PAC Ratepayer Costs'!J21</f>
        <v>2371645360.1032624</v>
      </c>
      <c r="AB27" s="48">
        <f t="shared" si="15"/>
        <v>3.6016949724844527E-3</v>
      </c>
      <c r="AD27" s="48">
        <f>'IPC Ratepayer Costs'!A21</f>
        <v>2031</v>
      </c>
      <c r="AE27" s="96">
        <f>'IPC Ratepayer Costs'!B21</f>
        <v>3.2800000000000002</v>
      </c>
      <c r="AF27" s="96">
        <f>'IPC Ratepayer Costs'!C21</f>
        <v>649.46982066666681</v>
      </c>
      <c r="AG27" s="89">
        <f>ROUND('IPC Ratepayer Costs'!D21,2)</f>
        <v>237489.82</v>
      </c>
      <c r="AH27" s="89">
        <f>ROUND('IPC Ratepayer Costs'!E21,2)</f>
        <v>6080.1</v>
      </c>
      <c r="AI27" s="89">
        <f>ROUND('IPC Ratepayer Costs'!F21,2)</f>
        <v>0</v>
      </c>
      <c r="AJ27" s="89">
        <f t="shared" si="3"/>
        <v>243569.92000000001</v>
      </c>
      <c r="AK27" s="89">
        <f t="shared" si="16"/>
        <v>194674.4</v>
      </c>
      <c r="AL27" s="89">
        <f t="shared" si="17"/>
        <v>4983.96</v>
      </c>
      <c r="AM27" s="89">
        <f t="shared" si="18"/>
        <v>0</v>
      </c>
      <c r="AN27" s="89">
        <f t="shared" si="19"/>
        <v>199658.36</v>
      </c>
      <c r="AO27" s="89">
        <f>'IPC Ratepayer Costs'!J21</f>
        <v>2371645360.1032624</v>
      </c>
      <c r="AP27" s="48">
        <f t="shared" si="20"/>
        <v>8.4185588350910439E-5</v>
      </c>
    </row>
    <row r="28" spans="2:42">
      <c r="B28" s="48">
        <f>'PGE Ratepayer Costs'!A22</f>
        <v>2032</v>
      </c>
      <c r="C28" s="96">
        <f>'PGE Ratepayer Costs'!B22</f>
        <v>113.15</v>
      </c>
      <c r="D28" s="96">
        <f>'PGE Ratepayer Costs'!C22</f>
        <v>16273.578175291666</v>
      </c>
      <c r="E28" s="89">
        <f>ROUND('PGE Ratepayer Costs'!D22,2)</f>
        <v>12767636.949999999</v>
      </c>
      <c r="F28" s="89">
        <f>ROUND('PGE Ratepayer Costs'!E22,2)</f>
        <v>-9287.23</v>
      </c>
      <c r="G28" s="89">
        <f>ROUND('PGE Ratepayer Costs'!F22,2)</f>
        <v>6402.82</v>
      </c>
      <c r="H28" s="89">
        <f t="shared" si="4"/>
        <v>12764752.539999999</v>
      </c>
      <c r="I28" s="89">
        <f t="shared" si="5"/>
        <v>10172803.24</v>
      </c>
      <c r="J28" s="89">
        <f t="shared" si="6"/>
        <v>-7399.74</v>
      </c>
      <c r="K28" s="89">
        <f t="shared" si="7"/>
        <v>5101.54</v>
      </c>
      <c r="L28" s="89">
        <f t="shared" si="8"/>
        <v>10170505.039999999</v>
      </c>
      <c r="M28" s="89">
        <f>ROUND('PGE Ratepayer Costs'!J22,2)</f>
        <v>2408788833.1599998</v>
      </c>
      <c r="N28" s="48">
        <f t="shared" si="9"/>
        <v>4.2222485009853249E-3</v>
      </c>
      <c r="P28" s="84">
        <f>'PAC Ratepayer Costs'!A22</f>
        <v>2032</v>
      </c>
      <c r="Q28" s="96">
        <f>'PAC Ratepayer Costs'!B22</f>
        <v>94.6</v>
      </c>
      <c r="R28" s="96">
        <f>'PAC Ratepayer Costs'!C22</f>
        <v>15982.945749608334</v>
      </c>
      <c r="S28" s="89">
        <f>ROUND('PAC Ratepayer Costs'!D22,2)</f>
        <v>10594896.85</v>
      </c>
      <c r="T28" s="89">
        <f>ROUND('PAC Ratepayer Costs'!E22,2)</f>
        <v>-6440.74</v>
      </c>
      <c r="U28" s="89">
        <f>ROUND('PAC Ratepayer Costs'!F22,2)</f>
        <v>43684.12</v>
      </c>
      <c r="V28" s="89">
        <f t="shared" si="10"/>
        <v>10632140.229999999</v>
      </c>
      <c r="W28" s="89">
        <f t="shared" si="11"/>
        <v>8441640.4800000004</v>
      </c>
      <c r="X28" s="89">
        <f t="shared" si="12"/>
        <v>-5131.75</v>
      </c>
      <c r="Y28" s="89">
        <f t="shared" si="13"/>
        <v>34805.97</v>
      </c>
      <c r="Z28" s="89">
        <f t="shared" si="14"/>
        <v>8471314.7000000011</v>
      </c>
      <c r="AA28" s="89">
        <f>'PAC Ratepayer Costs'!J22</f>
        <v>2408788833.1554632</v>
      </c>
      <c r="AB28" s="48">
        <f t="shared" si="15"/>
        <v>3.5168357572061453E-3</v>
      </c>
      <c r="AD28" s="48">
        <f>'IPC Ratepayer Costs'!A22</f>
        <v>2032</v>
      </c>
      <c r="AE28" s="96">
        <f>'IPC Ratepayer Costs'!B22</f>
        <v>3.2800000000000002</v>
      </c>
      <c r="AF28" s="96">
        <f>'IPC Ratepayer Costs'!C22</f>
        <v>649.46982066666681</v>
      </c>
      <c r="AG28" s="89">
        <f>ROUND('IPC Ratepayer Costs'!D22,2)</f>
        <v>217157.34</v>
      </c>
      <c r="AH28" s="89">
        <f>ROUND('IPC Ratepayer Costs'!E22,2)</f>
        <v>-326.14999999999998</v>
      </c>
      <c r="AI28" s="89">
        <f>ROUND('IPC Ratepayer Costs'!F22,2)</f>
        <v>0</v>
      </c>
      <c r="AJ28" s="89">
        <f t="shared" si="3"/>
        <v>216831.19</v>
      </c>
      <c r="AK28" s="89">
        <f t="shared" si="16"/>
        <v>173023.32</v>
      </c>
      <c r="AL28" s="89">
        <f t="shared" si="17"/>
        <v>-259.86</v>
      </c>
      <c r="AM28" s="89">
        <f t="shared" si="18"/>
        <v>0</v>
      </c>
      <c r="AN28" s="89">
        <f t="shared" si="19"/>
        <v>172763.46000000002</v>
      </c>
      <c r="AO28" s="89">
        <f>'IPC Ratepayer Costs'!J22</f>
        <v>2408788833.1554632</v>
      </c>
      <c r="AP28" s="48">
        <f t="shared" si="20"/>
        <v>7.1722127577984285E-5</v>
      </c>
    </row>
    <row r="29" spans="2:42">
      <c r="B29" s="48">
        <f>'PGE Ratepayer Costs'!A23</f>
        <v>2033</v>
      </c>
      <c r="C29" s="96">
        <f>'PGE Ratepayer Costs'!B23</f>
        <v>113.15</v>
      </c>
      <c r="D29" s="96">
        <f>'PGE Ratepayer Costs'!C23</f>
        <v>16273.578175291666</v>
      </c>
      <c r="E29" s="89">
        <f>ROUND('PGE Ratepayer Costs'!D23,2)</f>
        <v>12528485.27</v>
      </c>
      <c r="F29" s="89">
        <f>ROUND('PGE Ratepayer Costs'!E23,2)</f>
        <v>-57242.16</v>
      </c>
      <c r="G29" s="89">
        <f>ROUND('PGE Ratepayer Costs'!F23,2)</f>
        <v>6402.82</v>
      </c>
      <c r="H29" s="89">
        <f t="shared" si="4"/>
        <v>12477645.93</v>
      </c>
      <c r="I29" s="89">
        <f t="shared" si="5"/>
        <v>9702752.4499999993</v>
      </c>
      <c r="J29" s="89">
        <f t="shared" si="6"/>
        <v>-44331.5</v>
      </c>
      <c r="K29" s="89">
        <f t="shared" si="7"/>
        <v>4958.7</v>
      </c>
      <c r="L29" s="89">
        <f t="shared" si="8"/>
        <v>9663379.6499999985</v>
      </c>
      <c r="M29" s="89">
        <f>ROUND('PGE Ratepayer Costs'!J23,2)</f>
        <v>2446514027.9200001</v>
      </c>
      <c r="N29" s="48">
        <f t="shared" si="9"/>
        <v>3.9498566285416726E-3</v>
      </c>
      <c r="P29" s="84">
        <f>'PAC Ratepayer Costs'!A23</f>
        <v>2033</v>
      </c>
      <c r="Q29" s="96">
        <f>'PAC Ratepayer Costs'!B23</f>
        <v>94.6</v>
      </c>
      <c r="R29" s="96">
        <f>'PAC Ratepayer Costs'!C23</f>
        <v>15982.945749608334</v>
      </c>
      <c r="S29" s="89">
        <f>ROUND('PAC Ratepayer Costs'!D23,2)</f>
        <v>10645077.52</v>
      </c>
      <c r="T29" s="89">
        <f>ROUND('PAC Ratepayer Costs'!E23,2)</f>
        <v>-39697.730000000003</v>
      </c>
      <c r="U29" s="89">
        <f>ROUND('PAC Ratepayer Costs'!F23,2)</f>
        <v>43684.12</v>
      </c>
      <c r="V29" s="89">
        <f t="shared" si="10"/>
        <v>10649063.909999998</v>
      </c>
      <c r="W29" s="89">
        <f t="shared" si="11"/>
        <v>8244137.2400000002</v>
      </c>
      <c r="X29" s="89">
        <f t="shared" si="12"/>
        <v>-30744.12</v>
      </c>
      <c r="Y29" s="89">
        <f t="shared" si="13"/>
        <v>33831.4</v>
      </c>
      <c r="Z29" s="89">
        <f t="shared" si="14"/>
        <v>8247224.5200000005</v>
      </c>
      <c r="AA29" s="89">
        <f>'PAC Ratepayer Costs'!J23</f>
        <v>2446514027.9159718</v>
      </c>
      <c r="AB29" s="48">
        <f t="shared" si="15"/>
        <v>3.3710105177795695E-3</v>
      </c>
      <c r="AD29" s="48">
        <f>'IPC Ratepayer Costs'!A23</f>
        <v>2033</v>
      </c>
      <c r="AE29" s="96">
        <f>'IPC Ratepayer Costs'!B23</f>
        <v>3.2800000000000002</v>
      </c>
      <c r="AF29" s="96">
        <f>'IPC Ratepayer Costs'!C23</f>
        <v>649.46982066666681</v>
      </c>
      <c r="AG29" s="89">
        <f>ROUND('IPC Ratepayer Costs'!D23,2)</f>
        <v>206832.28</v>
      </c>
      <c r="AH29" s="89">
        <f>ROUND('IPC Ratepayer Costs'!E23,2)</f>
        <v>-2010.24</v>
      </c>
      <c r="AI29" s="89">
        <f>ROUND('IPC Ratepayer Costs'!F23,2)</f>
        <v>0</v>
      </c>
      <c r="AJ29" s="89">
        <f t="shared" si="3"/>
        <v>204822.04</v>
      </c>
      <c r="AK29" s="89">
        <f t="shared" si="16"/>
        <v>160182.37</v>
      </c>
      <c r="AL29" s="89">
        <f t="shared" si="17"/>
        <v>-1556.84</v>
      </c>
      <c r="AM29" s="89">
        <f t="shared" si="18"/>
        <v>0</v>
      </c>
      <c r="AN29" s="89">
        <f t="shared" si="19"/>
        <v>158625.53</v>
      </c>
      <c r="AO29" s="89">
        <f>'IPC Ratepayer Costs'!J23</f>
        <v>2446514027.9159718</v>
      </c>
      <c r="AP29" s="48">
        <f t="shared" si="20"/>
        <v>6.4837367858921658E-5</v>
      </c>
    </row>
    <row r="30" spans="2:42">
      <c r="B30" s="48">
        <f>'PGE Ratepayer Costs'!A24</f>
        <v>2034</v>
      </c>
      <c r="C30" s="96">
        <f>'PGE Ratepayer Costs'!B24</f>
        <v>113.15</v>
      </c>
      <c r="D30" s="96">
        <f>'PGE Ratepayer Costs'!C24</f>
        <v>16273.578175291666</v>
      </c>
      <c r="E30" s="89">
        <f>ROUND('PGE Ratepayer Costs'!D24,2)</f>
        <v>12542778.970000001</v>
      </c>
      <c r="F30" s="89">
        <f>ROUND('PGE Ratepayer Costs'!E24,2)</f>
        <v>-30522.63</v>
      </c>
      <c r="G30" s="89">
        <f>ROUND('PGE Ratepayer Costs'!F24,2)</f>
        <v>6402.82</v>
      </c>
      <c r="H30" s="89">
        <f t="shared" si="4"/>
        <v>12518659.16</v>
      </c>
      <c r="I30" s="89">
        <f t="shared" si="5"/>
        <v>9441835.2599999998</v>
      </c>
      <c r="J30" s="89">
        <f t="shared" si="6"/>
        <v>-22976.54</v>
      </c>
      <c r="K30" s="89">
        <f t="shared" si="7"/>
        <v>4819.8500000000004</v>
      </c>
      <c r="L30" s="89">
        <f t="shared" si="8"/>
        <v>9423678.5700000003</v>
      </c>
      <c r="M30" s="89">
        <f>ROUND('PGE Ratepayer Costs'!J24,2)</f>
        <v>2484830055.0100002</v>
      </c>
      <c r="N30" s="48">
        <f t="shared" si="9"/>
        <v>3.7924841383013917E-3</v>
      </c>
      <c r="P30" s="84">
        <f>'PAC Ratepayer Costs'!A24</f>
        <v>2034</v>
      </c>
      <c r="Q30" s="96">
        <f>'PAC Ratepayer Costs'!B24</f>
        <v>94.6</v>
      </c>
      <c r="R30" s="96">
        <f>'PAC Ratepayer Costs'!C24</f>
        <v>15982.945749608334</v>
      </c>
      <c r="S30" s="89">
        <f>ROUND('PAC Ratepayer Costs'!D24,2)</f>
        <v>10824360.07</v>
      </c>
      <c r="T30" s="89">
        <f>ROUND('PAC Ratepayer Costs'!E24,2)</f>
        <v>-21167.599999999999</v>
      </c>
      <c r="U30" s="89">
        <f>ROUND('PAC Ratepayer Costs'!F24,2)</f>
        <v>43684.12</v>
      </c>
      <c r="V30" s="89">
        <f t="shared" si="10"/>
        <v>10846876.59</v>
      </c>
      <c r="W30" s="89">
        <f t="shared" si="11"/>
        <v>8148260.0300000003</v>
      </c>
      <c r="X30" s="89">
        <f t="shared" si="12"/>
        <v>-15934.35</v>
      </c>
      <c r="Y30" s="89">
        <f t="shared" si="13"/>
        <v>32884.120000000003</v>
      </c>
      <c r="Z30" s="89">
        <f t="shared" si="14"/>
        <v>8165209.8000000007</v>
      </c>
      <c r="AA30" s="89">
        <f>'PAC Ratepayer Costs'!J24</f>
        <v>2484830055.0068736</v>
      </c>
      <c r="AB30" s="48">
        <f t="shared" si="15"/>
        <v>3.2860234379197468E-3</v>
      </c>
      <c r="AD30" s="48">
        <f>'IPC Ratepayer Costs'!A24</f>
        <v>2034</v>
      </c>
      <c r="AE30" s="96">
        <f>'IPC Ratepayer Costs'!B24</f>
        <v>3.2800000000000002</v>
      </c>
      <c r="AF30" s="96">
        <f>'IPC Ratepayer Costs'!C24</f>
        <v>649.46982066666681</v>
      </c>
      <c r="AG30" s="89">
        <f>ROUND('IPC Ratepayer Costs'!D24,2)</f>
        <v>187509.78</v>
      </c>
      <c r="AH30" s="89">
        <f>ROUND('IPC Ratepayer Costs'!E24,2)</f>
        <v>-1071.9000000000001</v>
      </c>
      <c r="AI30" s="89">
        <f>ROUND('IPC Ratepayer Costs'!F24,2)</f>
        <v>0</v>
      </c>
      <c r="AJ30" s="89">
        <f t="shared" si="3"/>
        <v>186437.88</v>
      </c>
      <c r="AK30" s="89">
        <f t="shared" si="16"/>
        <v>141151.85</v>
      </c>
      <c r="AL30" s="89">
        <f t="shared" si="17"/>
        <v>-806.89</v>
      </c>
      <c r="AM30" s="89">
        <f t="shared" si="18"/>
        <v>0</v>
      </c>
      <c r="AN30" s="89">
        <f t="shared" si="19"/>
        <v>140344.95999999999</v>
      </c>
      <c r="AO30" s="89">
        <f>'IPC Ratepayer Costs'!J24</f>
        <v>2484830055.0068736</v>
      </c>
      <c r="AP30" s="48">
        <f t="shared" si="20"/>
        <v>5.648070769154141E-5</v>
      </c>
    </row>
    <row r="31" spans="2:42">
      <c r="B31" s="48">
        <f>'PGE Ratepayer Costs'!A25</f>
        <v>2035</v>
      </c>
      <c r="C31" s="96">
        <f>'PGE Ratepayer Costs'!B25</f>
        <v>113.15</v>
      </c>
      <c r="D31" s="96">
        <f>'PGE Ratepayer Costs'!C25</f>
        <v>16273.578175291666</v>
      </c>
      <c r="E31" s="89">
        <f>ROUND('PGE Ratepayer Costs'!D25,2)</f>
        <v>12802695.25</v>
      </c>
      <c r="F31" s="89">
        <f>ROUND('PGE Ratepayer Costs'!E25,2)</f>
        <v>-2359.1799999999998</v>
      </c>
      <c r="G31" s="89">
        <f>ROUND('PGE Ratepayer Costs'!F25,2)</f>
        <v>6402.82</v>
      </c>
      <c r="H31" s="89">
        <f t="shared" si="4"/>
        <v>12806738.890000001</v>
      </c>
      <c r="I31" s="89">
        <f t="shared" si="5"/>
        <v>9367642.8000000007</v>
      </c>
      <c r="J31" s="89">
        <f t="shared" si="6"/>
        <v>-1726.2</v>
      </c>
      <c r="K31" s="89">
        <f t="shared" si="7"/>
        <v>4684.8999999999996</v>
      </c>
      <c r="L31" s="89">
        <f t="shared" si="8"/>
        <v>9370601.5000000019</v>
      </c>
      <c r="M31" s="89">
        <f>ROUND('PGE Ratepayer Costs'!J25,2)</f>
        <v>2523746167.7399998</v>
      </c>
      <c r="N31" s="48">
        <f t="shared" si="9"/>
        <v>3.7129730476782941E-3</v>
      </c>
      <c r="P31" s="84">
        <f>'PAC Ratepayer Costs'!A25</f>
        <v>2035</v>
      </c>
      <c r="Q31" s="96">
        <f>'PAC Ratepayer Costs'!B25</f>
        <v>94.6</v>
      </c>
      <c r="R31" s="96">
        <f>'PAC Ratepayer Costs'!C25</f>
        <v>15982.945749608334</v>
      </c>
      <c r="S31" s="89">
        <f>ROUND('PAC Ratepayer Costs'!D25,2)</f>
        <v>10926316.9</v>
      </c>
      <c r="T31" s="89">
        <f>ROUND('PAC Ratepayer Costs'!E25,2)</f>
        <v>-1636.1</v>
      </c>
      <c r="U31" s="89">
        <f>ROUND('PAC Ratepayer Costs'!F25,2)</f>
        <v>43684.12</v>
      </c>
      <c r="V31" s="89">
        <f t="shared" si="10"/>
        <v>10968364.92</v>
      </c>
      <c r="W31" s="89">
        <f t="shared" si="11"/>
        <v>7994709.8499999996</v>
      </c>
      <c r="X31" s="89">
        <f t="shared" si="12"/>
        <v>-1197.1199999999999</v>
      </c>
      <c r="Y31" s="89">
        <f t="shared" si="13"/>
        <v>31963.37</v>
      </c>
      <c r="Z31" s="89">
        <f t="shared" si="14"/>
        <v>8025476.0999999996</v>
      </c>
      <c r="AA31" s="89">
        <f>'PAC Ratepayer Costs'!J25</f>
        <v>2523746167.7360668</v>
      </c>
      <c r="AB31" s="48">
        <f t="shared" si="15"/>
        <v>3.1799854528156745E-3</v>
      </c>
      <c r="AD31" s="48">
        <f>'IPC Ratepayer Costs'!A25</f>
        <v>2035</v>
      </c>
      <c r="AE31" s="96">
        <f>'IPC Ratepayer Costs'!B25</f>
        <v>3.2800000000000002</v>
      </c>
      <c r="AF31" s="96">
        <f>'IPC Ratepayer Costs'!C25</f>
        <v>649.46982066666681</v>
      </c>
      <c r="AG31" s="89">
        <f>ROUND('IPC Ratepayer Costs'!D25,2)</f>
        <v>163398.87</v>
      </c>
      <c r="AH31" s="89">
        <f>ROUND('IPC Ratepayer Costs'!E25,2)</f>
        <v>-82.85</v>
      </c>
      <c r="AI31" s="89">
        <f>ROUND('IPC Ratepayer Costs'!F25,2)</f>
        <v>0</v>
      </c>
      <c r="AJ31" s="89">
        <f t="shared" si="3"/>
        <v>163316.01999999999</v>
      </c>
      <c r="AK31" s="89">
        <f t="shared" si="16"/>
        <v>119557.81</v>
      </c>
      <c r="AL31" s="89">
        <f t="shared" si="17"/>
        <v>-60.62</v>
      </c>
      <c r="AM31" s="89">
        <f t="shared" si="18"/>
        <v>0</v>
      </c>
      <c r="AN31" s="89">
        <f t="shared" si="19"/>
        <v>119497.19</v>
      </c>
      <c r="AO31" s="89">
        <f>'IPC Ratepayer Costs'!J25</f>
        <v>2523746167.7360668</v>
      </c>
      <c r="AP31" s="48">
        <f t="shared" si="20"/>
        <v>4.7349131829369066E-5</v>
      </c>
    </row>
    <row r="32" spans="2:42">
      <c r="B32" s="48">
        <f>'PGE Ratepayer Costs'!A26</f>
        <v>2036</v>
      </c>
      <c r="C32" s="96">
        <f>'PGE Ratepayer Costs'!B26</f>
        <v>113.15</v>
      </c>
      <c r="D32" s="96">
        <f>'PGE Ratepayer Costs'!C26</f>
        <v>16273.578175291666</v>
      </c>
      <c r="E32" s="89">
        <f>ROUND('PGE Ratepayer Costs'!D26,2)</f>
        <v>13083115.59</v>
      </c>
      <c r="F32" s="89">
        <f>ROUND('PGE Ratepayer Costs'!E26,2)</f>
        <v>26706.73</v>
      </c>
      <c r="G32" s="89">
        <f>ROUND('PGE Ratepayer Costs'!F26,2)</f>
        <v>6402.82</v>
      </c>
      <c r="H32" s="89">
        <f t="shared" si="4"/>
        <v>13116225.140000001</v>
      </c>
      <c r="I32" s="89">
        <f t="shared" si="5"/>
        <v>9304785.3200000003</v>
      </c>
      <c r="J32" s="89">
        <f t="shared" si="6"/>
        <v>18993.98</v>
      </c>
      <c r="K32" s="89">
        <f t="shared" si="7"/>
        <v>4553.72</v>
      </c>
      <c r="L32" s="89">
        <f t="shared" si="8"/>
        <v>9328333.0200000014</v>
      </c>
      <c r="M32" s="89">
        <f>ROUND('PGE Ratepayer Costs'!J26,2)</f>
        <v>2563271764.3299999</v>
      </c>
      <c r="N32" s="48">
        <f t="shared" si="9"/>
        <v>3.639229031354108E-3</v>
      </c>
      <c r="P32" s="84">
        <f>'PAC Ratepayer Costs'!A26</f>
        <v>2036</v>
      </c>
      <c r="Q32" s="96">
        <f>'PAC Ratepayer Costs'!B26</f>
        <v>94.6</v>
      </c>
      <c r="R32" s="96">
        <f>'PAC Ratepayer Costs'!C26</f>
        <v>15982.945749608334</v>
      </c>
      <c r="S32" s="89">
        <f>ROUND('PAC Ratepayer Costs'!D26,2)</f>
        <v>11046385.15</v>
      </c>
      <c r="T32" s="89">
        <f>ROUND('PAC Ratepayer Costs'!E26,2)</f>
        <v>18521.25</v>
      </c>
      <c r="U32" s="89">
        <f>ROUND('PAC Ratepayer Costs'!F26,2)</f>
        <v>43684.12</v>
      </c>
      <c r="V32" s="89">
        <f t="shared" si="10"/>
        <v>11108590.52</v>
      </c>
      <c r="W32" s="89">
        <f t="shared" si="11"/>
        <v>7856251.1900000004</v>
      </c>
      <c r="X32" s="89">
        <f t="shared" si="12"/>
        <v>13172.42</v>
      </c>
      <c r="Y32" s="89">
        <f t="shared" si="13"/>
        <v>31068.39</v>
      </c>
      <c r="Z32" s="89">
        <f t="shared" si="14"/>
        <v>7900492</v>
      </c>
      <c r="AA32" s="89">
        <f>'PAC Ratepayer Costs'!J26</f>
        <v>2563271764.331933</v>
      </c>
      <c r="AB32" s="48">
        <f t="shared" si="15"/>
        <v>3.0821905464476218E-3</v>
      </c>
      <c r="AD32" s="48">
        <f>'IPC Ratepayer Costs'!A26</f>
        <v>2036</v>
      </c>
      <c r="AE32" s="96">
        <f>'IPC Ratepayer Costs'!B26</f>
        <v>3.2800000000000002</v>
      </c>
      <c r="AF32" s="96">
        <f>'IPC Ratepayer Costs'!C26</f>
        <v>649.46982066666681</v>
      </c>
      <c r="AG32" s="89">
        <f>ROUND('IPC Ratepayer Costs'!D26,2)</f>
        <v>150621.75</v>
      </c>
      <c r="AH32" s="89">
        <f>ROUND('IPC Ratepayer Costs'!E26,2)</f>
        <v>937.89</v>
      </c>
      <c r="AI32" s="89">
        <f>ROUND('IPC Ratepayer Costs'!F26,2)</f>
        <v>0</v>
      </c>
      <c r="AJ32" s="89">
        <f t="shared" si="3"/>
        <v>151559.64000000001</v>
      </c>
      <c r="AK32" s="89">
        <f t="shared" si="16"/>
        <v>107123.03</v>
      </c>
      <c r="AL32" s="89">
        <f t="shared" si="17"/>
        <v>667.03</v>
      </c>
      <c r="AM32" s="89">
        <f t="shared" si="18"/>
        <v>0</v>
      </c>
      <c r="AN32" s="89">
        <f t="shared" si="19"/>
        <v>107790.06</v>
      </c>
      <c r="AO32" s="89">
        <f>'IPC Ratepayer Costs'!J26</f>
        <v>2563271764.331933</v>
      </c>
      <c r="AP32" s="48">
        <f t="shared" si="20"/>
        <v>4.205174866742754E-5</v>
      </c>
    </row>
    <row r="33" spans="2:42">
      <c r="B33" s="48">
        <f>'PGE Ratepayer Costs'!A27</f>
        <v>2037</v>
      </c>
      <c r="C33" s="96">
        <f>'PGE Ratepayer Costs'!B27</f>
        <v>113.15</v>
      </c>
      <c r="D33" s="96">
        <f>'PGE Ratepayer Costs'!C27</f>
        <v>16273.578175291666</v>
      </c>
      <c r="E33" s="89">
        <f>ROUND('PGE Ratepayer Costs'!D27,2)</f>
        <v>13657243.869999999</v>
      </c>
      <c r="F33" s="89">
        <f>ROUND('PGE Ratepayer Costs'!E27,2)</f>
        <v>57036.07</v>
      </c>
      <c r="G33" s="89">
        <f>ROUND('PGE Ratepayer Costs'!F27,2)</f>
        <v>6402.82</v>
      </c>
      <c r="H33" s="89">
        <f t="shared" si="4"/>
        <v>13720682.76</v>
      </c>
      <c r="I33" s="89">
        <f t="shared" si="5"/>
        <v>9441141.5399999991</v>
      </c>
      <c r="J33" s="89">
        <f t="shared" si="6"/>
        <v>39428.57</v>
      </c>
      <c r="K33" s="89">
        <f t="shared" si="7"/>
        <v>4426.22</v>
      </c>
      <c r="L33" s="89">
        <f t="shared" si="8"/>
        <v>9484996.3300000001</v>
      </c>
      <c r="M33" s="89">
        <f>ROUND('PGE Ratepayer Costs'!J27,2)</f>
        <v>2603416390.21</v>
      </c>
      <c r="N33" s="48">
        <f t="shared" si="9"/>
        <v>3.6432882445035651E-3</v>
      </c>
      <c r="P33" s="84">
        <f>'PAC Ratepayer Costs'!A27</f>
        <v>2037</v>
      </c>
      <c r="Q33" s="96">
        <f>'PAC Ratepayer Costs'!B27</f>
        <v>94.6</v>
      </c>
      <c r="R33" s="96">
        <f>'PAC Ratepayer Costs'!C27</f>
        <v>15982.945749608334</v>
      </c>
      <c r="S33" s="89">
        <f>ROUND('PAC Ratepayer Costs'!D27,2)</f>
        <v>11023649.1</v>
      </c>
      <c r="T33" s="89">
        <f>ROUND('PAC Ratepayer Costs'!E27,2)</f>
        <v>39554.81</v>
      </c>
      <c r="U33" s="89">
        <f>ROUND('PAC Ratepayer Costs'!F27,2)</f>
        <v>43684.12</v>
      </c>
      <c r="V33" s="89">
        <f t="shared" si="10"/>
        <v>11106888.029999999</v>
      </c>
      <c r="W33" s="89">
        <f t="shared" si="11"/>
        <v>7620558.9100000001</v>
      </c>
      <c r="X33" s="89">
        <f t="shared" si="12"/>
        <v>27343.919999999998</v>
      </c>
      <c r="Y33" s="89">
        <f t="shared" si="13"/>
        <v>30198.48</v>
      </c>
      <c r="Z33" s="89">
        <f t="shared" si="14"/>
        <v>7678101.3100000005</v>
      </c>
      <c r="AA33" s="89">
        <f>'PAC Ratepayer Costs'!J27</f>
        <v>2603416390.213007</v>
      </c>
      <c r="AB33" s="48">
        <f t="shared" si="15"/>
        <v>2.9492405974181454E-3</v>
      </c>
      <c r="AD33" s="48">
        <f>'IPC Ratepayer Costs'!A27</f>
        <v>2037</v>
      </c>
      <c r="AE33" s="96">
        <f>'IPC Ratepayer Costs'!B27</f>
        <v>3.2800000000000002</v>
      </c>
      <c r="AF33" s="96">
        <f>'IPC Ratepayer Costs'!C27</f>
        <v>649.46982066666681</v>
      </c>
      <c r="AG33" s="89">
        <f>ROUND('IPC Ratepayer Costs'!D27,2)</f>
        <v>129327.41</v>
      </c>
      <c r="AH33" s="89">
        <f>ROUND('IPC Ratepayer Costs'!E27,2)</f>
        <v>2003</v>
      </c>
      <c r="AI33" s="89">
        <f>ROUND('IPC Ratepayer Costs'!F27,2)</f>
        <v>0</v>
      </c>
      <c r="AJ33" s="89">
        <f t="shared" si="3"/>
        <v>131330.41</v>
      </c>
      <c r="AK33" s="89">
        <f t="shared" si="16"/>
        <v>89402.99</v>
      </c>
      <c r="AL33" s="89">
        <f t="shared" si="17"/>
        <v>1384.66</v>
      </c>
      <c r="AM33" s="89">
        <f t="shared" si="18"/>
        <v>0</v>
      </c>
      <c r="AN33" s="89">
        <f t="shared" si="19"/>
        <v>90787.650000000009</v>
      </c>
      <c r="AO33" s="89">
        <f>'IPC Ratepayer Costs'!J27</f>
        <v>2603416390.213007</v>
      </c>
      <c r="AP33" s="48">
        <f t="shared" si="20"/>
        <v>3.48725045833225E-5</v>
      </c>
    </row>
    <row r="34" spans="2:42">
      <c r="B34" s="48">
        <f>'PGE Ratepayer Costs'!A28</f>
        <v>2038</v>
      </c>
      <c r="C34" s="96">
        <f>'PGE Ratepayer Costs'!B28</f>
        <v>113.15</v>
      </c>
      <c r="D34" s="96">
        <f>'PGE Ratepayer Costs'!C28</f>
        <v>16273.578175291666</v>
      </c>
      <c r="E34" s="89">
        <f>ROUND('PGE Ratepayer Costs'!D28,2)</f>
        <v>14029411.34</v>
      </c>
      <c r="F34" s="89">
        <f>ROUND('PGE Ratepayer Costs'!E28,2)</f>
        <v>88982.88</v>
      </c>
      <c r="G34" s="89">
        <f>ROUND('PGE Ratepayer Costs'!F28,2)</f>
        <v>6402.82</v>
      </c>
      <c r="H34" s="89">
        <f t="shared" si="4"/>
        <v>14124797.040000001</v>
      </c>
      <c r="I34" s="89">
        <f t="shared" si="5"/>
        <v>9426862.1799999997</v>
      </c>
      <c r="J34" s="89">
        <f t="shared" si="6"/>
        <v>59790.77</v>
      </c>
      <c r="K34" s="89">
        <f t="shared" si="7"/>
        <v>4302.28</v>
      </c>
      <c r="L34" s="89">
        <f t="shared" si="8"/>
        <v>9490955.2299999986</v>
      </c>
      <c r="M34" s="89">
        <f>ROUND('PGE Ratepayer Costs'!J28,2)</f>
        <v>2644189740.29</v>
      </c>
      <c r="N34" s="48">
        <f t="shared" si="9"/>
        <v>3.5893623991442775E-3</v>
      </c>
      <c r="P34" s="84">
        <f>'PAC Ratepayer Costs'!A28</f>
        <v>2038</v>
      </c>
      <c r="Q34" s="96">
        <f>'PAC Ratepayer Costs'!B28</f>
        <v>94.6</v>
      </c>
      <c r="R34" s="96">
        <f>'PAC Ratepayer Costs'!C28</f>
        <v>15982.945749608334</v>
      </c>
      <c r="S34" s="89">
        <f>ROUND('PAC Ratepayer Costs'!D28,2)</f>
        <v>11011100.890000001</v>
      </c>
      <c r="T34" s="89">
        <f>ROUND('PAC Ratepayer Costs'!E28,2)</f>
        <v>61710.080000000002</v>
      </c>
      <c r="U34" s="89">
        <f>ROUND('PAC Ratepayer Costs'!F28,2)</f>
        <v>43684.12</v>
      </c>
      <c r="V34" s="89">
        <f t="shared" si="10"/>
        <v>11116495.09</v>
      </c>
      <c r="W34" s="89">
        <f t="shared" si="11"/>
        <v>7398751.6699999999</v>
      </c>
      <c r="X34" s="89">
        <f t="shared" si="12"/>
        <v>41465.21</v>
      </c>
      <c r="Y34" s="89">
        <f t="shared" si="13"/>
        <v>29352.92</v>
      </c>
      <c r="Z34" s="89">
        <f t="shared" si="14"/>
        <v>7469569.7999999998</v>
      </c>
      <c r="AA34" s="89">
        <f>'PAC Ratepayer Costs'!J28</f>
        <v>2644189740.293191</v>
      </c>
      <c r="AB34" s="48">
        <f t="shared" si="15"/>
        <v>2.8248993202627604E-3</v>
      </c>
      <c r="AD34" s="48">
        <f>'IPC Ratepayer Costs'!A28</f>
        <v>2038</v>
      </c>
      <c r="AE34" s="96">
        <f>'IPC Ratepayer Costs'!B28</f>
        <v>3.2800000000000002</v>
      </c>
      <c r="AF34" s="96">
        <f>'IPC Ratepayer Costs'!C28</f>
        <v>649.46982066666681</v>
      </c>
      <c r="AG34" s="89">
        <f>ROUND('IPC Ratepayer Costs'!D28,2)</f>
        <v>120080.44</v>
      </c>
      <c r="AH34" s="89">
        <f>ROUND('IPC Ratepayer Costs'!E28,2)</f>
        <v>3124.91</v>
      </c>
      <c r="AI34" s="89">
        <f>ROUND('IPC Ratepayer Costs'!F28,2)</f>
        <v>0</v>
      </c>
      <c r="AJ34" s="89">
        <f t="shared" si="3"/>
        <v>123205.35</v>
      </c>
      <c r="AK34" s="89">
        <f t="shared" si="16"/>
        <v>80686.33</v>
      </c>
      <c r="AL34" s="89">
        <f t="shared" si="17"/>
        <v>2099.7399999999998</v>
      </c>
      <c r="AM34" s="89">
        <f t="shared" si="18"/>
        <v>0</v>
      </c>
      <c r="AN34" s="89">
        <f t="shared" si="19"/>
        <v>82786.070000000007</v>
      </c>
      <c r="AO34" s="89">
        <f>'IPC Ratepayer Costs'!J28</f>
        <v>2644189740.293191</v>
      </c>
      <c r="AP34" s="48">
        <f t="shared" si="20"/>
        <v>3.1308672270553698E-5</v>
      </c>
    </row>
    <row r="35" spans="2:42">
      <c r="B35" s="48">
        <f>'PGE Ratepayer Costs'!A29</f>
        <v>2039</v>
      </c>
      <c r="C35" s="96">
        <f>'PGE Ratepayer Costs'!B29</f>
        <v>113.15</v>
      </c>
      <c r="D35" s="96">
        <f>'PGE Ratepayer Costs'!C29</f>
        <v>16273.578175291666</v>
      </c>
      <c r="E35" s="89">
        <f>ROUND('PGE Ratepayer Costs'!D29,2)</f>
        <v>14300446.65</v>
      </c>
      <c r="F35" s="89">
        <f>ROUND('PGE Ratepayer Costs'!E29,2)</f>
        <v>122040.4</v>
      </c>
      <c r="G35" s="89">
        <f>ROUND('PGE Ratepayer Costs'!F29,2)</f>
        <v>6402.82</v>
      </c>
      <c r="H35" s="89">
        <f t="shared" si="4"/>
        <v>14428889.870000001</v>
      </c>
      <c r="I35" s="89">
        <f t="shared" si="5"/>
        <v>9339929.0299999993</v>
      </c>
      <c r="J35" s="89">
        <f t="shared" si="6"/>
        <v>79707.210000000006</v>
      </c>
      <c r="K35" s="89">
        <f t="shared" si="7"/>
        <v>4181.82</v>
      </c>
      <c r="L35" s="89">
        <f t="shared" si="8"/>
        <v>9423818.0600000005</v>
      </c>
      <c r="M35" s="89">
        <f>ROUND('PGE Ratepayer Costs'!J29,2)</f>
        <v>2685601661.3200002</v>
      </c>
      <c r="N35" s="48">
        <f t="shared" si="9"/>
        <v>3.509015575812572E-3</v>
      </c>
      <c r="P35" s="84">
        <f>'PAC Ratepayer Costs'!A29</f>
        <v>2039</v>
      </c>
      <c r="Q35" s="96">
        <f>'PAC Ratepayer Costs'!B29</f>
        <v>94.6</v>
      </c>
      <c r="R35" s="96">
        <f>'PAC Ratepayer Costs'!C29</f>
        <v>15982.945749608334</v>
      </c>
      <c r="S35" s="89">
        <f>ROUND('PAC Ratepayer Costs'!D29,2)</f>
        <v>11028038.310000001</v>
      </c>
      <c r="T35" s="89">
        <f>ROUND('PAC Ratepayer Costs'!E29,2)</f>
        <v>84635.64</v>
      </c>
      <c r="U35" s="89">
        <f>ROUND('PAC Ratepayer Costs'!F29,2)</f>
        <v>43684.12</v>
      </c>
      <c r="V35" s="89">
        <f t="shared" si="10"/>
        <v>11156358.07</v>
      </c>
      <c r="W35" s="89">
        <f t="shared" si="11"/>
        <v>7202648.8099999996</v>
      </c>
      <c r="X35" s="89">
        <f t="shared" si="12"/>
        <v>55277.36</v>
      </c>
      <c r="Y35" s="89">
        <f t="shared" si="13"/>
        <v>28531.040000000001</v>
      </c>
      <c r="Z35" s="89">
        <f t="shared" si="14"/>
        <v>7286457.21</v>
      </c>
      <c r="AA35" s="89">
        <f>'PAC Ratepayer Costs'!J29</f>
        <v>2685601661.3230743</v>
      </c>
      <c r="AB35" s="48">
        <f t="shared" si="15"/>
        <v>2.7131563533552079E-3</v>
      </c>
      <c r="AD35" s="48">
        <f>'IPC Ratepayer Costs'!A29</f>
        <v>2039</v>
      </c>
      <c r="AE35" s="96">
        <f>'IPC Ratepayer Costs'!B29</f>
        <v>3.2800000000000002</v>
      </c>
      <c r="AF35" s="96">
        <f>'IPC Ratepayer Costs'!C29</f>
        <v>649.46982066666681</v>
      </c>
      <c r="AG35" s="89">
        <f>ROUND('IPC Ratepayer Costs'!D29,2)</f>
        <v>111658.52</v>
      </c>
      <c r="AH35" s="89">
        <f>ROUND('IPC Ratepayer Costs'!E29,2)</f>
        <v>4285.83</v>
      </c>
      <c r="AI35" s="89">
        <f>ROUND('IPC Ratepayer Costs'!F29,2)</f>
        <v>0</v>
      </c>
      <c r="AJ35" s="89">
        <f t="shared" si="3"/>
        <v>115944.35</v>
      </c>
      <c r="AK35" s="89">
        <f t="shared" si="16"/>
        <v>72926.58</v>
      </c>
      <c r="AL35" s="89">
        <f t="shared" si="17"/>
        <v>2799.17</v>
      </c>
      <c r="AM35" s="89">
        <f t="shared" si="18"/>
        <v>0</v>
      </c>
      <c r="AN35" s="89">
        <f t="shared" si="19"/>
        <v>75725.75</v>
      </c>
      <c r="AO35" s="89">
        <f>'IPC Ratepayer Costs'!J29</f>
        <v>2685601661.3230743</v>
      </c>
      <c r="AP35" s="48">
        <f t="shared" si="20"/>
        <v>2.8196940406528253E-5</v>
      </c>
    </row>
    <row r="36" spans="2:42">
      <c r="B36" s="48">
        <f>'PGE Ratepayer Costs'!A30</f>
        <v>2040</v>
      </c>
      <c r="C36" s="96">
        <f>'PGE Ratepayer Costs'!B30</f>
        <v>113.15</v>
      </c>
      <c r="D36" s="96">
        <f>'PGE Ratepayer Costs'!C30</f>
        <v>16273.578175291666</v>
      </c>
      <c r="E36" s="89">
        <f>ROUND('PGE Ratepayer Costs'!D30,2)</f>
        <v>14290857.43</v>
      </c>
      <c r="F36" s="89">
        <f>ROUND('PGE Ratepayer Costs'!E30,2)</f>
        <v>156465.49</v>
      </c>
      <c r="G36" s="89">
        <f>ROUND('PGE Ratepayer Costs'!F30,2)</f>
        <v>6402.82</v>
      </c>
      <c r="H36" s="89">
        <f t="shared" si="4"/>
        <v>14453725.74</v>
      </c>
      <c r="I36" s="89">
        <f t="shared" si="5"/>
        <v>9072323.4499999993</v>
      </c>
      <c r="J36" s="89">
        <f t="shared" si="6"/>
        <v>99329.63</v>
      </c>
      <c r="K36" s="89">
        <f t="shared" si="7"/>
        <v>4064.73</v>
      </c>
      <c r="L36" s="89">
        <f t="shared" si="8"/>
        <v>9175717.8100000005</v>
      </c>
      <c r="M36" s="89">
        <f>ROUND('PGE Ratepayer Costs'!J30,2)</f>
        <v>2727662154.27</v>
      </c>
      <c r="N36" s="48">
        <f t="shared" si="9"/>
        <v>3.3639495256536575E-3</v>
      </c>
      <c r="P36" s="84">
        <f>'PAC Ratepayer Costs'!A30</f>
        <v>2040</v>
      </c>
      <c r="Q36" s="96">
        <f>'PAC Ratepayer Costs'!B30</f>
        <v>94.6</v>
      </c>
      <c r="R36" s="96">
        <f>'PAC Ratepayer Costs'!C30</f>
        <v>15982.945749608334</v>
      </c>
      <c r="S36" s="89">
        <f>ROUND('PAC Ratepayer Costs'!D30,2)</f>
        <v>11064789.720000001</v>
      </c>
      <c r="T36" s="89">
        <f>ROUND('PAC Ratepayer Costs'!E30,2)</f>
        <v>108509.61</v>
      </c>
      <c r="U36" s="89">
        <f>ROUND('PAC Ratepayer Costs'!F30,2)</f>
        <v>43684.12</v>
      </c>
      <c r="V36" s="89">
        <f t="shared" si="10"/>
        <v>11216983.449999999</v>
      </c>
      <c r="W36" s="89">
        <f t="shared" si="11"/>
        <v>7024305.7000000002</v>
      </c>
      <c r="X36" s="89">
        <f t="shared" si="12"/>
        <v>68885.600000000006</v>
      </c>
      <c r="Y36" s="89">
        <f t="shared" si="13"/>
        <v>27732.17</v>
      </c>
      <c r="Z36" s="89">
        <f t="shared" si="14"/>
        <v>7120923.4699999997</v>
      </c>
      <c r="AA36" s="89">
        <f>'PAC Ratepayer Costs'!J30</f>
        <v>2727662154.26792</v>
      </c>
      <c r="AB36" s="48">
        <f t="shared" si="15"/>
        <v>2.6106325003842682E-3</v>
      </c>
      <c r="AD36" s="48">
        <f>'IPC Ratepayer Costs'!A30</f>
        <v>2040</v>
      </c>
      <c r="AE36" s="96">
        <f>'IPC Ratepayer Costs'!B30</f>
        <v>3.2800000000000002</v>
      </c>
      <c r="AF36" s="96">
        <f>'IPC Ratepayer Costs'!C30</f>
        <v>649.46982066666681</v>
      </c>
      <c r="AG36" s="89">
        <f>ROUND('IPC Ratepayer Costs'!D30,2)</f>
        <v>104841.55</v>
      </c>
      <c r="AH36" s="89">
        <f>ROUND('IPC Ratepayer Costs'!E30,2)</f>
        <v>5494.77</v>
      </c>
      <c r="AI36" s="89">
        <f>ROUND('IPC Ratepayer Costs'!F30,2)</f>
        <v>0</v>
      </c>
      <c r="AJ36" s="89">
        <f t="shared" si="3"/>
        <v>110336.32000000001</v>
      </c>
      <c r="AK36" s="89">
        <f t="shared" si="16"/>
        <v>66556.990000000005</v>
      </c>
      <c r="AL36" s="89">
        <f t="shared" si="17"/>
        <v>3488.27</v>
      </c>
      <c r="AM36" s="89">
        <f t="shared" si="18"/>
        <v>0</v>
      </c>
      <c r="AN36" s="89">
        <f t="shared" si="19"/>
        <v>70045.260000000009</v>
      </c>
      <c r="AO36" s="89">
        <f>'IPC Ratepayer Costs'!J30</f>
        <v>2727662154.26792</v>
      </c>
      <c r="AP36" s="48">
        <f t="shared" si="20"/>
        <v>2.5679595213212732E-5</v>
      </c>
    </row>
    <row r="37" spans="2:42">
      <c r="B37" s="48">
        <f>'PGE Ratepayer Costs'!A31</f>
        <v>2041</v>
      </c>
      <c r="C37" s="96">
        <f>'PGE Ratepayer Costs'!B31</f>
        <v>110.05</v>
      </c>
      <c r="D37" s="96">
        <f>'PGE Ratepayer Costs'!C31</f>
        <v>15849.758789708332</v>
      </c>
      <c r="E37" s="89">
        <f>ROUND('PGE Ratepayer Costs'!D31,2)</f>
        <v>14054935.52</v>
      </c>
      <c r="F37" s="89">
        <f>ROUND('PGE Ratepayer Costs'!E31,2)</f>
        <v>215167.91</v>
      </c>
      <c r="G37" s="89">
        <f>ROUND('PGE Ratepayer Costs'!F31,2)</f>
        <v>9881.02</v>
      </c>
      <c r="H37" s="89">
        <f t="shared" si="4"/>
        <v>14279984.449999999</v>
      </c>
      <c r="I37" s="89">
        <f t="shared" si="5"/>
        <v>8672720.7200000007</v>
      </c>
      <c r="J37" s="89">
        <f t="shared" si="6"/>
        <v>132771.24</v>
      </c>
      <c r="K37" s="89">
        <f t="shared" si="7"/>
        <v>6097.17</v>
      </c>
      <c r="L37" s="89">
        <f t="shared" si="8"/>
        <v>8811589.1300000008</v>
      </c>
      <c r="M37" s="89">
        <f>ROUND('PGE Ratepayer Costs'!J31,2)</f>
        <v>2770381376.7199998</v>
      </c>
      <c r="N37" s="48">
        <f t="shared" si="9"/>
        <v>3.1806411940411266E-3</v>
      </c>
      <c r="P37" s="84">
        <f>'PAC Ratepayer Costs'!A31</f>
        <v>2041</v>
      </c>
      <c r="Q37" s="96">
        <f>'PAC Ratepayer Costs'!B31</f>
        <v>94.6</v>
      </c>
      <c r="R37" s="96">
        <f>'PAC Ratepayer Costs'!C31</f>
        <v>15982.945749608334</v>
      </c>
      <c r="S37" s="89">
        <f>ROUND('PAC Ratepayer Costs'!D31,2)</f>
        <v>11076715.99</v>
      </c>
      <c r="T37" s="89">
        <f>ROUND('PAC Ratepayer Costs'!E31,2)</f>
        <v>149220.04</v>
      </c>
      <c r="U37" s="89">
        <f>ROUND('PAC Ratepayer Costs'!F31,2)</f>
        <v>43684.12</v>
      </c>
      <c r="V37" s="89">
        <f t="shared" si="10"/>
        <v>11269620.149999999</v>
      </c>
      <c r="W37" s="89">
        <f t="shared" si="11"/>
        <v>6834984.3399999999</v>
      </c>
      <c r="X37" s="89">
        <f t="shared" si="12"/>
        <v>92077.53</v>
      </c>
      <c r="Y37" s="89">
        <f t="shared" si="13"/>
        <v>26955.67</v>
      </c>
      <c r="Z37" s="89">
        <f t="shared" si="14"/>
        <v>6954017.54</v>
      </c>
      <c r="AA37" s="89">
        <f>'PAC Ratepayer Costs'!J31</f>
        <v>2770381376.7228942</v>
      </c>
      <c r="AB37" s="48">
        <f t="shared" si="15"/>
        <v>2.5101300486743677E-3</v>
      </c>
      <c r="AD37" s="48">
        <f>'IPC Ratepayer Costs'!A31</f>
        <v>2041</v>
      </c>
      <c r="AE37" s="96">
        <f>'IPC Ratepayer Costs'!B31</f>
        <v>3.2800000000000002</v>
      </c>
      <c r="AF37" s="96">
        <f>'IPC Ratepayer Costs'!C31</f>
        <v>649.46982066666681</v>
      </c>
      <c r="AG37" s="89">
        <f>ROUND('IPC Ratepayer Costs'!D31,2)</f>
        <v>94720.1</v>
      </c>
      <c r="AH37" s="89">
        <f>ROUND('IPC Ratepayer Costs'!E31,2)</f>
        <v>7556.29</v>
      </c>
      <c r="AI37" s="89">
        <f>ROUND('IPC Ratepayer Costs'!F31,2)</f>
        <v>0</v>
      </c>
      <c r="AJ37" s="89">
        <f t="shared" si="3"/>
        <v>102276.39</v>
      </c>
      <c r="AK37" s="89">
        <f t="shared" si="16"/>
        <v>58447.86</v>
      </c>
      <c r="AL37" s="89">
        <f t="shared" si="17"/>
        <v>4662.67</v>
      </c>
      <c r="AM37" s="89">
        <f t="shared" si="18"/>
        <v>0</v>
      </c>
      <c r="AN37" s="89">
        <f t="shared" si="19"/>
        <v>63110.53</v>
      </c>
      <c r="AO37" s="89">
        <f>'IPC Ratepayer Costs'!J31</f>
        <v>2770381376.7228942</v>
      </c>
      <c r="AP37" s="48">
        <f t="shared" si="20"/>
        <v>2.2780448399726805E-5</v>
      </c>
    </row>
    <row r="38" spans="2:42">
      <c r="B38" s="48">
        <f>'PGE Ratepayer Costs'!A32</f>
        <v>2042</v>
      </c>
      <c r="C38" s="96">
        <f>'PGE Ratepayer Costs'!B32</f>
        <v>89.3</v>
      </c>
      <c r="D38" s="96">
        <f>'PGE Ratepayer Costs'!C32</f>
        <v>13012.903224916667</v>
      </c>
      <c r="E38" s="89">
        <f>ROUND('PGE Ratepayer Costs'!D32,2)</f>
        <v>12594269.15</v>
      </c>
      <c r="F38" s="89">
        <f>ROUND('PGE Ratepayer Costs'!E32,2)</f>
        <v>275716.88</v>
      </c>
      <c r="G38" s="89">
        <f>ROUND('PGE Ratepayer Costs'!F32,2)</f>
        <v>33151.96</v>
      </c>
      <c r="H38" s="89">
        <f t="shared" si="4"/>
        <v>12903137.990000002</v>
      </c>
      <c r="I38" s="89">
        <f t="shared" si="5"/>
        <v>7553804.4699999997</v>
      </c>
      <c r="J38" s="89">
        <f t="shared" si="6"/>
        <v>165369.76999999999</v>
      </c>
      <c r="K38" s="89">
        <f t="shared" si="7"/>
        <v>19883.919999999998</v>
      </c>
      <c r="L38" s="89">
        <f t="shared" si="8"/>
        <v>7739058.1599999992</v>
      </c>
      <c r="M38" s="89">
        <f>ROUND('PGE Ratepayer Costs'!J32,2)</f>
        <v>2813769645.3699999</v>
      </c>
      <c r="N38" s="48">
        <f t="shared" si="9"/>
        <v>2.7504235013461249E-3</v>
      </c>
      <c r="P38" s="84">
        <f>'PAC Ratepayer Costs'!A32</f>
        <v>2042</v>
      </c>
      <c r="Q38" s="96">
        <f>'PAC Ratepayer Costs'!B32</f>
        <v>94.4</v>
      </c>
      <c r="R38" s="96">
        <f>'PAC Ratepayer Costs'!C32</f>
        <v>15949.567861941667</v>
      </c>
      <c r="S38" s="89">
        <f>ROUND('PAC Ratepayer Costs'!D32,2)</f>
        <v>11021763.300000001</v>
      </c>
      <c r="T38" s="89">
        <f>ROUND('PAC Ratepayer Costs'!E32,2)</f>
        <v>191211.06</v>
      </c>
      <c r="U38" s="89">
        <f>ROUND('PAC Ratepayer Costs'!F32,2)</f>
        <v>43900.12</v>
      </c>
      <c r="V38" s="89">
        <f t="shared" si="10"/>
        <v>11256874.48</v>
      </c>
      <c r="W38" s="89">
        <f t="shared" si="11"/>
        <v>6610645.2000000002</v>
      </c>
      <c r="X38" s="89">
        <f t="shared" si="12"/>
        <v>114684.78</v>
      </c>
      <c r="Y38" s="89">
        <f t="shared" si="13"/>
        <v>26330.46</v>
      </c>
      <c r="Z38" s="89">
        <f t="shared" si="14"/>
        <v>6751660.4400000004</v>
      </c>
      <c r="AA38" s="89">
        <f>'PAC Ratepayer Costs'!J32</f>
        <v>2813769645.3661222</v>
      </c>
      <c r="AB38" s="48">
        <f t="shared" si="15"/>
        <v>2.39950717043203E-3</v>
      </c>
      <c r="AD38" s="48">
        <f>'IPC Ratepayer Costs'!A32</f>
        <v>2042</v>
      </c>
      <c r="AE38" s="96">
        <f>'IPC Ratepayer Costs'!B32</f>
        <v>3.2800000000000002</v>
      </c>
      <c r="AF38" s="96">
        <f>'IPC Ratepayer Costs'!C32</f>
        <v>649.46982066666681</v>
      </c>
      <c r="AG38" s="89">
        <f>ROUND('IPC Ratepayer Costs'!D32,2)</f>
        <v>82152.039999999994</v>
      </c>
      <c r="AH38" s="89">
        <f>ROUND('IPC Ratepayer Costs'!E32,2)</f>
        <v>9682.65</v>
      </c>
      <c r="AI38" s="89">
        <f>ROUND('IPC Ratepayer Costs'!F32,2)</f>
        <v>0</v>
      </c>
      <c r="AJ38" s="89">
        <f t="shared" si="3"/>
        <v>91834.689999999988</v>
      </c>
      <c r="AK38" s="89">
        <f t="shared" si="16"/>
        <v>49273.24</v>
      </c>
      <c r="AL38" s="89">
        <f t="shared" si="17"/>
        <v>5807.47</v>
      </c>
      <c r="AM38" s="89">
        <f t="shared" si="18"/>
        <v>0</v>
      </c>
      <c r="AN38" s="89">
        <f t="shared" si="19"/>
        <v>55080.71</v>
      </c>
      <c r="AO38" s="89">
        <f>'IPC Ratepayer Costs'!J32</f>
        <v>2813769645.3661222</v>
      </c>
      <c r="AP38" s="48">
        <f t="shared" si="20"/>
        <v>1.9575415525115955E-5</v>
      </c>
    </row>
    <row r="39" spans="2:42">
      <c r="B39" s="48">
        <f>'PGE Ratepayer Costs'!A33</f>
        <v>2043</v>
      </c>
      <c r="C39" s="96">
        <f>'PGE Ratepayer Costs'!B33</f>
        <v>88.289999999999992</v>
      </c>
      <c r="D39" s="96">
        <f>'PGE Ratepayer Costs'!C33</f>
        <v>12873.131118191666</v>
      </c>
      <c r="E39" s="89">
        <f>ROUND('PGE Ratepayer Costs'!D33,2)</f>
        <v>12687507.140000001</v>
      </c>
      <c r="F39" s="89">
        <f>ROUND('PGE Ratepayer Costs'!E33,2)</f>
        <v>397180.62</v>
      </c>
      <c r="G39" s="89">
        <f>ROUND('PGE Ratepayer Costs'!F33,2)</f>
        <v>34274.620000000003</v>
      </c>
      <c r="H39" s="89">
        <f t="shared" si="4"/>
        <v>13118962.379999999</v>
      </c>
      <c r="I39" s="89">
        <f t="shared" si="5"/>
        <v>7396654.5</v>
      </c>
      <c r="J39" s="89">
        <f t="shared" si="6"/>
        <v>231551.23</v>
      </c>
      <c r="K39" s="89">
        <f t="shared" si="7"/>
        <v>19981.669999999998</v>
      </c>
      <c r="L39" s="89">
        <f t="shared" si="8"/>
        <v>7648187.4000000004</v>
      </c>
      <c r="M39" s="89">
        <f>ROUND('PGE Ratepayer Costs'!J33,2)</f>
        <v>2857837438.4499998</v>
      </c>
      <c r="N39" s="48">
        <f t="shared" si="9"/>
        <v>2.6762149928822171E-3</v>
      </c>
      <c r="P39" s="84">
        <f>'PAC Ratepayer Costs'!A33</f>
        <v>2043</v>
      </c>
      <c r="Q39" s="96">
        <f>'PAC Ratepayer Costs'!B33</f>
        <v>93.06</v>
      </c>
      <c r="R39" s="96">
        <f>'PAC Ratepayer Costs'!C33</f>
        <v>15725.046145650002</v>
      </c>
      <c r="S39" s="89">
        <f>ROUND('PAC Ratepayer Costs'!D33,2)</f>
        <v>10795914.75</v>
      </c>
      <c r="T39" s="89">
        <f>ROUND('PAC Ratepayer Costs'!E33,2)</f>
        <v>275446.78999999998</v>
      </c>
      <c r="U39" s="89">
        <f>ROUND('PAC Ratepayer Costs'!F33,2)</f>
        <v>46153.72</v>
      </c>
      <c r="V39" s="89">
        <f t="shared" si="10"/>
        <v>11117515.26</v>
      </c>
      <c r="W39" s="89">
        <f t="shared" si="11"/>
        <v>6293880.3200000003</v>
      </c>
      <c r="X39" s="89">
        <f t="shared" si="12"/>
        <v>160581.96</v>
      </c>
      <c r="Y39" s="89">
        <f t="shared" si="13"/>
        <v>26907.03</v>
      </c>
      <c r="Z39" s="89">
        <f t="shared" si="14"/>
        <v>6481369.3100000005</v>
      </c>
      <c r="AA39" s="89">
        <f>'PAC Ratepayer Costs'!J33</f>
        <v>2857837438.4501634</v>
      </c>
      <c r="AB39" s="48">
        <f t="shared" si="15"/>
        <v>2.2679279173817941E-3</v>
      </c>
      <c r="AD39" s="48">
        <f>'IPC Ratepayer Costs'!A33</f>
        <v>2043</v>
      </c>
      <c r="AE39" s="96">
        <f>'IPC Ratepayer Costs'!B33</f>
        <v>3.2800000000000002</v>
      </c>
      <c r="AF39" s="96">
        <f>'IPC Ratepayer Costs'!C33</f>
        <v>649.46982066666681</v>
      </c>
      <c r="AG39" s="89">
        <f>ROUND('IPC Ratepayer Costs'!D33,2)</f>
        <v>63007.29</v>
      </c>
      <c r="AH39" s="89">
        <f>ROUND('IPC Ratepayer Costs'!E33,2)</f>
        <v>13948.22</v>
      </c>
      <c r="AI39" s="89">
        <f>ROUND('IPC Ratepayer Costs'!F33,2)</f>
        <v>0</v>
      </c>
      <c r="AJ39" s="89">
        <f t="shared" si="3"/>
        <v>76955.509999999995</v>
      </c>
      <c r="AK39" s="89">
        <f t="shared" si="16"/>
        <v>36732.44</v>
      </c>
      <c r="AL39" s="89">
        <f t="shared" si="17"/>
        <v>8131.63</v>
      </c>
      <c r="AM39" s="89">
        <f t="shared" si="18"/>
        <v>0</v>
      </c>
      <c r="AN39" s="89">
        <f t="shared" si="19"/>
        <v>44864.07</v>
      </c>
      <c r="AO39" s="89">
        <f>'IPC Ratepayer Costs'!J33</f>
        <v>2857837438.4501634</v>
      </c>
      <c r="AP39" s="48">
        <f t="shared" si="20"/>
        <v>1.569860811408863E-5</v>
      </c>
    </row>
    <row r="40" spans="2:42">
      <c r="B40" s="48">
        <f>'PGE Ratepayer Costs'!A34</f>
        <v>2044</v>
      </c>
      <c r="C40" s="96">
        <f>'PGE Ratepayer Costs'!B34</f>
        <v>68.680000000000007</v>
      </c>
      <c r="D40" s="96">
        <f>'PGE Ratepayer Costs'!C34</f>
        <v>10065.554824716668</v>
      </c>
      <c r="E40" s="89">
        <f>ROUND('PGE Ratepayer Costs'!D34,2)</f>
        <v>10112179.91</v>
      </c>
      <c r="F40" s="89">
        <f>ROUND('PGE Ratepayer Costs'!E34,2)</f>
        <v>469710.75</v>
      </c>
      <c r="G40" s="89">
        <f>ROUND('PGE Ratepayer Costs'!F34,2)</f>
        <v>56213.68</v>
      </c>
      <c r="H40" s="89">
        <f t="shared" si="4"/>
        <v>10638104.34</v>
      </c>
      <c r="I40" s="89">
        <f t="shared" si="5"/>
        <v>5730204.04</v>
      </c>
      <c r="J40" s="89">
        <f t="shared" si="6"/>
        <v>266167.96999999997</v>
      </c>
      <c r="K40" s="89">
        <f t="shared" si="7"/>
        <v>31854.240000000002</v>
      </c>
      <c r="L40" s="89">
        <f t="shared" si="8"/>
        <v>6028226.25</v>
      </c>
      <c r="M40" s="89">
        <f>ROUND('PGE Ratepayer Costs'!J34,2)</f>
        <v>2902595398.3299999</v>
      </c>
      <c r="N40" s="48">
        <f t="shared" si="9"/>
        <v>2.0768400079006267E-3</v>
      </c>
      <c r="P40" s="84">
        <f>'PAC Ratepayer Costs'!A34</f>
        <v>2044</v>
      </c>
      <c r="Q40" s="96">
        <f>'PAC Ratepayer Costs'!B34</f>
        <v>87.22999999999999</v>
      </c>
      <c r="R40" s="96">
        <f>'PAC Ratepayer Costs'!C34</f>
        <v>14743.262928091666</v>
      </c>
      <c r="S40" s="89">
        <f>ROUND('PAC Ratepayer Costs'!D34,2)</f>
        <v>10231584.57</v>
      </c>
      <c r="T40" s="89">
        <f>ROUND('PAC Ratepayer Costs'!E34,2)</f>
        <v>325746.8</v>
      </c>
      <c r="U40" s="89">
        <f>ROUND('PAC Ratepayer Costs'!F34,2)</f>
        <v>57749.32</v>
      </c>
      <c r="V40" s="89">
        <f t="shared" si="10"/>
        <v>10615080.690000001</v>
      </c>
      <c r="W40" s="89">
        <f t="shared" si="11"/>
        <v>5797866.3099999996</v>
      </c>
      <c r="X40" s="89">
        <f t="shared" si="12"/>
        <v>184588.85</v>
      </c>
      <c r="Y40" s="89">
        <f t="shared" si="13"/>
        <v>32724.44</v>
      </c>
      <c r="Z40" s="89">
        <f t="shared" si="14"/>
        <v>6015179.5999999996</v>
      </c>
      <c r="AA40" s="89">
        <f>'PAC Ratepayer Costs'!J34</f>
        <v>2902595398.3325052</v>
      </c>
      <c r="AB40" s="48">
        <f t="shared" si="15"/>
        <v>2.0723451857794662E-3</v>
      </c>
      <c r="AD40" s="48">
        <f>'IPC Ratepayer Costs'!A34</f>
        <v>2044</v>
      </c>
      <c r="AE40" s="96">
        <f>'IPC Ratepayer Costs'!B34</f>
        <v>1.96</v>
      </c>
      <c r="AF40" s="96">
        <f>'IPC Ratepayer Costs'!C34</f>
        <v>388.09781966666668</v>
      </c>
      <c r="AG40" s="89">
        <f>ROUND('IPC Ratepayer Costs'!D34,2)</f>
        <v>26758.48</v>
      </c>
      <c r="AH40" s="89">
        <f>ROUND('IPC Ratepayer Costs'!E34,2)</f>
        <v>16495.34</v>
      </c>
      <c r="AI40" s="89">
        <f>ROUND('IPC Ratepayer Costs'!F34,2)</f>
        <v>0</v>
      </c>
      <c r="AJ40" s="89">
        <f t="shared" si="3"/>
        <v>43253.82</v>
      </c>
      <c r="AK40" s="89">
        <f t="shared" si="16"/>
        <v>15163.06</v>
      </c>
      <c r="AL40" s="89">
        <f t="shared" si="17"/>
        <v>9347.31</v>
      </c>
      <c r="AM40" s="89">
        <f t="shared" si="18"/>
        <v>0</v>
      </c>
      <c r="AN40" s="89">
        <f t="shared" si="19"/>
        <v>24510.37</v>
      </c>
      <c r="AO40" s="89">
        <f>'IPC Ratepayer Costs'!J34</f>
        <v>2902595398.3325052</v>
      </c>
      <c r="AP40" s="48">
        <f t="shared" si="20"/>
        <v>8.4442943767087943E-6</v>
      </c>
    </row>
    <row r="41" spans="2:42">
      <c r="B41" s="48">
        <f>'PGE Ratepayer Costs'!A35</f>
        <v>2045</v>
      </c>
      <c r="C41" s="96">
        <f>'PGE Ratepayer Costs'!B35</f>
        <v>61.21</v>
      </c>
      <c r="D41" s="96">
        <f>'PGE Ratepayer Costs'!C35</f>
        <v>8976.5274502249995</v>
      </c>
      <c r="E41" s="89">
        <f>ROUND('PGE Ratepayer Costs'!D35,2)</f>
        <v>8802845.2899999991</v>
      </c>
      <c r="F41" s="89">
        <f>ROUND('PGE Ratepayer Costs'!E35,2)</f>
        <v>478554.72</v>
      </c>
      <c r="G41" s="89">
        <f>ROUND('PGE Ratepayer Costs'!F35,2)</f>
        <v>64499.98</v>
      </c>
      <c r="H41" s="89">
        <f t="shared" si="4"/>
        <v>9345899.9900000002</v>
      </c>
      <c r="I41" s="89">
        <f t="shared" si="5"/>
        <v>4848580.75</v>
      </c>
      <c r="J41" s="89">
        <f t="shared" si="6"/>
        <v>263586.5</v>
      </c>
      <c r="K41" s="89">
        <f t="shared" si="7"/>
        <v>35526.400000000001</v>
      </c>
      <c r="L41" s="89">
        <f t="shared" si="8"/>
        <v>5147693.6500000004</v>
      </c>
      <c r="M41" s="89">
        <f>ROUND('PGE Ratepayer Costs'!J35,2)</f>
        <v>2948054334.0500002</v>
      </c>
      <c r="N41" s="48">
        <f t="shared" si="9"/>
        <v>1.7461325561554909E-3</v>
      </c>
      <c r="P41" s="84">
        <f>'PAC Ratepayer Costs'!A35</f>
        <v>2045</v>
      </c>
      <c r="Q41" s="96">
        <f>'PAC Ratepayer Costs'!B35</f>
        <v>73.459999999999994</v>
      </c>
      <c r="R41" s="96">
        <f>'PAC Ratepayer Costs'!C35</f>
        <v>12431.820362641667</v>
      </c>
      <c r="S41" s="89">
        <f>ROUND('PAC Ratepayer Costs'!D35,2)</f>
        <v>9050802.2599999998</v>
      </c>
      <c r="T41" s="89">
        <f>ROUND('PAC Ratepayer Costs'!E35,2)</f>
        <v>331880.14</v>
      </c>
      <c r="U41" s="89">
        <f>ROUND('PAC Ratepayer Costs'!F35,2)</f>
        <v>85523.32</v>
      </c>
      <c r="V41" s="89">
        <f t="shared" si="10"/>
        <v>9468205.7200000007</v>
      </c>
      <c r="W41" s="89">
        <f t="shared" si="11"/>
        <v>4985154.7</v>
      </c>
      <c r="X41" s="89">
        <f t="shared" si="12"/>
        <v>182798.58</v>
      </c>
      <c r="Y41" s="89">
        <f t="shared" si="13"/>
        <v>47105.99</v>
      </c>
      <c r="Z41" s="89">
        <f t="shared" si="14"/>
        <v>5215059.2700000005</v>
      </c>
      <c r="AA41" s="89">
        <f>'PAC Ratepayer Costs'!J35</f>
        <v>2948054334.0456891</v>
      </c>
      <c r="AB41" s="48">
        <f t="shared" si="15"/>
        <v>1.7689834307915361E-3</v>
      </c>
      <c r="AD41" s="48">
        <f>'IPC Ratepayer Costs'!A35</f>
        <v>2045</v>
      </c>
      <c r="AE41" s="96">
        <f>'IPC Ratepayer Costs'!B35</f>
        <v>0.33</v>
      </c>
      <c r="AF41" s="96">
        <f>'IPC Ratepayer Costs'!C35</f>
        <v>65.343000250000003</v>
      </c>
      <c r="AG41" s="89">
        <f>ROUND('IPC Ratepayer Costs'!D35,2)</f>
        <v>3084.04</v>
      </c>
      <c r="AH41" s="89">
        <f>ROUND('IPC Ratepayer Costs'!E35,2)</f>
        <v>16805.93</v>
      </c>
      <c r="AI41" s="89">
        <f>ROUND('IPC Ratepayer Costs'!F35,2)</f>
        <v>2084.3200000000002</v>
      </c>
      <c r="AJ41" s="89">
        <f t="shared" si="3"/>
        <v>21974.29</v>
      </c>
      <c r="AK41" s="89">
        <f t="shared" si="16"/>
        <v>1698.68</v>
      </c>
      <c r="AL41" s="89">
        <f t="shared" si="17"/>
        <v>9256.66</v>
      </c>
      <c r="AM41" s="89">
        <f t="shared" si="18"/>
        <v>1148.04</v>
      </c>
      <c r="AN41" s="89">
        <f t="shared" si="19"/>
        <v>12103.380000000001</v>
      </c>
      <c r="AO41" s="89">
        <f>'IPC Ratepayer Costs'!J35</f>
        <v>2948054334.0456891</v>
      </c>
      <c r="AP41" s="48">
        <f t="shared" si="20"/>
        <v>4.1055484833585911E-6</v>
      </c>
    </row>
    <row r="42" spans="2:42">
      <c r="B42" s="48">
        <f>'PGE Ratepayer Costs'!A36</f>
        <v>2046</v>
      </c>
      <c r="C42" s="96">
        <f>'PGE Ratepayer Costs'!B36</f>
        <v>47.580000000000005</v>
      </c>
      <c r="D42" s="96">
        <f>'PGE Ratepayer Costs'!C36</f>
        <v>6977.6699245500004</v>
      </c>
      <c r="E42" s="89">
        <f>ROUND('PGE Ratepayer Costs'!D36,2)</f>
        <v>6801228.3899999997</v>
      </c>
      <c r="F42" s="89">
        <f>ROUND('PGE Ratepayer Costs'!E36,2)</f>
        <v>665212.18000000005</v>
      </c>
      <c r="G42" s="89">
        <f>ROUND('PGE Ratepayer Costs'!F36,2)</f>
        <v>78905.8</v>
      </c>
      <c r="H42" s="89">
        <f t="shared" si="4"/>
        <v>7545346.3699999992</v>
      </c>
      <c r="I42" s="89">
        <f t="shared" si="5"/>
        <v>3641205.48</v>
      </c>
      <c r="J42" s="89">
        <f t="shared" si="6"/>
        <v>356137.76</v>
      </c>
      <c r="K42" s="89">
        <f t="shared" si="7"/>
        <v>42244.17</v>
      </c>
      <c r="L42" s="89">
        <f t="shared" si="8"/>
        <v>4039587.41</v>
      </c>
      <c r="M42" s="89">
        <f>ROUND('PGE Ratepayer Costs'!J36,2)</f>
        <v>2994225223.9099998</v>
      </c>
      <c r="N42" s="48">
        <f t="shared" si="9"/>
        <v>1.3491261037220565E-3</v>
      </c>
      <c r="P42" s="84">
        <f>'PAC Ratepayer Costs'!A36</f>
        <v>2046</v>
      </c>
      <c r="Q42" s="96">
        <f>'PAC Ratepayer Costs'!B36</f>
        <v>50.02</v>
      </c>
      <c r="R42" s="96">
        <f>'PAC Ratepayer Costs'!C36</f>
        <v>8478.8361632083361</v>
      </c>
      <c r="S42" s="89">
        <f>ROUND('PAC Ratepayer Costs'!D36,2)</f>
        <v>6724230.3399999999</v>
      </c>
      <c r="T42" s="89">
        <f>ROUND('PAC Ratepayer Costs'!E36,2)</f>
        <v>461328.04</v>
      </c>
      <c r="U42" s="89">
        <f>ROUND('PAC Ratepayer Costs'!F36,2)</f>
        <v>129421.66</v>
      </c>
      <c r="V42" s="89">
        <f t="shared" si="10"/>
        <v>7314980.04</v>
      </c>
      <c r="W42" s="89">
        <f t="shared" si="11"/>
        <v>3599982.67</v>
      </c>
      <c r="X42" s="89">
        <f t="shared" si="12"/>
        <v>246983.35</v>
      </c>
      <c r="Y42" s="89">
        <f t="shared" si="13"/>
        <v>69289.08</v>
      </c>
      <c r="Z42" s="89">
        <f t="shared" si="14"/>
        <v>3916255.1</v>
      </c>
      <c r="AA42" s="89">
        <f>'PAC Ratepayer Costs'!J36</f>
        <v>2994225223.9076886</v>
      </c>
      <c r="AB42" s="48">
        <f t="shared" si="15"/>
        <v>1.3079360459361147E-3</v>
      </c>
      <c r="AD42" s="48">
        <f>'IPC Ratepayer Costs'!A36</f>
        <v>2046</v>
      </c>
      <c r="AE42" s="96">
        <f>'IPC Ratepayer Costs'!B36</f>
        <v>0.33</v>
      </c>
      <c r="AF42" s="96">
        <f>'IPC Ratepayer Costs'!C36</f>
        <v>65.343000250000003</v>
      </c>
      <c r="AG42" s="89">
        <f>ROUND('IPC Ratepayer Costs'!D36,2)</f>
        <v>1535.65</v>
      </c>
      <c r="AH42" s="89">
        <f>ROUND('IPC Ratepayer Costs'!E36,2)</f>
        <v>23360.98</v>
      </c>
      <c r="AI42" s="89">
        <f>ROUND('IPC Ratepayer Costs'!F36,2)</f>
        <v>2084.3200000000002</v>
      </c>
      <c r="AJ42" s="89">
        <f t="shared" si="3"/>
        <v>26980.95</v>
      </c>
      <c r="AK42" s="89">
        <f t="shared" si="16"/>
        <v>822.15</v>
      </c>
      <c r="AL42" s="89">
        <f t="shared" si="17"/>
        <v>12506.88</v>
      </c>
      <c r="AM42" s="89">
        <f t="shared" si="18"/>
        <v>1115.8900000000001</v>
      </c>
      <c r="AN42" s="89">
        <f t="shared" si="19"/>
        <v>14444.919999999998</v>
      </c>
      <c r="AO42" s="89">
        <f>'IPC Ratepayer Costs'!J36</f>
        <v>2994225223.9076886</v>
      </c>
      <c r="AP42" s="48">
        <f t="shared" si="20"/>
        <v>4.8242596731411854E-6</v>
      </c>
    </row>
    <row r="43" spans="2:42">
      <c r="B43" s="48">
        <f>'PGE Ratepayer Costs'!A37</f>
        <v>2047</v>
      </c>
      <c r="C43" s="96">
        <f>'PGE Ratepayer Costs'!B37</f>
        <v>38.130000000000003</v>
      </c>
      <c r="D43" s="96">
        <f>'PGE Ratepayer Costs'!C37</f>
        <v>5591.8149269249998</v>
      </c>
      <c r="E43" s="89">
        <f>ROUND('PGE Ratepayer Costs'!D37,2)</f>
        <v>5401763.7699999996</v>
      </c>
      <c r="F43" s="89">
        <f>ROUND('PGE Ratepayer Costs'!E37,2)</f>
        <v>815494.71</v>
      </c>
      <c r="G43" s="89">
        <f>ROUND('PGE Ratepayer Costs'!F37,2)</f>
        <v>87497.02</v>
      </c>
      <c r="H43" s="89">
        <f t="shared" si="4"/>
        <v>6304755.4999999991</v>
      </c>
      <c r="I43" s="89">
        <f t="shared" si="5"/>
        <v>2810992.46</v>
      </c>
      <c r="J43" s="89">
        <f t="shared" si="6"/>
        <v>424370.55</v>
      </c>
      <c r="K43" s="89">
        <f t="shared" si="7"/>
        <v>45532.07</v>
      </c>
      <c r="L43" s="89">
        <f t="shared" si="8"/>
        <v>3280895.0799999996</v>
      </c>
      <c r="M43" s="89">
        <f>ROUND('PGE Ratepayer Costs'!J37,2)</f>
        <v>3041119218.1700001</v>
      </c>
      <c r="N43" s="48">
        <f t="shared" si="9"/>
        <v>1.0788446110226106E-3</v>
      </c>
      <c r="P43" s="84">
        <f>'PAC Ratepayer Costs'!A37</f>
        <v>2047</v>
      </c>
      <c r="Q43" s="96">
        <f>'PAC Ratepayer Costs'!B37</f>
        <v>39.85</v>
      </c>
      <c r="R43" s="96">
        <f>'PAC Ratepayer Costs'!C37</f>
        <v>6758.0025317083346</v>
      </c>
      <c r="S43" s="89">
        <f>ROUND('PAC Ratepayer Costs'!D37,2)</f>
        <v>5510184.3099999996</v>
      </c>
      <c r="T43" s="89">
        <f>ROUND('PAC Ratepayer Costs'!E37,2)</f>
        <v>565549.74</v>
      </c>
      <c r="U43" s="89">
        <f>ROUND('PAC Ratepayer Costs'!F37,2)</f>
        <v>148617.04</v>
      </c>
      <c r="V43" s="89">
        <f t="shared" si="10"/>
        <v>6224351.0899999999</v>
      </c>
      <c r="W43" s="89">
        <f t="shared" si="11"/>
        <v>2867412.8</v>
      </c>
      <c r="X43" s="89">
        <f t="shared" si="12"/>
        <v>294303.14</v>
      </c>
      <c r="Y43" s="89">
        <f t="shared" si="13"/>
        <v>77337.960000000006</v>
      </c>
      <c r="Z43" s="89">
        <f t="shared" si="14"/>
        <v>3239053.9</v>
      </c>
      <c r="AA43" s="89">
        <f>'PAC Ratepayer Costs'!J37</f>
        <v>3041119218.1731687</v>
      </c>
      <c r="AB43" s="48">
        <f t="shared" si="15"/>
        <v>1.0650861303443844E-3</v>
      </c>
      <c r="AD43" s="48">
        <f>'IPC Ratepayer Costs'!A37</f>
        <v>2047</v>
      </c>
      <c r="AE43" s="96">
        <f>'IPC Ratepayer Costs'!B37</f>
        <v>0.33</v>
      </c>
      <c r="AF43" s="96">
        <f>'IPC Ratepayer Costs'!C37</f>
        <v>65.343000250000003</v>
      </c>
      <c r="AG43" s="89">
        <f>ROUND('IPC Ratepayer Costs'!D37,2)</f>
        <v>-776.1</v>
      </c>
      <c r="AH43" s="89">
        <f>ROUND('IPC Ratepayer Costs'!E37,2)</f>
        <v>28638.62</v>
      </c>
      <c r="AI43" s="89">
        <f>ROUND('IPC Ratepayer Costs'!F37,2)</f>
        <v>2084.3200000000002</v>
      </c>
      <c r="AJ43" s="89">
        <f t="shared" si="3"/>
        <v>29946.84</v>
      </c>
      <c r="AK43" s="89">
        <f t="shared" si="16"/>
        <v>-403.87</v>
      </c>
      <c r="AL43" s="89">
        <f t="shared" si="17"/>
        <v>14903.09</v>
      </c>
      <c r="AM43" s="89">
        <f t="shared" si="18"/>
        <v>1084.6500000000001</v>
      </c>
      <c r="AN43" s="89">
        <f t="shared" si="19"/>
        <v>15583.869999999999</v>
      </c>
      <c r="AO43" s="89">
        <f>'IPC Ratepayer Costs'!J37</f>
        <v>3041119218.1731687</v>
      </c>
      <c r="AP43" s="48">
        <f t="shared" si="20"/>
        <v>5.1243864123687294E-6</v>
      </c>
    </row>
    <row r="44" spans="2:42">
      <c r="B44" s="48">
        <f>'PGE Ratepayer Costs'!A38</f>
        <v>2048</v>
      </c>
      <c r="C44" s="96">
        <f>'PGE Ratepayer Costs'!B38</f>
        <v>31.32</v>
      </c>
      <c r="D44" s="96">
        <f>'PGE Ratepayer Costs'!C38</f>
        <v>4593.1194206999999</v>
      </c>
      <c r="E44" s="89">
        <f>ROUND('PGE Ratepayer Costs'!D38,2)</f>
        <v>4353235.66</v>
      </c>
      <c r="F44" s="89">
        <f>ROUND('PGE Ratepayer Costs'!E38,2)</f>
        <v>944478.55</v>
      </c>
      <c r="G44" s="89">
        <f>ROUND('PGE Ratepayer Costs'!F38,2)</f>
        <v>91874.8</v>
      </c>
      <c r="H44" s="89">
        <f t="shared" si="4"/>
        <v>5389589.0099999998</v>
      </c>
      <c r="I44" s="89">
        <f t="shared" si="5"/>
        <v>2201925.0699999998</v>
      </c>
      <c r="J44" s="89">
        <f t="shared" si="6"/>
        <v>477729.94</v>
      </c>
      <c r="K44" s="89">
        <f t="shared" si="7"/>
        <v>46471.51</v>
      </c>
      <c r="L44" s="89">
        <f t="shared" si="8"/>
        <v>2726126.5199999996</v>
      </c>
      <c r="M44" s="89">
        <f>ROUND('PGE Ratepayer Costs'!J38,2)</f>
        <v>3088747641.73</v>
      </c>
      <c r="N44" s="48">
        <f t="shared" si="9"/>
        <v>8.8259930438120955E-4</v>
      </c>
      <c r="P44" s="84">
        <f>'PAC Ratepayer Costs'!A38</f>
        <v>2048</v>
      </c>
      <c r="Q44" s="96">
        <f>'PAC Ratepayer Costs'!B38</f>
        <v>36.370000000000005</v>
      </c>
      <c r="R44" s="96">
        <f>'PAC Ratepayer Costs'!C38</f>
        <v>6167.8432140083351</v>
      </c>
      <c r="S44" s="89">
        <f>ROUND('PAC Ratepayer Costs'!D38,2)</f>
        <v>5067810.71</v>
      </c>
      <c r="T44" s="89">
        <f>ROUND('PAC Ratepayer Costs'!E38,2)</f>
        <v>655000.68999999994</v>
      </c>
      <c r="U44" s="89">
        <f>ROUND('PAC Ratepayer Costs'!F38,2)</f>
        <v>152187.51999999999</v>
      </c>
      <c r="V44" s="89">
        <f t="shared" si="10"/>
        <v>5874998.9199999999</v>
      </c>
      <c r="W44" s="89">
        <f t="shared" si="11"/>
        <v>2563366.73</v>
      </c>
      <c r="X44" s="89">
        <f t="shared" si="12"/>
        <v>331308.15000000002</v>
      </c>
      <c r="Y44" s="89">
        <f t="shared" si="13"/>
        <v>76978.490000000005</v>
      </c>
      <c r="Z44" s="89">
        <f t="shared" si="14"/>
        <v>2971653.37</v>
      </c>
      <c r="AA44" s="89">
        <f>'PAC Ratepayer Costs'!J38</f>
        <v>3088747641.7262697</v>
      </c>
      <c r="AB44" s="48">
        <f t="shared" si="15"/>
        <v>9.6209004900742656E-4</v>
      </c>
      <c r="AD44" s="48">
        <f>'IPC Ratepayer Costs'!A38</f>
        <v>2048</v>
      </c>
      <c r="AE44" s="96">
        <f>'IPC Ratepayer Costs'!B38</f>
        <v>0.33</v>
      </c>
      <c r="AF44" s="96">
        <f>'IPC Ratepayer Costs'!C38</f>
        <v>65.343000250000003</v>
      </c>
      <c r="AG44" s="89">
        <f>ROUND('IPC Ratepayer Costs'!D38,2)</f>
        <v>-1740.77</v>
      </c>
      <c r="AH44" s="89">
        <f>ROUND('IPC Ratepayer Costs'!E38,2)</f>
        <v>33168.28</v>
      </c>
      <c r="AI44" s="89">
        <f>ROUND('IPC Ratepayer Costs'!F38,2)</f>
        <v>2084.3200000000002</v>
      </c>
      <c r="AJ44" s="89">
        <f t="shared" si="3"/>
        <v>33511.83</v>
      </c>
      <c r="AK44" s="89">
        <f t="shared" si="16"/>
        <v>-880.5</v>
      </c>
      <c r="AL44" s="89">
        <f t="shared" si="17"/>
        <v>16776.96</v>
      </c>
      <c r="AM44" s="89">
        <f t="shared" si="18"/>
        <v>1054.28</v>
      </c>
      <c r="AN44" s="89">
        <f t="shared" si="19"/>
        <v>16950.739999999998</v>
      </c>
      <c r="AO44" s="89">
        <f>'IPC Ratepayer Costs'!J38</f>
        <v>3088747641.7262697</v>
      </c>
      <c r="AP44" s="48">
        <f t="shared" si="20"/>
        <v>5.4879005882547278E-6</v>
      </c>
    </row>
    <row r="45" spans="2:42">
      <c r="B45" s="48">
        <f>'PGE Ratepayer Costs'!A39</f>
        <v>2049</v>
      </c>
      <c r="C45" s="96">
        <f>'PGE Ratepayer Costs'!B39</f>
        <v>31.32</v>
      </c>
      <c r="D45" s="96">
        <f>'PGE Ratepayer Costs'!C39</f>
        <v>4593.1194206999999</v>
      </c>
      <c r="E45" s="89">
        <f>ROUND('PGE Ratepayer Costs'!D39,2)</f>
        <v>4304612.1900000004</v>
      </c>
      <c r="F45" s="89">
        <f>ROUND('PGE Ratepayer Costs'!E39,2)</f>
        <v>1057876.6499999999</v>
      </c>
      <c r="G45" s="89">
        <f>ROUND('PGE Ratepayer Costs'!F39,2)</f>
        <v>91874.8</v>
      </c>
      <c r="H45" s="89">
        <f t="shared" si="4"/>
        <v>5454363.6399999997</v>
      </c>
      <c r="I45" s="89">
        <f t="shared" si="5"/>
        <v>2116365.41</v>
      </c>
      <c r="J45" s="89">
        <f t="shared" si="6"/>
        <v>520105.75</v>
      </c>
      <c r="K45" s="89">
        <f t="shared" si="7"/>
        <v>45170.31</v>
      </c>
      <c r="L45" s="89">
        <f t="shared" si="8"/>
        <v>2681641.4700000002</v>
      </c>
      <c r="M45" s="89">
        <f>ROUND('PGE Ratepayer Costs'!J39,2)</f>
        <v>3137121996.8200002</v>
      </c>
      <c r="N45" s="48">
        <f t="shared" si="9"/>
        <v>8.5480943129348941E-4</v>
      </c>
      <c r="P45" s="84">
        <f>'PAC Ratepayer Costs'!A39</f>
        <v>2049</v>
      </c>
      <c r="Q45" s="96">
        <f>'PAC Ratepayer Costs'!B39</f>
        <v>36.370000000000005</v>
      </c>
      <c r="R45" s="96">
        <f>'PAC Ratepayer Costs'!C39</f>
        <v>6167.8432140083351</v>
      </c>
      <c r="S45" s="89">
        <f>ROUND('PAC Ratepayer Costs'!D39,2)</f>
        <v>5110922.21</v>
      </c>
      <c r="T45" s="89">
        <f>ROUND('PAC Ratepayer Costs'!E39,2)</f>
        <v>733642.85</v>
      </c>
      <c r="U45" s="89">
        <f>ROUND('PAC Ratepayer Costs'!F39,2)</f>
        <v>152187.51999999999</v>
      </c>
      <c r="V45" s="89">
        <f t="shared" si="10"/>
        <v>5996752.5799999991</v>
      </c>
      <c r="W45" s="89">
        <f t="shared" si="11"/>
        <v>2512788.2599999998</v>
      </c>
      <c r="X45" s="89">
        <f t="shared" si="12"/>
        <v>360695.99</v>
      </c>
      <c r="Y45" s="89">
        <f t="shared" si="13"/>
        <v>74823.09</v>
      </c>
      <c r="Z45" s="89">
        <f t="shared" si="14"/>
        <v>2948307.34</v>
      </c>
      <c r="AA45" s="89">
        <f>'PAC Ratepayer Costs'!J39</f>
        <v>3137121996.8155622</v>
      </c>
      <c r="AB45" s="48">
        <f t="shared" si="15"/>
        <v>9.3981277839777196E-4</v>
      </c>
      <c r="AD45" s="48">
        <f>'IPC Ratepayer Costs'!A39</f>
        <v>2049</v>
      </c>
      <c r="AE45" s="96">
        <f>'IPC Ratepayer Costs'!B39</f>
        <v>0.33</v>
      </c>
      <c r="AF45" s="96">
        <f>'IPC Ratepayer Costs'!C39</f>
        <v>65.343000250000003</v>
      </c>
      <c r="AG45" s="89">
        <f>ROUND('IPC Ratepayer Costs'!D39,2)</f>
        <v>-2982.52</v>
      </c>
      <c r="AH45" s="89">
        <f>ROUND('IPC Ratepayer Costs'!E39,2)</f>
        <v>37150.61</v>
      </c>
      <c r="AI45" s="89">
        <f>ROUND('IPC Ratepayer Costs'!F39,2)</f>
        <v>2084.3200000000002</v>
      </c>
      <c r="AJ45" s="89">
        <f t="shared" si="3"/>
        <v>36252.410000000003</v>
      </c>
      <c r="AK45" s="89">
        <f t="shared" si="16"/>
        <v>-1466.36</v>
      </c>
      <c r="AL45" s="89">
        <f t="shared" si="17"/>
        <v>18265.12</v>
      </c>
      <c r="AM45" s="89">
        <f t="shared" si="18"/>
        <v>1024.76</v>
      </c>
      <c r="AN45" s="89">
        <f t="shared" si="19"/>
        <v>17823.519999999997</v>
      </c>
      <c r="AO45" s="89">
        <f>'IPC Ratepayer Costs'!J39</f>
        <v>3137121996.8155622</v>
      </c>
      <c r="AP45" s="48">
        <f t="shared" si="20"/>
        <v>5.6814876877891074E-6</v>
      </c>
    </row>
    <row r="46" spans="2:42">
      <c r="B46" s="48">
        <f>'PGE Ratepayer Costs'!A40</f>
        <v>2050</v>
      </c>
      <c r="C46" s="96">
        <f>'PGE Ratepayer Costs'!B40</f>
        <v>31.32</v>
      </c>
      <c r="D46" s="96">
        <f>'PGE Ratepayer Costs'!C40</f>
        <v>4593.1194206999999</v>
      </c>
      <c r="E46" s="89">
        <f>ROUND('PGE Ratepayer Costs'!D40,2)</f>
        <v>4193454.43</v>
      </c>
      <c r="F46" s="89">
        <f>ROUND('PGE Ratepayer Costs'!E40,2)</f>
        <v>1129046.52</v>
      </c>
      <c r="G46" s="89">
        <f>ROUND('PGE Ratepayer Costs'!F40,2)</f>
        <v>91874.8</v>
      </c>
      <c r="H46" s="89">
        <f t="shared" si="4"/>
        <v>5414375.75</v>
      </c>
      <c r="I46" s="89">
        <f t="shared" si="5"/>
        <v>2003986.61</v>
      </c>
      <c r="J46" s="89">
        <f t="shared" si="6"/>
        <v>539553.76</v>
      </c>
      <c r="K46" s="89">
        <f t="shared" si="7"/>
        <v>43905.54</v>
      </c>
      <c r="L46" s="89">
        <f t="shared" si="8"/>
        <v>2587445.91</v>
      </c>
      <c r="M46" s="89">
        <f>ROUND('PGE Ratepayer Costs'!J40,2)</f>
        <v>3186253965.8299999</v>
      </c>
      <c r="N46" s="48">
        <f t="shared" si="9"/>
        <v>8.1206518304826529E-4</v>
      </c>
      <c r="P46" s="84">
        <f>'PAC Ratepayer Costs'!A40</f>
        <v>2050</v>
      </c>
      <c r="Q46" s="96">
        <f>'PAC Ratepayer Costs'!B40</f>
        <v>36.370000000000005</v>
      </c>
      <c r="R46" s="96">
        <f>'PAC Ratepayer Costs'!C40</f>
        <v>6167.8432140083351</v>
      </c>
      <c r="S46" s="89">
        <f>ROUND('PAC Ratepayer Costs'!D40,2)</f>
        <v>5158414.1900000004</v>
      </c>
      <c r="T46" s="89">
        <f>ROUND('PAC Ratepayer Costs'!E40,2)</f>
        <v>782999.52</v>
      </c>
      <c r="U46" s="89">
        <f>ROUND('PAC Ratepayer Costs'!F40,2)</f>
        <v>152187.51999999999</v>
      </c>
      <c r="V46" s="89">
        <f t="shared" si="10"/>
        <v>6093601.2300000004</v>
      </c>
      <c r="W46" s="89">
        <f t="shared" si="11"/>
        <v>2465125.87</v>
      </c>
      <c r="X46" s="89">
        <f t="shared" si="12"/>
        <v>374183.29</v>
      </c>
      <c r="Y46" s="89">
        <f t="shared" si="13"/>
        <v>72728.05</v>
      </c>
      <c r="Z46" s="89">
        <f t="shared" si="14"/>
        <v>2912037.21</v>
      </c>
      <c r="AA46" s="89">
        <f>'PAC Ratepayer Costs'!J40</f>
        <v>3186253965.8318367</v>
      </c>
      <c r="AB46" s="48">
        <f t="shared" si="15"/>
        <v>9.1393757096187812E-4</v>
      </c>
      <c r="AD46" s="48">
        <f>'IPC Ratepayer Costs'!A40</f>
        <v>2050</v>
      </c>
      <c r="AE46" s="96">
        <f>'IPC Ratepayer Costs'!B40</f>
        <v>0.33</v>
      </c>
      <c r="AF46" s="96">
        <f>'IPC Ratepayer Costs'!C40</f>
        <v>65.343000250000003</v>
      </c>
      <c r="AG46" s="89">
        <f>ROUND('IPC Ratepayer Costs'!D40,2)</f>
        <v>-4798.8</v>
      </c>
      <c r="AH46" s="89">
        <f>ROUND('IPC Ratepayer Costs'!E40,2)</f>
        <v>39649.96</v>
      </c>
      <c r="AI46" s="89">
        <f>ROUND('IPC Ratepayer Costs'!F40,2)</f>
        <v>2084.3200000000002</v>
      </c>
      <c r="AJ46" s="89">
        <f t="shared" si="3"/>
        <v>36935.479999999996</v>
      </c>
      <c r="AK46" s="89">
        <f t="shared" si="16"/>
        <v>-2293.27</v>
      </c>
      <c r="AL46" s="89">
        <f t="shared" si="17"/>
        <v>18948.099999999999</v>
      </c>
      <c r="AM46" s="89">
        <f t="shared" si="18"/>
        <v>996.06</v>
      </c>
      <c r="AN46" s="89">
        <f t="shared" si="19"/>
        <v>17650.89</v>
      </c>
      <c r="AO46" s="89">
        <f>'IPC Ratepayer Costs'!J40</f>
        <v>3186253965.8318367</v>
      </c>
      <c r="AP46" s="48">
        <f t="shared" si="20"/>
        <v>5.5396996564873236E-6</v>
      </c>
    </row>
    <row r="47" spans="2:42">
      <c r="B47" s="4" t="s">
        <v>30</v>
      </c>
      <c r="C47" s="4"/>
      <c r="D47" s="4"/>
      <c r="E47" s="6">
        <f t="shared" ref="E47:M47" si="21">SUM(E14:E46)</f>
        <v>278520206.57000005</v>
      </c>
      <c r="F47" s="6">
        <f t="shared" si="21"/>
        <v>20192696.57</v>
      </c>
      <c r="G47" s="6">
        <f t="shared" si="21"/>
        <v>1427459.0599999996</v>
      </c>
      <c r="H47" s="6">
        <f t="shared" si="21"/>
        <v>300140362.19999999</v>
      </c>
      <c r="I47" s="6">
        <f t="shared" si="21"/>
        <v>199515533.57999998</v>
      </c>
      <c r="J47" s="6">
        <f t="shared" si="21"/>
        <v>17176143.880000006</v>
      </c>
      <c r="K47" s="6">
        <f t="shared" si="21"/>
        <v>1144717.8899999999</v>
      </c>
      <c r="L47" s="6">
        <f t="shared" si="21"/>
        <v>217836395.34999999</v>
      </c>
      <c r="M47" s="6">
        <f t="shared" si="21"/>
        <v>82900051224.669998</v>
      </c>
      <c r="N47" s="4">
        <f>L47/M47</f>
        <v>2.6276991646197517E-3</v>
      </c>
      <c r="P47" s="4" t="s">
        <v>30</v>
      </c>
      <c r="Q47" s="4"/>
      <c r="R47" s="4"/>
      <c r="S47" s="6">
        <f>SUM(S14:S46)</f>
        <v>230327829.48000002</v>
      </c>
      <c r="T47" s="6">
        <f t="shared" ref="T47:AA47" si="22">SUM(T14:T46)</f>
        <v>14003738.059999999</v>
      </c>
      <c r="U47" s="6">
        <f t="shared" si="22"/>
        <v>3052529.1200000015</v>
      </c>
      <c r="V47" s="6">
        <f t="shared" si="22"/>
        <v>247384096.65999994</v>
      </c>
      <c r="W47" s="6">
        <f t="shared" si="22"/>
        <v>160356624.93999997</v>
      </c>
      <c r="X47" s="6">
        <f t="shared" si="22"/>
        <v>11911743.430000002</v>
      </c>
      <c r="Y47" s="6">
        <f t="shared" si="22"/>
        <v>2500853.9099999997</v>
      </c>
      <c r="Z47" s="6">
        <f t="shared" si="22"/>
        <v>174769222.28</v>
      </c>
      <c r="AA47" s="6">
        <f t="shared" si="22"/>
        <v>82900051224.659988</v>
      </c>
      <c r="AB47" s="4">
        <f>Z47/AA47</f>
        <v>2.1081919697054662E-3</v>
      </c>
      <c r="AD47" s="4" t="s">
        <v>30</v>
      </c>
      <c r="AE47" s="4"/>
      <c r="AF47" s="4"/>
      <c r="AG47" s="6">
        <f>SUM(AG14:AG46)</f>
        <v>3221963.99</v>
      </c>
      <c r="AH47" s="6">
        <f t="shared" ref="AH47:AO47" si="23">SUM(AH14:AH46)</f>
        <v>709128.91</v>
      </c>
      <c r="AI47" s="6">
        <f t="shared" si="23"/>
        <v>31005.919999999998</v>
      </c>
      <c r="AJ47" s="6">
        <f t="shared" si="23"/>
        <v>3962098.82</v>
      </c>
      <c r="AK47" s="6">
        <f t="shared" si="23"/>
        <v>2574982.7000000007</v>
      </c>
      <c r="AL47" s="6">
        <f t="shared" si="23"/>
        <v>603193.34999999986</v>
      </c>
      <c r="AM47" s="6">
        <f t="shared" si="23"/>
        <v>26585.19</v>
      </c>
      <c r="AN47" s="6">
        <f t="shared" si="23"/>
        <v>3204761.2399999993</v>
      </c>
      <c r="AO47" s="6">
        <f t="shared" si="23"/>
        <v>82900051224.659988</v>
      </c>
      <c r="AP47" s="4">
        <f>AN47/AO47</f>
        <v>3.865813341073896E-5</v>
      </c>
    </row>
    <row r="49" spans="5:12">
      <c r="J49" s="77"/>
      <c r="K49" s="77"/>
      <c r="L49" s="10"/>
    </row>
    <row r="52" spans="5:12">
      <c r="E52" s="10"/>
    </row>
  </sheetData>
  <mergeCells count="4">
    <mergeCell ref="B12:N12"/>
    <mergeCell ref="P12:AB12"/>
    <mergeCell ref="F2:H2"/>
    <mergeCell ref="AD12:AP12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Level 3 -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E365-5489-4964-B8EB-DAAF12E1C4AD}">
  <sheetPr>
    <tabColor theme="9" tint="0.39997558519241921"/>
  </sheetPr>
  <dimension ref="B2:AP54"/>
  <sheetViews>
    <sheetView topLeftCell="U25" workbookViewId="0">
      <selection activeCell="Y38" sqref="Y38"/>
    </sheetView>
  </sheetViews>
  <sheetFormatPr defaultRowHeight="15"/>
  <cols>
    <col min="1" max="1" width="1.85546875" bestFit="1" customWidth="1"/>
    <col min="2" max="2" width="20.42578125" bestFit="1" customWidth="1"/>
    <col min="3" max="3" width="30.28515625" bestFit="1" customWidth="1"/>
    <col min="4" max="4" width="17" bestFit="1" customWidth="1"/>
    <col min="5" max="5" width="19.42578125" bestFit="1" customWidth="1"/>
    <col min="6" max="6" width="15.28515625" bestFit="1" customWidth="1"/>
    <col min="7" max="7" width="14.28515625" bestFit="1" customWidth="1"/>
    <col min="8" max="8" width="22" bestFit="1" customWidth="1"/>
    <col min="9" max="9" width="16.28515625" bestFit="1" customWidth="1"/>
    <col min="10" max="10" width="16.85546875" bestFit="1" customWidth="1"/>
    <col min="11" max="11" width="23.7109375" bestFit="1" customWidth="1"/>
    <col min="12" max="12" width="24.42578125" bestFit="1" customWidth="1"/>
    <col min="13" max="13" width="26.85546875" bestFit="1" customWidth="1"/>
    <col min="14" max="14" width="24" bestFit="1" customWidth="1"/>
    <col min="15" max="15" width="11" bestFit="1" customWidth="1"/>
    <col min="16" max="16" width="13.7109375" bestFit="1" customWidth="1"/>
    <col min="17" max="17" width="25.5703125" bestFit="1" customWidth="1"/>
    <col min="18" max="18" width="22.140625" bestFit="1" customWidth="1"/>
    <col min="19" max="19" width="24" bestFit="1" customWidth="1"/>
    <col min="20" max="20" width="20.28515625" bestFit="1" customWidth="1"/>
    <col min="21" max="21" width="20" bestFit="1" customWidth="1"/>
    <col min="22" max="22" width="16.28515625" bestFit="1" customWidth="1"/>
    <col min="23" max="23" width="17.7109375" bestFit="1" customWidth="1"/>
    <col min="24" max="24" width="15.28515625" bestFit="1" customWidth="1"/>
    <col min="25" max="25" width="13.85546875" bestFit="1" customWidth="1"/>
    <col min="26" max="26" width="16.28515625" bestFit="1" customWidth="1"/>
    <col min="27" max="27" width="19" bestFit="1" customWidth="1"/>
    <col min="28" max="28" width="13" bestFit="1" customWidth="1"/>
    <col min="29" max="29" width="1.85546875" bestFit="1" customWidth="1"/>
    <col min="30" max="30" width="13.7109375" bestFit="1" customWidth="1"/>
    <col min="31" max="31" width="8.5703125" bestFit="1" customWidth="1"/>
    <col min="32" max="32" width="13.5703125" bestFit="1" customWidth="1"/>
    <col min="33" max="33" width="14.28515625" bestFit="1" customWidth="1"/>
    <col min="34" max="34" width="12.5703125" bestFit="1" customWidth="1"/>
    <col min="35" max="35" width="11.5703125" bestFit="1" customWidth="1"/>
    <col min="36" max="36" width="14.42578125" bestFit="1" customWidth="1"/>
    <col min="37" max="37" width="14.140625" bestFit="1" customWidth="1"/>
    <col min="38" max="38" width="12.5703125" bestFit="1" customWidth="1"/>
    <col min="39" max="39" width="11.5703125" bestFit="1" customWidth="1"/>
    <col min="40" max="40" width="14.42578125" bestFit="1" customWidth="1"/>
    <col min="41" max="41" width="19" bestFit="1" customWidth="1"/>
    <col min="42" max="42" width="16.5703125" customWidth="1"/>
  </cols>
  <sheetData>
    <row r="2" spans="2:42">
      <c r="D2" s="294" t="s">
        <v>0</v>
      </c>
      <c r="E2" s="295"/>
      <c r="F2" s="306" t="s">
        <v>1</v>
      </c>
      <c r="G2" s="307"/>
      <c r="H2" s="110" t="s">
        <v>2</v>
      </c>
      <c r="I2" s="296" t="s">
        <v>3</v>
      </c>
      <c r="J2" s="297"/>
      <c r="K2" s="113" t="s">
        <v>4</v>
      </c>
      <c r="L2" s="299" t="s">
        <v>5</v>
      </c>
      <c r="M2" s="299"/>
    </row>
    <row r="3" spans="2:42" ht="15" customHeight="1">
      <c r="B3" s="127"/>
      <c r="C3" s="61"/>
      <c r="D3" s="109" t="s">
        <v>6</v>
      </c>
      <c r="E3" s="109" t="s">
        <v>7</v>
      </c>
      <c r="F3" s="80" t="s">
        <v>6</v>
      </c>
      <c r="G3" s="80" t="s">
        <v>7</v>
      </c>
      <c r="H3" s="111" t="s">
        <v>10</v>
      </c>
      <c r="I3" s="112" t="s">
        <v>6</v>
      </c>
      <c r="J3" s="112" t="s">
        <v>7</v>
      </c>
      <c r="K3" s="114" t="s">
        <v>10</v>
      </c>
      <c r="L3" s="134" t="s">
        <v>6</v>
      </c>
      <c r="M3" s="134" t="s">
        <v>7</v>
      </c>
    </row>
    <row r="4" spans="2:42">
      <c r="B4" s="127"/>
      <c r="C4" s="48" t="s">
        <v>11</v>
      </c>
      <c r="D4" s="31">
        <v>32.207000000000001</v>
      </c>
      <c r="E4" s="31">
        <v>60.933</v>
      </c>
      <c r="F4" s="310">
        <v>0.10672299999999998</v>
      </c>
      <c r="G4" s="310">
        <v>0.1016677</v>
      </c>
      <c r="H4" s="121">
        <v>242236471.31999999</v>
      </c>
      <c r="I4" s="121">
        <v>53559105.189999998</v>
      </c>
      <c r="J4" s="121">
        <v>164001058.04999998</v>
      </c>
      <c r="K4" s="121">
        <v>180202092.64999998</v>
      </c>
      <c r="L4" s="121">
        <v>43862656.009999998</v>
      </c>
      <c r="M4" s="121">
        <v>115921070.87000002</v>
      </c>
    </row>
    <row r="5" spans="2:42">
      <c r="B5" s="127"/>
      <c r="C5" s="54" t="s">
        <v>12</v>
      </c>
      <c r="D5" s="31">
        <v>22.213000000000001</v>
      </c>
      <c r="E5" s="31">
        <v>42.387</v>
      </c>
      <c r="F5" s="310">
        <v>9.2814999999999995E-2</v>
      </c>
      <c r="G5" s="310">
        <v>8.8418500000000011E-2</v>
      </c>
      <c r="H5" s="323">
        <v>162564223.96000001</v>
      </c>
      <c r="I5" s="323">
        <v>34285265.359999985</v>
      </c>
      <c r="J5" s="323">
        <v>108596058.02999999</v>
      </c>
      <c r="K5" s="323">
        <v>119588796.90000001</v>
      </c>
      <c r="L5" s="323">
        <v>26436844.300000001</v>
      </c>
      <c r="M5" s="323">
        <v>76950137.050000012</v>
      </c>
    </row>
    <row r="6" spans="2:42">
      <c r="B6" s="127"/>
      <c r="C6" s="54" t="s">
        <v>13</v>
      </c>
      <c r="D6" s="31">
        <v>3.28</v>
      </c>
      <c r="E6" s="31">
        <v>0</v>
      </c>
      <c r="F6" s="310">
        <v>8.0560000000000007E-2</v>
      </c>
      <c r="G6" s="310" t="s">
        <v>31</v>
      </c>
      <c r="H6" s="323">
        <v>4060038.0000000005</v>
      </c>
      <c r="I6" s="323">
        <v>3221963.99</v>
      </c>
      <c r="J6" s="323">
        <v>0</v>
      </c>
      <c r="K6" s="323">
        <v>3272228.81</v>
      </c>
      <c r="L6" s="323">
        <v>2574982.7000000007</v>
      </c>
      <c r="M6" s="323">
        <v>0</v>
      </c>
      <c r="O6" s="10"/>
    </row>
    <row r="7" spans="2:42">
      <c r="B7" s="127"/>
      <c r="C7" s="107" t="s">
        <v>10</v>
      </c>
      <c r="D7" s="108">
        <v>57.7</v>
      </c>
      <c r="E7" s="108">
        <v>103.32</v>
      </c>
      <c r="F7" s="311"/>
      <c r="G7" s="311"/>
      <c r="H7" s="324">
        <f>SUM(H4:H6)</f>
        <v>408860733.27999997</v>
      </c>
      <c r="I7" s="324">
        <f t="shared" ref="I7:M7" si="0">SUM(I4:I6)</f>
        <v>91066334.539999977</v>
      </c>
      <c r="J7" s="324">
        <f t="shared" si="0"/>
        <v>272597116.07999998</v>
      </c>
      <c r="K7" s="324">
        <f t="shared" si="0"/>
        <v>303063118.35999995</v>
      </c>
      <c r="L7" s="324">
        <f t="shared" si="0"/>
        <v>72874483.010000005</v>
      </c>
      <c r="M7" s="324">
        <f t="shared" si="0"/>
        <v>192871207.92000002</v>
      </c>
      <c r="O7" s="10"/>
    </row>
    <row r="8" spans="2:42">
      <c r="W8" s="10"/>
    </row>
    <row r="9" spans="2:42">
      <c r="H9" s="10"/>
      <c r="I9" s="76"/>
      <c r="L9" s="76"/>
      <c r="S9" s="10"/>
      <c r="T9" s="10"/>
    </row>
    <row r="10" spans="2:42">
      <c r="B10" t="s">
        <v>14</v>
      </c>
      <c r="C10" s="29">
        <v>2.8000000000000001E-2</v>
      </c>
      <c r="S10" s="10"/>
      <c r="T10" s="10"/>
    </row>
    <row r="11" spans="2:42">
      <c r="I11" s="10"/>
      <c r="W11" s="10"/>
      <c r="Z11" s="10"/>
      <c r="AK11" s="10"/>
      <c r="AN11" s="10"/>
    </row>
    <row r="12" spans="2:42">
      <c r="B12" s="349" t="s">
        <v>15</v>
      </c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1"/>
      <c r="P12" s="352" t="s">
        <v>16</v>
      </c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4"/>
      <c r="AD12" s="358" t="s">
        <v>17</v>
      </c>
      <c r="AE12" s="359"/>
      <c r="AF12" s="359"/>
      <c r="AG12" s="359"/>
      <c r="AH12" s="359"/>
      <c r="AI12" s="359"/>
      <c r="AJ12" s="359"/>
      <c r="AK12" s="359"/>
      <c r="AL12" s="359"/>
      <c r="AM12" s="359"/>
      <c r="AN12" s="359"/>
      <c r="AO12" s="359"/>
      <c r="AP12" s="360"/>
    </row>
    <row r="13" spans="2:42" ht="60">
      <c r="B13" s="48"/>
      <c r="C13" s="1" t="s">
        <v>18</v>
      </c>
      <c r="D13" s="1" t="s">
        <v>19</v>
      </c>
      <c r="E13" s="1" t="s">
        <v>20</v>
      </c>
      <c r="F13" s="1" t="s">
        <v>21</v>
      </c>
      <c r="G13" s="1" t="s">
        <v>22</v>
      </c>
      <c r="H13" s="1" t="s">
        <v>23</v>
      </c>
      <c r="I13" s="1" t="s">
        <v>5</v>
      </c>
      <c r="J13" s="1" t="s">
        <v>24</v>
      </c>
      <c r="K13" s="1" t="s">
        <v>25</v>
      </c>
      <c r="L13" s="1" t="s">
        <v>4</v>
      </c>
      <c r="M13" s="2" t="s">
        <v>26</v>
      </c>
      <c r="N13" s="1" t="s">
        <v>27</v>
      </c>
      <c r="P13" s="48"/>
      <c r="Q13" s="1" t="s">
        <v>18</v>
      </c>
      <c r="R13" s="1" t="s">
        <v>19</v>
      </c>
      <c r="S13" s="1" t="s">
        <v>20</v>
      </c>
      <c r="T13" s="1" t="s">
        <v>21</v>
      </c>
      <c r="U13" s="1" t="s">
        <v>22</v>
      </c>
      <c r="V13" s="1" t="s">
        <v>23</v>
      </c>
      <c r="W13" s="1" t="s">
        <v>5</v>
      </c>
      <c r="X13" s="1" t="s">
        <v>24</v>
      </c>
      <c r="Y13" s="1" t="s">
        <v>25</v>
      </c>
      <c r="Z13" s="1" t="s">
        <v>4</v>
      </c>
      <c r="AA13" s="2" t="s">
        <v>26</v>
      </c>
      <c r="AB13" s="1" t="s">
        <v>27</v>
      </c>
      <c r="AD13" s="48"/>
      <c r="AE13" s="1" t="s">
        <v>18</v>
      </c>
      <c r="AF13" s="1" t="s">
        <v>19</v>
      </c>
      <c r="AG13" s="1" t="s">
        <v>20</v>
      </c>
      <c r="AH13" s="1" t="s">
        <v>21</v>
      </c>
      <c r="AI13" s="1" t="s">
        <v>22</v>
      </c>
      <c r="AJ13" s="1" t="s">
        <v>23</v>
      </c>
      <c r="AK13" s="1" t="s">
        <v>5</v>
      </c>
      <c r="AL13" s="1" t="s">
        <v>24</v>
      </c>
      <c r="AM13" s="1" t="s">
        <v>25</v>
      </c>
      <c r="AN13" s="1" t="s">
        <v>4</v>
      </c>
      <c r="AO13" s="2" t="s">
        <v>26</v>
      </c>
      <c r="AP13" s="1" t="s">
        <v>27</v>
      </c>
    </row>
    <row r="14" spans="2:42">
      <c r="B14" s="48">
        <v>2018</v>
      </c>
      <c r="C14" s="96">
        <v>0</v>
      </c>
      <c r="D14" s="96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1937818036</v>
      </c>
      <c r="N14" s="48">
        <v>0</v>
      </c>
      <c r="P14" s="84">
        <v>2018</v>
      </c>
      <c r="Q14" s="96">
        <v>0</v>
      </c>
      <c r="R14" s="96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1937818036</v>
      </c>
      <c r="AB14" s="48">
        <v>0</v>
      </c>
      <c r="AD14" s="48">
        <v>2018</v>
      </c>
      <c r="AE14" s="96">
        <v>0</v>
      </c>
      <c r="AF14" s="96">
        <v>0</v>
      </c>
      <c r="AG14" s="89">
        <v>0</v>
      </c>
      <c r="AH14" s="89">
        <v>0</v>
      </c>
      <c r="AI14" s="89">
        <v>0</v>
      </c>
      <c r="AJ14" s="89">
        <v>0</v>
      </c>
      <c r="AK14" s="89">
        <v>0</v>
      </c>
      <c r="AL14" s="89">
        <v>0</v>
      </c>
      <c r="AM14" s="89">
        <v>0</v>
      </c>
      <c r="AN14" s="89">
        <v>0</v>
      </c>
      <c r="AO14" s="89">
        <v>1937818036</v>
      </c>
      <c r="AP14" s="48">
        <v>0</v>
      </c>
    </row>
    <row r="15" spans="2:42">
      <c r="B15" s="48">
        <v>2019</v>
      </c>
      <c r="C15" s="96">
        <v>0</v>
      </c>
      <c r="D15" s="96">
        <v>0</v>
      </c>
      <c r="E15" s="89">
        <v>0</v>
      </c>
      <c r="F15" s="89">
        <v>968643.81</v>
      </c>
      <c r="G15" s="89">
        <v>110500</v>
      </c>
      <c r="H15" s="89">
        <v>1079143.81</v>
      </c>
      <c r="I15" s="89">
        <v>0</v>
      </c>
      <c r="J15" s="89">
        <v>1116433.3</v>
      </c>
      <c r="K15" s="89">
        <v>127359.39</v>
      </c>
      <c r="L15" s="89">
        <v>1243792.69</v>
      </c>
      <c r="M15" s="89">
        <v>1968167131.7</v>
      </c>
      <c r="N15" s="48">
        <v>6.3195481215341538E-4</v>
      </c>
      <c r="P15" s="84">
        <v>2019</v>
      </c>
      <c r="Q15" s="96">
        <v>0</v>
      </c>
      <c r="R15" s="96">
        <v>0</v>
      </c>
      <c r="S15" s="89">
        <v>0</v>
      </c>
      <c r="T15" s="89">
        <v>671759.42</v>
      </c>
      <c r="U15" s="89">
        <v>190000</v>
      </c>
      <c r="V15" s="89">
        <v>861759.42</v>
      </c>
      <c r="W15" s="89">
        <v>0</v>
      </c>
      <c r="X15" s="89">
        <v>774252.19</v>
      </c>
      <c r="Y15" s="89">
        <v>218988.99</v>
      </c>
      <c r="Z15" s="89">
        <v>993241.17999999993</v>
      </c>
      <c r="AA15" s="89">
        <v>1968167131.6999998</v>
      </c>
      <c r="AB15" s="48">
        <v>5.0465286407973405E-4</v>
      </c>
      <c r="AD15" s="48">
        <v>2019</v>
      </c>
      <c r="AE15" s="96">
        <v>0</v>
      </c>
      <c r="AF15" s="96">
        <v>0</v>
      </c>
      <c r="AG15" s="89">
        <v>0</v>
      </c>
      <c r="AH15" s="89">
        <v>34016.92</v>
      </c>
      <c r="AI15" s="89">
        <v>3700</v>
      </c>
      <c r="AJ15" s="89">
        <v>37716.92</v>
      </c>
      <c r="AK15" s="89">
        <v>0</v>
      </c>
      <c r="AL15" s="89">
        <v>39207</v>
      </c>
      <c r="AM15" s="89">
        <v>4264.5200000000004</v>
      </c>
      <c r="AN15" s="89">
        <v>43471.520000000004</v>
      </c>
      <c r="AO15" s="89">
        <v>1968167131.6999998</v>
      </c>
      <c r="AP15" s="48">
        <v>2.2087311234819564E-5</v>
      </c>
    </row>
    <row r="16" spans="2:42">
      <c r="B16" s="48">
        <v>2020</v>
      </c>
      <c r="C16" s="96">
        <v>0</v>
      </c>
      <c r="D16" s="96">
        <v>0</v>
      </c>
      <c r="E16" s="89">
        <v>0</v>
      </c>
      <c r="F16" s="89">
        <v>1559241.49</v>
      </c>
      <c r="G16" s="89">
        <v>110500</v>
      </c>
      <c r="H16" s="89">
        <v>1669741.49</v>
      </c>
      <c r="I16" s="89">
        <v>0</v>
      </c>
      <c r="J16" s="89">
        <v>1746820.67</v>
      </c>
      <c r="K16" s="89">
        <v>123793.32</v>
      </c>
      <c r="L16" s="89">
        <v>1870613.99</v>
      </c>
      <c r="M16" s="89">
        <v>1998991539.1099999</v>
      </c>
      <c r="N16" s="48">
        <v>9.3577884318251953E-4</v>
      </c>
      <c r="P16" s="84">
        <v>2020</v>
      </c>
      <c r="Q16" s="96">
        <v>0</v>
      </c>
      <c r="R16" s="96">
        <v>0</v>
      </c>
      <c r="S16" s="89">
        <v>0</v>
      </c>
      <c r="T16" s="89">
        <v>1081341.93</v>
      </c>
      <c r="U16" s="89">
        <v>190000</v>
      </c>
      <c r="V16" s="89">
        <v>1271341.93</v>
      </c>
      <c r="W16" s="89">
        <v>0</v>
      </c>
      <c r="X16" s="89">
        <v>1211429.05</v>
      </c>
      <c r="Y16" s="89">
        <v>212857.3</v>
      </c>
      <c r="Z16" s="89">
        <v>1424286.35</v>
      </c>
      <c r="AA16" s="89">
        <v>1998991539.1128111</v>
      </c>
      <c r="AB16" s="48">
        <v>7.1250244042159595E-4</v>
      </c>
      <c r="AD16" s="48">
        <v>2020</v>
      </c>
      <c r="AE16" s="96">
        <v>0</v>
      </c>
      <c r="AF16" s="96">
        <v>0</v>
      </c>
      <c r="AG16" s="89">
        <v>0</v>
      </c>
      <c r="AH16" s="89">
        <v>54757.58</v>
      </c>
      <c r="AI16" s="89">
        <v>3700</v>
      </c>
      <c r="AJ16" s="89">
        <v>58457.58</v>
      </c>
      <c r="AK16" s="89">
        <v>0</v>
      </c>
      <c r="AL16" s="89">
        <v>61345</v>
      </c>
      <c r="AM16" s="89">
        <v>4145.12</v>
      </c>
      <c r="AN16" s="89">
        <v>65490.12</v>
      </c>
      <c r="AO16" s="89">
        <v>1998991539.1128111</v>
      </c>
      <c r="AP16" s="48">
        <v>3.2761579385706513E-5</v>
      </c>
    </row>
    <row r="17" spans="2:42">
      <c r="B17" s="48">
        <v>2021</v>
      </c>
      <c r="C17" s="96">
        <v>5.95</v>
      </c>
      <c r="D17" s="96">
        <v>813.45978845833326</v>
      </c>
      <c r="E17" s="89">
        <v>736079.08</v>
      </c>
      <c r="F17" s="89">
        <v>1174647.83</v>
      </c>
      <c r="G17" s="89">
        <v>103824.1</v>
      </c>
      <c r="H17" s="89">
        <v>2014551.0100000002</v>
      </c>
      <c r="I17" s="89">
        <v>801540.89</v>
      </c>
      <c r="J17" s="89">
        <v>1279112.92</v>
      </c>
      <c r="K17" s="89">
        <v>113057.5</v>
      </c>
      <c r="L17" s="89">
        <v>2193711.31</v>
      </c>
      <c r="M17" s="89">
        <v>2030298702.3199999</v>
      </c>
      <c r="N17" s="48">
        <v>1.0804869783413004E-3</v>
      </c>
      <c r="P17" s="84">
        <v>2021</v>
      </c>
      <c r="Q17" s="96">
        <v>0</v>
      </c>
      <c r="R17" s="96">
        <v>0</v>
      </c>
      <c r="S17" s="89">
        <v>0</v>
      </c>
      <c r="T17" s="89">
        <v>814624.26</v>
      </c>
      <c r="U17" s="89">
        <v>190000</v>
      </c>
      <c r="V17" s="89">
        <v>1004624.26</v>
      </c>
      <c r="W17" s="89">
        <v>0</v>
      </c>
      <c r="X17" s="89">
        <v>887071.33</v>
      </c>
      <c r="Y17" s="89">
        <v>206897.29</v>
      </c>
      <c r="Z17" s="89">
        <v>1093968.6199999999</v>
      </c>
      <c r="AA17" s="89">
        <v>2030298702.3226516</v>
      </c>
      <c r="AB17" s="48">
        <v>5.3882151367604439E-4</v>
      </c>
      <c r="AD17" s="48">
        <v>2021</v>
      </c>
      <c r="AE17" s="96">
        <v>0</v>
      </c>
      <c r="AF17" s="96">
        <v>0</v>
      </c>
      <c r="AG17" s="89">
        <v>0</v>
      </c>
      <c r="AH17" s="89">
        <v>41251.39</v>
      </c>
      <c r="AI17" s="89">
        <v>3700</v>
      </c>
      <c r="AJ17" s="89">
        <v>44951.39</v>
      </c>
      <c r="AK17" s="89">
        <v>0</v>
      </c>
      <c r="AL17" s="89">
        <v>44920</v>
      </c>
      <c r="AM17" s="89">
        <v>4029.05</v>
      </c>
      <c r="AN17" s="89">
        <v>48949.05</v>
      </c>
      <c r="AO17" s="89">
        <v>2030298702.3226516</v>
      </c>
      <c r="AP17" s="48">
        <v>2.4109284975655323E-5</v>
      </c>
    </row>
    <row r="18" spans="2:42">
      <c r="B18" s="48">
        <v>2022</v>
      </c>
      <c r="C18" s="96">
        <v>9.8899999999999988</v>
      </c>
      <c r="D18" s="96">
        <v>1352.1205559416665</v>
      </c>
      <c r="E18" s="89">
        <v>1185012.3600000001</v>
      </c>
      <c r="F18" s="89">
        <v>1782855.6799999999</v>
      </c>
      <c r="G18" s="89">
        <v>99413.98</v>
      </c>
      <c r="H18" s="89">
        <v>3067282.02</v>
      </c>
      <c r="I18" s="89">
        <v>1254268.02</v>
      </c>
      <c r="J18" s="89">
        <v>1887051.09</v>
      </c>
      <c r="K18" s="89">
        <v>105224.03</v>
      </c>
      <c r="L18" s="89">
        <v>3246543.14</v>
      </c>
      <c r="M18" s="89">
        <v>2062096182</v>
      </c>
      <c r="N18" s="48">
        <v>1.5743897730566673E-3</v>
      </c>
      <c r="P18" s="84">
        <v>2022</v>
      </c>
      <c r="Q18" s="96">
        <v>0.28999999999999998</v>
      </c>
      <c r="R18" s="96">
        <v>48.397937116666668</v>
      </c>
      <c r="S18" s="89">
        <v>36547.769999999997</v>
      </c>
      <c r="T18" s="89">
        <v>1236419.51</v>
      </c>
      <c r="U18" s="89">
        <v>189686.8</v>
      </c>
      <c r="V18" s="89">
        <v>1462654.08</v>
      </c>
      <c r="W18" s="89">
        <v>38683.730000000003</v>
      </c>
      <c r="X18" s="89">
        <v>1308679.56</v>
      </c>
      <c r="Y18" s="89">
        <v>200772.66</v>
      </c>
      <c r="Z18" s="89">
        <v>1548135.95</v>
      </c>
      <c r="AA18" s="89">
        <v>2062096181.9991055</v>
      </c>
      <c r="AB18" s="48">
        <v>7.507583610863169E-4</v>
      </c>
      <c r="AD18" s="48">
        <v>2022</v>
      </c>
      <c r="AE18" s="96">
        <v>0</v>
      </c>
      <c r="AF18" s="96">
        <v>0</v>
      </c>
      <c r="AG18" s="89">
        <v>0</v>
      </c>
      <c r="AH18" s="89">
        <v>62610.48</v>
      </c>
      <c r="AI18" s="89">
        <v>3700</v>
      </c>
      <c r="AJ18" s="89">
        <v>66310.48000000001</v>
      </c>
      <c r="AK18" s="89">
        <v>0</v>
      </c>
      <c r="AL18" s="89">
        <v>66269.62</v>
      </c>
      <c r="AM18" s="89">
        <v>3916.24</v>
      </c>
      <c r="AN18" s="89">
        <v>70185.86</v>
      </c>
      <c r="AO18" s="89">
        <v>2062096181.9991055</v>
      </c>
      <c r="AP18" s="48">
        <v>3.4036171839452272E-5</v>
      </c>
    </row>
    <row r="19" spans="2:42">
      <c r="B19" s="48">
        <v>2023</v>
      </c>
      <c r="C19" s="96">
        <v>26.519999999999996</v>
      </c>
      <c r="D19" s="96">
        <v>3643.8882524499995</v>
      </c>
      <c r="E19" s="89">
        <v>3078302.9</v>
      </c>
      <c r="F19" s="89">
        <v>1586903.77</v>
      </c>
      <c r="G19" s="89">
        <v>80765.679999999993</v>
      </c>
      <c r="H19" s="89">
        <v>4745972.3499999996</v>
      </c>
      <c r="I19" s="89">
        <v>3166978.29</v>
      </c>
      <c r="J19" s="89">
        <v>1632617.05</v>
      </c>
      <c r="K19" s="89">
        <v>83092.259999999995</v>
      </c>
      <c r="L19" s="89">
        <v>4882687.5999999996</v>
      </c>
      <c r="M19" s="89">
        <v>2094391657.22</v>
      </c>
      <c r="N19" s="48">
        <v>2.3313154362355781E-3</v>
      </c>
      <c r="P19" s="84">
        <v>2023</v>
      </c>
      <c r="Q19" s="96">
        <v>1.41</v>
      </c>
      <c r="R19" s="96">
        <v>235.96128545000002</v>
      </c>
      <c r="S19" s="89">
        <v>168853.26</v>
      </c>
      <c r="T19" s="89">
        <v>1100525.8600000001</v>
      </c>
      <c r="U19" s="89">
        <v>187891.6</v>
      </c>
      <c r="V19" s="89">
        <v>1457270.7200000002</v>
      </c>
      <c r="W19" s="89">
        <v>173717.35</v>
      </c>
      <c r="X19" s="89">
        <v>1132228.25</v>
      </c>
      <c r="Y19" s="89">
        <v>193304.12</v>
      </c>
      <c r="Z19" s="89">
        <v>1499249.7200000002</v>
      </c>
      <c r="AA19" s="89">
        <v>2094391657.2230213</v>
      </c>
      <c r="AB19" s="48">
        <v>7.1584018912101337E-4</v>
      </c>
      <c r="AD19" s="48">
        <v>2023</v>
      </c>
      <c r="AE19" s="96">
        <v>0</v>
      </c>
      <c r="AF19" s="96">
        <v>0</v>
      </c>
      <c r="AG19" s="89">
        <v>0</v>
      </c>
      <c r="AH19" s="89">
        <v>55729.03</v>
      </c>
      <c r="AI19" s="89">
        <v>3700</v>
      </c>
      <c r="AJ19" s="89">
        <v>59429.03</v>
      </c>
      <c r="AK19" s="89">
        <v>0</v>
      </c>
      <c r="AL19" s="89">
        <v>57334.39</v>
      </c>
      <c r="AM19" s="89">
        <v>3806.58</v>
      </c>
      <c r="AN19" s="89">
        <v>61140.97</v>
      </c>
      <c r="AO19" s="89">
        <v>2094391657.2230213</v>
      </c>
      <c r="AP19" s="48">
        <v>2.9192710823279128E-5</v>
      </c>
    </row>
    <row r="20" spans="2:42">
      <c r="B20" s="48">
        <v>2024</v>
      </c>
      <c r="C20" s="96">
        <v>30.86</v>
      </c>
      <c r="D20" s="96">
        <v>4273.8969875166658</v>
      </c>
      <c r="E20" s="89">
        <v>3535477.58</v>
      </c>
      <c r="F20" s="89">
        <v>1379119.18</v>
      </c>
      <c r="G20" s="89">
        <v>75991.240000000005</v>
      </c>
      <c r="H20" s="89">
        <v>4990588</v>
      </c>
      <c r="I20" s="89">
        <v>3535477.58</v>
      </c>
      <c r="J20" s="89">
        <v>1379119.18</v>
      </c>
      <c r="K20" s="89">
        <v>75991.240000000005</v>
      </c>
      <c r="L20" s="89">
        <v>4990588</v>
      </c>
      <c r="M20" s="89">
        <v>2127192927.3399999</v>
      </c>
      <c r="N20" s="48">
        <v>2.3460909143960922E-3</v>
      </c>
      <c r="P20" s="84">
        <v>2024</v>
      </c>
      <c r="Q20" s="96">
        <v>6.4399999999999995</v>
      </c>
      <c r="R20" s="96">
        <v>1081.9138999916668</v>
      </c>
      <c r="S20" s="89">
        <v>740600.29</v>
      </c>
      <c r="T20" s="89">
        <v>956426.19</v>
      </c>
      <c r="U20" s="89">
        <v>177832</v>
      </c>
      <c r="V20" s="89">
        <v>1874858.48</v>
      </c>
      <c r="W20" s="89">
        <v>740600.29</v>
      </c>
      <c r="X20" s="89">
        <v>956426.19</v>
      </c>
      <c r="Y20" s="89">
        <v>177832</v>
      </c>
      <c r="Z20" s="89">
        <v>1874858.48</v>
      </c>
      <c r="AA20" s="89">
        <v>2127192927.3410082</v>
      </c>
      <c r="AB20" s="48">
        <v>8.8137679281567261E-4</v>
      </c>
      <c r="AD20" s="48">
        <v>2024</v>
      </c>
      <c r="AE20" s="96">
        <v>1.63</v>
      </c>
      <c r="AF20" s="96">
        <v>322.75481941666663</v>
      </c>
      <c r="AG20" s="89">
        <v>107051.32</v>
      </c>
      <c r="AH20" s="89">
        <v>48432.03</v>
      </c>
      <c r="AI20" s="89">
        <v>0</v>
      </c>
      <c r="AJ20" s="89">
        <v>155483.35</v>
      </c>
      <c r="AK20" s="89">
        <v>107051.32</v>
      </c>
      <c r="AL20" s="89">
        <v>48432.03</v>
      </c>
      <c r="AM20" s="89">
        <v>0</v>
      </c>
      <c r="AN20" s="89">
        <v>155483.35</v>
      </c>
      <c r="AO20" s="89">
        <v>2127192927.3410082</v>
      </c>
      <c r="AP20" s="48">
        <v>7.309320560517011E-5</v>
      </c>
    </row>
    <row r="21" spans="2:42">
      <c r="B21" s="48">
        <v>2025</v>
      </c>
      <c r="C21" s="96">
        <v>54.99</v>
      </c>
      <c r="D21" s="96">
        <v>7744.3372586916666</v>
      </c>
      <c r="E21" s="89">
        <v>3375151.6</v>
      </c>
      <c r="F21" s="89">
        <v>1158319.01</v>
      </c>
      <c r="G21" s="89">
        <v>48980.74</v>
      </c>
      <c r="H21" s="89">
        <v>4582451.3500000006</v>
      </c>
      <c r="I21" s="89">
        <v>3280647.36</v>
      </c>
      <c r="J21" s="89">
        <v>1125886.08</v>
      </c>
      <c r="K21" s="89">
        <v>47609.279999999999</v>
      </c>
      <c r="L21" s="89">
        <v>4454142.72</v>
      </c>
      <c r="M21" s="89">
        <v>2160507913.8499999</v>
      </c>
      <c r="N21" s="48">
        <v>2.0616183312482154E-3</v>
      </c>
      <c r="P21" s="84">
        <v>2025</v>
      </c>
      <c r="Q21" s="96">
        <v>24.53</v>
      </c>
      <c r="R21" s="96">
        <v>4124.4309859166669</v>
      </c>
      <c r="S21" s="89">
        <v>1658762.1</v>
      </c>
      <c r="T21" s="89">
        <v>803300.14</v>
      </c>
      <c r="U21" s="89">
        <v>141917.20000000001</v>
      </c>
      <c r="V21" s="89">
        <v>2603979.4400000004</v>
      </c>
      <c r="W21" s="89">
        <v>1612316.76</v>
      </c>
      <c r="X21" s="89">
        <v>780807.74</v>
      </c>
      <c r="Y21" s="89">
        <v>137943.51999999999</v>
      </c>
      <c r="Z21" s="89">
        <v>2531068.02</v>
      </c>
      <c r="AA21" s="89">
        <v>2160507913.8489752</v>
      </c>
      <c r="AB21" s="48">
        <v>1.171515273688985E-3</v>
      </c>
      <c r="AD21" s="48">
        <v>2025</v>
      </c>
      <c r="AE21" s="96">
        <v>2.95</v>
      </c>
      <c r="AF21" s="96">
        <v>584.12682041666676</v>
      </c>
      <c r="AG21" s="89">
        <v>233467.96</v>
      </c>
      <c r="AH21" s="89">
        <v>40677.949999999997</v>
      </c>
      <c r="AI21" s="89">
        <v>0</v>
      </c>
      <c r="AJ21" s="89">
        <v>274145.90999999997</v>
      </c>
      <c r="AK21" s="89">
        <v>226930.86</v>
      </c>
      <c r="AL21" s="89">
        <v>39538.97</v>
      </c>
      <c r="AM21" s="89">
        <v>0</v>
      </c>
      <c r="AN21" s="89">
        <v>266469.82999999996</v>
      </c>
      <c r="AO21" s="89">
        <v>2160507913.8489752</v>
      </c>
      <c r="AP21" s="48">
        <v>1.2333666000106439E-4</v>
      </c>
    </row>
    <row r="22" spans="2:42">
      <c r="B22" s="48">
        <v>2026</v>
      </c>
      <c r="C22" s="96">
        <v>65.400000000000006</v>
      </c>
      <c r="D22" s="96">
        <v>9270.9775259166672</v>
      </c>
      <c r="E22" s="89">
        <v>6851362.0099999998</v>
      </c>
      <c r="F22" s="89">
        <v>1043203.26</v>
      </c>
      <c r="G22" s="89">
        <v>38272.239999999998</v>
      </c>
      <c r="H22" s="89">
        <v>7932837.5099999998</v>
      </c>
      <c r="I22" s="89">
        <v>6473057.21</v>
      </c>
      <c r="J22" s="89">
        <v>985601.75</v>
      </c>
      <c r="K22" s="89">
        <v>36159</v>
      </c>
      <c r="L22" s="89">
        <v>7494817.96</v>
      </c>
      <c r="M22" s="89">
        <v>2194344662.3099999</v>
      </c>
      <c r="N22" s="48">
        <v>3.4155153876830632E-3</v>
      </c>
      <c r="P22" s="84">
        <v>2026</v>
      </c>
      <c r="Q22" s="96">
        <v>43.410000000000004</v>
      </c>
      <c r="R22" s="96">
        <v>7303.7254558000013</v>
      </c>
      <c r="S22" s="89">
        <v>3200204.03</v>
      </c>
      <c r="T22" s="89">
        <v>723466.78</v>
      </c>
      <c r="U22" s="89">
        <v>104185.24</v>
      </c>
      <c r="V22" s="89">
        <v>4027856.05</v>
      </c>
      <c r="W22" s="89">
        <v>3023501.56</v>
      </c>
      <c r="X22" s="89">
        <v>683519.84</v>
      </c>
      <c r="Y22" s="89">
        <v>98432.55</v>
      </c>
      <c r="Z22" s="89">
        <v>3805453.9499999997</v>
      </c>
      <c r="AA22" s="89">
        <v>2194344662.3051701</v>
      </c>
      <c r="AB22" s="48">
        <v>1.7342097690352578E-3</v>
      </c>
      <c r="AD22" s="48">
        <v>2026</v>
      </c>
      <c r="AE22" s="96">
        <v>2.95</v>
      </c>
      <c r="AF22" s="96">
        <v>584.12682041666676</v>
      </c>
      <c r="AG22" s="89">
        <v>159143.22</v>
      </c>
      <c r="AH22" s="89">
        <v>36635.300000000003</v>
      </c>
      <c r="AI22" s="89">
        <v>0</v>
      </c>
      <c r="AJ22" s="89">
        <v>195778.52000000002</v>
      </c>
      <c r="AK22" s="89">
        <v>150355.97</v>
      </c>
      <c r="AL22" s="89">
        <v>34612.449999999997</v>
      </c>
      <c r="AM22" s="89">
        <v>0</v>
      </c>
      <c r="AN22" s="89">
        <v>184968.41999999998</v>
      </c>
      <c r="AO22" s="89">
        <v>2194344662.3051701</v>
      </c>
      <c r="AP22" s="48">
        <v>8.4293239424699007E-5</v>
      </c>
    </row>
    <row r="23" spans="2:42">
      <c r="B23" s="48">
        <v>2027</v>
      </c>
      <c r="C23" s="96">
        <v>79.490000000000009</v>
      </c>
      <c r="D23" s="96">
        <v>11337.294659941666</v>
      </c>
      <c r="E23" s="89">
        <v>8412088.9199999999</v>
      </c>
      <c r="F23" s="89">
        <v>1017762.08</v>
      </c>
      <c r="G23" s="89">
        <v>26613.34</v>
      </c>
      <c r="H23" s="89">
        <v>9456464.3399999999</v>
      </c>
      <c r="I23" s="89">
        <v>7725074.0199999996</v>
      </c>
      <c r="J23" s="89">
        <v>934641.5</v>
      </c>
      <c r="K23" s="89">
        <v>24439.83</v>
      </c>
      <c r="L23" s="89">
        <v>8684155.3499999996</v>
      </c>
      <c r="M23" s="89">
        <v>2228711344.27</v>
      </c>
      <c r="N23" s="48">
        <v>3.8964917427853083E-3</v>
      </c>
      <c r="P23" s="84">
        <v>2027</v>
      </c>
      <c r="Q23" s="96">
        <v>57.160000000000004</v>
      </c>
      <c r="R23" s="96">
        <v>9633.6455040083347</v>
      </c>
      <c r="S23" s="89">
        <v>7402772.1299999999</v>
      </c>
      <c r="T23" s="89">
        <v>705823.19</v>
      </c>
      <c r="U23" s="89">
        <v>82594.42</v>
      </c>
      <c r="V23" s="89">
        <v>8191189.7400000002</v>
      </c>
      <c r="W23" s="89">
        <v>6798188.0899999999</v>
      </c>
      <c r="X23" s="89">
        <v>648178.64</v>
      </c>
      <c r="Y23" s="89">
        <v>75848.94</v>
      </c>
      <c r="Z23" s="89">
        <v>7522215.6699999999</v>
      </c>
      <c r="AA23" s="89">
        <v>2228711344.2731791</v>
      </c>
      <c r="AB23" s="48">
        <v>3.3751412848186148E-3</v>
      </c>
      <c r="AD23" s="48">
        <v>2027</v>
      </c>
      <c r="AE23" s="96">
        <v>2.95</v>
      </c>
      <c r="AF23" s="96">
        <v>584.12682041666676</v>
      </c>
      <c r="AG23" s="89">
        <v>148881.51999999999</v>
      </c>
      <c r="AH23" s="89">
        <v>35741.86</v>
      </c>
      <c r="AI23" s="89">
        <v>0</v>
      </c>
      <c r="AJ23" s="89">
        <v>184623.38</v>
      </c>
      <c r="AK23" s="89">
        <v>136722.37</v>
      </c>
      <c r="AL23" s="89">
        <v>32822.82</v>
      </c>
      <c r="AM23" s="89">
        <v>0</v>
      </c>
      <c r="AN23" s="89">
        <v>169545.19</v>
      </c>
      <c r="AO23" s="89">
        <v>2228711344.2731791</v>
      </c>
      <c r="AP23" s="48">
        <v>7.6073193792304037E-5</v>
      </c>
    </row>
    <row r="24" spans="2:42">
      <c r="B24" s="48">
        <v>2028</v>
      </c>
      <c r="C24" s="96">
        <v>87.490000000000009</v>
      </c>
      <c r="D24" s="96">
        <v>12510.505239941667</v>
      </c>
      <c r="E24" s="89">
        <v>9387647.4900000002</v>
      </c>
      <c r="F24" s="89">
        <v>810337.76</v>
      </c>
      <c r="G24" s="89">
        <v>21655.42</v>
      </c>
      <c r="H24" s="89">
        <v>10219640.67</v>
      </c>
      <c r="I24" s="89">
        <v>8379571.9199999999</v>
      </c>
      <c r="J24" s="89">
        <v>723321.1</v>
      </c>
      <c r="K24" s="89">
        <v>19329.990000000002</v>
      </c>
      <c r="L24" s="89">
        <v>9122223.0099999998</v>
      </c>
      <c r="M24" s="89">
        <v>2263616259.3000002</v>
      </c>
      <c r="N24" s="48">
        <v>4.0299335068484411E-3</v>
      </c>
      <c r="P24" s="84">
        <v>2028</v>
      </c>
      <c r="Q24" s="96">
        <v>61.410000000000004</v>
      </c>
      <c r="R24" s="96">
        <v>10354.386050050001</v>
      </c>
      <c r="S24" s="89">
        <v>7130927.8799999999</v>
      </c>
      <c r="T24" s="89">
        <v>561973.37</v>
      </c>
      <c r="U24" s="89">
        <v>77990.559999999998</v>
      </c>
      <c r="V24" s="89">
        <v>7770891.8099999996</v>
      </c>
      <c r="W24" s="89">
        <v>6365186.0700000003</v>
      </c>
      <c r="X24" s="89">
        <v>501626.87</v>
      </c>
      <c r="Y24" s="89">
        <v>69615.679999999993</v>
      </c>
      <c r="Z24" s="89">
        <v>6936428.6200000001</v>
      </c>
      <c r="AA24" s="89">
        <v>2263616259.2953563</v>
      </c>
      <c r="AB24" s="48">
        <v>3.0643129512416779E-3</v>
      </c>
      <c r="AD24" s="48">
        <v>2028</v>
      </c>
      <c r="AE24" s="96">
        <v>3.12</v>
      </c>
      <c r="AF24" s="96">
        <v>617.78836600000011</v>
      </c>
      <c r="AG24" s="89">
        <v>188458.53</v>
      </c>
      <c r="AH24" s="89">
        <v>28457.51</v>
      </c>
      <c r="AI24" s="89">
        <v>0</v>
      </c>
      <c r="AJ24" s="89">
        <v>216916.04</v>
      </c>
      <c r="AK24" s="89">
        <v>168221.25</v>
      </c>
      <c r="AL24" s="89">
        <v>25401.65</v>
      </c>
      <c r="AM24" s="89">
        <v>0</v>
      </c>
      <c r="AN24" s="89">
        <v>193622.9</v>
      </c>
      <c r="AO24" s="89">
        <v>2263616259.2953563</v>
      </c>
      <c r="AP24" s="48">
        <v>8.5536980574734463E-5</v>
      </c>
    </row>
    <row r="25" spans="2:42">
      <c r="B25" s="48">
        <v>2029</v>
      </c>
      <c r="C25" s="96">
        <v>93.15</v>
      </c>
      <c r="D25" s="96">
        <v>13340.551725291665</v>
      </c>
      <c r="E25" s="89">
        <v>10043357.6</v>
      </c>
      <c r="F25" s="89">
        <v>704583.47</v>
      </c>
      <c r="G25" s="89">
        <v>18282.82</v>
      </c>
      <c r="H25" s="89">
        <v>10766223.890000001</v>
      </c>
      <c r="I25" s="89">
        <v>8713853.4299999997</v>
      </c>
      <c r="J25" s="89">
        <v>611313.19999999995</v>
      </c>
      <c r="K25" s="89">
        <v>15862.6</v>
      </c>
      <c r="L25" s="89">
        <v>9341029.2299999986</v>
      </c>
      <c r="M25" s="89">
        <v>2299067836.9000001</v>
      </c>
      <c r="N25" s="48">
        <v>4.0629637282017681E-3</v>
      </c>
      <c r="P25" s="84">
        <v>2029</v>
      </c>
      <c r="Q25" s="96">
        <v>64.599999999999994</v>
      </c>
      <c r="R25" s="96">
        <v>10895.365424608335</v>
      </c>
      <c r="S25" s="89">
        <v>6704498.8399999999</v>
      </c>
      <c r="T25" s="89">
        <v>488632.23</v>
      </c>
      <c r="U25" s="89">
        <v>74464.12</v>
      </c>
      <c r="V25" s="89">
        <v>7267595.1900000004</v>
      </c>
      <c r="W25" s="89">
        <v>5816980.9900000002</v>
      </c>
      <c r="X25" s="89">
        <v>423948.82</v>
      </c>
      <c r="Y25" s="89">
        <v>64606.82</v>
      </c>
      <c r="Z25" s="89">
        <v>6305536.6300000008</v>
      </c>
      <c r="AA25" s="89">
        <v>2299067836.897161</v>
      </c>
      <c r="AB25" s="48">
        <v>2.7426492288761691E-3</v>
      </c>
      <c r="AD25" s="48">
        <v>2029</v>
      </c>
      <c r="AE25" s="96">
        <v>3.2800000000000002</v>
      </c>
      <c r="AF25" s="96">
        <v>649.46982066666681</v>
      </c>
      <c r="AG25" s="89">
        <v>238845.26</v>
      </c>
      <c r="AH25" s="89">
        <v>24743.63</v>
      </c>
      <c r="AI25" s="89">
        <v>0</v>
      </c>
      <c r="AJ25" s="89">
        <v>263588.89</v>
      </c>
      <c r="AK25" s="89">
        <v>207227.77</v>
      </c>
      <c r="AL25" s="89">
        <v>21468.16</v>
      </c>
      <c r="AM25" s="89">
        <v>0</v>
      </c>
      <c r="AN25" s="89">
        <v>228695.93</v>
      </c>
      <c r="AO25" s="89">
        <v>2299067836.897161</v>
      </c>
      <c r="AP25" s="48">
        <v>9.9473328420204295E-5</v>
      </c>
    </row>
    <row r="26" spans="2:42">
      <c r="B26" s="48">
        <v>2030</v>
      </c>
      <c r="C26" s="96">
        <v>93.15</v>
      </c>
      <c r="D26" s="96">
        <v>13340.551725291665</v>
      </c>
      <c r="E26" s="89">
        <v>10080777.07</v>
      </c>
      <c r="F26" s="89">
        <v>477030.44</v>
      </c>
      <c r="G26" s="89">
        <v>18282.82</v>
      </c>
      <c r="H26" s="89">
        <v>10576090.33</v>
      </c>
      <c r="I26" s="89">
        <v>8501422.5</v>
      </c>
      <c r="J26" s="89">
        <v>402294.12</v>
      </c>
      <c r="K26" s="89">
        <v>15418.45</v>
      </c>
      <c r="L26" s="89">
        <v>8919135.0699999984</v>
      </c>
      <c r="M26" s="89">
        <v>2335074638.6199999</v>
      </c>
      <c r="N26" s="48">
        <v>3.8196359647292033E-3</v>
      </c>
      <c r="P26" s="84">
        <v>2030</v>
      </c>
      <c r="Q26" s="96">
        <v>64.599999999999994</v>
      </c>
      <c r="R26" s="96">
        <v>10895.365424608335</v>
      </c>
      <c r="S26" s="89">
        <v>6648362.7199999997</v>
      </c>
      <c r="T26" s="89">
        <v>330823.03999999998</v>
      </c>
      <c r="U26" s="89">
        <v>74464.12</v>
      </c>
      <c r="V26" s="89">
        <v>7053649.8799999999</v>
      </c>
      <c r="W26" s="89">
        <v>5606764.2400000002</v>
      </c>
      <c r="X26" s="89">
        <v>278993.02</v>
      </c>
      <c r="Y26" s="89">
        <v>62797.83</v>
      </c>
      <c r="Z26" s="89">
        <v>5948555.0899999999</v>
      </c>
      <c r="AA26" s="89">
        <v>2335074638.6228848</v>
      </c>
      <c r="AB26" s="48">
        <v>2.547479635815056E-3</v>
      </c>
      <c r="AD26" s="48">
        <v>2030</v>
      </c>
      <c r="AE26" s="96">
        <v>3.2800000000000002</v>
      </c>
      <c r="AF26" s="96">
        <v>649.46982066666681</v>
      </c>
      <c r="AG26" s="89">
        <v>256239.01</v>
      </c>
      <c r="AH26" s="89">
        <v>16752.400000000001</v>
      </c>
      <c r="AI26" s="89">
        <v>0</v>
      </c>
      <c r="AJ26" s="89">
        <v>272991.41000000003</v>
      </c>
      <c r="AK26" s="89">
        <v>216094.06</v>
      </c>
      <c r="AL26" s="89">
        <v>14127.8</v>
      </c>
      <c r="AM26" s="89">
        <v>0</v>
      </c>
      <c r="AN26" s="89">
        <v>230221.86</v>
      </c>
      <c r="AO26" s="89">
        <v>2335074638.6228848</v>
      </c>
      <c r="AP26" s="48">
        <v>9.859293411527685E-5</v>
      </c>
    </row>
    <row r="27" spans="2:42">
      <c r="B27" s="48">
        <v>2031</v>
      </c>
      <c r="C27" s="96">
        <v>93.15</v>
      </c>
      <c r="D27" s="96">
        <v>13340.551725291665</v>
      </c>
      <c r="E27" s="89">
        <v>10263970.710000001</v>
      </c>
      <c r="F27" s="89">
        <v>305897.71000000002</v>
      </c>
      <c r="G27" s="89">
        <v>18282.82</v>
      </c>
      <c r="H27" s="89">
        <v>10588151.240000002</v>
      </c>
      <c r="I27" s="89">
        <v>8413549.5800000001</v>
      </c>
      <c r="J27" s="89">
        <v>250749.5</v>
      </c>
      <c r="K27" s="89">
        <v>14986.74</v>
      </c>
      <c r="L27" s="89">
        <v>8679285.8200000003</v>
      </c>
      <c r="M27" s="89">
        <v>2371645360.0999999</v>
      </c>
      <c r="N27" s="48">
        <v>3.6596052538116577E-3</v>
      </c>
      <c r="P27" s="84">
        <v>2031</v>
      </c>
      <c r="Q27" s="96">
        <v>64.599999999999994</v>
      </c>
      <c r="R27" s="96">
        <v>10895.365424608335</v>
      </c>
      <c r="S27" s="89">
        <v>6809978.7999999998</v>
      </c>
      <c r="T27" s="89">
        <v>212141.62</v>
      </c>
      <c r="U27" s="89">
        <v>74464.12</v>
      </c>
      <c r="V27" s="89">
        <v>7096584.54</v>
      </c>
      <c r="W27" s="89">
        <v>5582254.2699999996</v>
      </c>
      <c r="X27" s="89">
        <v>173896.06</v>
      </c>
      <c r="Y27" s="89">
        <v>61039.49</v>
      </c>
      <c r="Z27" s="89">
        <v>5817189.8199999994</v>
      </c>
      <c r="AA27" s="89">
        <v>2371645360.1032624</v>
      </c>
      <c r="AB27" s="48">
        <v>2.4528076237109566E-3</v>
      </c>
      <c r="AD27" s="48">
        <v>2031</v>
      </c>
      <c r="AE27" s="96">
        <v>3.2800000000000002</v>
      </c>
      <c r="AF27" s="96">
        <v>649.46982066666681</v>
      </c>
      <c r="AG27" s="89">
        <v>237489.82</v>
      </c>
      <c r="AH27" s="89">
        <v>10742.54</v>
      </c>
      <c r="AI27" s="89">
        <v>0</v>
      </c>
      <c r="AJ27" s="89">
        <v>248232.36000000002</v>
      </c>
      <c r="AK27" s="89">
        <v>194674.4</v>
      </c>
      <c r="AL27" s="89">
        <v>8805.84</v>
      </c>
      <c r="AM27" s="89">
        <v>0</v>
      </c>
      <c r="AN27" s="89">
        <v>203480.24</v>
      </c>
      <c r="AO27" s="89">
        <v>2371645360.1032624</v>
      </c>
      <c r="AP27" s="48">
        <v>8.5797077178158021E-5</v>
      </c>
    </row>
    <row r="28" spans="2:42">
      <c r="B28" s="48">
        <v>2032</v>
      </c>
      <c r="C28" s="96">
        <v>93.15</v>
      </c>
      <c r="D28" s="96">
        <v>13340.551725291665</v>
      </c>
      <c r="E28" s="89">
        <v>10302591.109999999</v>
      </c>
      <c r="F28" s="89">
        <v>123477.39</v>
      </c>
      <c r="G28" s="89">
        <v>18282.82</v>
      </c>
      <c r="H28" s="89">
        <v>10444351.32</v>
      </c>
      <c r="I28" s="89">
        <v>8208741.5700000003</v>
      </c>
      <c r="J28" s="89">
        <v>98382.43</v>
      </c>
      <c r="K28" s="89">
        <v>14567.11</v>
      </c>
      <c r="L28" s="89">
        <v>8321691.1100000003</v>
      </c>
      <c r="M28" s="89">
        <v>2408788833.1599998</v>
      </c>
      <c r="N28" s="48">
        <v>3.4547200632290731E-3</v>
      </c>
      <c r="P28" s="84">
        <v>2032</v>
      </c>
      <c r="Q28" s="96">
        <v>64.599999999999994</v>
      </c>
      <c r="R28" s="96">
        <v>10895.365424608335</v>
      </c>
      <c r="S28" s="89">
        <v>7010499.4299999997</v>
      </c>
      <c r="T28" s="89">
        <v>85632.2</v>
      </c>
      <c r="U28" s="89">
        <v>74464.12</v>
      </c>
      <c r="V28" s="89">
        <v>7170595.75</v>
      </c>
      <c r="W28" s="89">
        <v>5585718.9199999999</v>
      </c>
      <c r="X28" s="89">
        <v>68228.72</v>
      </c>
      <c r="Y28" s="89">
        <v>59330.39</v>
      </c>
      <c r="Z28" s="89">
        <v>5713278.0299999993</v>
      </c>
      <c r="AA28" s="89">
        <v>2408788833.1554632</v>
      </c>
      <c r="AB28" s="48">
        <v>2.3718467768366908E-3</v>
      </c>
      <c r="AD28" s="48">
        <v>2032</v>
      </c>
      <c r="AE28" s="96">
        <v>3.2800000000000002</v>
      </c>
      <c r="AF28" s="96">
        <v>649.46982066666681</v>
      </c>
      <c r="AG28" s="89">
        <v>217157.34</v>
      </c>
      <c r="AH28" s="89">
        <v>4336.29</v>
      </c>
      <c r="AI28" s="89">
        <v>0</v>
      </c>
      <c r="AJ28" s="89">
        <v>221493.63</v>
      </c>
      <c r="AK28" s="89">
        <v>173023.32</v>
      </c>
      <c r="AL28" s="89">
        <v>3455</v>
      </c>
      <c r="AM28" s="89">
        <v>0</v>
      </c>
      <c r="AN28" s="89">
        <v>176478.32</v>
      </c>
      <c r="AO28" s="89">
        <v>2408788833.1554632</v>
      </c>
      <c r="AP28" s="48">
        <v>7.3264338314295939E-5</v>
      </c>
    </row>
    <row r="29" spans="2:42">
      <c r="B29" s="48">
        <v>2033</v>
      </c>
      <c r="C29" s="96">
        <v>93.15</v>
      </c>
      <c r="D29" s="96">
        <v>13340.551725291665</v>
      </c>
      <c r="E29" s="89">
        <v>10082935.42</v>
      </c>
      <c r="F29" s="89">
        <v>75522.460000000006</v>
      </c>
      <c r="G29" s="89">
        <v>18282.82</v>
      </c>
      <c r="H29" s="89">
        <v>10176740.700000001</v>
      </c>
      <c r="I29" s="89">
        <v>7808783.2800000003</v>
      </c>
      <c r="J29" s="89">
        <v>58488.77</v>
      </c>
      <c r="K29" s="89">
        <v>14159.23</v>
      </c>
      <c r="L29" s="89">
        <v>7881431.2800000003</v>
      </c>
      <c r="M29" s="89">
        <v>2446514027.9200001</v>
      </c>
      <c r="N29" s="48">
        <v>3.2214944161594317E-3</v>
      </c>
      <c r="P29" s="84">
        <v>2033</v>
      </c>
      <c r="Q29" s="96">
        <v>64.599999999999994</v>
      </c>
      <c r="R29" s="96">
        <v>10895.365424608335</v>
      </c>
      <c r="S29" s="89">
        <v>7014186.7000000002</v>
      </c>
      <c r="T29" s="89">
        <v>52375.21</v>
      </c>
      <c r="U29" s="89">
        <v>74464.12</v>
      </c>
      <c r="V29" s="89">
        <v>7141026.0300000003</v>
      </c>
      <c r="W29" s="89">
        <v>5432174.4199999999</v>
      </c>
      <c r="X29" s="89">
        <v>40562.26</v>
      </c>
      <c r="Y29" s="89">
        <v>57669.14</v>
      </c>
      <c r="Z29" s="89">
        <v>5530405.8199999994</v>
      </c>
      <c r="AA29" s="89">
        <v>2446514027.9159718</v>
      </c>
      <c r="AB29" s="48">
        <v>2.2605248761688062E-3</v>
      </c>
      <c r="AD29" s="48">
        <v>2033</v>
      </c>
      <c r="AE29" s="96">
        <v>3.2800000000000002</v>
      </c>
      <c r="AF29" s="96">
        <v>649.46982066666681</v>
      </c>
      <c r="AG29" s="89">
        <v>206832.28</v>
      </c>
      <c r="AH29" s="89">
        <v>2652.2</v>
      </c>
      <c r="AI29" s="89">
        <v>0</v>
      </c>
      <c r="AJ29" s="89">
        <v>209484.48</v>
      </c>
      <c r="AK29" s="89">
        <v>160182.37</v>
      </c>
      <c r="AL29" s="89">
        <v>2054.0100000000002</v>
      </c>
      <c r="AM29" s="89">
        <v>0</v>
      </c>
      <c r="AN29" s="89">
        <v>162236.38</v>
      </c>
      <c r="AO29" s="89">
        <v>2446514027.9159718</v>
      </c>
      <c r="AP29" s="48">
        <v>6.6313284186724555E-5</v>
      </c>
    </row>
    <row r="30" spans="2:42">
      <c r="B30" s="48">
        <v>2034</v>
      </c>
      <c r="C30" s="96">
        <v>93.15</v>
      </c>
      <c r="D30" s="96">
        <v>13340.551725291665</v>
      </c>
      <c r="E30" s="89">
        <v>10070573.91</v>
      </c>
      <c r="F30" s="89">
        <v>102241.99</v>
      </c>
      <c r="G30" s="89">
        <v>18282.82</v>
      </c>
      <c r="H30" s="89">
        <v>10191098.720000001</v>
      </c>
      <c r="I30" s="89">
        <v>7580831.9699999997</v>
      </c>
      <c r="J30" s="89">
        <v>76964.759999999995</v>
      </c>
      <c r="K30" s="89">
        <v>13762.77</v>
      </c>
      <c r="L30" s="89">
        <v>7671559.4999999991</v>
      </c>
      <c r="M30" s="89">
        <v>2484830055.0100002</v>
      </c>
      <c r="N30" s="48">
        <v>3.0873578193133713E-3</v>
      </c>
      <c r="P30" s="84">
        <v>2034</v>
      </c>
      <c r="Q30" s="96">
        <v>64.599999999999994</v>
      </c>
      <c r="R30" s="96">
        <v>10895.365424608335</v>
      </c>
      <c r="S30" s="89">
        <v>7105270.6299999999</v>
      </c>
      <c r="T30" s="89">
        <v>70905.34</v>
      </c>
      <c r="U30" s="89">
        <v>74464.12</v>
      </c>
      <c r="V30" s="89">
        <v>7250640.0899999999</v>
      </c>
      <c r="W30" s="89">
        <v>5348638.84</v>
      </c>
      <c r="X30" s="89">
        <v>53375.46</v>
      </c>
      <c r="Y30" s="89">
        <v>56054.400000000001</v>
      </c>
      <c r="Z30" s="89">
        <v>5458068.7000000002</v>
      </c>
      <c r="AA30" s="89">
        <v>2484830055.0068736</v>
      </c>
      <c r="AB30" s="48">
        <v>2.1965561342926136E-3</v>
      </c>
      <c r="AD30" s="48">
        <v>2034</v>
      </c>
      <c r="AE30" s="96">
        <v>3.2800000000000002</v>
      </c>
      <c r="AF30" s="96">
        <v>649.46982066666681</v>
      </c>
      <c r="AG30" s="89">
        <v>187509.78</v>
      </c>
      <c r="AH30" s="89">
        <v>3590.54</v>
      </c>
      <c r="AI30" s="89">
        <v>0</v>
      </c>
      <c r="AJ30" s="89">
        <v>191100.32</v>
      </c>
      <c r="AK30" s="89">
        <v>141151.85</v>
      </c>
      <c r="AL30" s="89">
        <v>2702.85</v>
      </c>
      <c r="AM30" s="89">
        <v>0</v>
      </c>
      <c r="AN30" s="89">
        <v>143854.70000000001</v>
      </c>
      <c r="AO30" s="89">
        <v>2484830055.0068736</v>
      </c>
      <c r="AP30" s="48">
        <v>5.7893174509112282E-5</v>
      </c>
    </row>
    <row r="31" spans="2:42">
      <c r="B31" s="48">
        <v>2035</v>
      </c>
      <c r="C31" s="96">
        <v>93.15</v>
      </c>
      <c r="D31" s="96">
        <v>13340.551725291665</v>
      </c>
      <c r="E31" s="89">
        <v>10259084.24</v>
      </c>
      <c r="F31" s="89">
        <v>130405.44</v>
      </c>
      <c r="G31" s="89">
        <v>18282.82</v>
      </c>
      <c r="H31" s="89">
        <v>10407772.5</v>
      </c>
      <c r="I31" s="89">
        <v>7506500.3700000001</v>
      </c>
      <c r="J31" s="89">
        <v>95416.75</v>
      </c>
      <c r="K31" s="89">
        <v>13377.41</v>
      </c>
      <c r="L31" s="89">
        <v>7615294.5300000003</v>
      </c>
      <c r="M31" s="89">
        <v>2523746167.7399998</v>
      </c>
      <c r="N31" s="48">
        <v>3.0174565997734444E-3</v>
      </c>
      <c r="P31" s="84">
        <v>2035</v>
      </c>
      <c r="Q31" s="96">
        <v>64.599999999999994</v>
      </c>
      <c r="R31" s="96">
        <v>10895.365424608335</v>
      </c>
      <c r="S31" s="89">
        <v>7143020</v>
      </c>
      <c r="T31" s="89">
        <v>90436.84</v>
      </c>
      <c r="U31" s="89">
        <v>74464.12</v>
      </c>
      <c r="V31" s="89">
        <v>7307920.96</v>
      </c>
      <c r="W31" s="89">
        <v>5226497.9000000004</v>
      </c>
      <c r="X31" s="89">
        <v>66172</v>
      </c>
      <c r="Y31" s="89">
        <v>54484.88</v>
      </c>
      <c r="Z31" s="89">
        <v>5347154.78</v>
      </c>
      <c r="AA31" s="89">
        <v>2523746167.7360668</v>
      </c>
      <c r="AB31" s="48">
        <v>2.1187371568340725E-3</v>
      </c>
      <c r="AD31" s="48">
        <v>2035</v>
      </c>
      <c r="AE31" s="96">
        <v>3.2800000000000002</v>
      </c>
      <c r="AF31" s="96">
        <v>649.46982066666681</v>
      </c>
      <c r="AG31" s="89">
        <v>163398.87</v>
      </c>
      <c r="AH31" s="89">
        <v>4579.59</v>
      </c>
      <c r="AI31" s="89">
        <v>0</v>
      </c>
      <c r="AJ31" s="89">
        <v>167978.46</v>
      </c>
      <c r="AK31" s="89">
        <v>119557.81</v>
      </c>
      <c r="AL31" s="89">
        <v>3350.85</v>
      </c>
      <c r="AM31" s="89">
        <v>0</v>
      </c>
      <c r="AN31" s="89">
        <v>122908.66</v>
      </c>
      <c r="AO31" s="89">
        <v>2523746167.7360668</v>
      </c>
      <c r="AP31" s="48">
        <v>4.8700880291085514E-5</v>
      </c>
    </row>
    <row r="32" spans="2:42">
      <c r="B32" s="48">
        <v>2036</v>
      </c>
      <c r="C32" s="96">
        <v>93.15</v>
      </c>
      <c r="D32" s="96">
        <v>13340.551725291665</v>
      </c>
      <c r="E32" s="89">
        <v>10463911.93</v>
      </c>
      <c r="F32" s="89">
        <v>159471.35</v>
      </c>
      <c r="G32" s="89">
        <v>18282.82</v>
      </c>
      <c r="H32" s="89">
        <v>10641666.1</v>
      </c>
      <c r="I32" s="89">
        <v>7441992.96</v>
      </c>
      <c r="J32" s="89">
        <v>113416.92</v>
      </c>
      <c r="K32" s="89">
        <v>13002.84</v>
      </c>
      <c r="L32" s="89">
        <v>7568412.7199999997</v>
      </c>
      <c r="M32" s="89">
        <v>2563271764.3299999</v>
      </c>
      <c r="N32" s="48">
        <v>2.9526376505685371E-3</v>
      </c>
      <c r="P32" s="84">
        <v>2036</v>
      </c>
      <c r="Q32" s="96">
        <v>64.599999999999994</v>
      </c>
      <c r="R32" s="96">
        <v>10895.365424608335</v>
      </c>
      <c r="S32" s="89">
        <v>7192480.6399999997</v>
      </c>
      <c r="T32" s="89">
        <v>110594.19</v>
      </c>
      <c r="U32" s="89">
        <v>74464.12</v>
      </c>
      <c r="V32" s="89">
        <v>7377538.9500000002</v>
      </c>
      <c r="W32" s="89">
        <v>5115332.6399999997</v>
      </c>
      <c r="X32" s="89">
        <v>78655.210000000006</v>
      </c>
      <c r="Y32" s="89">
        <v>52959.3</v>
      </c>
      <c r="Z32" s="89">
        <v>5246947.1499999994</v>
      </c>
      <c r="AA32" s="89">
        <v>2563271764.331933</v>
      </c>
      <c r="AB32" s="48">
        <v>2.0469726320133342E-3</v>
      </c>
      <c r="AD32" s="48">
        <v>2036</v>
      </c>
      <c r="AE32" s="96">
        <v>3.2800000000000002</v>
      </c>
      <c r="AF32" s="96">
        <v>649.46982066666681</v>
      </c>
      <c r="AG32" s="89">
        <v>150621.75</v>
      </c>
      <c r="AH32" s="89">
        <v>5600.33</v>
      </c>
      <c r="AI32" s="89">
        <v>0</v>
      </c>
      <c r="AJ32" s="89">
        <v>156222.07999999999</v>
      </c>
      <c r="AK32" s="89">
        <v>107123.03</v>
      </c>
      <c r="AL32" s="89">
        <v>3982.99</v>
      </c>
      <c r="AM32" s="89">
        <v>0</v>
      </c>
      <c r="AN32" s="89">
        <v>111106.02</v>
      </c>
      <c r="AO32" s="89">
        <v>2563271764.331933</v>
      </c>
      <c r="AP32" s="48">
        <v>4.3345392223347658E-5</v>
      </c>
    </row>
    <row r="33" spans="2:42">
      <c r="B33" s="48">
        <v>2037</v>
      </c>
      <c r="C33" s="96">
        <v>93.15</v>
      </c>
      <c r="D33" s="96">
        <v>13340.551725291665</v>
      </c>
      <c r="E33" s="89">
        <v>10909010.82</v>
      </c>
      <c r="F33" s="89">
        <v>189800.69</v>
      </c>
      <c r="G33" s="89">
        <v>18282.82</v>
      </c>
      <c r="H33" s="89">
        <v>11117094.33</v>
      </c>
      <c r="I33" s="89">
        <v>7541310.4000000004</v>
      </c>
      <c r="J33" s="89">
        <v>131207.67000000001</v>
      </c>
      <c r="K33" s="89">
        <v>12638.76</v>
      </c>
      <c r="L33" s="89">
        <v>7685156.8300000001</v>
      </c>
      <c r="M33" s="89">
        <v>2603416390.21</v>
      </c>
      <c r="N33" s="48">
        <v>2.9519506978981916E-3</v>
      </c>
      <c r="P33" s="84">
        <v>2037</v>
      </c>
      <c r="Q33" s="96">
        <v>64.599999999999994</v>
      </c>
      <c r="R33" s="96">
        <v>10895.365424608335</v>
      </c>
      <c r="S33" s="89">
        <v>7143945.6799999997</v>
      </c>
      <c r="T33" s="89">
        <v>131627.75</v>
      </c>
      <c r="U33" s="89">
        <v>74464.12</v>
      </c>
      <c r="V33" s="89">
        <v>7350037.5499999998</v>
      </c>
      <c r="W33" s="89">
        <v>4938551.51</v>
      </c>
      <c r="X33" s="89">
        <v>90993.19</v>
      </c>
      <c r="Y33" s="89">
        <v>51476.44</v>
      </c>
      <c r="Z33" s="89">
        <v>5081021.1400000006</v>
      </c>
      <c r="AA33" s="89">
        <v>2603416390.213007</v>
      </c>
      <c r="AB33" s="48">
        <v>1.9516744071755192E-3</v>
      </c>
      <c r="AD33" s="48">
        <v>2037</v>
      </c>
      <c r="AE33" s="96">
        <v>3.2800000000000002</v>
      </c>
      <c r="AF33" s="96">
        <v>649.46982066666681</v>
      </c>
      <c r="AG33" s="89">
        <v>129327.41</v>
      </c>
      <c r="AH33" s="89">
        <v>6665.44</v>
      </c>
      <c r="AI33" s="89">
        <v>0</v>
      </c>
      <c r="AJ33" s="89">
        <v>135992.85</v>
      </c>
      <c r="AK33" s="89">
        <v>89402.99</v>
      </c>
      <c r="AL33" s="89">
        <v>4607.76</v>
      </c>
      <c r="AM33" s="89">
        <v>0</v>
      </c>
      <c r="AN33" s="89">
        <v>94010.75</v>
      </c>
      <c r="AO33" s="89">
        <v>2603416390.213007</v>
      </c>
      <c r="AP33" s="48">
        <v>3.6110531666549204E-5</v>
      </c>
    </row>
    <row r="34" spans="2:42">
      <c r="B34" s="48">
        <v>2038</v>
      </c>
      <c r="C34" s="96">
        <v>93.15</v>
      </c>
      <c r="D34" s="96">
        <v>13340.551725291665</v>
      </c>
      <c r="E34" s="89">
        <v>11188037.74</v>
      </c>
      <c r="F34" s="89">
        <v>221747.5</v>
      </c>
      <c r="G34" s="89">
        <v>18282.82</v>
      </c>
      <c r="H34" s="89">
        <v>11428068.060000001</v>
      </c>
      <c r="I34" s="89">
        <v>7517641.8499999996</v>
      </c>
      <c r="J34" s="89">
        <v>149000.06</v>
      </c>
      <c r="K34" s="89">
        <v>12284.88</v>
      </c>
      <c r="L34" s="89">
        <v>7678926.7899999991</v>
      </c>
      <c r="M34" s="89">
        <v>2644189740.29</v>
      </c>
      <c r="N34" s="48">
        <v>2.9040755559235389E-3</v>
      </c>
      <c r="P34" s="84">
        <v>2038</v>
      </c>
      <c r="Q34" s="96">
        <v>64.599999999999994</v>
      </c>
      <c r="R34" s="96">
        <v>10895.365424608335</v>
      </c>
      <c r="S34" s="89">
        <v>7101694.9100000001</v>
      </c>
      <c r="T34" s="89">
        <v>153783.01999999999</v>
      </c>
      <c r="U34" s="89">
        <v>74464.12</v>
      </c>
      <c r="V34" s="89">
        <v>7329942.0499999998</v>
      </c>
      <c r="W34" s="89">
        <v>4771882.2699999996</v>
      </c>
      <c r="X34" s="89">
        <v>103332.3</v>
      </c>
      <c r="Y34" s="89">
        <v>50035.1</v>
      </c>
      <c r="Z34" s="89">
        <v>4925249.669999999</v>
      </c>
      <c r="AA34" s="89">
        <v>2644189740.293191</v>
      </c>
      <c r="AB34" s="48">
        <v>1.8626687771104813E-3</v>
      </c>
      <c r="AD34" s="48">
        <v>2038</v>
      </c>
      <c r="AE34" s="96">
        <v>3.2800000000000002</v>
      </c>
      <c r="AF34" s="96">
        <v>649.46982066666681</v>
      </c>
      <c r="AG34" s="89">
        <v>120080.44</v>
      </c>
      <c r="AH34" s="89">
        <v>7787.35</v>
      </c>
      <c r="AI34" s="89">
        <v>0</v>
      </c>
      <c r="AJ34" s="89">
        <v>127867.79000000001</v>
      </c>
      <c r="AK34" s="89">
        <v>80686.33</v>
      </c>
      <c r="AL34" s="89">
        <v>5232.6000000000004</v>
      </c>
      <c r="AM34" s="89">
        <v>0</v>
      </c>
      <c r="AN34" s="89">
        <v>85918.930000000008</v>
      </c>
      <c r="AO34" s="89">
        <v>2644189740.293191</v>
      </c>
      <c r="AP34" s="48">
        <v>3.2493481345432197E-5</v>
      </c>
    </row>
    <row r="35" spans="2:42">
      <c r="B35" s="48">
        <v>2039</v>
      </c>
      <c r="C35" s="96">
        <v>93.15</v>
      </c>
      <c r="D35" s="96">
        <v>13340.551725291665</v>
      </c>
      <c r="E35" s="89">
        <v>11383638.51</v>
      </c>
      <c r="F35" s="89">
        <v>254805.02</v>
      </c>
      <c r="G35" s="89">
        <v>18282.82</v>
      </c>
      <c r="H35" s="89">
        <v>11656726.35</v>
      </c>
      <c r="I35" s="89">
        <v>7434898.9500000002</v>
      </c>
      <c r="J35" s="89">
        <v>166418.63</v>
      </c>
      <c r="K35" s="89">
        <v>11940.9</v>
      </c>
      <c r="L35" s="89">
        <v>7613258.4800000004</v>
      </c>
      <c r="M35" s="89">
        <v>2685601661.3200002</v>
      </c>
      <c r="N35" s="48">
        <v>2.83484278016793E-3</v>
      </c>
      <c r="P35" s="84">
        <v>2039</v>
      </c>
      <c r="Q35" s="96">
        <v>64.599999999999994</v>
      </c>
      <c r="R35" s="96">
        <v>10895.365424608335</v>
      </c>
      <c r="S35" s="89">
        <v>7078870.1799999997</v>
      </c>
      <c r="T35" s="89">
        <v>176708.58</v>
      </c>
      <c r="U35" s="89">
        <v>74464.12</v>
      </c>
      <c r="V35" s="89">
        <v>7330042.8799999999</v>
      </c>
      <c r="W35" s="89">
        <v>4623362.24</v>
      </c>
      <c r="X35" s="89">
        <v>115412.17</v>
      </c>
      <c r="Y35" s="89">
        <v>48634.12</v>
      </c>
      <c r="Z35" s="89">
        <v>4787408.53</v>
      </c>
      <c r="AA35" s="89">
        <v>2685601661.3230743</v>
      </c>
      <c r="AB35" s="48">
        <v>1.7826204827567245E-3</v>
      </c>
      <c r="AD35" s="48">
        <v>2039</v>
      </c>
      <c r="AE35" s="96">
        <v>3.2800000000000002</v>
      </c>
      <c r="AF35" s="96">
        <v>649.46982066666681</v>
      </c>
      <c r="AG35" s="89">
        <v>111658.52</v>
      </c>
      <c r="AH35" s="89">
        <v>8948.27</v>
      </c>
      <c r="AI35" s="89">
        <v>0</v>
      </c>
      <c r="AJ35" s="89">
        <v>120606.79000000001</v>
      </c>
      <c r="AK35" s="89">
        <v>72926.58</v>
      </c>
      <c r="AL35" s="89">
        <v>5844.31</v>
      </c>
      <c r="AM35" s="89">
        <v>0</v>
      </c>
      <c r="AN35" s="89">
        <v>78770.89</v>
      </c>
      <c r="AO35" s="89">
        <v>2685601661.3230743</v>
      </c>
      <c r="AP35" s="48">
        <v>2.9330816678596015E-5</v>
      </c>
    </row>
    <row r="36" spans="2:42">
      <c r="B36" s="48">
        <v>2040</v>
      </c>
      <c r="C36" s="96">
        <v>93.15</v>
      </c>
      <c r="D36" s="96">
        <v>13340.551725291665</v>
      </c>
      <c r="E36" s="89">
        <v>11348660.68</v>
      </c>
      <c r="F36" s="89">
        <v>289230.11</v>
      </c>
      <c r="G36" s="89">
        <v>18282.82</v>
      </c>
      <c r="H36" s="89">
        <v>11656173.609999999</v>
      </c>
      <c r="I36" s="89">
        <v>7204516.6600000001</v>
      </c>
      <c r="J36" s="89">
        <v>183613.13</v>
      </c>
      <c r="K36" s="89">
        <v>11606.56</v>
      </c>
      <c r="L36" s="89">
        <v>7399736.3499999996</v>
      </c>
      <c r="M36" s="89">
        <v>2727662154.27</v>
      </c>
      <c r="N36" s="48">
        <v>2.712849294189947E-3</v>
      </c>
      <c r="P36" s="84">
        <v>2040</v>
      </c>
      <c r="Q36" s="96">
        <v>64.599999999999994</v>
      </c>
      <c r="R36" s="96">
        <v>10895.365424608335</v>
      </c>
      <c r="S36" s="89">
        <v>7068864.9699999997</v>
      </c>
      <c r="T36" s="89">
        <v>200582.56</v>
      </c>
      <c r="U36" s="89">
        <v>74464.12</v>
      </c>
      <c r="V36" s="89">
        <v>7343911.6499999994</v>
      </c>
      <c r="W36" s="89">
        <v>4487556.45</v>
      </c>
      <c r="X36" s="89">
        <v>127336.65</v>
      </c>
      <c r="Y36" s="89">
        <v>47272.36</v>
      </c>
      <c r="Z36" s="89">
        <v>4662165.4600000009</v>
      </c>
      <c r="AA36" s="89">
        <v>2727662154.26792</v>
      </c>
      <c r="AB36" s="48">
        <v>1.7092166098008879E-3</v>
      </c>
      <c r="AD36" s="48">
        <v>2040</v>
      </c>
      <c r="AE36" s="96">
        <v>3.2800000000000002</v>
      </c>
      <c r="AF36" s="96">
        <v>649.46982066666681</v>
      </c>
      <c r="AG36" s="89">
        <v>104841.55</v>
      </c>
      <c r="AH36" s="89">
        <v>10157.209999999999</v>
      </c>
      <c r="AI36" s="89">
        <v>0</v>
      </c>
      <c r="AJ36" s="89">
        <v>114998.76000000001</v>
      </c>
      <c r="AK36" s="89">
        <v>66556.990000000005</v>
      </c>
      <c r="AL36" s="89">
        <v>6448.14</v>
      </c>
      <c r="AM36" s="89">
        <v>0</v>
      </c>
      <c r="AN36" s="89">
        <v>73005.13</v>
      </c>
      <c r="AO36" s="89">
        <v>2727662154.26792</v>
      </c>
      <c r="AP36" s="48">
        <v>2.6764725934174179E-5</v>
      </c>
    </row>
    <row r="37" spans="2:42">
      <c r="B37" s="48">
        <v>2041</v>
      </c>
      <c r="C37" s="96">
        <v>90.05</v>
      </c>
      <c r="D37" s="96">
        <v>12916.732339708331</v>
      </c>
      <c r="E37" s="89">
        <v>11088275.619999999</v>
      </c>
      <c r="F37" s="89">
        <v>347932.53</v>
      </c>
      <c r="G37" s="89">
        <v>21761.02</v>
      </c>
      <c r="H37" s="89">
        <v>11457969.169999998</v>
      </c>
      <c r="I37" s="89">
        <v>6842117.3200000003</v>
      </c>
      <c r="J37" s="89">
        <v>214694.81</v>
      </c>
      <c r="K37" s="89">
        <v>13427.83</v>
      </c>
      <c r="L37" s="89">
        <v>7070239.96</v>
      </c>
      <c r="M37" s="89">
        <v>2770381376.7199998</v>
      </c>
      <c r="N37" s="48">
        <v>2.5520818250557363E-3</v>
      </c>
      <c r="P37" s="84">
        <v>2041</v>
      </c>
      <c r="Q37" s="96">
        <v>64.599999999999994</v>
      </c>
      <c r="R37" s="96">
        <v>10895.365424608335</v>
      </c>
      <c r="S37" s="89">
        <v>7041235.6299999999</v>
      </c>
      <c r="T37" s="89">
        <v>241292.98</v>
      </c>
      <c r="U37" s="89">
        <v>74464.12</v>
      </c>
      <c r="V37" s="89">
        <v>7356992.7300000004</v>
      </c>
      <c r="W37" s="89">
        <v>4344855.9400000004</v>
      </c>
      <c r="X37" s="89">
        <v>148891.94</v>
      </c>
      <c r="Y37" s="89">
        <v>45948.74</v>
      </c>
      <c r="Z37" s="89">
        <v>4539696.620000001</v>
      </c>
      <c r="AA37" s="89">
        <v>2770381376.7228942</v>
      </c>
      <c r="AB37" s="48">
        <v>1.638654034474504E-3</v>
      </c>
      <c r="AD37" s="48">
        <v>2041</v>
      </c>
      <c r="AE37" s="96">
        <v>3.2800000000000002</v>
      </c>
      <c r="AF37" s="96">
        <v>649.46982066666681</v>
      </c>
      <c r="AG37" s="89">
        <v>94720.1</v>
      </c>
      <c r="AH37" s="89">
        <v>12218.73</v>
      </c>
      <c r="AI37" s="89">
        <v>0</v>
      </c>
      <c r="AJ37" s="89">
        <v>106938.83</v>
      </c>
      <c r="AK37" s="89">
        <v>58447.86</v>
      </c>
      <c r="AL37" s="89">
        <v>7539.67</v>
      </c>
      <c r="AM37" s="89">
        <v>0</v>
      </c>
      <c r="AN37" s="89">
        <v>65987.53</v>
      </c>
      <c r="AO37" s="89">
        <v>2770381376.7228942</v>
      </c>
      <c r="AP37" s="48">
        <v>2.3818933578761333E-5</v>
      </c>
    </row>
    <row r="38" spans="2:42">
      <c r="B38" s="48">
        <v>2042</v>
      </c>
      <c r="C38" s="96">
        <v>69.3</v>
      </c>
      <c r="D38" s="96">
        <v>10079.876774916665</v>
      </c>
      <c r="E38" s="89">
        <v>9618499.1799999997</v>
      </c>
      <c r="F38" s="89">
        <v>408481.5</v>
      </c>
      <c r="G38" s="89">
        <v>45031.96</v>
      </c>
      <c r="H38" s="89">
        <v>10072012.640000001</v>
      </c>
      <c r="I38" s="89">
        <v>5768993.9199999999</v>
      </c>
      <c r="J38" s="89">
        <v>244999.48</v>
      </c>
      <c r="K38" s="89">
        <v>27009.32</v>
      </c>
      <c r="L38" s="89">
        <v>6041002.7200000007</v>
      </c>
      <c r="M38" s="89">
        <v>2813769645.3699999</v>
      </c>
      <c r="N38" s="48">
        <v>2.146942884944525E-3</v>
      </c>
      <c r="P38" s="84">
        <v>2042</v>
      </c>
      <c r="Q38" s="96">
        <v>64.400000000000006</v>
      </c>
      <c r="R38" s="96">
        <v>10861.987536941668</v>
      </c>
      <c r="S38" s="89">
        <v>6963743.5700000003</v>
      </c>
      <c r="T38" s="89">
        <v>283284</v>
      </c>
      <c r="U38" s="89">
        <v>74680.12</v>
      </c>
      <c r="V38" s="89">
        <v>7321707.6900000004</v>
      </c>
      <c r="W38" s="89">
        <v>4176721.7</v>
      </c>
      <c r="X38" s="89">
        <v>169908.39</v>
      </c>
      <c r="Y38" s="89">
        <v>44791.72</v>
      </c>
      <c r="Z38" s="89">
        <v>4391421.8099999996</v>
      </c>
      <c r="AA38" s="89">
        <v>2813769645.3661222</v>
      </c>
      <c r="AB38" s="48">
        <v>1.560689879938127E-3</v>
      </c>
      <c r="AD38" s="48">
        <v>2042</v>
      </c>
      <c r="AE38" s="96">
        <v>3.2800000000000002</v>
      </c>
      <c r="AF38" s="96">
        <v>649.46982066666681</v>
      </c>
      <c r="AG38" s="89">
        <v>82152.039999999994</v>
      </c>
      <c r="AH38" s="89">
        <v>14345.09</v>
      </c>
      <c r="AI38" s="89">
        <v>0</v>
      </c>
      <c r="AJ38" s="89">
        <v>96497.12999999999</v>
      </c>
      <c r="AK38" s="89">
        <v>49273.24</v>
      </c>
      <c r="AL38" s="89">
        <v>8603.91</v>
      </c>
      <c r="AM38" s="89">
        <v>0</v>
      </c>
      <c r="AN38" s="89">
        <v>57877.149999999994</v>
      </c>
      <c r="AO38" s="89">
        <v>2813769645.3661222</v>
      </c>
      <c r="AP38" s="48">
        <v>2.0569256653726225E-5</v>
      </c>
    </row>
    <row r="39" spans="2:42">
      <c r="B39" s="48">
        <v>2043</v>
      </c>
      <c r="C39" s="96">
        <v>68.289999999999992</v>
      </c>
      <c r="D39" s="96">
        <v>9940.1046681916669</v>
      </c>
      <c r="E39" s="89">
        <v>9663616.0099999998</v>
      </c>
      <c r="F39" s="89">
        <v>529945.24</v>
      </c>
      <c r="G39" s="89">
        <v>46154.62</v>
      </c>
      <c r="H39" s="89">
        <v>10239715.869999999</v>
      </c>
      <c r="I39" s="89">
        <v>5633764.6200000001</v>
      </c>
      <c r="J39" s="89">
        <v>308951.3</v>
      </c>
      <c r="K39" s="89">
        <v>26907.55</v>
      </c>
      <c r="L39" s="89">
        <v>5969623.4699999997</v>
      </c>
      <c r="M39" s="89">
        <v>2857837438.4499998</v>
      </c>
      <c r="N39" s="48">
        <v>2.0888604053132336E-3</v>
      </c>
      <c r="P39" s="84">
        <v>2043</v>
      </c>
      <c r="Q39" s="96">
        <v>63.06</v>
      </c>
      <c r="R39" s="96">
        <v>10637.465820650001</v>
      </c>
      <c r="S39" s="89">
        <v>6742511.0800000001</v>
      </c>
      <c r="T39" s="89">
        <v>367519.73</v>
      </c>
      <c r="U39" s="89">
        <v>76933.72</v>
      </c>
      <c r="V39" s="89">
        <v>7186964.5300000003</v>
      </c>
      <c r="W39" s="89">
        <v>3930797.78</v>
      </c>
      <c r="X39" s="89">
        <v>214259.31</v>
      </c>
      <c r="Y39" s="89">
        <v>44851.38</v>
      </c>
      <c r="Z39" s="89">
        <v>4189908.4699999997</v>
      </c>
      <c r="AA39" s="89">
        <v>2857837438.4501634</v>
      </c>
      <c r="AB39" s="48">
        <v>1.4661115477135863E-3</v>
      </c>
      <c r="AD39" s="48">
        <v>2043</v>
      </c>
      <c r="AE39" s="96">
        <v>3.2800000000000002</v>
      </c>
      <c r="AF39" s="96">
        <v>649.46982066666681</v>
      </c>
      <c r="AG39" s="89">
        <v>63007.29</v>
      </c>
      <c r="AH39" s="89">
        <v>18610.66</v>
      </c>
      <c r="AI39" s="89">
        <v>0</v>
      </c>
      <c r="AJ39" s="89">
        <v>81617.95</v>
      </c>
      <c r="AK39" s="89">
        <v>36732.44</v>
      </c>
      <c r="AL39" s="89">
        <v>10849.78</v>
      </c>
      <c r="AM39" s="89">
        <v>0</v>
      </c>
      <c r="AN39" s="89">
        <v>47582.22</v>
      </c>
      <c r="AO39" s="89">
        <v>2857837438.4501634</v>
      </c>
      <c r="AP39" s="48">
        <v>1.6649729393217119E-5</v>
      </c>
    </row>
    <row r="40" spans="2:42">
      <c r="B40" s="48">
        <v>2044</v>
      </c>
      <c r="C40" s="96">
        <v>48.68</v>
      </c>
      <c r="D40" s="96">
        <v>7132.5283747166668</v>
      </c>
      <c r="E40" s="89">
        <v>7149889.6200000001</v>
      </c>
      <c r="F40" s="89">
        <v>602475.37</v>
      </c>
      <c r="G40" s="89">
        <v>68093.679999999993</v>
      </c>
      <c r="H40" s="89">
        <v>7820458.6699999999</v>
      </c>
      <c r="I40" s="89">
        <v>4051582.03</v>
      </c>
      <c r="J40" s="89">
        <v>341400.85</v>
      </c>
      <c r="K40" s="89">
        <v>38586.21</v>
      </c>
      <c r="L40" s="89">
        <v>4431569.09</v>
      </c>
      <c r="M40" s="89">
        <v>2902595398.3299999</v>
      </c>
      <c r="N40" s="48">
        <v>1.5267608749568371E-3</v>
      </c>
      <c r="P40" s="84">
        <v>2044</v>
      </c>
      <c r="Q40" s="96">
        <v>57.23</v>
      </c>
      <c r="R40" s="96">
        <v>9655.6826030916673</v>
      </c>
      <c r="S40" s="89">
        <v>6141724.7800000003</v>
      </c>
      <c r="T40" s="89">
        <v>417819.74</v>
      </c>
      <c r="U40" s="89">
        <v>88529.32</v>
      </c>
      <c r="V40" s="89">
        <v>6648073.8400000008</v>
      </c>
      <c r="W40" s="89">
        <v>3480291.73</v>
      </c>
      <c r="X40" s="89">
        <v>236763.23</v>
      </c>
      <c r="Y40" s="89">
        <v>50166.34</v>
      </c>
      <c r="Z40" s="89">
        <v>3767221.3</v>
      </c>
      <c r="AA40" s="89">
        <v>2902595398.3325052</v>
      </c>
      <c r="AB40" s="48">
        <v>1.2978802702451084E-3</v>
      </c>
      <c r="AD40" s="48">
        <v>2044</v>
      </c>
      <c r="AE40" s="96">
        <v>1.96</v>
      </c>
      <c r="AF40" s="96">
        <v>388.09781966666668</v>
      </c>
      <c r="AG40" s="89">
        <v>26758.48</v>
      </c>
      <c r="AH40" s="89">
        <v>21157.78</v>
      </c>
      <c r="AI40" s="89">
        <v>0</v>
      </c>
      <c r="AJ40" s="89">
        <v>47916.259999999995</v>
      </c>
      <c r="AK40" s="89">
        <v>15163.06</v>
      </c>
      <c r="AL40" s="89">
        <v>11989.34</v>
      </c>
      <c r="AM40" s="89">
        <v>0</v>
      </c>
      <c r="AN40" s="89">
        <v>27152.400000000001</v>
      </c>
      <c r="AO40" s="89">
        <v>2902595398.3325052</v>
      </c>
      <c r="AP40" s="48">
        <v>9.3545245801735306E-6</v>
      </c>
    </row>
    <row r="41" spans="2:42">
      <c r="B41" s="48">
        <v>2045</v>
      </c>
      <c r="C41" s="96">
        <v>41.209999999999994</v>
      </c>
      <c r="D41" s="96">
        <v>6043.5010002249992</v>
      </c>
      <c r="E41" s="89">
        <v>5926568.4400000004</v>
      </c>
      <c r="F41" s="89">
        <v>611319.34</v>
      </c>
      <c r="G41" s="89">
        <v>76379.98</v>
      </c>
      <c r="H41" s="89">
        <v>6614267.7600000007</v>
      </c>
      <c r="I41" s="89">
        <v>3264336.1</v>
      </c>
      <c r="J41" s="89">
        <v>336712.86</v>
      </c>
      <c r="K41" s="89">
        <v>42069.86</v>
      </c>
      <c r="L41" s="89">
        <v>3643118.82</v>
      </c>
      <c r="M41" s="89">
        <v>2948054334.0500002</v>
      </c>
      <c r="N41" s="48">
        <v>1.2357705819468832E-3</v>
      </c>
      <c r="P41" s="84">
        <v>2045</v>
      </c>
      <c r="Q41" s="96">
        <v>43.459999999999994</v>
      </c>
      <c r="R41" s="96">
        <v>7344.2400376416672</v>
      </c>
      <c r="S41" s="89">
        <v>4978980.59</v>
      </c>
      <c r="T41" s="89">
        <v>423953.08</v>
      </c>
      <c r="U41" s="89">
        <v>116303.32</v>
      </c>
      <c r="V41" s="89">
        <v>5519236.9900000002</v>
      </c>
      <c r="W41" s="89">
        <v>2742407.56</v>
      </c>
      <c r="X41" s="89">
        <v>233512.08</v>
      </c>
      <c r="Y41" s="89">
        <v>64059.519999999997</v>
      </c>
      <c r="Z41" s="89">
        <v>3039979.16</v>
      </c>
      <c r="AA41" s="89">
        <v>2948054334.0456891</v>
      </c>
      <c r="AB41" s="48">
        <v>1.0311815236553527E-3</v>
      </c>
      <c r="AD41" s="48">
        <v>2045</v>
      </c>
      <c r="AE41" s="96">
        <v>0.33</v>
      </c>
      <c r="AF41" s="96">
        <v>65.343000250000003</v>
      </c>
      <c r="AG41" s="89">
        <v>3084.04</v>
      </c>
      <c r="AH41" s="89">
        <v>21468.37</v>
      </c>
      <c r="AI41" s="89">
        <v>2084.3200000000002</v>
      </c>
      <c r="AJ41" s="89">
        <v>26636.73</v>
      </c>
      <c r="AK41" s="89">
        <v>1698.68</v>
      </c>
      <c r="AL41" s="89">
        <v>11824.71</v>
      </c>
      <c r="AM41" s="89">
        <v>1148.04</v>
      </c>
      <c r="AN41" s="89">
        <v>14671.43</v>
      </c>
      <c r="AO41" s="89">
        <v>2948054334.0456891</v>
      </c>
      <c r="AP41" s="48">
        <v>4.9766484391303694E-6</v>
      </c>
    </row>
    <row r="42" spans="2:42">
      <c r="B42" s="48">
        <v>2046</v>
      </c>
      <c r="C42" s="96">
        <v>27.58</v>
      </c>
      <c r="D42" s="96">
        <v>4044.6434745499996</v>
      </c>
      <c r="E42" s="89">
        <v>3942368.2</v>
      </c>
      <c r="F42" s="89">
        <v>797976.8</v>
      </c>
      <c r="G42" s="89">
        <v>90785.8</v>
      </c>
      <c r="H42" s="89">
        <v>4831130.8</v>
      </c>
      <c r="I42" s="89">
        <v>2110644.12</v>
      </c>
      <c r="J42" s="89">
        <v>427216.57</v>
      </c>
      <c r="K42" s="89">
        <v>48604.42</v>
      </c>
      <c r="L42" s="89">
        <v>2586465.11</v>
      </c>
      <c r="M42" s="89">
        <v>2994225223.9099998</v>
      </c>
      <c r="N42" s="48">
        <v>8.6381782150057244E-4</v>
      </c>
      <c r="P42" s="84">
        <v>2046</v>
      </c>
      <c r="Q42" s="96">
        <v>20.02</v>
      </c>
      <c r="R42" s="96">
        <v>3391.2558382083334</v>
      </c>
      <c r="S42" s="89">
        <v>2604581.77</v>
      </c>
      <c r="T42" s="89">
        <v>553400.98</v>
      </c>
      <c r="U42" s="89">
        <v>160201.66</v>
      </c>
      <c r="V42" s="89">
        <v>3318184.41</v>
      </c>
      <c r="W42" s="89">
        <v>1394427.13</v>
      </c>
      <c r="X42" s="89">
        <v>296276.87</v>
      </c>
      <c r="Y42" s="89">
        <v>85767.91</v>
      </c>
      <c r="Z42" s="89">
        <v>1776471.91</v>
      </c>
      <c r="AA42" s="89">
        <v>2994225223.9076886</v>
      </c>
      <c r="AB42" s="48">
        <v>5.9329936032052086E-4</v>
      </c>
      <c r="AD42" s="48">
        <v>2046</v>
      </c>
      <c r="AE42" s="96">
        <v>0.33</v>
      </c>
      <c r="AF42" s="96">
        <v>65.343000250000003</v>
      </c>
      <c r="AG42" s="89">
        <v>1535.65</v>
      </c>
      <c r="AH42" s="89">
        <v>28023.42</v>
      </c>
      <c r="AI42" s="89">
        <v>2084.3200000000002</v>
      </c>
      <c r="AJ42" s="89">
        <v>31643.39</v>
      </c>
      <c r="AK42" s="89">
        <v>822.15</v>
      </c>
      <c r="AL42" s="89">
        <v>15003.03</v>
      </c>
      <c r="AM42" s="89">
        <v>1115.8900000000001</v>
      </c>
      <c r="AN42" s="89">
        <v>16941.07</v>
      </c>
      <c r="AO42" s="89">
        <v>2994225223.9076886</v>
      </c>
      <c r="AP42" s="48">
        <v>5.6579143962626274E-6</v>
      </c>
    </row>
    <row r="43" spans="2:42">
      <c r="B43" s="48">
        <v>2047</v>
      </c>
      <c r="C43" s="96">
        <v>18.130000000000003</v>
      </c>
      <c r="D43" s="96">
        <v>2658.7884769250004</v>
      </c>
      <c r="E43" s="89">
        <v>2568423.21</v>
      </c>
      <c r="F43" s="89">
        <v>948259.33</v>
      </c>
      <c r="G43" s="89">
        <v>99377.02</v>
      </c>
      <c r="H43" s="89">
        <v>3616059.56</v>
      </c>
      <c r="I43" s="89">
        <v>1336566.83</v>
      </c>
      <c r="J43" s="89">
        <v>493459.16</v>
      </c>
      <c r="K43" s="89">
        <v>51714.23</v>
      </c>
      <c r="L43" s="89">
        <v>1881740.22</v>
      </c>
      <c r="M43" s="89">
        <v>3041119218.1700001</v>
      </c>
      <c r="N43" s="48">
        <v>6.1876568625032107E-4</v>
      </c>
      <c r="P43" s="84">
        <v>2047</v>
      </c>
      <c r="Q43" s="96">
        <v>9.85</v>
      </c>
      <c r="R43" s="96">
        <v>1670.4222067083333</v>
      </c>
      <c r="S43" s="89">
        <v>1361990.35</v>
      </c>
      <c r="T43" s="89">
        <v>657622.68000000005</v>
      </c>
      <c r="U43" s="89">
        <v>179397.04</v>
      </c>
      <c r="V43" s="89">
        <v>2199010.0700000003</v>
      </c>
      <c r="W43" s="89">
        <v>708758.24</v>
      </c>
      <c r="X43" s="89">
        <v>342216.45</v>
      </c>
      <c r="Y43" s="89">
        <v>93355.38</v>
      </c>
      <c r="Z43" s="89">
        <v>1144330.0699999998</v>
      </c>
      <c r="AA43" s="89">
        <v>3041119218.1731687</v>
      </c>
      <c r="AB43" s="48">
        <v>3.7628583028303988E-4</v>
      </c>
      <c r="AD43" s="48">
        <v>2047</v>
      </c>
      <c r="AE43" s="96">
        <v>0.33</v>
      </c>
      <c r="AF43" s="96">
        <v>65.343000250000003</v>
      </c>
      <c r="AG43" s="89">
        <v>-776.1</v>
      </c>
      <c r="AH43" s="89">
        <v>33301.06</v>
      </c>
      <c r="AI43" s="89">
        <v>2084.3200000000002</v>
      </c>
      <c r="AJ43" s="89">
        <v>34609.279999999999</v>
      </c>
      <c r="AK43" s="89">
        <v>-403.87</v>
      </c>
      <c r="AL43" s="89">
        <v>17329.349999999999</v>
      </c>
      <c r="AM43" s="89">
        <v>1084.6500000000001</v>
      </c>
      <c r="AN43" s="89">
        <v>18010.13</v>
      </c>
      <c r="AO43" s="89">
        <v>3041119218.1731687</v>
      </c>
      <c r="AP43" s="48">
        <v>5.922204526667281E-6</v>
      </c>
    </row>
    <row r="44" spans="2:42">
      <c r="B44" s="48">
        <v>2048</v>
      </c>
      <c r="C44" s="96">
        <v>11.319999999999999</v>
      </c>
      <c r="D44" s="96">
        <v>1660.0929706999998</v>
      </c>
      <c r="E44" s="89">
        <v>1573391.69</v>
      </c>
      <c r="F44" s="89">
        <v>1021924.58</v>
      </c>
      <c r="G44" s="89">
        <v>103754.8</v>
      </c>
      <c r="H44" s="89">
        <v>2699071.07</v>
      </c>
      <c r="I44" s="89">
        <v>795842.65</v>
      </c>
      <c r="J44" s="89">
        <v>516903.18</v>
      </c>
      <c r="K44" s="89">
        <v>52480.57</v>
      </c>
      <c r="L44" s="89">
        <v>1365226.4000000001</v>
      </c>
      <c r="M44" s="89">
        <v>3088747641.73</v>
      </c>
      <c r="N44" s="48">
        <v>4.4199998133720637E-4</v>
      </c>
      <c r="P44" s="84">
        <v>2048</v>
      </c>
      <c r="Q44" s="96">
        <v>6.37</v>
      </c>
      <c r="R44" s="96">
        <v>1080.2628890083333</v>
      </c>
      <c r="S44" s="89">
        <v>887598.41</v>
      </c>
      <c r="T44" s="89">
        <v>708709.91</v>
      </c>
      <c r="U44" s="89">
        <v>182967.52</v>
      </c>
      <c r="V44" s="89">
        <v>1779275.84</v>
      </c>
      <c r="W44" s="89">
        <v>448959.2</v>
      </c>
      <c r="X44" s="89">
        <v>358474.99</v>
      </c>
      <c r="Y44" s="89">
        <v>92547.43</v>
      </c>
      <c r="Z44" s="89">
        <v>899981.61999999988</v>
      </c>
      <c r="AA44" s="89">
        <v>3088747641.7262697</v>
      </c>
      <c r="AB44" s="48">
        <v>2.9137427993211168E-4</v>
      </c>
      <c r="AD44" s="48">
        <v>2048</v>
      </c>
      <c r="AE44" s="96">
        <v>0.33</v>
      </c>
      <c r="AF44" s="96">
        <v>65.343000250000003</v>
      </c>
      <c r="AG44" s="89">
        <v>-1740.77</v>
      </c>
      <c r="AH44" s="89">
        <v>35888.04</v>
      </c>
      <c r="AI44" s="89">
        <v>2084.3200000000002</v>
      </c>
      <c r="AJ44" s="89">
        <v>36231.590000000004</v>
      </c>
      <c r="AK44" s="89">
        <v>-880.5</v>
      </c>
      <c r="AL44" s="89">
        <v>18152.650000000001</v>
      </c>
      <c r="AM44" s="89">
        <v>1054.28</v>
      </c>
      <c r="AN44" s="89">
        <v>18326.43</v>
      </c>
      <c r="AO44" s="89">
        <v>3088747641.7262697</v>
      </c>
      <c r="AP44" s="48">
        <v>5.9332882209041666E-6</v>
      </c>
    </row>
    <row r="45" spans="2:42">
      <c r="B45" s="48">
        <v>2049</v>
      </c>
      <c r="C45" s="96">
        <v>11.319999999999999</v>
      </c>
      <c r="D45" s="96">
        <v>1660.0929706999998</v>
      </c>
      <c r="E45" s="89">
        <v>1555817.69</v>
      </c>
      <c r="F45" s="89">
        <v>1068940.3700000001</v>
      </c>
      <c r="G45" s="89">
        <v>103754.8</v>
      </c>
      <c r="H45" s="89">
        <v>2728512.86</v>
      </c>
      <c r="I45" s="89">
        <v>764918.79</v>
      </c>
      <c r="J45" s="89">
        <v>525545.23</v>
      </c>
      <c r="K45" s="89">
        <v>51011.12</v>
      </c>
      <c r="L45" s="89">
        <v>1341475.1400000001</v>
      </c>
      <c r="M45" s="89">
        <v>3137121996.8200002</v>
      </c>
      <c r="N45" s="48">
        <v>4.2761331607754188E-4</v>
      </c>
      <c r="P45" s="84">
        <v>2049</v>
      </c>
      <c r="Q45" s="96">
        <v>6.37</v>
      </c>
      <c r="R45" s="96">
        <v>1080.2628890083333</v>
      </c>
      <c r="S45" s="89">
        <v>895149.15</v>
      </c>
      <c r="T45" s="89">
        <v>741315.6</v>
      </c>
      <c r="U45" s="89">
        <v>182967.52</v>
      </c>
      <c r="V45" s="89">
        <v>1819432.27</v>
      </c>
      <c r="W45" s="89">
        <v>440100.67</v>
      </c>
      <c r="X45" s="89">
        <v>364468.3</v>
      </c>
      <c r="Y45" s="89">
        <v>89956.1</v>
      </c>
      <c r="Z45" s="89">
        <v>894525.07</v>
      </c>
      <c r="AA45" s="89">
        <v>3137121996.8155622</v>
      </c>
      <c r="AB45" s="48">
        <v>2.8514194567760408E-4</v>
      </c>
      <c r="AD45" s="48">
        <v>2049</v>
      </c>
      <c r="AE45" s="96">
        <v>0.33</v>
      </c>
      <c r="AF45" s="96">
        <v>65.343000250000003</v>
      </c>
      <c r="AG45" s="89">
        <v>-2982.52</v>
      </c>
      <c r="AH45" s="89">
        <v>37539.14</v>
      </c>
      <c r="AI45" s="89">
        <v>2084.3200000000002</v>
      </c>
      <c r="AJ45" s="89">
        <v>36640.94</v>
      </c>
      <c r="AK45" s="89">
        <v>-1466.36</v>
      </c>
      <c r="AL45" s="89">
        <v>18456.14</v>
      </c>
      <c r="AM45" s="89">
        <v>1024.76</v>
      </c>
      <c r="AN45" s="89">
        <v>18014.539999999997</v>
      </c>
      <c r="AO45" s="89">
        <v>3137121996.8155622</v>
      </c>
      <c r="AP45" s="48">
        <v>5.7423778923122029E-6</v>
      </c>
    </row>
    <row r="46" spans="2:42">
      <c r="B46" s="48">
        <v>2050</v>
      </c>
      <c r="C46" s="96">
        <v>11.319999999999999</v>
      </c>
      <c r="D46" s="96">
        <v>1660.0929706999998</v>
      </c>
      <c r="E46" s="89">
        <v>1515641.9</v>
      </c>
      <c r="F46" s="89">
        <v>1129046.52</v>
      </c>
      <c r="G46" s="89">
        <v>103754.8</v>
      </c>
      <c r="H46" s="89">
        <v>2748443.2199999997</v>
      </c>
      <c r="I46" s="89">
        <v>724301.68</v>
      </c>
      <c r="J46" s="89">
        <v>539553.76</v>
      </c>
      <c r="K46" s="89">
        <v>49582.8</v>
      </c>
      <c r="L46" s="89">
        <v>1313438.24</v>
      </c>
      <c r="M46" s="89">
        <v>3186253965.8299999</v>
      </c>
      <c r="N46" s="48">
        <v>4.1222019778886562E-4</v>
      </c>
      <c r="P46" s="84">
        <v>2050</v>
      </c>
      <c r="Q46" s="96">
        <v>6.37</v>
      </c>
      <c r="R46" s="96">
        <v>1080.2628890083333</v>
      </c>
      <c r="S46" s="89">
        <v>903467.1</v>
      </c>
      <c r="T46" s="89">
        <v>782999.52</v>
      </c>
      <c r="U46" s="89">
        <v>182967.52</v>
      </c>
      <c r="V46" s="89">
        <v>1869434.1400000001</v>
      </c>
      <c r="W46" s="89">
        <v>431752.87</v>
      </c>
      <c r="X46" s="89">
        <v>374183.29</v>
      </c>
      <c r="Y46" s="89">
        <v>87437.33</v>
      </c>
      <c r="Z46" s="89">
        <v>893373.48999999987</v>
      </c>
      <c r="AA46" s="89">
        <v>3186253965.8318367</v>
      </c>
      <c r="AB46" s="48">
        <v>2.8038364159925543E-4</v>
      </c>
      <c r="AD46" s="48">
        <v>2050</v>
      </c>
      <c r="AE46" s="96">
        <v>0.33</v>
      </c>
      <c r="AF46" s="96">
        <v>65.343000250000003</v>
      </c>
      <c r="AG46" s="89">
        <v>-4798.8</v>
      </c>
      <c r="AH46" s="89">
        <v>39649.96</v>
      </c>
      <c r="AI46" s="89">
        <v>2084.3200000000002</v>
      </c>
      <c r="AJ46" s="89">
        <v>36935.479999999996</v>
      </c>
      <c r="AK46" s="89">
        <v>-2293.27</v>
      </c>
      <c r="AL46" s="89">
        <v>18948.099999999999</v>
      </c>
      <c r="AM46" s="89">
        <v>996.06</v>
      </c>
      <c r="AN46" s="89">
        <v>17650.89</v>
      </c>
      <c r="AO46" s="89">
        <v>3186253965.8318367</v>
      </c>
      <c r="AP46" s="48">
        <v>5.5396996564873236E-6</v>
      </c>
    </row>
    <row r="47" spans="2:42">
      <c r="B47" s="4" t="s">
        <v>30</v>
      </c>
      <c r="C47" s="4"/>
      <c r="D47" s="4"/>
      <c r="E47" s="6">
        <v>217560163.24000001</v>
      </c>
      <c r="F47" s="6">
        <v>22981549.019999996</v>
      </c>
      <c r="G47" s="6">
        <v>1694759.0599999996</v>
      </c>
      <c r="H47" s="6">
        <v>242236471.31999999</v>
      </c>
      <c r="I47" s="6">
        <v>159783726.87</v>
      </c>
      <c r="J47" s="6">
        <v>19097307.780000001</v>
      </c>
      <c r="K47" s="6">
        <v>1321058</v>
      </c>
      <c r="L47" s="6">
        <v>180202092.64999998</v>
      </c>
      <c r="M47" s="6">
        <v>82900051224.669998</v>
      </c>
      <c r="N47" s="4">
        <v>2.1737271568340617E-3</v>
      </c>
      <c r="P47" s="4" t="s">
        <v>30</v>
      </c>
      <c r="Q47" s="4"/>
      <c r="R47" s="4"/>
      <c r="S47" s="6">
        <v>142881323.38999999</v>
      </c>
      <c r="T47" s="6">
        <v>15937821.449999997</v>
      </c>
      <c r="U47" s="6">
        <v>3745079.1200000015</v>
      </c>
      <c r="V47" s="6">
        <v>162564223.96000001</v>
      </c>
      <c r="W47" s="6">
        <v>103386981.36000001</v>
      </c>
      <c r="X47" s="6">
        <v>13244080.370000003</v>
      </c>
      <c r="Y47" s="6">
        <v>2957735.1700000004</v>
      </c>
      <c r="Z47" s="6">
        <v>119588796.90000001</v>
      </c>
      <c r="AA47" s="6">
        <v>82900051224.659988</v>
      </c>
      <c r="AB47" s="4">
        <v>1.4425660193612322E-3</v>
      </c>
      <c r="AD47" s="4" t="s">
        <v>30</v>
      </c>
      <c r="AE47" s="4"/>
      <c r="AF47" s="4"/>
      <c r="AG47" s="6">
        <v>3221963.99</v>
      </c>
      <c r="AH47" s="6">
        <v>807068.09</v>
      </c>
      <c r="AI47" s="6">
        <v>31005.919999999998</v>
      </c>
      <c r="AJ47" s="6">
        <v>4060038.0000000005</v>
      </c>
      <c r="AK47" s="6">
        <v>2574982.7000000007</v>
      </c>
      <c r="AL47" s="6">
        <v>670660.92000000004</v>
      </c>
      <c r="AM47" s="6">
        <v>26585.19</v>
      </c>
      <c r="AN47" s="6">
        <v>3272228.81</v>
      </c>
      <c r="AO47" s="6">
        <v>82900051224.659988</v>
      </c>
      <c r="AP47" s="4">
        <v>3.9471975730536361E-5</v>
      </c>
    </row>
    <row r="49" spans="2:12">
      <c r="J49" s="77"/>
      <c r="K49" s="77"/>
      <c r="L49" s="10"/>
    </row>
    <row r="51" spans="2:12">
      <c r="B51" s="5"/>
    </row>
    <row r="54" spans="2:12">
      <c r="E54" s="10"/>
    </row>
  </sheetData>
  <mergeCells count="3">
    <mergeCell ref="AD12:AP12"/>
    <mergeCell ref="B12:N12"/>
    <mergeCell ref="P12:AB12"/>
  </mergeCells>
  <pageMargins left="0.7" right="0.7" top="0.75" bottom="0.75" header="0.3" footer="0.3"/>
  <headerFooter>
    <oddFooter>&amp;C_x000D_&amp;1#&amp;"Calibri"&amp;10&amp;K000000 Level 3 -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BD3A-C2B1-48D9-8882-F713DCE75F2E}">
  <sheetPr>
    <tabColor theme="9" tint="0.39997558519241921"/>
  </sheetPr>
  <dimension ref="B2:AN47"/>
  <sheetViews>
    <sheetView tabSelected="1" workbookViewId="0">
      <selection activeCell="AG47" sqref="AG47:AN47"/>
    </sheetView>
  </sheetViews>
  <sheetFormatPr defaultRowHeight="15"/>
  <cols>
    <col min="2" max="2" width="15" bestFit="1" customWidth="1"/>
    <col min="3" max="3" width="22" bestFit="1" customWidth="1"/>
    <col min="4" max="4" width="20.140625" bestFit="1" customWidth="1"/>
    <col min="5" max="5" width="19.42578125" bestFit="1" customWidth="1"/>
    <col min="6" max="6" width="23.7109375" bestFit="1" customWidth="1"/>
    <col min="7" max="7" width="16.140625" bestFit="1" customWidth="1"/>
    <col min="8" max="8" width="17.7109375" bestFit="1" customWidth="1"/>
    <col min="9" max="9" width="16.28515625" bestFit="1" customWidth="1"/>
    <col min="10" max="10" width="18.42578125" customWidth="1"/>
    <col min="11" max="11" width="16.42578125" bestFit="1" customWidth="1"/>
    <col min="12" max="12" width="18.42578125" bestFit="1" customWidth="1"/>
    <col min="13" max="13" width="19" bestFit="1" customWidth="1"/>
    <col min="14" max="14" width="18" bestFit="1" customWidth="1"/>
    <col min="16" max="16" width="13.7109375" bestFit="1" customWidth="1"/>
    <col min="17" max="17" width="10" customWidth="1"/>
    <col min="18" max="18" width="22.5703125" customWidth="1"/>
    <col min="19" max="20" width="15.28515625" bestFit="1" customWidth="1"/>
    <col min="21" max="21" width="15" bestFit="1" customWidth="1"/>
    <col min="22" max="22" width="16.28515625" bestFit="1" customWidth="1"/>
    <col min="23" max="24" width="15.28515625" bestFit="1" customWidth="1"/>
    <col min="25" max="25" width="14.28515625" bestFit="1" customWidth="1"/>
    <col min="26" max="26" width="16.28515625" bestFit="1" customWidth="1"/>
    <col min="27" max="27" width="19" bestFit="1" customWidth="1"/>
    <col min="28" max="28" width="12" bestFit="1" customWidth="1"/>
    <col min="30" max="30" width="13.7109375" bestFit="1" customWidth="1"/>
    <col min="31" max="31" width="8.5703125" bestFit="1" customWidth="1"/>
    <col min="32" max="32" width="19.7109375" customWidth="1"/>
    <col min="33" max="33" width="14.28515625" bestFit="1" customWidth="1"/>
    <col min="34" max="34" width="12.5703125" bestFit="1" customWidth="1"/>
    <col min="35" max="35" width="11.5703125" bestFit="1" customWidth="1"/>
    <col min="36" max="37" width="14.28515625" bestFit="1" customWidth="1"/>
    <col min="38" max="38" width="12.5703125" bestFit="1" customWidth="1"/>
    <col min="39" max="39" width="11.5703125" bestFit="1" customWidth="1"/>
    <col min="40" max="40" width="14.28515625" bestFit="1" customWidth="1"/>
    <col min="41" max="41" width="19" bestFit="1" customWidth="1"/>
    <col min="42" max="42" width="12.7109375" bestFit="1" customWidth="1"/>
  </cols>
  <sheetData>
    <row r="2" spans="2:40">
      <c r="C2" s="110" t="s">
        <v>2</v>
      </c>
      <c r="D2" s="296" t="s">
        <v>3</v>
      </c>
      <c r="E2" s="305"/>
      <c r="F2" s="113" t="s">
        <v>4</v>
      </c>
      <c r="G2" s="299" t="s">
        <v>5</v>
      </c>
      <c r="H2" s="299"/>
    </row>
    <row r="3" spans="2:40">
      <c r="C3" s="111" t="s">
        <v>10</v>
      </c>
      <c r="D3" s="112" t="s">
        <v>6</v>
      </c>
      <c r="E3" s="112" t="s">
        <v>7</v>
      </c>
      <c r="F3" s="114" t="s">
        <v>10</v>
      </c>
      <c r="G3" s="134" t="s">
        <v>6</v>
      </c>
      <c r="H3" s="134" t="s">
        <v>7</v>
      </c>
    </row>
    <row r="4" spans="2:40">
      <c r="B4" t="s">
        <v>11</v>
      </c>
      <c r="C4" s="121">
        <f>'RatepayerCosts_160MW+50MW'!I4-RatepayerCosts_160MW!H4</f>
        <v>57903890.879999995</v>
      </c>
      <c r="D4" s="121">
        <f>'RatepayerCosts_160MW+50MW'!J4-RatepayerCosts_160MW!I4</f>
        <v>0</v>
      </c>
      <c r="E4" s="121">
        <f>'RatepayerCosts_160MW+50MW'!K4-RatepayerCosts_160MW!J4</f>
        <v>60960043.330000013</v>
      </c>
      <c r="F4" s="121">
        <f>'RatepayerCosts_160MW+50MW'!L4-RatepayerCosts_160MW!K4</f>
        <v>37634302.700000018</v>
      </c>
      <c r="G4" s="121">
        <f>'RatepayerCosts_160MW+50MW'!M4-RatepayerCosts_160MW!L4</f>
        <v>0</v>
      </c>
      <c r="H4" s="121">
        <f>'RatepayerCosts_160MW+50MW'!N4-RatepayerCosts_160MW!M4</f>
        <v>39731806.659999982</v>
      </c>
    </row>
    <row r="5" spans="2:40">
      <c r="B5" t="s">
        <v>12</v>
      </c>
      <c r="C5" s="121">
        <f>'RatepayerCosts_160MW+50MW'!I5-RatepayerCosts_160MW!H5</f>
        <v>84819872.699999928</v>
      </c>
      <c r="D5" s="121">
        <f>'RatepayerCosts_160MW+50MW'!J5-RatepayerCosts_160MW!I5</f>
        <v>0</v>
      </c>
      <c r="E5" s="121">
        <f>'RatepayerCosts_160MW+50MW'!K5-RatepayerCosts_160MW!J5</f>
        <v>87446506.090000018</v>
      </c>
      <c r="F5" s="121">
        <f>'RatepayerCosts_160MW+50MW'!L5-RatepayerCosts_160MW!K5</f>
        <v>55180425.379999995</v>
      </c>
      <c r="G5" s="121">
        <f>'RatepayerCosts_160MW+50MW'!M5-RatepayerCosts_160MW!L5</f>
        <v>0</v>
      </c>
      <c r="H5" s="121">
        <f>'RatepayerCosts_160MW+50MW'!N5-RatepayerCosts_160MW!M5</f>
        <v>56969643.600000009</v>
      </c>
      <c r="K5" s="76"/>
    </row>
    <row r="6" spans="2:40">
      <c r="B6" t="s">
        <v>13</v>
      </c>
      <c r="C6" s="121">
        <f>'RatepayerCosts_160MW+50MW'!I6-RatepayerCosts_160MW!H6</f>
        <v>-97939.180000000633</v>
      </c>
      <c r="D6" s="121">
        <f>'RatepayerCosts_160MW+50MW'!J6-RatepayerCosts_160MW!I6</f>
        <v>0</v>
      </c>
      <c r="E6" s="121">
        <f>'RatepayerCosts_160MW+50MW'!K6-RatepayerCosts_160MW!J6</f>
        <v>0</v>
      </c>
      <c r="F6" s="121">
        <f>'RatepayerCosts_160MW+50MW'!L6-RatepayerCosts_160MW!K6</f>
        <v>-67467.570000000764</v>
      </c>
      <c r="G6" s="121">
        <f>'RatepayerCosts_160MW+50MW'!M6-RatepayerCosts_160MW!L6</f>
        <v>0</v>
      </c>
      <c r="H6" s="121">
        <f>'RatepayerCosts_160MW+50MW'!N6-RatepayerCosts_160MW!M6</f>
        <v>0</v>
      </c>
    </row>
    <row r="7" spans="2:40">
      <c r="B7" t="s">
        <v>10</v>
      </c>
      <c r="C7" s="325">
        <f t="shared" ref="C7" si="0">SUM(C4:C6)</f>
        <v>142625824.39999992</v>
      </c>
      <c r="D7" s="325">
        <f>'RatepayerCosts_160MW+50MW'!J7-RatepayerCosts_160MW!I7</f>
        <v>0</v>
      </c>
      <c r="E7" s="325">
        <f>'RatepayerCosts_160MW+50MW'!K7-RatepayerCosts_160MW!J7</f>
        <v>148406549.42000002</v>
      </c>
      <c r="F7" s="325">
        <f>'RatepayerCosts_160MW+50MW'!L7-RatepayerCosts_160MW!K7</f>
        <v>92747260.51000005</v>
      </c>
      <c r="G7" s="325">
        <f>'RatepayerCosts_160MW+50MW'!M7-RatepayerCosts_160MW!L7</f>
        <v>0</v>
      </c>
      <c r="H7" s="325">
        <f>'RatepayerCosts_160MW+50MW'!N7-RatepayerCosts_160MW!M7</f>
        <v>96701450.25999999</v>
      </c>
    </row>
    <row r="10" spans="2:40">
      <c r="B10" t="s">
        <v>14</v>
      </c>
      <c r="C10" s="29">
        <f>'RatepayerCosts_160MW+50MW'!C10</f>
        <v>2.8000000000000001E-2</v>
      </c>
    </row>
    <row r="11" spans="2:40">
      <c r="AK11" s="10"/>
      <c r="AN11" s="10"/>
    </row>
    <row r="12" spans="2:40">
      <c r="B12" s="276" t="s">
        <v>15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P12" s="274" t="s">
        <v>16</v>
      </c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D12" s="278" t="s">
        <v>32</v>
      </c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</row>
    <row r="13" spans="2:40" ht="45">
      <c r="B13" s="48"/>
      <c r="C13" s="1" t="s">
        <v>18</v>
      </c>
      <c r="D13" s="1" t="s">
        <v>19</v>
      </c>
      <c r="E13" s="1" t="s">
        <v>20</v>
      </c>
      <c r="F13" s="1" t="s">
        <v>21</v>
      </c>
      <c r="G13" s="1" t="s">
        <v>22</v>
      </c>
      <c r="H13" s="1" t="s">
        <v>23</v>
      </c>
      <c r="I13" s="1" t="s">
        <v>5</v>
      </c>
      <c r="J13" s="1" t="s">
        <v>24</v>
      </c>
      <c r="K13" s="1" t="s">
        <v>25</v>
      </c>
      <c r="L13" s="1" t="s">
        <v>4</v>
      </c>
      <c r="P13" s="48"/>
      <c r="Q13" s="1" t="s">
        <v>18</v>
      </c>
      <c r="R13" s="1" t="s">
        <v>19</v>
      </c>
      <c r="S13" s="1" t="s">
        <v>20</v>
      </c>
      <c r="T13" s="1" t="s">
        <v>21</v>
      </c>
      <c r="U13" s="1" t="s">
        <v>22</v>
      </c>
      <c r="V13" s="1" t="s">
        <v>23</v>
      </c>
      <c r="W13" s="1" t="s">
        <v>5</v>
      </c>
      <c r="X13" s="1" t="s">
        <v>24</v>
      </c>
      <c r="Y13" s="1" t="s">
        <v>25</v>
      </c>
      <c r="Z13" s="1" t="s">
        <v>4</v>
      </c>
      <c r="AD13" s="48"/>
      <c r="AE13" s="1" t="s">
        <v>18</v>
      </c>
      <c r="AF13" s="1" t="s">
        <v>19</v>
      </c>
      <c r="AG13" s="1" t="s">
        <v>20</v>
      </c>
      <c r="AH13" s="1" t="s">
        <v>21</v>
      </c>
      <c r="AI13" s="1" t="s">
        <v>22</v>
      </c>
      <c r="AJ13" s="1" t="s">
        <v>23</v>
      </c>
      <c r="AK13" s="1" t="s">
        <v>5</v>
      </c>
      <c r="AL13" s="1" t="s">
        <v>24</v>
      </c>
      <c r="AM13" s="1" t="s">
        <v>25</v>
      </c>
      <c r="AN13" s="1" t="s">
        <v>4</v>
      </c>
    </row>
    <row r="14" spans="2:40">
      <c r="B14" s="48">
        <f>'PGE Ratepayer Costs'!A8</f>
        <v>2018</v>
      </c>
      <c r="C14" s="84">
        <f>'RatepayerCosts_160MW+50MW'!C14-RatepayerCosts_160MW!C14</f>
        <v>0</v>
      </c>
      <c r="D14" s="84">
        <f>'RatepayerCosts_160MW+50MW'!D14-RatepayerCosts_160MW!D14</f>
        <v>0</v>
      </c>
      <c r="E14" s="89">
        <f>'RatepayerCosts_160MW+50MW'!E14-RatepayerCosts_160MW!E14</f>
        <v>0</v>
      </c>
      <c r="F14" s="89">
        <f>'RatepayerCosts_160MW+50MW'!F14-RatepayerCosts_160MW!F14</f>
        <v>0</v>
      </c>
      <c r="G14" s="89">
        <f>'RatepayerCosts_160MW+50MW'!G14-RatepayerCosts_160MW!G14</f>
        <v>0</v>
      </c>
      <c r="H14" s="89">
        <f>'RatepayerCosts_160MW+50MW'!H14-RatepayerCosts_160MW!H14</f>
        <v>0</v>
      </c>
      <c r="I14" s="89">
        <f>'RatepayerCosts_160MW+50MW'!I14-RatepayerCosts_160MW!I14</f>
        <v>0</v>
      </c>
      <c r="J14" s="89">
        <f>'RatepayerCosts_160MW+50MW'!J14-RatepayerCosts_160MW!J14</f>
        <v>0</v>
      </c>
      <c r="K14" s="89">
        <f>'RatepayerCosts_160MW+50MW'!K14-RatepayerCosts_160MW!K14</f>
        <v>0</v>
      </c>
      <c r="L14" s="89">
        <f>'RatepayerCosts_160MW+50MW'!L14-RatepayerCosts_160MW!L14</f>
        <v>0</v>
      </c>
      <c r="P14" s="84">
        <f>'PAC Ratepayer Costs'!A8</f>
        <v>2018</v>
      </c>
      <c r="Q14" s="96">
        <f>'PAC Ratepayer Costs'!B8-RatepayerCosts_160MW!Q14</f>
        <v>0</v>
      </c>
      <c r="R14" s="96">
        <f>'PAC Ratepayer Costs'!C8-RatepayerCosts_160MW!R14</f>
        <v>0</v>
      </c>
      <c r="S14" s="3">
        <f>'RatepayerCosts_160MW+50MW'!S14-RatepayerCosts_160MW!S14</f>
        <v>0</v>
      </c>
      <c r="T14" s="3">
        <f>'RatepayerCosts_160MW+50MW'!T14-RatepayerCosts_160MW!T14</f>
        <v>0</v>
      </c>
      <c r="U14" s="3">
        <f>'RatepayerCosts_160MW+50MW'!U14-RatepayerCosts_160MW!U14</f>
        <v>0</v>
      </c>
      <c r="V14" s="89">
        <f>SUM(S14:U14)</f>
        <v>0</v>
      </c>
      <c r="W14" s="89">
        <f>'RatepayerCosts_160MW+50MW'!W14-RatepayerCosts_160MW!W14</f>
        <v>0</v>
      </c>
      <c r="X14" s="89">
        <f>'RatepayerCosts_160MW+50MW'!X14-RatepayerCosts_160MW!X14</f>
        <v>0</v>
      </c>
      <c r="Y14" s="89">
        <f>'RatepayerCosts_160MW+50MW'!Y14-RatepayerCosts_160MW!Y14</f>
        <v>0</v>
      </c>
      <c r="Z14" s="89">
        <f>SUM(W14:Y14)</f>
        <v>0</v>
      </c>
      <c r="AD14" s="48">
        <f>'IPC Ratepayer Costs'!A8</f>
        <v>2018</v>
      </c>
      <c r="AE14" s="96">
        <f>'IPC Ratepayer Costs'!B8-'RatepayerCosts_160MW+50MW'!AE14</f>
        <v>0</v>
      </c>
      <c r="AF14" s="96">
        <f>'IPC Ratepayer Costs'!C8-'RatepayerCosts_160MW+50MW'!AF14</f>
        <v>0</v>
      </c>
      <c r="AG14" s="3">
        <f>'RatepayerCosts_160MW+50MW'!AG14-RatepayerCosts_160MW!AG14</f>
        <v>0</v>
      </c>
      <c r="AH14" s="3">
        <f>'RatepayerCosts_160MW+50MW'!AH14-RatepayerCosts_160MW!AH14</f>
        <v>0</v>
      </c>
      <c r="AI14" s="3">
        <f>'RatepayerCosts_160MW+50MW'!AI14-RatepayerCosts_160MW!AI14</f>
        <v>0</v>
      </c>
      <c r="AJ14" s="3">
        <f>SUM(AG14:AI14)</f>
        <v>0</v>
      </c>
      <c r="AK14" s="3">
        <f>'RatepayerCosts_160MW+50MW'!AK14-RatepayerCosts_160MW!AK14</f>
        <v>0</v>
      </c>
      <c r="AL14" s="3">
        <f>'RatepayerCosts_160MW+50MW'!AL14-RatepayerCosts_160MW!AL14</f>
        <v>0</v>
      </c>
      <c r="AM14" s="3">
        <f>'RatepayerCosts_160MW+50MW'!AM14-RatepayerCosts_160MW!AM14</f>
        <v>0</v>
      </c>
      <c r="AN14" s="3">
        <f>SUM(AK14:AM14)</f>
        <v>0</v>
      </c>
    </row>
    <row r="15" spans="2:40">
      <c r="B15" s="48">
        <f>'PGE Ratepayer Costs'!A9</f>
        <v>2019</v>
      </c>
      <c r="C15" s="84">
        <f>'RatepayerCosts_160MW+50MW'!C15-RatepayerCosts_160MW!C15</f>
        <v>0</v>
      </c>
      <c r="D15" s="84">
        <f>'RatepayerCosts_160MW+50MW'!D15-RatepayerCosts_160MW!D15</f>
        <v>0</v>
      </c>
      <c r="E15" s="89">
        <f>'RatepayerCosts_160MW+50MW'!E15-RatepayerCosts_160MW!E15</f>
        <v>0</v>
      </c>
      <c r="F15" s="89">
        <f>'RatepayerCosts_160MW+50MW'!F15-RatepayerCosts_160MW!F15</f>
        <v>0</v>
      </c>
      <c r="G15" s="89">
        <f>'RatepayerCosts_160MW+50MW'!G15-RatepayerCosts_160MW!G15</f>
        <v>0</v>
      </c>
      <c r="H15" s="89">
        <f>'RatepayerCosts_160MW+50MW'!H15-RatepayerCosts_160MW!H15</f>
        <v>0</v>
      </c>
      <c r="I15" s="89">
        <f>'RatepayerCosts_160MW+50MW'!I15-RatepayerCosts_160MW!I15</f>
        <v>0</v>
      </c>
      <c r="J15" s="89">
        <f>'RatepayerCosts_160MW+50MW'!J15-RatepayerCosts_160MW!J15</f>
        <v>0</v>
      </c>
      <c r="K15" s="89">
        <f>'RatepayerCosts_160MW+50MW'!K15-RatepayerCosts_160MW!K15</f>
        <v>0</v>
      </c>
      <c r="L15" s="89">
        <f>'RatepayerCosts_160MW+50MW'!L15-RatepayerCosts_160MW!L15</f>
        <v>0</v>
      </c>
      <c r="P15" s="84">
        <f>'PAC Ratepayer Costs'!A9</f>
        <v>2019</v>
      </c>
      <c r="Q15" s="96">
        <f>'PAC Ratepayer Costs'!B9-RatepayerCosts_160MW!Q15</f>
        <v>0</v>
      </c>
      <c r="R15" s="96">
        <f>'PAC Ratepayer Costs'!C9-RatepayerCosts_160MW!R15</f>
        <v>0</v>
      </c>
      <c r="S15" s="3">
        <f>'RatepayerCosts_160MW+50MW'!S15-RatepayerCosts_160MW!S15</f>
        <v>0</v>
      </c>
      <c r="T15" s="3">
        <f>'RatepayerCosts_160MW+50MW'!T15-RatepayerCosts_160MW!T15</f>
        <v>0</v>
      </c>
      <c r="U15" s="3">
        <f>'RatepayerCosts_160MW+50MW'!U15-RatepayerCosts_160MW!U15</f>
        <v>0</v>
      </c>
      <c r="V15" s="89">
        <f t="shared" ref="V15:V46" si="1">SUM(S15:U15)</f>
        <v>0</v>
      </c>
      <c r="W15" s="89">
        <f>'RatepayerCosts_160MW+50MW'!W15-RatepayerCosts_160MW!W15</f>
        <v>0</v>
      </c>
      <c r="X15" s="89">
        <f>'RatepayerCosts_160MW+50MW'!X15-RatepayerCosts_160MW!X15</f>
        <v>0</v>
      </c>
      <c r="Y15" s="89">
        <f>'RatepayerCosts_160MW+50MW'!Y15-RatepayerCosts_160MW!Y15</f>
        <v>0</v>
      </c>
      <c r="Z15" s="89">
        <f t="shared" ref="Z15:Z46" si="2">SUM(W15:Y15)</f>
        <v>0</v>
      </c>
      <c r="AD15" s="48">
        <f>'IPC Ratepayer Costs'!A9</f>
        <v>2019</v>
      </c>
      <c r="AE15" s="96">
        <f>'IPC Ratepayer Costs'!B9-'RatepayerCosts_160MW+50MW'!AE15</f>
        <v>0</v>
      </c>
      <c r="AF15" s="96">
        <f>'IPC Ratepayer Costs'!C9-'RatepayerCosts_160MW+50MW'!AF15</f>
        <v>0</v>
      </c>
      <c r="AG15" s="3">
        <f>'RatepayerCosts_160MW+50MW'!AG15-RatepayerCosts_160MW!AG15</f>
        <v>0</v>
      </c>
      <c r="AH15" s="3">
        <f>'RatepayerCosts_160MW+50MW'!AH15-RatepayerCosts_160MW!AH15</f>
        <v>0</v>
      </c>
      <c r="AI15" s="3">
        <f>'RatepayerCosts_160MW+50MW'!AI15-RatepayerCosts_160MW!AI15</f>
        <v>0</v>
      </c>
      <c r="AJ15" s="3">
        <f t="shared" ref="AJ15:AJ46" si="3">SUM(AG15:AI15)</f>
        <v>0</v>
      </c>
      <c r="AK15" s="3">
        <f>'RatepayerCosts_160MW+50MW'!AK15-RatepayerCosts_160MW!AK15</f>
        <v>0</v>
      </c>
      <c r="AL15" s="3">
        <f>'RatepayerCosts_160MW+50MW'!AL15-RatepayerCosts_160MW!AL15</f>
        <v>0</v>
      </c>
      <c r="AM15" s="3">
        <f>'RatepayerCosts_160MW+50MW'!AM15-RatepayerCosts_160MW!AM15</f>
        <v>0</v>
      </c>
      <c r="AN15" s="3">
        <f t="shared" ref="AN15:AN46" si="4">SUM(AK15:AM15)</f>
        <v>0</v>
      </c>
    </row>
    <row r="16" spans="2:40">
      <c r="B16" s="48">
        <f>'PGE Ratepayer Costs'!A10</f>
        <v>2020</v>
      </c>
      <c r="C16" s="84">
        <f>'RatepayerCosts_160MW+50MW'!C16-RatepayerCosts_160MW!C16</f>
        <v>0</v>
      </c>
      <c r="D16" s="84">
        <f>'RatepayerCosts_160MW+50MW'!D16-RatepayerCosts_160MW!D16</f>
        <v>0</v>
      </c>
      <c r="E16" s="89">
        <f>'RatepayerCosts_160MW+50MW'!E16-RatepayerCosts_160MW!E16</f>
        <v>0</v>
      </c>
      <c r="F16" s="89">
        <f>'RatepayerCosts_160MW+50MW'!F16-RatepayerCosts_160MW!F16</f>
        <v>0</v>
      </c>
      <c r="G16" s="89">
        <f>'RatepayerCosts_160MW+50MW'!G16-RatepayerCosts_160MW!G16</f>
        <v>0</v>
      </c>
      <c r="H16" s="89">
        <f>'RatepayerCosts_160MW+50MW'!H16-RatepayerCosts_160MW!H16</f>
        <v>0</v>
      </c>
      <c r="I16" s="89">
        <f>'RatepayerCosts_160MW+50MW'!I16-RatepayerCosts_160MW!I16</f>
        <v>0</v>
      </c>
      <c r="J16" s="89">
        <f>'RatepayerCosts_160MW+50MW'!J16-RatepayerCosts_160MW!J16</f>
        <v>0</v>
      </c>
      <c r="K16" s="89">
        <f>'RatepayerCosts_160MW+50MW'!K16-RatepayerCosts_160MW!K16</f>
        <v>0</v>
      </c>
      <c r="L16" s="89">
        <f>'RatepayerCosts_160MW+50MW'!L16-RatepayerCosts_160MW!L16</f>
        <v>0</v>
      </c>
      <c r="P16" s="84">
        <f>'PAC Ratepayer Costs'!A10</f>
        <v>2020</v>
      </c>
      <c r="Q16" s="96">
        <f>'PAC Ratepayer Costs'!B10-RatepayerCosts_160MW!Q16</f>
        <v>0</v>
      </c>
      <c r="R16" s="96">
        <f>'PAC Ratepayer Costs'!C10-RatepayerCosts_160MW!R16</f>
        <v>0</v>
      </c>
      <c r="S16" s="3">
        <f>'RatepayerCosts_160MW+50MW'!S16-RatepayerCosts_160MW!S16</f>
        <v>0</v>
      </c>
      <c r="T16" s="3">
        <f>'RatepayerCosts_160MW+50MW'!T16-RatepayerCosts_160MW!T16</f>
        <v>0</v>
      </c>
      <c r="U16" s="3">
        <f>'RatepayerCosts_160MW+50MW'!U16-RatepayerCosts_160MW!U16</f>
        <v>0</v>
      </c>
      <c r="V16" s="89">
        <f t="shared" si="1"/>
        <v>0</v>
      </c>
      <c r="W16" s="89">
        <f>'RatepayerCosts_160MW+50MW'!W16-RatepayerCosts_160MW!W16</f>
        <v>0</v>
      </c>
      <c r="X16" s="89">
        <f>'RatepayerCosts_160MW+50MW'!X16-RatepayerCosts_160MW!X16</f>
        <v>0</v>
      </c>
      <c r="Y16" s="89">
        <f>'RatepayerCosts_160MW+50MW'!Y16-RatepayerCosts_160MW!Y16</f>
        <v>0</v>
      </c>
      <c r="Z16" s="89">
        <f t="shared" si="2"/>
        <v>0</v>
      </c>
      <c r="AD16" s="48">
        <f>'IPC Ratepayer Costs'!A10</f>
        <v>2020</v>
      </c>
      <c r="AE16" s="96">
        <f>'IPC Ratepayer Costs'!B10-'RatepayerCosts_160MW+50MW'!AE16</f>
        <v>0</v>
      </c>
      <c r="AF16" s="96">
        <f>'IPC Ratepayer Costs'!C10-'RatepayerCosts_160MW+50MW'!AF16</f>
        <v>0</v>
      </c>
      <c r="AG16" s="3">
        <f>'RatepayerCosts_160MW+50MW'!AG16-RatepayerCosts_160MW!AG16</f>
        <v>0</v>
      </c>
      <c r="AH16" s="3">
        <f>'RatepayerCosts_160MW+50MW'!AH16-RatepayerCosts_160MW!AH16</f>
        <v>0</v>
      </c>
      <c r="AI16" s="3">
        <f>'RatepayerCosts_160MW+50MW'!AI16-RatepayerCosts_160MW!AI16</f>
        <v>0</v>
      </c>
      <c r="AJ16" s="3">
        <f t="shared" si="3"/>
        <v>0</v>
      </c>
      <c r="AK16" s="3">
        <f>'RatepayerCosts_160MW+50MW'!AK16-RatepayerCosts_160MW!AK16</f>
        <v>0</v>
      </c>
      <c r="AL16" s="3">
        <f>'RatepayerCosts_160MW+50MW'!AL16-RatepayerCosts_160MW!AL16</f>
        <v>0</v>
      </c>
      <c r="AM16" s="3">
        <f>'RatepayerCosts_160MW+50MW'!AM16-RatepayerCosts_160MW!AM16</f>
        <v>0</v>
      </c>
      <c r="AN16" s="3">
        <f t="shared" si="4"/>
        <v>0</v>
      </c>
    </row>
    <row r="17" spans="2:40">
      <c r="B17" s="48">
        <f>'PGE Ratepayer Costs'!A11</f>
        <v>2021</v>
      </c>
      <c r="C17" s="84">
        <f>'RatepayerCosts_160MW+50MW'!C17-RatepayerCosts_160MW!C17</f>
        <v>0</v>
      </c>
      <c r="D17" s="84">
        <f>'RatepayerCosts_160MW+50MW'!D17-RatepayerCosts_160MW!D17</f>
        <v>0</v>
      </c>
      <c r="E17" s="89">
        <f>'RatepayerCosts_160MW+50MW'!E17-RatepayerCosts_160MW!E17</f>
        <v>0</v>
      </c>
      <c r="F17" s="89">
        <f>'RatepayerCosts_160MW+50MW'!F17-RatepayerCosts_160MW!F17</f>
        <v>0</v>
      </c>
      <c r="G17" s="89">
        <f>'RatepayerCosts_160MW+50MW'!G17-RatepayerCosts_160MW!G17</f>
        <v>0</v>
      </c>
      <c r="H17" s="89">
        <f>'RatepayerCosts_160MW+50MW'!H17-RatepayerCosts_160MW!H17</f>
        <v>0</v>
      </c>
      <c r="I17" s="89">
        <f>'RatepayerCosts_160MW+50MW'!I17-RatepayerCosts_160MW!I17</f>
        <v>0</v>
      </c>
      <c r="J17" s="89">
        <f>'RatepayerCosts_160MW+50MW'!J17-RatepayerCosts_160MW!J17</f>
        <v>0</v>
      </c>
      <c r="K17" s="89">
        <f>'RatepayerCosts_160MW+50MW'!K17-RatepayerCosts_160MW!K17</f>
        <v>0</v>
      </c>
      <c r="L17" s="89">
        <f>'RatepayerCosts_160MW+50MW'!L17-RatepayerCosts_160MW!L17</f>
        <v>0</v>
      </c>
      <c r="P17" s="84">
        <f>'PAC Ratepayer Costs'!A11</f>
        <v>2021</v>
      </c>
      <c r="Q17" s="96">
        <f>'PAC Ratepayer Costs'!B11-RatepayerCosts_160MW!Q17</f>
        <v>0</v>
      </c>
      <c r="R17" s="96">
        <f>'PAC Ratepayer Costs'!C11-RatepayerCosts_160MW!R17</f>
        <v>0</v>
      </c>
      <c r="S17" s="3">
        <f>'RatepayerCosts_160MW+50MW'!S17-RatepayerCosts_160MW!S17</f>
        <v>0</v>
      </c>
      <c r="T17" s="3">
        <f>'RatepayerCosts_160MW+50MW'!T17-RatepayerCosts_160MW!T17</f>
        <v>0</v>
      </c>
      <c r="U17" s="3">
        <f>'RatepayerCosts_160MW+50MW'!U17-RatepayerCosts_160MW!U17</f>
        <v>0</v>
      </c>
      <c r="V17" s="89">
        <f t="shared" si="1"/>
        <v>0</v>
      </c>
      <c r="W17" s="89">
        <f>'RatepayerCosts_160MW+50MW'!W17-RatepayerCosts_160MW!W17</f>
        <v>0</v>
      </c>
      <c r="X17" s="89">
        <f>'RatepayerCosts_160MW+50MW'!X17-RatepayerCosts_160MW!X17</f>
        <v>0</v>
      </c>
      <c r="Y17" s="89">
        <f>'RatepayerCosts_160MW+50MW'!Y17-RatepayerCosts_160MW!Y17</f>
        <v>0</v>
      </c>
      <c r="Z17" s="89">
        <f t="shared" si="2"/>
        <v>0</v>
      </c>
      <c r="AD17" s="48">
        <f>'IPC Ratepayer Costs'!A11</f>
        <v>2021</v>
      </c>
      <c r="AE17" s="96">
        <f>'IPC Ratepayer Costs'!B11-'RatepayerCosts_160MW+50MW'!AE17</f>
        <v>0</v>
      </c>
      <c r="AF17" s="96">
        <f>'IPC Ratepayer Costs'!C11-'RatepayerCosts_160MW+50MW'!AF17</f>
        <v>0</v>
      </c>
      <c r="AG17" s="3">
        <f>'RatepayerCosts_160MW+50MW'!AG17-RatepayerCosts_160MW!AG17</f>
        <v>0</v>
      </c>
      <c r="AH17" s="3">
        <f>'RatepayerCosts_160MW+50MW'!AH17-RatepayerCosts_160MW!AH17</f>
        <v>0</v>
      </c>
      <c r="AI17" s="3">
        <f>'RatepayerCosts_160MW+50MW'!AI17-RatepayerCosts_160MW!AI17</f>
        <v>0</v>
      </c>
      <c r="AJ17" s="3">
        <f t="shared" si="3"/>
        <v>0</v>
      </c>
      <c r="AK17" s="3">
        <f>'RatepayerCosts_160MW+50MW'!AK17-RatepayerCosts_160MW!AK17</f>
        <v>0</v>
      </c>
      <c r="AL17" s="3">
        <f>'RatepayerCosts_160MW+50MW'!AL17-RatepayerCosts_160MW!AL17</f>
        <v>0</v>
      </c>
      <c r="AM17" s="3">
        <f>'RatepayerCosts_160MW+50MW'!AM17-RatepayerCosts_160MW!AM17</f>
        <v>0</v>
      </c>
      <c r="AN17" s="3">
        <f t="shared" si="4"/>
        <v>0</v>
      </c>
    </row>
    <row r="18" spans="2:40">
      <c r="B18" s="48">
        <f>'PGE Ratepayer Costs'!A12</f>
        <v>2022</v>
      </c>
      <c r="C18" s="84">
        <f>'RatepayerCosts_160MW+50MW'!C18-RatepayerCosts_160MW!C18</f>
        <v>0</v>
      </c>
      <c r="D18" s="84">
        <f>'RatepayerCosts_160MW+50MW'!D18-RatepayerCosts_160MW!D18</f>
        <v>0</v>
      </c>
      <c r="E18" s="89">
        <f>'RatepayerCosts_160MW+50MW'!E18-RatepayerCosts_160MW!E18</f>
        <v>0</v>
      </c>
      <c r="F18" s="89">
        <f>'RatepayerCosts_160MW+50MW'!F18-RatepayerCosts_160MW!F18</f>
        <v>0</v>
      </c>
      <c r="G18" s="89">
        <f>'RatepayerCosts_160MW+50MW'!G18-RatepayerCosts_160MW!G18</f>
        <v>0</v>
      </c>
      <c r="H18" s="89">
        <f>'RatepayerCosts_160MW+50MW'!H18-RatepayerCosts_160MW!H18</f>
        <v>0</v>
      </c>
      <c r="I18" s="89">
        <f>'RatepayerCosts_160MW+50MW'!I18-RatepayerCosts_160MW!I18</f>
        <v>0</v>
      </c>
      <c r="J18" s="89">
        <f>'RatepayerCosts_160MW+50MW'!J18-RatepayerCosts_160MW!J18</f>
        <v>0</v>
      </c>
      <c r="K18" s="89">
        <f>'RatepayerCosts_160MW+50MW'!K18-RatepayerCosts_160MW!K18</f>
        <v>0</v>
      </c>
      <c r="L18" s="89">
        <f>'RatepayerCosts_160MW+50MW'!L18-RatepayerCosts_160MW!L18</f>
        <v>0</v>
      </c>
      <c r="P18" s="84">
        <f>'PAC Ratepayer Costs'!A12</f>
        <v>2022</v>
      </c>
      <c r="Q18" s="96">
        <f>'PAC Ratepayer Costs'!B12-RatepayerCosts_160MW!Q18</f>
        <v>0</v>
      </c>
      <c r="R18" s="96">
        <f>'PAC Ratepayer Costs'!C12-RatepayerCosts_160MW!R18</f>
        <v>0</v>
      </c>
      <c r="S18" s="3">
        <f>'RatepayerCosts_160MW+50MW'!S18-RatepayerCosts_160MW!S18</f>
        <v>0</v>
      </c>
      <c r="T18" s="3">
        <f>'RatepayerCosts_160MW+50MW'!T18-RatepayerCosts_160MW!T18</f>
        <v>0</v>
      </c>
      <c r="U18" s="3">
        <f>'RatepayerCosts_160MW+50MW'!U18-RatepayerCosts_160MW!U18</f>
        <v>0</v>
      </c>
      <c r="V18" s="89">
        <f t="shared" si="1"/>
        <v>0</v>
      </c>
      <c r="W18" s="89">
        <f>'RatepayerCosts_160MW+50MW'!W18-RatepayerCosts_160MW!W18</f>
        <v>0</v>
      </c>
      <c r="X18" s="89">
        <f>'RatepayerCosts_160MW+50MW'!X18-RatepayerCosts_160MW!X18</f>
        <v>0</v>
      </c>
      <c r="Y18" s="89">
        <f>'RatepayerCosts_160MW+50MW'!Y18-RatepayerCosts_160MW!Y18</f>
        <v>0</v>
      </c>
      <c r="Z18" s="89">
        <f t="shared" si="2"/>
        <v>0</v>
      </c>
      <c r="AD18" s="48">
        <f>'IPC Ratepayer Costs'!A12</f>
        <v>2022</v>
      </c>
      <c r="AE18" s="96">
        <f>'IPC Ratepayer Costs'!B12-'RatepayerCosts_160MW+50MW'!AE18</f>
        <v>0</v>
      </c>
      <c r="AF18" s="96">
        <f>'IPC Ratepayer Costs'!C12-'RatepayerCosts_160MW+50MW'!AF18</f>
        <v>0</v>
      </c>
      <c r="AG18" s="3">
        <f>'RatepayerCosts_160MW+50MW'!AG18-RatepayerCosts_160MW!AG18</f>
        <v>0</v>
      </c>
      <c r="AH18" s="3">
        <f>'RatepayerCosts_160MW+50MW'!AH18-RatepayerCosts_160MW!AH18</f>
        <v>0</v>
      </c>
      <c r="AI18" s="3">
        <f>'RatepayerCosts_160MW+50MW'!AI18-RatepayerCosts_160MW!AI18</f>
        <v>0</v>
      </c>
      <c r="AJ18" s="3">
        <f t="shared" si="3"/>
        <v>0</v>
      </c>
      <c r="AK18" s="3">
        <f>'RatepayerCosts_160MW+50MW'!AK18-RatepayerCosts_160MW!AK18</f>
        <v>0</v>
      </c>
      <c r="AL18" s="3">
        <f>'RatepayerCosts_160MW+50MW'!AL18-RatepayerCosts_160MW!AL18</f>
        <v>0</v>
      </c>
      <c r="AM18" s="3">
        <f>'RatepayerCosts_160MW+50MW'!AM18-RatepayerCosts_160MW!AM18</f>
        <v>0</v>
      </c>
      <c r="AN18" s="3">
        <f t="shared" si="4"/>
        <v>0</v>
      </c>
    </row>
    <row r="19" spans="2:40">
      <c r="B19" s="48">
        <f>'PGE Ratepayer Costs'!A13</f>
        <v>2023</v>
      </c>
      <c r="C19" s="84">
        <f>'RatepayerCosts_160MW+50MW'!C19-RatepayerCosts_160MW!C19</f>
        <v>0</v>
      </c>
      <c r="D19" s="84">
        <f>'RatepayerCosts_160MW+50MW'!D19-RatepayerCosts_160MW!D19</f>
        <v>0</v>
      </c>
      <c r="E19" s="89">
        <f>'RatepayerCosts_160MW+50MW'!E19-RatepayerCosts_160MW!E19</f>
        <v>0</v>
      </c>
      <c r="F19" s="89">
        <f>'RatepayerCosts_160MW+50MW'!F19-RatepayerCosts_160MW!F19</f>
        <v>0</v>
      </c>
      <c r="G19" s="89">
        <f>'RatepayerCosts_160MW+50MW'!G19-RatepayerCosts_160MW!G19</f>
        <v>0</v>
      </c>
      <c r="H19" s="89">
        <f>'RatepayerCosts_160MW+50MW'!H19-RatepayerCosts_160MW!H19</f>
        <v>0</v>
      </c>
      <c r="I19" s="89">
        <f>'RatepayerCosts_160MW+50MW'!I19-RatepayerCosts_160MW!I19</f>
        <v>0</v>
      </c>
      <c r="J19" s="89">
        <f>'RatepayerCosts_160MW+50MW'!J19-RatepayerCosts_160MW!J19</f>
        <v>0</v>
      </c>
      <c r="K19" s="89">
        <f>'RatepayerCosts_160MW+50MW'!K19-RatepayerCosts_160MW!K19</f>
        <v>0</v>
      </c>
      <c r="L19" s="89">
        <f>'RatepayerCosts_160MW+50MW'!L19-RatepayerCosts_160MW!L19</f>
        <v>0</v>
      </c>
      <c r="P19" s="84">
        <f>'PAC Ratepayer Costs'!A13</f>
        <v>2023</v>
      </c>
      <c r="Q19" s="96">
        <f>'PAC Ratepayer Costs'!B13-RatepayerCosts_160MW!Q19</f>
        <v>0</v>
      </c>
      <c r="R19" s="96">
        <f>'PAC Ratepayer Costs'!C13-RatepayerCosts_160MW!R19</f>
        <v>0</v>
      </c>
      <c r="S19" s="3">
        <f>'RatepayerCosts_160MW+50MW'!S19-RatepayerCosts_160MW!S19</f>
        <v>0</v>
      </c>
      <c r="T19" s="3">
        <f>'RatepayerCosts_160MW+50MW'!T19-RatepayerCosts_160MW!T19</f>
        <v>0</v>
      </c>
      <c r="U19" s="3">
        <f>'RatepayerCosts_160MW+50MW'!U19-RatepayerCosts_160MW!U19</f>
        <v>0</v>
      </c>
      <c r="V19" s="89">
        <f t="shared" si="1"/>
        <v>0</v>
      </c>
      <c r="W19" s="89">
        <f>'RatepayerCosts_160MW+50MW'!W19-RatepayerCosts_160MW!W19</f>
        <v>0</v>
      </c>
      <c r="X19" s="89">
        <f>'RatepayerCosts_160MW+50MW'!X19-RatepayerCosts_160MW!X19</f>
        <v>0</v>
      </c>
      <c r="Y19" s="89">
        <f>'RatepayerCosts_160MW+50MW'!Y19-RatepayerCosts_160MW!Y19</f>
        <v>0</v>
      </c>
      <c r="Z19" s="89">
        <f t="shared" si="2"/>
        <v>0</v>
      </c>
      <c r="AD19" s="48">
        <f>'IPC Ratepayer Costs'!A13</f>
        <v>2023</v>
      </c>
      <c r="AE19" s="96">
        <f>'IPC Ratepayer Costs'!B13-'RatepayerCosts_160MW+50MW'!AE19</f>
        <v>0</v>
      </c>
      <c r="AF19" s="96">
        <f>'IPC Ratepayer Costs'!C13-'RatepayerCosts_160MW+50MW'!AF19</f>
        <v>0</v>
      </c>
      <c r="AG19" s="3">
        <f>'RatepayerCosts_160MW+50MW'!AG19-RatepayerCosts_160MW!AG19</f>
        <v>0</v>
      </c>
      <c r="AH19" s="3">
        <f>'RatepayerCosts_160MW+50MW'!AH19-RatepayerCosts_160MW!AH19</f>
        <v>0</v>
      </c>
      <c r="AI19" s="3">
        <f>'RatepayerCosts_160MW+50MW'!AI19-RatepayerCosts_160MW!AI19</f>
        <v>0</v>
      </c>
      <c r="AJ19" s="3">
        <f t="shared" si="3"/>
        <v>0</v>
      </c>
      <c r="AK19" s="3">
        <f>'RatepayerCosts_160MW+50MW'!AK19-RatepayerCosts_160MW!AK19</f>
        <v>0</v>
      </c>
      <c r="AL19" s="3">
        <f>'RatepayerCosts_160MW+50MW'!AL19-RatepayerCosts_160MW!AL19</f>
        <v>0</v>
      </c>
      <c r="AM19" s="3">
        <f>'RatepayerCosts_160MW+50MW'!AM19-RatepayerCosts_160MW!AM19</f>
        <v>0</v>
      </c>
      <c r="AN19" s="3">
        <f t="shared" si="4"/>
        <v>0</v>
      </c>
    </row>
    <row r="20" spans="2:40">
      <c r="B20" s="48">
        <f>'PGE Ratepayer Costs'!A14</f>
        <v>2024</v>
      </c>
      <c r="C20" s="84">
        <f>'RatepayerCosts_160MW+50MW'!C20-RatepayerCosts_160MW!C20</f>
        <v>0</v>
      </c>
      <c r="D20" s="84">
        <f>'RatepayerCosts_160MW+50MW'!D20-RatepayerCosts_160MW!D20</f>
        <v>0</v>
      </c>
      <c r="E20" s="89">
        <f>'RatepayerCosts_160MW+50MW'!E20-RatepayerCosts_160MW!E20</f>
        <v>0</v>
      </c>
      <c r="F20" s="89">
        <f>'RatepayerCosts_160MW+50MW'!F20-RatepayerCosts_160MW!F20</f>
        <v>0</v>
      </c>
      <c r="G20" s="89">
        <f>'RatepayerCosts_160MW+50MW'!G20-RatepayerCosts_160MW!G20</f>
        <v>0</v>
      </c>
      <c r="H20" s="89">
        <f>'RatepayerCosts_160MW+50MW'!H20-RatepayerCosts_160MW!H20</f>
        <v>0</v>
      </c>
      <c r="I20" s="89">
        <f>'RatepayerCosts_160MW+50MW'!I20-RatepayerCosts_160MW!I20</f>
        <v>0</v>
      </c>
      <c r="J20" s="89">
        <f>'RatepayerCosts_160MW+50MW'!J20-RatepayerCosts_160MW!J20</f>
        <v>0</v>
      </c>
      <c r="K20" s="89">
        <f>'RatepayerCosts_160MW+50MW'!K20-RatepayerCosts_160MW!K20</f>
        <v>0</v>
      </c>
      <c r="L20" s="89">
        <f>'RatepayerCosts_160MW+50MW'!L20-RatepayerCosts_160MW!L20</f>
        <v>0</v>
      </c>
      <c r="P20" s="84">
        <f>'PAC Ratepayer Costs'!A14</f>
        <v>2024</v>
      </c>
      <c r="Q20" s="96">
        <f>'PAC Ratepayer Costs'!B14-RatepayerCosts_160MW!Q20</f>
        <v>0</v>
      </c>
      <c r="R20" s="96">
        <f>'PAC Ratepayer Costs'!C14-RatepayerCosts_160MW!R20</f>
        <v>0</v>
      </c>
      <c r="S20" s="3">
        <f>'RatepayerCosts_160MW+50MW'!S20-RatepayerCosts_160MW!S20</f>
        <v>0</v>
      </c>
      <c r="T20" s="3">
        <f>'RatepayerCosts_160MW+50MW'!T20-RatepayerCosts_160MW!T20</f>
        <v>0</v>
      </c>
      <c r="U20" s="3">
        <f>'RatepayerCosts_160MW+50MW'!U20-RatepayerCosts_160MW!U20</f>
        <v>0</v>
      </c>
      <c r="V20" s="89">
        <f t="shared" si="1"/>
        <v>0</v>
      </c>
      <c r="W20" s="89">
        <f>'RatepayerCosts_160MW+50MW'!W20-RatepayerCosts_160MW!W20</f>
        <v>0</v>
      </c>
      <c r="X20" s="89">
        <f>'RatepayerCosts_160MW+50MW'!X20-RatepayerCosts_160MW!X20</f>
        <v>0</v>
      </c>
      <c r="Y20" s="89">
        <f>'RatepayerCosts_160MW+50MW'!Y20-RatepayerCosts_160MW!Y20</f>
        <v>0</v>
      </c>
      <c r="Z20" s="89">
        <f t="shared" si="2"/>
        <v>0</v>
      </c>
      <c r="AD20" s="48">
        <f>'IPC Ratepayer Costs'!A14</f>
        <v>2024</v>
      </c>
      <c r="AE20" s="96">
        <f>'IPC Ratepayer Costs'!B14-'RatepayerCosts_160MW+50MW'!AE20</f>
        <v>0</v>
      </c>
      <c r="AF20" s="96">
        <f>'IPC Ratepayer Costs'!C14-'RatepayerCosts_160MW+50MW'!AF20</f>
        <v>0</v>
      </c>
      <c r="AG20" s="3">
        <f>'RatepayerCosts_160MW+50MW'!AG20-RatepayerCosts_160MW!AG20</f>
        <v>0</v>
      </c>
      <c r="AH20" s="3">
        <f>'RatepayerCosts_160MW+50MW'!AH20-RatepayerCosts_160MW!AH20</f>
        <v>0</v>
      </c>
      <c r="AI20" s="3">
        <f>'RatepayerCosts_160MW+50MW'!AI20-RatepayerCosts_160MW!AI20</f>
        <v>0</v>
      </c>
      <c r="AJ20" s="3">
        <f t="shared" si="3"/>
        <v>0</v>
      </c>
      <c r="AK20" s="3">
        <f>'RatepayerCosts_160MW+50MW'!AK20-RatepayerCosts_160MW!AK20</f>
        <v>0</v>
      </c>
      <c r="AL20" s="3">
        <f>'RatepayerCosts_160MW+50MW'!AL20-RatepayerCosts_160MW!AL20</f>
        <v>0</v>
      </c>
      <c r="AM20" s="3">
        <f>'RatepayerCosts_160MW+50MW'!AM20-RatepayerCosts_160MW!AM20</f>
        <v>0</v>
      </c>
      <c r="AN20" s="3">
        <f t="shared" si="4"/>
        <v>0</v>
      </c>
    </row>
    <row r="21" spans="2:40">
      <c r="B21" s="48">
        <f>'PGE Ratepayer Costs'!A15</f>
        <v>2025</v>
      </c>
      <c r="C21" s="84">
        <f>'RatepayerCosts_160MW+50MW'!C21-RatepayerCosts_160MW!C21</f>
        <v>0</v>
      </c>
      <c r="D21" s="84">
        <f>'RatepayerCosts_160MW+50MW'!D21-RatepayerCosts_160MW!D21</f>
        <v>0</v>
      </c>
      <c r="E21" s="89">
        <f>'RatepayerCosts_160MW+50MW'!E21-RatepayerCosts_160MW!E21</f>
        <v>0</v>
      </c>
      <c r="F21" s="89">
        <f>'RatepayerCosts_160MW+50MW'!F21-RatepayerCosts_160MW!F21</f>
        <v>0</v>
      </c>
      <c r="G21" s="89">
        <f>'RatepayerCosts_160MW+50MW'!G21-RatepayerCosts_160MW!G21</f>
        <v>0</v>
      </c>
      <c r="H21" s="89">
        <f>'RatepayerCosts_160MW+50MW'!H21-RatepayerCosts_160MW!H21</f>
        <v>0</v>
      </c>
      <c r="I21" s="89">
        <f>'RatepayerCosts_160MW+50MW'!I21-RatepayerCosts_160MW!I21</f>
        <v>0</v>
      </c>
      <c r="J21" s="89">
        <f>'RatepayerCosts_160MW+50MW'!J21-RatepayerCosts_160MW!J21</f>
        <v>0</v>
      </c>
      <c r="K21" s="89">
        <f>'RatepayerCosts_160MW+50MW'!K21-RatepayerCosts_160MW!K21</f>
        <v>0</v>
      </c>
      <c r="L21" s="89">
        <f>'RatepayerCosts_160MW+50MW'!L21-RatepayerCosts_160MW!L21</f>
        <v>0</v>
      </c>
      <c r="P21" s="84">
        <f>'PAC Ratepayer Costs'!A15</f>
        <v>2025</v>
      </c>
      <c r="Q21" s="96">
        <f>'PAC Ratepayer Costs'!B15-RatepayerCosts_160MW!Q21</f>
        <v>0</v>
      </c>
      <c r="R21" s="96">
        <f>'PAC Ratepayer Costs'!C15-RatepayerCosts_160MW!R21</f>
        <v>0</v>
      </c>
      <c r="S21" s="3">
        <f>'RatepayerCosts_160MW+50MW'!S21-RatepayerCosts_160MW!S21</f>
        <v>0</v>
      </c>
      <c r="T21" s="3">
        <f>'RatepayerCosts_160MW+50MW'!T21-RatepayerCosts_160MW!T21</f>
        <v>0</v>
      </c>
      <c r="U21" s="3">
        <f>'RatepayerCosts_160MW+50MW'!U21-RatepayerCosts_160MW!U21</f>
        <v>0</v>
      </c>
      <c r="V21" s="89">
        <f t="shared" si="1"/>
        <v>0</v>
      </c>
      <c r="W21" s="89">
        <f>'RatepayerCosts_160MW+50MW'!W21-RatepayerCosts_160MW!W21</f>
        <v>0</v>
      </c>
      <c r="X21" s="89">
        <f>'RatepayerCosts_160MW+50MW'!X21-RatepayerCosts_160MW!X21</f>
        <v>0</v>
      </c>
      <c r="Y21" s="89">
        <f>'RatepayerCosts_160MW+50MW'!Y21-RatepayerCosts_160MW!Y21</f>
        <v>0</v>
      </c>
      <c r="Z21" s="89">
        <f t="shared" si="2"/>
        <v>0</v>
      </c>
      <c r="AD21" s="48">
        <f>'IPC Ratepayer Costs'!A15</f>
        <v>2025</v>
      </c>
      <c r="AE21" s="96">
        <f>'IPC Ratepayer Costs'!B15-'RatepayerCosts_160MW+50MW'!AE21</f>
        <v>0</v>
      </c>
      <c r="AF21" s="96">
        <f>'IPC Ratepayer Costs'!C15-'RatepayerCosts_160MW+50MW'!AF21</f>
        <v>0</v>
      </c>
      <c r="AG21" s="3">
        <f>'RatepayerCosts_160MW+50MW'!AG21-RatepayerCosts_160MW!AG21</f>
        <v>0</v>
      </c>
      <c r="AH21" s="3">
        <f>'RatepayerCosts_160MW+50MW'!AH21-RatepayerCosts_160MW!AH21</f>
        <v>0</v>
      </c>
      <c r="AI21" s="3">
        <f>'RatepayerCosts_160MW+50MW'!AI21-RatepayerCosts_160MW!AI21</f>
        <v>0</v>
      </c>
      <c r="AJ21" s="3">
        <f t="shared" si="3"/>
        <v>0</v>
      </c>
      <c r="AK21" s="3">
        <f>'RatepayerCosts_160MW+50MW'!AK21-RatepayerCosts_160MW!AK21</f>
        <v>0</v>
      </c>
      <c r="AL21" s="3">
        <f>'RatepayerCosts_160MW+50MW'!AL21-RatepayerCosts_160MW!AL21</f>
        <v>0</v>
      </c>
      <c r="AM21" s="3">
        <f>'RatepayerCosts_160MW+50MW'!AM21-RatepayerCosts_160MW!AM21</f>
        <v>0</v>
      </c>
      <c r="AN21" s="3">
        <f t="shared" si="4"/>
        <v>0</v>
      </c>
    </row>
    <row r="22" spans="2:40">
      <c r="B22" s="48">
        <f>'PGE Ratepayer Costs'!A16</f>
        <v>2026</v>
      </c>
      <c r="C22" s="84">
        <f>'RatepayerCosts_160MW+50MW'!C22-RatepayerCosts_160MW!C22</f>
        <v>0</v>
      </c>
      <c r="D22" s="84">
        <f>'RatepayerCosts_160MW+50MW'!D22-RatepayerCosts_160MW!D22</f>
        <v>0</v>
      </c>
      <c r="E22" s="89">
        <f>'RatepayerCosts_160MW+50MW'!E22-RatepayerCosts_160MW!E22</f>
        <v>0</v>
      </c>
      <c r="F22" s="89">
        <f>'RatepayerCosts_160MW+50MW'!F22-RatepayerCosts_160MW!F22</f>
        <v>0</v>
      </c>
      <c r="G22" s="89">
        <f>'RatepayerCosts_160MW+50MW'!G22-RatepayerCosts_160MW!G22</f>
        <v>0</v>
      </c>
      <c r="H22" s="89">
        <f>'RatepayerCosts_160MW+50MW'!H22-RatepayerCosts_160MW!H22</f>
        <v>0</v>
      </c>
      <c r="I22" s="89">
        <f>'RatepayerCosts_160MW+50MW'!I22-RatepayerCosts_160MW!I22</f>
        <v>0</v>
      </c>
      <c r="J22" s="89">
        <f>'RatepayerCosts_160MW+50MW'!J22-RatepayerCosts_160MW!J22</f>
        <v>0</v>
      </c>
      <c r="K22" s="89">
        <f>'RatepayerCosts_160MW+50MW'!K22-RatepayerCosts_160MW!K22</f>
        <v>0</v>
      </c>
      <c r="L22" s="89">
        <f>'RatepayerCosts_160MW+50MW'!L22-RatepayerCosts_160MW!L22</f>
        <v>0</v>
      </c>
      <c r="P22" s="84">
        <f>'PAC Ratepayer Costs'!A16</f>
        <v>2026</v>
      </c>
      <c r="Q22" s="96">
        <f>'PAC Ratepayer Costs'!B16-RatepayerCosts_160MW!Q22</f>
        <v>0</v>
      </c>
      <c r="R22" s="96">
        <f>'PAC Ratepayer Costs'!C16-RatepayerCosts_160MW!R22</f>
        <v>0</v>
      </c>
      <c r="S22" s="3">
        <f>'RatepayerCosts_160MW+50MW'!S22-RatepayerCosts_160MW!S22</f>
        <v>0</v>
      </c>
      <c r="T22" s="3">
        <f>'RatepayerCosts_160MW+50MW'!T22-RatepayerCosts_160MW!T22</f>
        <v>0</v>
      </c>
      <c r="U22" s="3">
        <f>'RatepayerCosts_160MW+50MW'!U22-RatepayerCosts_160MW!U22</f>
        <v>0</v>
      </c>
      <c r="V22" s="89">
        <f t="shared" si="1"/>
        <v>0</v>
      </c>
      <c r="W22" s="89">
        <f>'RatepayerCosts_160MW+50MW'!W22-RatepayerCosts_160MW!W22</f>
        <v>0</v>
      </c>
      <c r="X22" s="89">
        <f>'RatepayerCosts_160MW+50MW'!X22-RatepayerCosts_160MW!X22</f>
        <v>0</v>
      </c>
      <c r="Y22" s="89">
        <f>'RatepayerCosts_160MW+50MW'!Y22-RatepayerCosts_160MW!Y22</f>
        <v>0</v>
      </c>
      <c r="Z22" s="89">
        <f t="shared" si="2"/>
        <v>0</v>
      </c>
      <c r="AD22" s="48">
        <f>'IPC Ratepayer Costs'!A16</f>
        <v>2026</v>
      </c>
      <c r="AE22" s="96">
        <f>'IPC Ratepayer Costs'!B16-'RatepayerCosts_160MW+50MW'!AE22</f>
        <v>0</v>
      </c>
      <c r="AF22" s="96">
        <f>'IPC Ratepayer Costs'!C16-'RatepayerCosts_160MW+50MW'!AF22</f>
        <v>0</v>
      </c>
      <c r="AG22" s="3">
        <f>'RatepayerCosts_160MW+50MW'!AG22-RatepayerCosts_160MW!AG22</f>
        <v>0</v>
      </c>
      <c r="AH22" s="3">
        <f>'RatepayerCosts_160MW+50MW'!AH22-RatepayerCosts_160MW!AH22</f>
        <v>0</v>
      </c>
      <c r="AI22" s="3">
        <f>'RatepayerCosts_160MW+50MW'!AI22-RatepayerCosts_160MW!AI22</f>
        <v>0</v>
      </c>
      <c r="AJ22" s="3">
        <f t="shared" si="3"/>
        <v>0</v>
      </c>
      <c r="AK22" s="3">
        <f>'RatepayerCosts_160MW+50MW'!AK22-RatepayerCosts_160MW!AK22</f>
        <v>0</v>
      </c>
      <c r="AL22" s="3">
        <f>'RatepayerCosts_160MW+50MW'!AL22-RatepayerCosts_160MW!AL22</f>
        <v>0</v>
      </c>
      <c r="AM22" s="3">
        <f>'RatepayerCosts_160MW+50MW'!AM22-RatepayerCosts_160MW!AM22</f>
        <v>0</v>
      </c>
      <c r="AN22" s="3">
        <f t="shared" si="4"/>
        <v>0</v>
      </c>
    </row>
    <row r="23" spans="2:40">
      <c r="B23" s="48">
        <f>'PGE Ratepayer Costs'!A17</f>
        <v>2027</v>
      </c>
      <c r="C23" s="84">
        <f>'RatepayerCosts_160MW+50MW'!C23-RatepayerCosts_160MW!C23</f>
        <v>0</v>
      </c>
      <c r="D23" s="84">
        <f>'RatepayerCosts_160MW+50MW'!D23-RatepayerCosts_160MW!D23</f>
        <v>0</v>
      </c>
      <c r="E23" s="89">
        <f>'RatepayerCosts_160MW+50MW'!E23-RatepayerCosts_160MW!E23</f>
        <v>0</v>
      </c>
      <c r="F23" s="89">
        <f>'RatepayerCosts_160MW+50MW'!F23-RatepayerCosts_160MW!F23</f>
        <v>-72311.890000000014</v>
      </c>
      <c r="G23" s="89">
        <f>'RatepayerCosts_160MW+50MW'!G23-RatepayerCosts_160MW!G23</f>
        <v>0</v>
      </c>
      <c r="H23" s="89">
        <f>'RatepayerCosts_160MW+50MW'!H23-RatepayerCosts_160MW!H23</f>
        <v>-72311.890000000596</v>
      </c>
      <c r="I23" s="89">
        <f>'RatepayerCosts_160MW+50MW'!I23-RatepayerCosts_160MW!I23</f>
        <v>0</v>
      </c>
      <c r="J23" s="89">
        <f>'RatepayerCosts_160MW+50MW'!J23-RatepayerCosts_160MW!J23</f>
        <v>-66406.180000000051</v>
      </c>
      <c r="K23" s="89">
        <f>'RatepayerCosts_160MW+50MW'!K23-RatepayerCosts_160MW!K23</f>
        <v>0</v>
      </c>
      <c r="L23" s="89">
        <f>'RatepayerCosts_160MW+50MW'!L23-RatepayerCosts_160MW!L23</f>
        <v>-66406.179999999702</v>
      </c>
      <c r="P23" s="84">
        <f>'PAC Ratepayer Costs'!A17</f>
        <v>2027</v>
      </c>
      <c r="Q23" s="96">
        <f>'PAC Ratepayer Costs'!B17-RatepayerCosts_160MW!Q23</f>
        <v>0</v>
      </c>
      <c r="R23" s="96">
        <f>'PAC Ratepayer Costs'!C17-RatepayerCosts_160MW!R23</f>
        <v>0</v>
      </c>
      <c r="S23" s="3">
        <f>'RatepayerCosts_160MW+50MW'!S23-RatepayerCosts_160MW!S23</f>
        <v>0</v>
      </c>
      <c r="T23" s="3">
        <f>'RatepayerCosts_160MW+50MW'!T23-RatepayerCosts_160MW!T23</f>
        <v>-50148.659999999916</v>
      </c>
      <c r="U23" s="3">
        <f>'RatepayerCosts_160MW+50MW'!U23-RatepayerCosts_160MW!U23</f>
        <v>0</v>
      </c>
      <c r="V23" s="89">
        <f t="shared" si="1"/>
        <v>-50148.659999999916</v>
      </c>
      <c r="W23" s="89">
        <f>'RatepayerCosts_160MW+50MW'!W23-RatepayerCosts_160MW!W23</f>
        <v>0</v>
      </c>
      <c r="X23" s="89">
        <f>'RatepayerCosts_160MW+50MW'!X23-RatepayerCosts_160MW!X23</f>
        <v>-46053.020000000019</v>
      </c>
      <c r="Y23" s="89">
        <f>'RatepayerCosts_160MW+50MW'!Y23-RatepayerCosts_160MW!Y23</f>
        <v>0</v>
      </c>
      <c r="Z23" s="89">
        <f t="shared" si="2"/>
        <v>-46053.020000000019</v>
      </c>
      <c r="AD23" s="48">
        <f>'IPC Ratepayer Costs'!A17</f>
        <v>2027</v>
      </c>
      <c r="AE23" s="96">
        <f>'IPC Ratepayer Costs'!B17-'RatepayerCosts_160MW+50MW'!AE23</f>
        <v>0</v>
      </c>
      <c r="AF23" s="96">
        <f>'IPC Ratepayer Costs'!C17-'RatepayerCosts_160MW+50MW'!AF23</f>
        <v>0</v>
      </c>
      <c r="AG23" s="3">
        <f>'RatepayerCosts_160MW+50MW'!AG23-RatepayerCosts_160MW!AG23</f>
        <v>0</v>
      </c>
      <c r="AH23" s="3">
        <f>'RatepayerCosts_160MW+50MW'!AH23-RatepayerCosts_160MW!AH23</f>
        <v>-2539.4599999999991</v>
      </c>
      <c r="AI23" s="3">
        <f>'RatepayerCosts_160MW+50MW'!AI23-RatepayerCosts_160MW!AI23</f>
        <v>0</v>
      </c>
      <c r="AJ23" s="3">
        <f t="shared" si="3"/>
        <v>-2539.4599999999991</v>
      </c>
      <c r="AK23" s="3">
        <f>'RatepayerCosts_160MW+50MW'!AK23-RatepayerCosts_160MW!AK23</f>
        <v>0</v>
      </c>
      <c r="AL23" s="3">
        <f>'RatepayerCosts_160MW+50MW'!AL23-RatepayerCosts_160MW!AL23</f>
        <v>-2332.0600000000013</v>
      </c>
      <c r="AM23" s="3">
        <f>'RatepayerCosts_160MW+50MW'!AM23-RatepayerCosts_160MW!AM23</f>
        <v>0</v>
      </c>
      <c r="AN23" s="3">
        <f t="shared" si="4"/>
        <v>-2332.0600000000013</v>
      </c>
    </row>
    <row r="24" spans="2:40">
      <c r="B24" s="48">
        <f>'PGE Ratepayer Costs'!A18</f>
        <v>2028</v>
      </c>
      <c r="C24" s="84">
        <f>'RatepayerCosts_160MW+50MW'!C24-RatepayerCosts_160MW!C24</f>
        <v>10</v>
      </c>
      <c r="D24" s="84">
        <f>'RatepayerCosts_160MW+50MW'!D24-RatepayerCosts_160MW!D24</f>
        <v>1466.5132249999988</v>
      </c>
      <c r="E24" s="89">
        <f>'RatepayerCosts_160MW+50MW'!E24-RatepayerCosts_160MW!E24</f>
        <v>1148583.0399999991</v>
      </c>
      <c r="F24" s="89">
        <f>'RatepayerCosts_160MW+50MW'!F24-RatepayerCosts_160MW!F24</f>
        <v>-122098.60999999999</v>
      </c>
      <c r="G24" s="89">
        <f>'RatepayerCosts_160MW+50MW'!G24-RatepayerCosts_160MW!G24</f>
        <v>-5939.9999999999982</v>
      </c>
      <c r="H24" s="89">
        <f>'RatepayerCosts_160MW+50MW'!H24-RatepayerCosts_160MW!H24</f>
        <v>1020544.4299999997</v>
      </c>
      <c r="I24" s="89">
        <f>'RatepayerCosts_160MW+50MW'!I24-RatepayerCosts_160MW!I24</f>
        <v>1025244.5299999993</v>
      </c>
      <c r="J24" s="89">
        <f>'RatepayerCosts_160MW+50MW'!J24-RatepayerCosts_160MW!J24</f>
        <v>-108987.27000000002</v>
      </c>
      <c r="K24" s="89">
        <f>'RatepayerCosts_160MW+50MW'!K24-RatepayerCosts_160MW!K24</f>
        <v>-5302.1400000000012</v>
      </c>
      <c r="L24" s="89">
        <f>'RatepayerCosts_160MW+50MW'!L24-RatepayerCosts_160MW!L24</f>
        <v>910955.11999999918</v>
      </c>
      <c r="P24" s="84">
        <f>'PAC Ratepayer Costs'!A18</f>
        <v>2028</v>
      </c>
      <c r="Q24" s="96">
        <f>'PAC Ratepayer Costs'!B18-RatepayerCosts_160MW!Q24</f>
        <v>14.999999999999993</v>
      </c>
      <c r="R24" s="96">
        <f>'PAC Ratepayer Costs'!C18-RatepayerCosts_160MW!R24</f>
        <v>2543.7901624999995</v>
      </c>
      <c r="S24" s="3">
        <f>'RatepayerCosts_160MW+50MW'!S24-RatepayerCosts_160MW!S24</f>
        <v>1825728.0499999998</v>
      </c>
      <c r="T24" s="3">
        <f>'RatepayerCosts_160MW+50MW'!T24-RatepayerCosts_160MW!T24</f>
        <v>-84676.010000000009</v>
      </c>
      <c r="U24" s="3">
        <f>'RatepayerCosts_160MW+50MW'!U24-RatepayerCosts_160MW!U24</f>
        <v>-15390</v>
      </c>
      <c r="V24" s="89">
        <f t="shared" si="1"/>
        <v>1725662.0399999998</v>
      </c>
      <c r="W24" s="89">
        <f>'RatepayerCosts_160MW+50MW'!W24-RatepayerCosts_160MW!W24</f>
        <v>1629675.54</v>
      </c>
      <c r="X24" s="89">
        <f>'RatepayerCosts_160MW+50MW'!X24-RatepayerCosts_160MW!X24</f>
        <v>-75583.219999999972</v>
      </c>
      <c r="Y24" s="89">
        <f>'RatepayerCosts_160MW+50MW'!Y24-RatepayerCosts_160MW!Y24</f>
        <v>-13737.369999999995</v>
      </c>
      <c r="Z24" s="89">
        <f t="shared" si="2"/>
        <v>1540354.9500000002</v>
      </c>
      <c r="AD24" s="48">
        <f>'IPC Ratepayer Costs'!A18</f>
        <v>2028</v>
      </c>
      <c r="AE24" s="96">
        <f>'IPC Ratepayer Costs'!B18-'RatepayerCosts_160MW+50MW'!AE24</f>
        <v>0</v>
      </c>
      <c r="AF24" s="96">
        <f>'IPC Ratepayer Costs'!C18-'RatepayerCosts_160MW+50MW'!AF24</f>
        <v>0</v>
      </c>
      <c r="AG24" s="3">
        <f>'RatepayerCosts_160MW+50MW'!AG24-RatepayerCosts_160MW!AG24</f>
        <v>0</v>
      </c>
      <c r="AH24" s="3">
        <f>'RatepayerCosts_160MW+50MW'!AH24-RatepayerCosts_160MW!AH24</f>
        <v>-4287.869999999999</v>
      </c>
      <c r="AI24" s="3">
        <f>'RatepayerCosts_160MW+50MW'!AI24-RatepayerCosts_160MW!AI24</f>
        <v>0</v>
      </c>
      <c r="AJ24" s="3">
        <f t="shared" si="3"/>
        <v>-4287.869999999999</v>
      </c>
      <c r="AK24" s="3">
        <f>'RatepayerCosts_160MW+50MW'!AK24-RatepayerCosts_160MW!AK24</f>
        <v>0</v>
      </c>
      <c r="AL24" s="3">
        <f>'RatepayerCosts_160MW+50MW'!AL24-RatepayerCosts_160MW!AL24</f>
        <v>-3827.4200000000019</v>
      </c>
      <c r="AM24" s="3">
        <f>'RatepayerCosts_160MW+50MW'!AM24-RatepayerCosts_160MW!AM24</f>
        <v>0</v>
      </c>
      <c r="AN24" s="3">
        <f t="shared" si="4"/>
        <v>-3827.4200000000019</v>
      </c>
    </row>
    <row r="25" spans="2:40">
      <c r="B25" s="48">
        <f>'PGE Ratepayer Costs'!A19</f>
        <v>2029</v>
      </c>
      <c r="C25" s="84">
        <f>'RatepayerCosts_160MW+50MW'!C25-RatepayerCosts_160MW!C25</f>
        <v>20</v>
      </c>
      <c r="D25" s="84">
        <f>'RatepayerCosts_160MW+50MW'!D25-RatepayerCosts_160MW!D25</f>
        <v>2933.0264500000012</v>
      </c>
      <c r="E25" s="89">
        <f>'RatepayerCosts_160MW+50MW'!E25-RatepayerCosts_160MW!E25</f>
        <v>2325003.9600000009</v>
      </c>
      <c r="F25" s="89">
        <f>'RatepayerCosts_160MW+50MW'!F25-RatepayerCosts_160MW!F25</f>
        <v>-116169.03999999992</v>
      </c>
      <c r="G25" s="89">
        <f>'RatepayerCosts_160MW+50MW'!G25-RatepayerCosts_160MW!G25</f>
        <v>-11880</v>
      </c>
      <c r="H25" s="89">
        <f>'RatepayerCosts_160MW+50MW'!H25-RatepayerCosts_160MW!H25</f>
        <v>2196954.92</v>
      </c>
      <c r="I25" s="89">
        <f>'RatepayerCosts_160MW+50MW'!I25-RatepayerCosts_160MW!I25</f>
        <v>2017228.1600000001</v>
      </c>
      <c r="J25" s="89">
        <f>'RatepayerCosts_160MW+50MW'!J25-RatepayerCosts_160MW!J25</f>
        <v>-100790.98999999993</v>
      </c>
      <c r="K25" s="89">
        <f>'RatepayerCosts_160MW+50MW'!K25-RatepayerCosts_160MW!K25</f>
        <v>-10307.36</v>
      </c>
      <c r="L25" s="89">
        <f>'RatepayerCosts_160MW+50MW'!L25-RatepayerCosts_160MW!L25</f>
        <v>1906129.8100000024</v>
      </c>
      <c r="P25" s="84">
        <f>'PAC Ratepayer Costs'!A19</f>
        <v>2029</v>
      </c>
      <c r="Q25" s="96">
        <f>'PAC Ratepayer Costs'!B19-RatepayerCosts_160MW!Q25</f>
        <v>30</v>
      </c>
      <c r="R25" s="96">
        <f>'PAC Ratepayer Costs'!C19-RatepayerCosts_160MW!R25</f>
        <v>5087.580324999999</v>
      </c>
      <c r="S25" s="3">
        <f>'RatepayerCosts_160MW+50MW'!S25-RatepayerCosts_160MW!S25</f>
        <v>3312394.5600000005</v>
      </c>
      <c r="T25" s="3">
        <f>'RatepayerCosts_160MW+50MW'!T25-RatepayerCosts_160MW!T25</f>
        <v>-80563.820000000007</v>
      </c>
      <c r="U25" s="3">
        <f>'RatepayerCosts_160MW+50MW'!U25-RatepayerCosts_160MW!U25</f>
        <v>-30779.999999999993</v>
      </c>
      <c r="V25" s="89">
        <f t="shared" si="1"/>
        <v>3201050.7400000007</v>
      </c>
      <c r="W25" s="89">
        <f>'RatepayerCosts_160MW+50MW'!W25-RatepayerCosts_160MW!W25</f>
        <v>2873911.4800000004</v>
      </c>
      <c r="X25" s="89">
        <f>'RatepayerCosts_160MW+50MW'!X25-RatepayerCosts_160MW!X25</f>
        <v>-69899.06</v>
      </c>
      <c r="Y25" s="89">
        <f>'RatepayerCosts_160MW+50MW'!Y25-RatepayerCosts_160MW!Y25</f>
        <v>-26705.449999999997</v>
      </c>
      <c r="Z25" s="89">
        <f t="shared" si="2"/>
        <v>2777306.97</v>
      </c>
      <c r="AD25" s="48">
        <f>'IPC Ratepayer Costs'!A19</f>
        <v>2029</v>
      </c>
      <c r="AE25" s="96">
        <f>'IPC Ratepayer Costs'!B19-'RatepayerCosts_160MW+50MW'!AE25</f>
        <v>0</v>
      </c>
      <c r="AF25" s="96">
        <f>'IPC Ratepayer Costs'!C19-'RatepayerCosts_160MW+50MW'!AF25</f>
        <v>0</v>
      </c>
      <c r="AG25" s="3">
        <f>'RatepayerCosts_160MW+50MW'!AG25-RatepayerCosts_160MW!AG25</f>
        <v>0</v>
      </c>
      <c r="AH25" s="3">
        <f>'RatepayerCosts_160MW+50MW'!AH25-RatepayerCosts_160MW!AH25</f>
        <v>-4079.6399999999994</v>
      </c>
      <c r="AI25" s="3">
        <f>'RatepayerCosts_160MW+50MW'!AI25-RatepayerCosts_160MW!AI25</f>
        <v>0</v>
      </c>
      <c r="AJ25" s="3">
        <f t="shared" si="3"/>
        <v>-4079.6399999999994</v>
      </c>
      <c r="AK25" s="3">
        <f>'RatepayerCosts_160MW+50MW'!AK25-RatepayerCosts_160MW!AK25</f>
        <v>0</v>
      </c>
      <c r="AL25" s="3">
        <f>'RatepayerCosts_160MW+50MW'!AL25-RatepayerCosts_160MW!AL25</f>
        <v>-3539.5999999999985</v>
      </c>
      <c r="AM25" s="3">
        <f>'RatepayerCosts_160MW+50MW'!AM25-RatepayerCosts_160MW!AM25</f>
        <v>0</v>
      </c>
      <c r="AN25" s="3">
        <f t="shared" si="4"/>
        <v>-3539.5999999999985</v>
      </c>
    </row>
    <row r="26" spans="2:40">
      <c r="B26" s="48">
        <f>'PGE Ratepayer Costs'!A20</f>
        <v>2030</v>
      </c>
      <c r="C26" s="84">
        <f>'RatepayerCosts_160MW+50MW'!C26-RatepayerCosts_160MW!C26</f>
        <v>20</v>
      </c>
      <c r="D26" s="84">
        <f>'RatepayerCosts_160MW+50MW'!D26-RatepayerCosts_160MW!D26</f>
        <v>2933.0264500000012</v>
      </c>
      <c r="E26" s="89">
        <f>'RatepayerCosts_160MW+50MW'!E26-RatepayerCosts_160MW!E26</f>
        <v>2360367.0399999991</v>
      </c>
      <c r="F26" s="89">
        <f>'RatepayerCosts_160MW+50MW'!F26-RatepayerCosts_160MW!F26</f>
        <v>-132764.62</v>
      </c>
      <c r="G26" s="89">
        <f>'RatepayerCosts_160MW+50MW'!G26-RatepayerCosts_160MW!G26</f>
        <v>-11880</v>
      </c>
      <c r="H26" s="89">
        <f>'RatepayerCosts_160MW+50MW'!H26-RatepayerCosts_160MW!H26</f>
        <v>2215722.42</v>
      </c>
      <c r="I26" s="89">
        <f>'RatepayerCosts_160MW+50MW'!I26-RatepayerCosts_160MW!I26</f>
        <v>1990568.5199999996</v>
      </c>
      <c r="J26" s="89">
        <f>'RatepayerCosts_160MW+50MW'!J26-RatepayerCosts_160MW!J26</f>
        <v>-111964.40000000002</v>
      </c>
      <c r="K26" s="89">
        <f>'RatepayerCosts_160MW+50MW'!K26-RatepayerCosts_160MW!K26</f>
        <v>-10018.760000000002</v>
      </c>
      <c r="L26" s="89">
        <f>'RatepayerCosts_160MW+50MW'!L26-RatepayerCosts_160MW!L26</f>
        <v>1868585.3600000013</v>
      </c>
      <c r="P26" s="84">
        <f>'PAC Ratepayer Costs'!A20</f>
        <v>2030</v>
      </c>
      <c r="Q26" s="96">
        <f>'PAC Ratepayer Costs'!B20-RatepayerCosts_160MW!Q26</f>
        <v>30</v>
      </c>
      <c r="R26" s="96">
        <f>'PAC Ratepayer Costs'!C20-RatepayerCosts_160MW!R26</f>
        <v>5087.580324999999</v>
      </c>
      <c r="S26" s="3">
        <f>'RatepayerCosts_160MW+50MW'!S26-RatepayerCosts_160MW!S26</f>
        <v>3328371.1700000009</v>
      </c>
      <c r="T26" s="3">
        <f>'RatepayerCosts_160MW+50MW'!T26-RatepayerCosts_160MW!T26</f>
        <v>-92072.939999999973</v>
      </c>
      <c r="U26" s="3">
        <f>'RatepayerCosts_160MW+50MW'!U26-RatepayerCosts_160MW!U26</f>
        <v>-30779.999999999993</v>
      </c>
      <c r="V26" s="89">
        <f t="shared" si="1"/>
        <v>3205518.2300000009</v>
      </c>
      <c r="W26" s="89">
        <f>'RatepayerCosts_160MW+50MW'!W26-RatepayerCosts_160MW!W26</f>
        <v>2806915.5199999996</v>
      </c>
      <c r="X26" s="89">
        <f>'RatepayerCosts_160MW+50MW'!X26-RatepayerCosts_160MW!X26</f>
        <v>-77647.88</v>
      </c>
      <c r="Y26" s="89">
        <f>'RatepayerCosts_160MW+50MW'!Y26-RatepayerCosts_160MW!Y26</f>
        <v>-25957.700000000004</v>
      </c>
      <c r="Z26" s="89">
        <f t="shared" si="2"/>
        <v>2703309.9399999995</v>
      </c>
      <c r="AD26" s="48">
        <f>'IPC Ratepayer Costs'!A20</f>
        <v>2030</v>
      </c>
      <c r="AE26" s="96">
        <f>'IPC Ratepayer Costs'!B20-'RatepayerCosts_160MW+50MW'!AE26</f>
        <v>0</v>
      </c>
      <c r="AF26" s="96">
        <f>'IPC Ratepayer Costs'!C20-'RatepayerCosts_160MW+50MW'!AF26</f>
        <v>0</v>
      </c>
      <c r="AG26" s="3">
        <f>'RatepayerCosts_160MW+50MW'!AG26-RatepayerCosts_160MW!AG26</f>
        <v>0</v>
      </c>
      <c r="AH26" s="3">
        <f>'RatepayerCosts_160MW+50MW'!AH26-RatepayerCosts_160MW!AH26</f>
        <v>-4662.4400000000023</v>
      </c>
      <c r="AI26" s="3">
        <f>'RatepayerCosts_160MW+50MW'!AI26-RatepayerCosts_160MW!AI26</f>
        <v>0</v>
      </c>
      <c r="AJ26" s="3">
        <f t="shared" si="3"/>
        <v>-4662.4400000000023</v>
      </c>
      <c r="AK26" s="3">
        <f>'RatepayerCosts_160MW+50MW'!AK26-RatepayerCosts_160MW!AK26</f>
        <v>0</v>
      </c>
      <c r="AL26" s="3">
        <f>'RatepayerCosts_160MW+50MW'!AL26-RatepayerCosts_160MW!AL26</f>
        <v>-3931.9699999999993</v>
      </c>
      <c r="AM26" s="3">
        <f>'RatepayerCosts_160MW+50MW'!AM26-RatepayerCosts_160MW!AM26</f>
        <v>0</v>
      </c>
      <c r="AN26" s="3">
        <f t="shared" si="4"/>
        <v>-3931.9699999999993</v>
      </c>
    </row>
    <row r="27" spans="2:40">
      <c r="B27" s="48">
        <f>'PGE Ratepayer Costs'!A21</f>
        <v>2031</v>
      </c>
      <c r="C27" s="84">
        <f>'RatepayerCosts_160MW+50MW'!C27-RatepayerCosts_160MW!C27</f>
        <v>20</v>
      </c>
      <c r="D27" s="84">
        <f>'RatepayerCosts_160MW+50MW'!D27-RatepayerCosts_160MW!D27</f>
        <v>2933.0264500000012</v>
      </c>
      <c r="E27" s="89">
        <f>'RatepayerCosts_160MW+50MW'!E27-RatepayerCosts_160MW!E27</f>
        <v>2428322.4399999995</v>
      </c>
      <c r="F27" s="89">
        <f>'RatepayerCosts_160MW+50MW'!F27-RatepayerCosts_160MW!F27</f>
        <v>-132764.62000000002</v>
      </c>
      <c r="G27" s="89">
        <f>'RatepayerCosts_160MW+50MW'!G27-RatepayerCosts_160MW!G27</f>
        <v>-11880</v>
      </c>
      <c r="H27" s="89">
        <f>'RatepayerCosts_160MW+50MW'!H27-RatepayerCosts_160MW!H27</f>
        <v>2283677.8199999984</v>
      </c>
      <c r="I27" s="89">
        <f>'RatepayerCosts_160MW+50MW'!I27-RatepayerCosts_160MW!I27</f>
        <v>1990536.7899999991</v>
      </c>
      <c r="J27" s="89">
        <f>'RatepayerCosts_160MW+50MW'!J27-RatepayerCosts_160MW!J27</f>
        <v>-108829.39000000001</v>
      </c>
      <c r="K27" s="89">
        <f>'RatepayerCosts_160MW+50MW'!K27-RatepayerCosts_160MW!K27</f>
        <v>-9738.24</v>
      </c>
      <c r="L27" s="89">
        <f>'RatepayerCosts_160MW+50MW'!L27-RatepayerCosts_160MW!L27</f>
        <v>1871969.1599999983</v>
      </c>
      <c r="P27" s="84">
        <f>'PAC Ratepayer Costs'!A21</f>
        <v>2031</v>
      </c>
      <c r="Q27" s="96">
        <f>'PAC Ratepayer Costs'!B21-RatepayerCosts_160MW!Q27</f>
        <v>30</v>
      </c>
      <c r="R27" s="96">
        <f>'PAC Ratepayer Costs'!C21-RatepayerCosts_160MW!R27</f>
        <v>5087.580324999999</v>
      </c>
      <c r="S27" s="3">
        <f>'RatepayerCosts_160MW+50MW'!S27-RatepayerCosts_160MW!S27</f>
        <v>3446870.7399999993</v>
      </c>
      <c r="T27" s="3">
        <f>'RatepayerCosts_160MW+50MW'!T27-RatepayerCosts_160MW!T27</f>
        <v>-92072.94</v>
      </c>
      <c r="U27" s="3">
        <f>'RatepayerCosts_160MW+50MW'!U27-RatepayerCosts_160MW!U27</f>
        <v>-30779.999999999993</v>
      </c>
      <c r="V27" s="89">
        <f t="shared" si="1"/>
        <v>3324017.7999999993</v>
      </c>
      <c r="W27" s="89">
        <f>'RatepayerCosts_160MW+50MW'!W27-RatepayerCosts_160MW!W27</f>
        <v>2825457.9700000007</v>
      </c>
      <c r="X27" s="89">
        <f>'RatepayerCosts_160MW+50MW'!X27-RatepayerCosts_160MW!X27</f>
        <v>-75473.739999999991</v>
      </c>
      <c r="Y27" s="89">
        <f>'RatepayerCosts_160MW+50MW'!Y27-RatepayerCosts_160MW!Y27</f>
        <v>-25230.879999999997</v>
      </c>
      <c r="Z27" s="89">
        <f t="shared" si="2"/>
        <v>2724753.3500000006</v>
      </c>
      <c r="AD27" s="48">
        <f>'IPC Ratepayer Costs'!A21</f>
        <v>2031</v>
      </c>
      <c r="AE27" s="96">
        <f>'IPC Ratepayer Costs'!B21-'RatepayerCosts_160MW+50MW'!AE27</f>
        <v>0</v>
      </c>
      <c r="AF27" s="96">
        <f>'IPC Ratepayer Costs'!C21-'RatepayerCosts_160MW+50MW'!AF27</f>
        <v>0</v>
      </c>
      <c r="AG27" s="3">
        <f>'RatepayerCosts_160MW+50MW'!AG27-RatepayerCosts_160MW!AG27</f>
        <v>0</v>
      </c>
      <c r="AH27" s="3">
        <f>'RatepayerCosts_160MW+50MW'!AH27-RatepayerCosts_160MW!AH27</f>
        <v>-4662.4400000000005</v>
      </c>
      <c r="AI27" s="3">
        <f>'RatepayerCosts_160MW+50MW'!AI27-RatepayerCosts_160MW!AI27</f>
        <v>0</v>
      </c>
      <c r="AJ27" s="3">
        <f t="shared" si="3"/>
        <v>-4662.4400000000005</v>
      </c>
      <c r="AK27" s="3">
        <f>'RatepayerCosts_160MW+50MW'!AK27-RatepayerCosts_160MW!AK27</f>
        <v>0</v>
      </c>
      <c r="AL27" s="3">
        <f>'RatepayerCosts_160MW+50MW'!AL27-RatepayerCosts_160MW!AL27</f>
        <v>-3821.88</v>
      </c>
      <c r="AM27" s="3">
        <f>'RatepayerCosts_160MW+50MW'!AM27-RatepayerCosts_160MW!AM27</f>
        <v>0</v>
      </c>
      <c r="AN27" s="3">
        <f t="shared" si="4"/>
        <v>-3821.88</v>
      </c>
    </row>
    <row r="28" spans="2:40">
      <c r="B28" s="48">
        <f>'PGE Ratepayer Costs'!A22</f>
        <v>2032</v>
      </c>
      <c r="C28" s="84">
        <f>'RatepayerCosts_160MW+50MW'!C28-RatepayerCosts_160MW!C28</f>
        <v>20</v>
      </c>
      <c r="D28" s="84">
        <f>'RatepayerCosts_160MW+50MW'!D28-RatepayerCosts_160MW!D28</f>
        <v>2933.0264500000012</v>
      </c>
      <c r="E28" s="89">
        <f>'RatepayerCosts_160MW+50MW'!E28-RatepayerCosts_160MW!E28</f>
        <v>2465045.84</v>
      </c>
      <c r="F28" s="89">
        <f>'RatepayerCosts_160MW+50MW'!F28-RatepayerCosts_160MW!F28</f>
        <v>-132764.62</v>
      </c>
      <c r="G28" s="89">
        <f>'RatepayerCosts_160MW+50MW'!G28-RatepayerCosts_160MW!G28</f>
        <v>-11880</v>
      </c>
      <c r="H28" s="89">
        <f>'RatepayerCosts_160MW+50MW'!H28-RatepayerCosts_160MW!H28</f>
        <v>2320401.2199999988</v>
      </c>
      <c r="I28" s="89">
        <f>'RatepayerCosts_160MW+50MW'!I28-RatepayerCosts_160MW!I28</f>
        <v>1964061.67</v>
      </c>
      <c r="J28" s="89">
        <f>'RatepayerCosts_160MW+50MW'!J28-RatepayerCosts_160MW!J28</f>
        <v>-105782.17</v>
      </c>
      <c r="K28" s="89">
        <f>'RatepayerCosts_160MW+50MW'!K28-RatepayerCosts_160MW!K28</f>
        <v>-9465.57</v>
      </c>
      <c r="L28" s="89">
        <f>'RatepayerCosts_160MW+50MW'!L28-RatepayerCosts_160MW!L28</f>
        <v>1848813.9299999988</v>
      </c>
      <c r="P28" s="84">
        <f>'PAC Ratepayer Costs'!A22</f>
        <v>2032</v>
      </c>
      <c r="Q28" s="96">
        <f>'PAC Ratepayer Costs'!B22-RatepayerCosts_160MW!Q28</f>
        <v>30</v>
      </c>
      <c r="R28" s="96">
        <f>'PAC Ratepayer Costs'!C22-RatepayerCosts_160MW!R28</f>
        <v>5087.580324999999</v>
      </c>
      <c r="S28" s="3">
        <f>'RatepayerCosts_160MW+50MW'!S28-RatepayerCosts_160MW!S28</f>
        <v>3584397.42</v>
      </c>
      <c r="T28" s="3">
        <f>'RatepayerCosts_160MW+50MW'!T28-RatepayerCosts_160MW!T28</f>
        <v>-92072.94</v>
      </c>
      <c r="U28" s="3">
        <f>'RatepayerCosts_160MW+50MW'!U28-RatepayerCosts_160MW!U28</f>
        <v>-30779.999999999993</v>
      </c>
      <c r="V28" s="89">
        <f t="shared" si="1"/>
        <v>3461544.48</v>
      </c>
      <c r="W28" s="89">
        <f>'RatepayerCosts_160MW+50MW'!W28-RatepayerCosts_160MW!W28</f>
        <v>2855921.5600000005</v>
      </c>
      <c r="X28" s="89">
        <f>'RatepayerCosts_160MW+50MW'!X28-RatepayerCosts_160MW!X28</f>
        <v>-73360.47</v>
      </c>
      <c r="Y28" s="89">
        <f>'RatepayerCosts_160MW+50MW'!Y28-RatepayerCosts_160MW!Y28</f>
        <v>-24524.42</v>
      </c>
      <c r="Z28" s="89">
        <f t="shared" si="2"/>
        <v>2758036.6700000004</v>
      </c>
      <c r="AD28" s="48">
        <f>'IPC Ratepayer Costs'!A22</f>
        <v>2032</v>
      </c>
      <c r="AE28" s="96">
        <f>'IPC Ratepayer Costs'!B22-'RatepayerCosts_160MW+50MW'!AE28</f>
        <v>0</v>
      </c>
      <c r="AF28" s="96">
        <f>'IPC Ratepayer Costs'!C22-'RatepayerCosts_160MW+50MW'!AF28</f>
        <v>0</v>
      </c>
      <c r="AG28" s="3">
        <f>'RatepayerCosts_160MW+50MW'!AG28-RatepayerCosts_160MW!AG28</f>
        <v>0</v>
      </c>
      <c r="AH28" s="3">
        <f>'RatepayerCosts_160MW+50MW'!AH28-RatepayerCosts_160MW!AH28</f>
        <v>-4662.4399999999996</v>
      </c>
      <c r="AI28" s="3">
        <f>'RatepayerCosts_160MW+50MW'!AI28-RatepayerCosts_160MW!AI28</f>
        <v>0</v>
      </c>
      <c r="AJ28" s="3">
        <f t="shared" si="3"/>
        <v>-4662.4399999999996</v>
      </c>
      <c r="AK28" s="3">
        <f>'RatepayerCosts_160MW+50MW'!AK28-RatepayerCosts_160MW!AK28</f>
        <v>0</v>
      </c>
      <c r="AL28" s="3">
        <f>'RatepayerCosts_160MW+50MW'!AL28-RatepayerCosts_160MW!AL28</f>
        <v>-3714.86</v>
      </c>
      <c r="AM28" s="3">
        <f>'RatepayerCosts_160MW+50MW'!AM28-RatepayerCosts_160MW!AM28</f>
        <v>0</v>
      </c>
      <c r="AN28" s="3">
        <f t="shared" si="4"/>
        <v>-3714.86</v>
      </c>
    </row>
    <row r="29" spans="2:40">
      <c r="B29" s="48">
        <f>'PGE Ratepayer Costs'!A23</f>
        <v>2033</v>
      </c>
      <c r="C29" s="84">
        <f>'RatepayerCosts_160MW+50MW'!C29-RatepayerCosts_160MW!C29</f>
        <v>20</v>
      </c>
      <c r="D29" s="84">
        <f>'RatepayerCosts_160MW+50MW'!D29-RatepayerCosts_160MW!D29</f>
        <v>2933.0264500000012</v>
      </c>
      <c r="E29" s="89">
        <f>'RatepayerCosts_160MW+50MW'!E29-RatepayerCosts_160MW!E29</f>
        <v>2445549.8499999996</v>
      </c>
      <c r="F29" s="89">
        <f>'RatepayerCosts_160MW+50MW'!F29-RatepayerCosts_160MW!F29</f>
        <v>-132764.62</v>
      </c>
      <c r="G29" s="89">
        <f>'RatepayerCosts_160MW+50MW'!G29-RatepayerCosts_160MW!G29</f>
        <v>-11880</v>
      </c>
      <c r="H29" s="89">
        <f>'RatepayerCosts_160MW+50MW'!H29-RatepayerCosts_160MW!H29</f>
        <v>2300905.2299999986</v>
      </c>
      <c r="I29" s="89">
        <f>'RatepayerCosts_160MW+50MW'!I29-RatepayerCosts_160MW!I29</f>
        <v>1893969.169999999</v>
      </c>
      <c r="J29" s="89">
        <f>'RatepayerCosts_160MW+50MW'!J29-RatepayerCosts_160MW!J29</f>
        <v>-102820.26999999999</v>
      </c>
      <c r="K29" s="89">
        <f>'RatepayerCosts_160MW+50MW'!K29-RatepayerCosts_160MW!K29</f>
        <v>-9200.5299999999988</v>
      </c>
      <c r="L29" s="89">
        <f>'RatepayerCosts_160MW+50MW'!L29-RatepayerCosts_160MW!L29</f>
        <v>1781948.3699999982</v>
      </c>
      <c r="P29" s="84">
        <f>'PAC Ratepayer Costs'!A23</f>
        <v>2033</v>
      </c>
      <c r="Q29" s="96">
        <f>'PAC Ratepayer Costs'!B23-RatepayerCosts_160MW!Q29</f>
        <v>30</v>
      </c>
      <c r="R29" s="96">
        <f>'PAC Ratepayer Costs'!C23-RatepayerCosts_160MW!R29</f>
        <v>5087.580324999999</v>
      </c>
      <c r="S29" s="3">
        <f>'RatepayerCosts_160MW+50MW'!S29-RatepayerCosts_160MW!S29</f>
        <v>3630890.8199999994</v>
      </c>
      <c r="T29" s="3">
        <f>'RatepayerCosts_160MW+50MW'!T29-RatepayerCosts_160MW!T29</f>
        <v>-92072.94</v>
      </c>
      <c r="U29" s="3">
        <f>'RatepayerCosts_160MW+50MW'!U29-RatepayerCosts_160MW!U29</f>
        <v>-30779.999999999993</v>
      </c>
      <c r="V29" s="89">
        <f t="shared" si="1"/>
        <v>3508037.8799999994</v>
      </c>
      <c r="W29" s="89">
        <f>'RatepayerCosts_160MW+50MW'!W29-RatepayerCosts_160MW!W29</f>
        <v>2811962.8200000003</v>
      </c>
      <c r="X29" s="89">
        <f>'RatepayerCosts_160MW+50MW'!X29-RatepayerCosts_160MW!X29</f>
        <v>-71306.38</v>
      </c>
      <c r="Y29" s="89">
        <f>'RatepayerCosts_160MW+50MW'!Y29-RatepayerCosts_160MW!Y29</f>
        <v>-23837.739999999998</v>
      </c>
      <c r="Z29" s="89">
        <f t="shared" si="2"/>
        <v>2716818.7</v>
      </c>
      <c r="AD29" s="48">
        <f>'IPC Ratepayer Costs'!A23</f>
        <v>2033</v>
      </c>
      <c r="AE29" s="96">
        <f>'IPC Ratepayer Costs'!B23-'RatepayerCosts_160MW+50MW'!AE29</f>
        <v>0</v>
      </c>
      <c r="AF29" s="96">
        <f>'IPC Ratepayer Costs'!C23-'RatepayerCosts_160MW+50MW'!AF29</f>
        <v>0</v>
      </c>
      <c r="AG29" s="3">
        <f>'RatepayerCosts_160MW+50MW'!AG29-RatepayerCosts_160MW!AG29</f>
        <v>0</v>
      </c>
      <c r="AH29" s="3">
        <f>'RatepayerCosts_160MW+50MW'!AH29-RatepayerCosts_160MW!AH29</f>
        <v>-4662.4399999999996</v>
      </c>
      <c r="AI29" s="3">
        <f>'RatepayerCosts_160MW+50MW'!AI29-RatepayerCosts_160MW!AI29</f>
        <v>0</v>
      </c>
      <c r="AJ29" s="3">
        <f t="shared" si="3"/>
        <v>-4662.4399999999996</v>
      </c>
      <c r="AK29" s="3">
        <f>'RatepayerCosts_160MW+50MW'!AK29-RatepayerCosts_160MW!AK29</f>
        <v>0</v>
      </c>
      <c r="AL29" s="3">
        <f>'RatepayerCosts_160MW+50MW'!AL29-RatepayerCosts_160MW!AL29</f>
        <v>-3610.8500000000004</v>
      </c>
      <c r="AM29" s="3">
        <f>'RatepayerCosts_160MW+50MW'!AM29-RatepayerCosts_160MW!AM29</f>
        <v>0</v>
      </c>
      <c r="AN29" s="3">
        <f t="shared" si="4"/>
        <v>-3610.8500000000004</v>
      </c>
    </row>
    <row r="30" spans="2:40">
      <c r="B30" s="48">
        <f>'PGE Ratepayer Costs'!A24</f>
        <v>2034</v>
      </c>
      <c r="C30" s="84">
        <f>'RatepayerCosts_160MW+50MW'!C30-RatepayerCosts_160MW!C30</f>
        <v>20</v>
      </c>
      <c r="D30" s="84">
        <f>'RatepayerCosts_160MW+50MW'!D30-RatepayerCosts_160MW!D30</f>
        <v>2933.0264500000012</v>
      </c>
      <c r="E30" s="89">
        <f>'RatepayerCosts_160MW+50MW'!E30-RatepayerCosts_160MW!E30</f>
        <v>2472205.0600000005</v>
      </c>
      <c r="F30" s="89">
        <f>'RatepayerCosts_160MW+50MW'!F30-RatepayerCosts_160MW!F30</f>
        <v>-132764.62</v>
      </c>
      <c r="G30" s="89">
        <f>'RatepayerCosts_160MW+50MW'!G30-RatepayerCosts_160MW!G30</f>
        <v>-11880</v>
      </c>
      <c r="H30" s="89">
        <f>'RatepayerCosts_160MW+50MW'!H30-RatepayerCosts_160MW!H30</f>
        <v>2327560.4399999995</v>
      </c>
      <c r="I30" s="89">
        <f>'RatepayerCosts_160MW+50MW'!I30-RatepayerCosts_160MW!I30</f>
        <v>1861003.29</v>
      </c>
      <c r="J30" s="89">
        <f>'RatepayerCosts_160MW+50MW'!J30-RatepayerCosts_160MW!J30</f>
        <v>-99941.299999999988</v>
      </c>
      <c r="K30" s="89">
        <f>'RatepayerCosts_160MW+50MW'!K30-RatepayerCosts_160MW!K30</f>
        <v>-8942.92</v>
      </c>
      <c r="L30" s="89">
        <f>'RatepayerCosts_160MW+50MW'!L30-RatepayerCosts_160MW!L30</f>
        <v>1752119.0700000012</v>
      </c>
      <c r="P30" s="84">
        <f>'PAC Ratepayer Costs'!A24</f>
        <v>2034</v>
      </c>
      <c r="Q30" s="96">
        <f>'PAC Ratepayer Costs'!B24-RatepayerCosts_160MW!Q30</f>
        <v>30</v>
      </c>
      <c r="R30" s="96">
        <f>'PAC Ratepayer Costs'!C24-RatepayerCosts_160MW!R30</f>
        <v>5087.580324999999</v>
      </c>
      <c r="S30" s="3">
        <f>'RatepayerCosts_160MW+50MW'!S30-RatepayerCosts_160MW!S30</f>
        <v>3719089.4400000004</v>
      </c>
      <c r="T30" s="3">
        <f>'RatepayerCosts_160MW+50MW'!T30-RatepayerCosts_160MW!T30</f>
        <v>-92072.94</v>
      </c>
      <c r="U30" s="3">
        <f>'RatepayerCosts_160MW+50MW'!U30-RatepayerCosts_160MW!U30</f>
        <v>-30779.999999999993</v>
      </c>
      <c r="V30" s="89">
        <f t="shared" si="1"/>
        <v>3596236.5000000005</v>
      </c>
      <c r="W30" s="89">
        <f>'RatepayerCosts_160MW+50MW'!W30-RatepayerCosts_160MW!W30</f>
        <v>2799621.1900000004</v>
      </c>
      <c r="X30" s="89">
        <f>'RatepayerCosts_160MW+50MW'!X30-RatepayerCosts_160MW!X30</f>
        <v>-69309.81</v>
      </c>
      <c r="Y30" s="89">
        <f>'RatepayerCosts_160MW+50MW'!Y30-RatepayerCosts_160MW!Y30</f>
        <v>-23170.28</v>
      </c>
      <c r="Z30" s="89">
        <f t="shared" si="2"/>
        <v>2707141.1000000006</v>
      </c>
      <c r="AD30" s="48">
        <f>'IPC Ratepayer Costs'!A24</f>
        <v>2034</v>
      </c>
      <c r="AE30" s="96">
        <f>'IPC Ratepayer Costs'!B24-'RatepayerCosts_160MW+50MW'!AE30</f>
        <v>0</v>
      </c>
      <c r="AF30" s="96">
        <f>'IPC Ratepayer Costs'!C24-'RatepayerCosts_160MW+50MW'!AF30</f>
        <v>0</v>
      </c>
      <c r="AG30" s="3">
        <f>'RatepayerCosts_160MW+50MW'!AG30-RatepayerCosts_160MW!AG30</f>
        <v>0</v>
      </c>
      <c r="AH30" s="3">
        <f>'RatepayerCosts_160MW+50MW'!AH30-RatepayerCosts_160MW!AH30</f>
        <v>-4662.4400000000005</v>
      </c>
      <c r="AI30" s="3">
        <f>'RatepayerCosts_160MW+50MW'!AI30-RatepayerCosts_160MW!AI30</f>
        <v>0</v>
      </c>
      <c r="AJ30" s="3">
        <f t="shared" si="3"/>
        <v>-4662.4400000000005</v>
      </c>
      <c r="AK30" s="3">
        <f>'RatepayerCosts_160MW+50MW'!AK30-RatepayerCosts_160MW!AK30</f>
        <v>0</v>
      </c>
      <c r="AL30" s="3">
        <f>'RatepayerCosts_160MW+50MW'!AL30-RatepayerCosts_160MW!AL30</f>
        <v>-3509.74</v>
      </c>
      <c r="AM30" s="3">
        <f>'RatepayerCosts_160MW+50MW'!AM30-RatepayerCosts_160MW!AM30</f>
        <v>0</v>
      </c>
      <c r="AN30" s="3">
        <f t="shared" si="4"/>
        <v>-3509.74</v>
      </c>
    </row>
    <row r="31" spans="2:40">
      <c r="B31" s="48">
        <f>'PGE Ratepayer Costs'!A25</f>
        <v>2035</v>
      </c>
      <c r="C31" s="84">
        <f>'RatepayerCosts_160MW+50MW'!C31-RatepayerCosts_160MW!C31</f>
        <v>20</v>
      </c>
      <c r="D31" s="84">
        <f>'RatepayerCosts_160MW+50MW'!D31-RatepayerCosts_160MW!D31</f>
        <v>2933.0264500000012</v>
      </c>
      <c r="E31" s="89">
        <f>'RatepayerCosts_160MW+50MW'!E31-RatepayerCosts_160MW!E31</f>
        <v>2543611.0099999998</v>
      </c>
      <c r="F31" s="89">
        <f>'RatepayerCosts_160MW+50MW'!F31-RatepayerCosts_160MW!F31</f>
        <v>-132764.62</v>
      </c>
      <c r="G31" s="89">
        <f>'RatepayerCosts_160MW+50MW'!G31-RatepayerCosts_160MW!G31</f>
        <v>-11880</v>
      </c>
      <c r="H31" s="89">
        <f>'RatepayerCosts_160MW+50MW'!H31-RatepayerCosts_160MW!H31</f>
        <v>2398966.3900000006</v>
      </c>
      <c r="I31" s="89">
        <f>'RatepayerCosts_160MW+50MW'!I31-RatepayerCosts_160MW!I31</f>
        <v>1861142.4300000006</v>
      </c>
      <c r="J31" s="89">
        <f>'RatepayerCosts_160MW+50MW'!J31-RatepayerCosts_160MW!J31</f>
        <v>-97142.95</v>
      </c>
      <c r="K31" s="89">
        <f>'RatepayerCosts_160MW+50MW'!K31-RatepayerCosts_160MW!K31</f>
        <v>-8692.51</v>
      </c>
      <c r="L31" s="89">
        <f>'RatepayerCosts_160MW+50MW'!L31-RatepayerCosts_160MW!L31</f>
        <v>1755306.9700000016</v>
      </c>
      <c r="P31" s="84">
        <f>'PAC Ratepayer Costs'!A25</f>
        <v>2035</v>
      </c>
      <c r="Q31" s="96">
        <f>'PAC Ratepayer Costs'!B25-RatepayerCosts_160MW!Q31</f>
        <v>30</v>
      </c>
      <c r="R31" s="96">
        <f>'PAC Ratepayer Costs'!C25-RatepayerCosts_160MW!R31</f>
        <v>5087.580324999999</v>
      </c>
      <c r="S31" s="3">
        <f>'RatepayerCosts_160MW+50MW'!S31-RatepayerCosts_160MW!S31</f>
        <v>3783296.9000000004</v>
      </c>
      <c r="T31" s="3">
        <f>'RatepayerCosts_160MW+50MW'!T31-RatepayerCosts_160MW!T31</f>
        <v>-92072.94</v>
      </c>
      <c r="U31" s="3">
        <f>'RatepayerCosts_160MW+50MW'!U31-RatepayerCosts_160MW!U31</f>
        <v>-30779.999999999993</v>
      </c>
      <c r="V31" s="89">
        <f t="shared" si="1"/>
        <v>3660443.9600000004</v>
      </c>
      <c r="W31" s="89">
        <f>'RatepayerCosts_160MW+50MW'!W31-RatepayerCosts_160MW!W31</f>
        <v>2768211.9499999993</v>
      </c>
      <c r="X31" s="89">
        <f>'RatepayerCosts_160MW+50MW'!X31-RatepayerCosts_160MW!X31</f>
        <v>-67369.119999999995</v>
      </c>
      <c r="Y31" s="89">
        <f>'RatepayerCosts_160MW+50MW'!Y31-RatepayerCosts_160MW!Y31</f>
        <v>-22521.51</v>
      </c>
      <c r="Z31" s="89">
        <f t="shared" si="2"/>
        <v>2678321.3199999994</v>
      </c>
      <c r="AD31" s="48">
        <f>'IPC Ratepayer Costs'!A25</f>
        <v>2035</v>
      </c>
      <c r="AE31" s="96">
        <f>'IPC Ratepayer Costs'!B25-'RatepayerCosts_160MW+50MW'!AE31</f>
        <v>0</v>
      </c>
      <c r="AF31" s="96">
        <f>'IPC Ratepayer Costs'!C25-'RatepayerCosts_160MW+50MW'!AF31</f>
        <v>0</v>
      </c>
      <c r="AG31" s="3">
        <f>'RatepayerCosts_160MW+50MW'!AG31-RatepayerCosts_160MW!AG31</f>
        <v>0</v>
      </c>
      <c r="AH31" s="3">
        <f>'RatepayerCosts_160MW+50MW'!AH31-RatepayerCosts_160MW!AH31</f>
        <v>-4662.4400000000005</v>
      </c>
      <c r="AI31" s="3">
        <f>'RatepayerCosts_160MW+50MW'!AI31-RatepayerCosts_160MW!AI31</f>
        <v>0</v>
      </c>
      <c r="AJ31" s="3">
        <f t="shared" si="3"/>
        <v>-4662.4400000000005</v>
      </c>
      <c r="AK31" s="3">
        <f>'RatepayerCosts_160MW+50MW'!AK31-RatepayerCosts_160MW!AK31</f>
        <v>0</v>
      </c>
      <c r="AL31" s="3">
        <f>'RatepayerCosts_160MW+50MW'!AL31-RatepayerCosts_160MW!AL31</f>
        <v>-3411.47</v>
      </c>
      <c r="AM31" s="3">
        <f>'RatepayerCosts_160MW+50MW'!AM31-RatepayerCosts_160MW!AM31</f>
        <v>0</v>
      </c>
      <c r="AN31" s="3">
        <f t="shared" si="4"/>
        <v>-3411.47</v>
      </c>
    </row>
    <row r="32" spans="2:40">
      <c r="B32" s="48">
        <f>'PGE Ratepayer Costs'!A26</f>
        <v>2036</v>
      </c>
      <c r="C32" s="84">
        <f>'RatepayerCosts_160MW+50MW'!C32-RatepayerCosts_160MW!C32</f>
        <v>20</v>
      </c>
      <c r="D32" s="84">
        <f>'RatepayerCosts_160MW+50MW'!D32-RatepayerCosts_160MW!D32</f>
        <v>2933.0264500000012</v>
      </c>
      <c r="E32" s="89">
        <f>'RatepayerCosts_160MW+50MW'!E32-RatepayerCosts_160MW!E32</f>
        <v>2619203.66</v>
      </c>
      <c r="F32" s="89">
        <f>'RatepayerCosts_160MW+50MW'!F32-RatepayerCosts_160MW!F32</f>
        <v>-132764.62</v>
      </c>
      <c r="G32" s="89">
        <f>'RatepayerCosts_160MW+50MW'!G32-RatepayerCosts_160MW!G32</f>
        <v>-11880</v>
      </c>
      <c r="H32" s="89">
        <f>'RatepayerCosts_160MW+50MW'!H32-RatepayerCosts_160MW!H32</f>
        <v>2474559.040000001</v>
      </c>
      <c r="I32" s="89">
        <f>'RatepayerCosts_160MW+50MW'!I32-RatepayerCosts_160MW!I32</f>
        <v>1862792.3600000003</v>
      </c>
      <c r="J32" s="89">
        <f>'RatepayerCosts_160MW+50MW'!J32-RatepayerCosts_160MW!J32</f>
        <v>-94422.94</v>
      </c>
      <c r="K32" s="89">
        <f>'RatepayerCosts_160MW+50MW'!K32-RatepayerCosts_160MW!K32</f>
        <v>-8449.119999999999</v>
      </c>
      <c r="L32" s="89">
        <f>'RatepayerCosts_160MW+50MW'!L32-RatepayerCosts_160MW!L32</f>
        <v>1759920.3000000017</v>
      </c>
      <c r="P32" s="84">
        <f>'PAC Ratepayer Costs'!A26</f>
        <v>2036</v>
      </c>
      <c r="Q32" s="96">
        <f>'PAC Ratepayer Costs'!B26-RatepayerCosts_160MW!Q32</f>
        <v>30</v>
      </c>
      <c r="R32" s="96">
        <f>'PAC Ratepayer Costs'!C26-RatepayerCosts_160MW!R32</f>
        <v>5087.580324999999</v>
      </c>
      <c r="S32" s="3">
        <f>'RatepayerCosts_160MW+50MW'!S32-RatepayerCosts_160MW!S32</f>
        <v>3853904.5100000007</v>
      </c>
      <c r="T32" s="3">
        <f>'RatepayerCosts_160MW+50MW'!T32-RatepayerCosts_160MW!T32</f>
        <v>-92072.94</v>
      </c>
      <c r="U32" s="3">
        <f>'RatepayerCosts_160MW+50MW'!U32-RatepayerCosts_160MW!U32</f>
        <v>-30779.999999999993</v>
      </c>
      <c r="V32" s="89">
        <f t="shared" si="1"/>
        <v>3731051.5700000008</v>
      </c>
      <c r="W32" s="89">
        <f>'RatepayerCosts_160MW+50MW'!W32-RatepayerCosts_160MW!W32</f>
        <v>2740918.5500000007</v>
      </c>
      <c r="X32" s="89">
        <f>'RatepayerCosts_160MW+50MW'!X32-RatepayerCosts_160MW!X32</f>
        <v>-65482.790000000008</v>
      </c>
      <c r="Y32" s="89">
        <f>'RatepayerCosts_160MW+50MW'!Y32-RatepayerCosts_160MW!Y32</f>
        <v>-21890.910000000003</v>
      </c>
      <c r="Z32" s="89">
        <f t="shared" si="2"/>
        <v>2653544.8500000006</v>
      </c>
      <c r="AD32" s="48">
        <f>'IPC Ratepayer Costs'!A26</f>
        <v>2036</v>
      </c>
      <c r="AE32" s="96">
        <f>'IPC Ratepayer Costs'!B26-'RatepayerCosts_160MW+50MW'!AE32</f>
        <v>0</v>
      </c>
      <c r="AF32" s="96">
        <f>'IPC Ratepayer Costs'!C26-'RatepayerCosts_160MW+50MW'!AF32</f>
        <v>0</v>
      </c>
      <c r="AG32" s="3">
        <f>'RatepayerCosts_160MW+50MW'!AG32-RatepayerCosts_160MW!AG32</f>
        <v>0</v>
      </c>
      <c r="AH32" s="3">
        <f>'RatepayerCosts_160MW+50MW'!AH32-RatepayerCosts_160MW!AH32</f>
        <v>-4662.4399999999996</v>
      </c>
      <c r="AI32" s="3">
        <f>'RatepayerCosts_160MW+50MW'!AI32-RatepayerCosts_160MW!AI32</f>
        <v>0</v>
      </c>
      <c r="AJ32" s="3">
        <f t="shared" si="3"/>
        <v>-4662.4399999999996</v>
      </c>
      <c r="AK32" s="3">
        <f>'RatepayerCosts_160MW+50MW'!AK32-RatepayerCosts_160MW!AK32</f>
        <v>0</v>
      </c>
      <c r="AL32" s="3">
        <f>'RatepayerCosts_160MW+50MW'!AL32-RatepayerCosts_160MW!AL32</f>
        <v>-3315.96</v>
      </c>
      <c r="AM32" s="3">
        <f>'RatepayerCosts_160MW+50MW'!AM32-RatepayerCosts_160MW!AM32</f>
        <v>0</v>
      </c>
      <c r="AN32" s="3">
        <f t="shared" si="4"/>
        <v>-3315.96</v>
      </c>
    </row>
    <row r="33" spans="2:40">
      <c r="B33" s="48">
        <f>'PGE Ratepayer Costs'!A27</f>
        <v>2037</v>
      </c>
      <c r="C33" s="84">
        <f>'RatepayerCosts_160MW+50MW'!C33-RatepayerCosts_160MW!C33</f>
        <v>20</v>
      </c>
      <c r="D33" s="84">
        <f>'RatepayerCosts_160MW+50MW'!D33-RatepayerCosts_160MW!D33</f>
        <v>2933.0264500000012</v>
      </c>
      <c r="E33" s="89">
        <f>'RatepayerCosts_160MW+50MW'!E33-RatepayerCosts_160MW!E33</f>
        <v>2748233.0499999989</v>
      </c>
      <c r="F33" s="89">
        <f>'RatepayerCosts_160MW+50MW'!F33-RatepayerCosts_160MW!F33</f>
        <v>-132764.62</v>
      </c>
      <c r="G33" s="89">
        <f>'RatepayerCosts_160MW+50MW'!G33-RatepayerCosts_160MW!G33</f>
        <v>-11880</v>
      </c>
      <c r="H33" s="89">
        <f>'RatepayerCosts_160MW+50MW'!H33-RatepayerCosts_160MW!H33</f>
        <v>2603588.4299999997</v>
      </c>
      <c r="I33" s="89">
        <f>'RatepayerCosts_160MW+50MW'!I33-RatepayerCosts_160MW!I33</f>
        <v>1899831.1399999987</v>
      </c>
      <c r="J33" s="89">
        <f>'RatepayerCosts_160MW+50MW'!J33-RatepayerCosts_160MW!J33</f>
        <v>-91779.1</v>
      </c>
      <c r="K33" s="89">
        <f>'RatepayerCosts_160MW+50MW'!K33-RatepayerCosts_160MW!K33</f>
        <v>-8212.5400000000009</v>
      </c>
      <c r="L33" s="89">
        <f>'RatepayerCosts_160MW+50MW'!L33-RatepayerCosts_160MW!L33</f>
        <v>1799839.5</v>
      </c>
      <c r="P33" s="84">
        <f>'PAC Ratepayer Costs'!A27</f>
        <v>2037</v>
      </c>
      <c r="Q33" s="96">
        <f>'PAC Ratepayer Costs'!B27-RatepayerCosts_160MW!Q33</f>
        <v>30</v>
      </c>
      <c r="R33" s="96">
        <f>'PAC Ratepayer Costs'!C27-RatepayerCosts_160MW!R33</f>
        <v>5087.580324999999</v>
      </c>
      <c r="S33" s="3">
        <f>'RatepayerCosts_160MW+50MW'!S33-RatepayerCosts_160MW!S33</f>
        <v>3879703.42</v>
      </c>
      <c r="T33" s="3">
        <f>'RatepayerCosts_160MW+50MW'!T33-RatepayerCosts_160MW!T33</f>
        <v>-92072.94</v>
      </c>
      <c r="U33" s="3">
        <f>'RatepayerCosts_160MW+50MW'!U33-RatepayerCosts_160MW!U33</f>
        <v>-30779.999999999993</v>
      </c>
      <c r="V33" s="89">
        <f t="shared" si="1"/>
        <v>3756850.48</v>
      </c>
      <c r="W33" s="89">
        <f>'RatepayerCosts_160MW+50MW'!W33-RatepayerCosts_160MW!W33</f>
        <v>2682007.4000000004</v>
      </c>
      <c r="X33" s="89">
        <f>'RatepayerCosts_160MW+50MW'!X33-RatepayerCosts_160MW!X33</f>
        <v>-63649.270000000004</v>
      </c>
      <c r="Y33" s="89">
        <f>'RatepayerCosts_160MW+50MW'!Y33-RatepayerCosts_160MW!Y33</f>
        <v>-21277.960000000003</v>
      </c>
      <c r="Z33" s="89">
        <f t="shared" si="2"/>
        <v>2597080.1700000004</v>
      </c>
      <c r="AD33" s="48">
        <f>'IPC Ratepayer Costs'!A27</f>
        <v>2037</v>
      </c>
      <c r="AE33" s="96">
        <f>'IPC Ratepayer Costs'!B27-'RatepayerCosts_160MW+50MW'!AE33</f>
        <v>0</v>
      </c>
      <c r="AF33" s="96">
        <f>'IPC Ratepayer Costs'!C27-'RatepayerCosts_160MW+50MW'!AF33</f>
        <v>0</v>
      </c>
      <c r="AG33" s="3">
        <f>'RatepayerCosts_160MW+50MW'!AG33-RatepayerCosts_160MW!AG33</f>
        <v>0</v>
      </c>
      <c r="AH33" s="3">
        <f>'RatepayerCosts_160MW+50MW'!AH33-RatepayerCosts_160MW!AH33</f>
        <v>-4662.4399999999996</v>
      </c>
      <c r="AI33" s="3">
        <f>'RatepayerCosts_160MW+50MW'!AI33-RatepayerCosts_160MW!AI33</f>
        <v>0</v>
      </c>
      <c r="AJ33" s="3">
        <f t="shared" si="3"/>
        <v>-4662.4399999999996</v>
      </c>
      <c r="AK33" s="3">
        <f>'RatepayerCosts_160MW+50MW'!AK33-RatepayerCosts_160MW!AK33</f>
        <v>0</v>
      </c>
      <c r="AL33" s="3">
        <f>'RatepayerCosts_160MW+50MW'!AL33-RatepayerCosts_160MW!AL33</f>
        <v>-3223.1000000000004</v>
      </c>
      <c r="AM33" s="3">
        <f>'RatepayerCosts_160MW+50MW'!AM33-RatepayerCosts_160MW!AM33</f>
        <v>0</v>
      </c>
      <c r="AN33" s="3">
        <f t="shared" si="4"/>
        <v>-3223.1000000000004</v>
      </c>
    </row>
    <row r="34" spans="2:40">
      <c r="B34" s="48">
        <f>'PGE Ratepayer Costs'!A28</f>
        <v>2038</v>
      </c>
      <c r="C34" s="84">
        <f>'RatepayerCosts_160MW+50MW'!C34-RatepayerCosts_160MW!C34</f>
        <v>20</v>
      </c>
      <c r="D34" s="84">
        <f>'RatepayerCosts_160MW+50MW'!D34-RatepayerCosts_160MW!D34</f>
        <v>2933.0264500000012</v>
      </c>
      <c r="E34" s="89">
        <f>'RatepayerCosts_160MW+50MW'!E34-RatepayerCosts_160MW!E34</f>
        <v>2841373.5999999996</v>
      </c>
      <c r="F34" s="89">
        <f>'RatepayerCosts_160MW+50MW'!F34-RatepayerCosts_160MW!F34</f>
        <v>-132764.62</v>
      </c>
      <c r="G34" s="89">
        <f>'RatepayerCosts_160MW+50MW'!G34-RatepayerCosts_160MW!G34</f>
        <v>-11880</v>
      </c>
      <c r="H34" s="89">
        <f>'RatepayerCosts_160MW+50MW'!H34-RatepayerCosts_160MW!H34</f>
        <v>2696728.9800000004</v>
      </c>
      <c r="I34" s="89">
        <f>'RatepayerCosts_160MW+50MW'!I34-RatepayerCosts_160MW!I34</f>
        <v>1909220.33</v>
      </c>
      <c r="J34" s="89">
        <f>'RatepayerCosts_160MW+50MW'!J34-RatepayerCosts_160MW!J34</f>
        <v>-89209.290000000008</v>
      </c>
      <c r="K34" s="89">
        <f>'RatepayerCosts_160MW+50MW'!K34-RatepayerCosts_160MW!K34</f>
        <v>-7982.5999999999995</v>
      </c>
      <c r="L34" s="89">
        <f>'RatepayerCosts_160MW+50MW'!L34-RatepayerCosts_160MW!L34</f>
        <v>1812028.4399999995</v>
      </c>
      <c r="P34" s="84">
        <f>'PAC Ratepayer Costs'!A28</f>
        <v>2038</v>
      </c>
      <c r="Q34" s="96">
        <f>'PAC Ratepayer Costs'!B28-RatepayerCosts_160MW!Q34</f>
        <v>30</v>
      </c>
      <c r="R34" s="96">
        <f>'PAC Ratepayer Costs'!C28-RatepayerCosts_160MW!R34</f>
        <v>5087.580324999999</v>
      </c>
      <c r="S34" s="3">
        <f>'RatepayerCosts_160MW+50MW'!S34-RatepayerCosts_160MW!S34</f>
        <v>3909405.9800000004</v>
      </c>
      <c r="T34" s="3">
        <f>'RatepayerCosts_160MW+50MW'!T34-RatepayerCosts_160MW!T34</f>
        <v>-92072.939999999988</v>
      </c>
      <c r="U34" s="3">
        <f>'RatepayerCosts_160MW+50MW'!U34-RatepayerCosts_160MW!U34</f>
        <v>-30779.999999999993</v>
      </c>
      <c r="V34" s="89">
        <f t="shared" si="1"/>
        <v>3786553.0400000005</v>
      </c>
      <c r="W34" s="89">
        <f>'RatepayerCosts_160MW+50MW'!W34-RatepayerCosts_160MW!W34</f>
        <v>2626869.4000000004</v>
      </c>
      <c r="X34" s="89">
        <f>'RatepayerCosts_160MW+50MW'!X34-RatepayerCosts_160MW!X34</f>
        <v>-61867.090000000004</v>
      </c>
      <c r="Y34" s="89">
        <f>'RatepayerCosts_160MW+50MW'!Y34-RatepayerCosts_160MW!Y34</f>
        <v>-20682.18</v>
      </c>
      <c r="Z34" s="89">
        <f t="shared" si="2"/>
        <v>2544320.1300000004</v>
      </c>
      <c r="AD34" s="48">
        <f>'IPC Ratepayer Costs'!A28</f>
        <v>2038</v>
      </c>
      <c r="AE34" s="96">
        <f>'IPC Ratepayer Costs'!B28-'RatepayerCosts_160MW+50MW'!AE34</f>
        <v>0</v>
      </c>
      <c r="AF34" s="96">
        <f>'IPC Ratepayer Costs'!C28-'RatepayerCosts_160MW+50MW'!AF34</f>
        <v>0</v>
      </c>
      <c r="AG34" s="3">
        <f>'RatepayerCosts_160MW+50MW'!AG34-RatepayerCosts_160MW!AG34</f>
        <v>0</v>
      </c>
      <c r="AH34" s="3">
        <f>'RatepayerCosts_160MW+50MW'!AH34-RatepayerCosts_160MW!AH34</f>
        <v>-4662.4400000000005</v>
      </c>
      <c r="AI34" s="3">
        <f>'RatepayerCosts_160MW+50MW'!AI34-RatepayerCosts_160MW!AI34</f>
        <v>0</v>
      </c>
      <c r="AJ34" s="3">
        <f t="shared" si="3"/>
        <v>-4662.4400000000005</v>
      </c>
      <c r="AK34" s="3">
        <f>'RatepayerCosts_160MW+50MW'!AK34-RatepayerCosts_160MW!AK34</f>
        <v>0</v>
      </c>
      <c r="AL34" s="3">
        <f>'RatepayerCosts_160MW+50MW'!AL34-RatepayerCosts_160MW!AL34</f>
        <v>-3132.8600000000006</v>
      </c>
      <c r="AM34" s="3">
        <f>'RatepayerCosts_160MW+50MW'!AM34-RatepayerCosts_160MW!AM34</f>
        <v>0</v>
      </c>
      <c r="AN34" s="3">
        <f t="shared" si="4"/>
        <v>-3132.8600000000006</v>
      </c>
    </row>
    <row r="35" spans="2:40">
      <c r="B35" s="48">
        <f>'PGE Ratepayer Costs'!A29</f>
        <v>2039</v>
      </c>
      <c r="C35" s="84">
        <f>'RatepayerCosts_160MW+50MW'!C35-RatepayerCosts_160MW!C35</f>
        <v>20</v>
      </c>
      <c r="D35" s="84">
        <f>'RatepayerCosts_160MW+50MW'!D35-RatepayerCosts_160MW!D35</f>
        <v>2933.0264500000012</v>
      </c>
      <c r="E35" s="89">
        <f>'RatepayerCosts_160MW+50MW'!E35-RatepayerCosts_160MW!E35</f>
        <v>2916808.1400000006</v>
      </c>
      <c r="F35" s="89">
        <f>'RatepayerCosts_160MW+50MW'!F35-RatepayerCosts_160MW!F35</f>
        <v>-132764.62</v>
      </c>
      <c r="G35" s="89">
        <f>'RatepayerCosts_160MW+50MW'!G35-RatepayerCosts_160MW!G35</f>
        <v>-11880</v>
      </c>
      <c r="H35" s="89">
        <f>'RatepayerCosts_160MW+50MW'!H35-RatepayerCosts_160MW!H35</f>
        <v>2772163.5200000014</v>
      </c>
      <c r="I35" s="89">
        <f>'RatepayerCosts_160MW+50MW'!I35-RatepayerCosts_160MW!I35</f>
        <v>1905030.0799999991</v>
      </c>
      <c r="J35" s="89">
        <f>'RatepayerCosts_160MW+50MW'!J35-RatepayerCosts_160MW!J35</f>
        <v>-86711.42</v>
      </c>
      <c r="K35" s="89">
        <f>'RatepayerCosts_160MW+50MW'!K35-RatepayerCosts_160MW!K35</f>
        <v>-7759.08</v>
      </c>
      <c r="L35" s="89">
        <f>'RatepayerCosts_160MW+50MW'!L35-RatepayerCosts_160MW!L35</f>
        <v>1810559.58</v>
      </c>
      <c r="P35" s="84">
        <f>'PAC Ratepayer Costs'!A29</f>
        <v>2039</v>
      </c>
      <c r="Q35" s="96">
        <f>'PAC Ratepayer Costs'!B29-RatepayerCosts_160MW!Q35</f>
        <v>30</v>
      </c>
      <c r="R35" s="96">
        <f>'PAC Ratepayer Costs'!C29-RatepayerCosts_160MW!R35</f>
        <v>5087.580324999999</v>
      </c>
      <c r="S35" s="3">
        <f>'RatepayerCosts_160MW+50MW'!S35-RatepayerCosts_160MW!S35</f>
        <v>3949168.1300000008</v>
      </c>
      <c r="T35" s="3">
        <f>'RatepayerCosts_160MW+50MW'!T35-RatepayerCosts_160MW!T35</f>
        <v>-92072.939999999988</v>
      </c>
      <c r="U35" s="3">
        <f>'RatepayerCosts_160MW+50MW'!U35-RatepayerCosts_160MW!U35</f>
        <v>-30779.999999999993</v>
      </c>
      <c r="V35" s="89">
        <f t="shared" si="1"/>
        <v>3826315.1900000009</v>
      </c>
      <c r="W35" s="89">
        <f>'RatepayerCosts_160MW+50MW'!W35-RatepayerCosts_160MW!W35</f>
        <v>2579286.5699999994</v>
      </c>
      <c r="X35" s="89">
        <f>'RatepayerCosts_160MW+50MW'!X35-RatepayerCosts_160MW!X35</f>
        <v>-60134.81</v>
      </c>
      <c r="Y35" s="89">
        <f>'RatepayerCosts_160MW+50MW'!Y35-RatepayerCosts_160MW!Y35</f>
        <v>-20103.080000000002</v>
      </c>
      <c r="Z35" s="89">
        <f t="shared" si="2"/>
        <v>2499048.6799999992</v>
      </c>
      <c r="AD35" s="48">
        <f>'IPC Ratepayer Costs'!A29</f>
        <v>2039</v>
      </c>
      <c r="AE35" s="96">
        <f>'IPC Ratepayer Costs'!B29-'RatepayerCosts_160MW+50MW'!AE35</f>
        <v>0</v>
      </c>
      <c r="AF35" s="96">
        <f>'IPC Ratepayer Costs'!C29-'RatepayerCosts_160MW+50MW'!AF35</f>
        <v>0</v>
      </c>
      <c r="AG35" s="3">
        <f>'RatepayerCosts_160MW+50MW'!AG35-RatepayerCosts_160MW!AG35</f>
        <v>0</v>
      </c>
      <c r="AH35" s="3">
        <f>'RatepayerCosts_160MW+50MW'!AH35-RatepayerCosts_160MW!AH35</f>
        <v>-4662.4400000000005</v>
      </c>
      <c r="AI35" s="3">
        <f>'RatepayerCosts_160MW+50MW'!AI35-RatepayerCosts_160MW!AI35</f>
        <v>0</v>
      </c>
      <c r="AJ35" s="3">
        <f t="shared" si="3"/>
        <v>-4662.4400000000005</v>
      </c>
      <c r="AK35" s="3">
        <f>'RatepayerCosts_160MW+50MW'!AK35-RatepayerCosts_160MW!AK35</f>
        <v>0</v>
      </c>
      <c r="AL35" s="3">
        <f>'RatepayerCosts_160MW+50MW'!AL35-RatepayerCosts_160MW!AL35</f>
        <v>-3045.1400000000003</v>
      </c>
      <c r="AM35" s="3">
        <f>'RatepayerCosts_160MW+50MW'!AM35-RatepayerCosts_160MW!AM35</f>
        <v>0</v>
      </c>
      <c r="AN35" s="3">
        <f t="shared" si="4"/>
        <v>-3045.1400000000003</v>
      </c>
    </row>
    <row r="36" spans="2:40">
      <c r="B36" s="48">
        <f>'PGE Ratepayer Costs'!A30</f>
        <v>2040</v>
      </c>
      <c r="C36" s="84">
        <f>'RatepayerCosts_160MW+50MW'!C36-RatepayerCosts_160MW!C36</f>
        <v>20</v>
      </c>
      <c r="D36" s="84">
        <f>'RatepayerCosts_160MW+50MW'!D36-RatepayerCosts_160MW!D36</f>
        <v>2933.0264500000012</v>
      </c>
      <c r="E36" s="89">
        <f>'RatepayerCosts_160MW+50MW'!E36-RatepayerCosts_160MW!E36</f>
        <v>2942196.75</v>
      </c>
      <c r="F36" s="89">
        <f>'RatepayerCosts_160MW+50MW'!F36-RatepayerCosts_160MW!F36</f>
        <v>-132764.62</v>
      </c>
      <c r="G36" s="89">
        <f>'RatepayerCosts_160MW+50MW'!G36-RatepayerCosts_160MW!G36</f>
        <v>-11880</v>
      </c>
      <c r="H36" s="89">
        <f>'RatepayerCosts_160MW+50MW'!H36-RatepayerCosts_160MW!H36</f>
        <v>2797552.1300000008</v>
      </c>
      <c r="I36" s="89">
        <f>'RatepayerCosts_160MW+50MW'!I36-RatepayerCosts_160MW!I36</f>
        <v>1867806.7899999991</v>
      </c>
      <c r="J36" s="89">
        <f>'RatepayerCosts_160MW+50MW'!J36-RatepayerCosts_160MW!J36</f>
        <v>-84283.5</v>
      </c>
      <c r="K36" s="89">
        <f>'RatepayerCosts_160MW+50MW'!K36-RatepayerCosts_160MW!K36</f>
        <v>-7541.83</v>
      </c>
      <c r="L36" s="89">
        <f>'RatepayerCosts_160MW+50MW'!L36-RatepayerCosts_160MW!L36</f>
        <v>1775981.4600000009</v>
      </c>
      <c r="P36" s="84">
        <f>'PAC Ratepayer Costs'!A30</f>
        <v>2040</v>
      </c>
      <c r="Q36" s="96">
        <f>'PAC Ratepayer Costs'!B30-RatepayerCosts_160MW!Q36</f>
        <v>30</v>
      </c>
      <c r="R36" s="96">
        <f>'PAC Ratepayer Costs'!C30-RatepayerCosts_160MW!R36</f>
        <v>5087.580324999999</v>
      </c>
      <c r="S36" s="3">
        <f>'RatepayerCosts_160MW+50MW'!S36-RatepayerCosts_160MW!S36</f>
        <v>3995924.7500000009</v>
      </c>
      <c r="T36" s="3">
        <f>'RatepayerCosts_160MW+50MW'!T36-RatepayerCosts_160MW!T36</f>
        <v>-92072.95</v>
      </c>
      <c r="U36" s="3">
        <f>'RatepayerCosts_160MW+50MW'!U36-RatepayerCosts_160MW!U36</f>
        <v>-30779.999999999993</v>
      </c>
      <c r="V36" s="89">
        <f t="shared" si="1"/>
        <v>3873071.8000000007</v>
      </c>
      <c r="W36" s="89">
        <f>'RatepayerCosts_160MW+50MW'!W36-RatepayerCosts_160MW!W36</f>
        <v>2536749.25</v>
      </c>
      <c r="X36" s="89">
        <f>'RatepayerCosts_160MW+50MW'!X36-RatepayerCosts_160MW!X36</f>
        <v>-58451.049999999988</v>
      </c>
      <c r="Y36" s="89">
        <f>'RatepayerCosts_160MW+50MW'!Y36-RatepayerCosts_160MW!Y36</f>
        <v>-19540.190000000002</v>
      </c>
      <c r="Z36" s="89">
        <f t="shared" si="2"/>
        <v>2458758.0100000002</v>
      </c>
      <c r="AD36" s="48">
        <f>'IPC Ratepayer Costs'!A30</f>
        <v>2040</v>
      </c>
      <c r="AE36" s="96">
        <f>'IPC Ratepayer Costs'!B30-'RatepayerCosts_160MW+50MW'!AE36</f>
        <v>0</v>
      </c>
      <c r="AF36" s="96">
        <f>'IPC Ratepayer Costs'!C30-'RatepayerCosts_160MW+50MW'!AF36</f>
        <v>0</v>
      </c>
      <c r="AG36" s="3">
        <f>'RatepayerCosts_160MW+50MW'!AG36-RatepayerCosts_160MW!AG36</f>
        <v>0</v>
      </c>
      <c r="AH36" s="3">
        <f>'RatepayerCosts_160MW+50MW'!AH36-RatepayerCosts_160MW!AH36</f>
        <v>-4662.4399999999987</v>
      </c>
      <c r="AI36" s="3">
        <f>'RatepayerCosts_160MW+50MW'!AI36-RatepayerCosts_160MW!AI36</f>
        <v>0</v>
      </c>
      <c r="AJ36" s="3">
        <f t="shared" si="3"/>
        <v>-4662.4399999999987</v>
      </c>
      <c r="AK36" s="3">
        <f>'RatepayerCosts_160MW+50MW'!AK36-RatepayerCosts_160MW!AK36</f>
        <v>0</v>
      </c>
      <c r="AL36" s="3">
        <f>'RatepayerCosts_160MW+50MW'!AL36-RatepayerCosts_160MW!AL36</f>
        <v>-2959.8700000000003</v>
      </c>
      <c r="AM36" s="3">
        <f>'RatepayerCosts_160MW+50MW'!AM36-RatepayerCosts_160MW!AM36</f>
        <v>0</v>
      </c>
      <c r="AN36" s="3">
        <f t="shared" si="4"/>
        <v>-2959.8700000000003</v>
      </c>
    </row>
    <row r="37" spans="2:40">
      <c r="B37" s="48">
        <f>'PGE Ratepayer Costs'!A31</f>
        <v>2041</v>
      </c>
      <c r="C37" s="84">
        <f>'RatepayerCosts_160MW+50MW'!C37-RatepayerCosts_160MW!C37</f>
        <v>20</v>
      </c>
      <c r="D37" s="84">
        <f>'RatepayerCosts_160MW+50MW'!D37-RatepayerCosts_160MW!D37</f>
        <v>2933.0264500000012</v>
      </c>
      <c r="E37" s="89">
        <f>'RatepayerCosts_160MW+50MW'!E37-RatepayerCosts_160MW!E37</f>
        <v>2966659.9000000004</v>
      </c>
      <c r="F37" s="89">
        <f>'RatepayerCosts_160MW+50MW'!F37-RatepayerCosts_160MW!F37</f>
        <v>-132764.62000000002</v>
      </c>
      <c r="G37" s="89">
        <f>'RatepayerCosts_160MW+50MW'!G37-RatepayerCosts_160MW!G37</f>
        <v>-11880</v>
      </c>
      <c r="H37" s="89">
        <f>'RatepayerCosts_160MW+50MW'!H37-RatepayerCosts_160MW!H37</f>
        <v>2822015.2800000012</v>
      </c>
      <c r="I37" s="89">
        <f>'RatepayerCosts_160MW+50MW'!I37-RatepayerCosts_160MW!I37</f>
        <v>1830603.4000000004</v>
      </c>
      <c r="J37" s="89">
        <f>'RatepayerCosts_160MW+50MW'!J37-RatepayerCosts_160MW!J37</f>
        <v>-81923.570000000007</v>
      </c>
      <c r="K37" s="89">
        <f>'RatepayerCosts_160MW+50MW'!K37-RatepayerCosts_160MW!K37</f>
        <v>-7330.66</v>
      </c>
      <c r="L37" s="89">
        <f>'RatepayerCosts_160MW+50MW'!L37-RatepayerCosts_160MW!L37</f>
        <v>1741349.1700000009</v>
      </c>
      <c r="P37" s="84">
        <f>'PAC Ratepayer Costs'!A31</f>
        <v>2041</v>
      </c>
      <c r="Q37" s="96">
        <f>'PAC Ratepayer Costs'!B31-RatepayerCosts_160MW!Q37</f>
        <v>30</v>
      </c>
      <c r="R37" s="96">
        <f>'PAC Ratepayer Costs'!C31-RatepayerCosts_160MW!R37</f>
        <v>5087.580324999999</v>
      </c>
      <c r="S37" s="3">
        <f>'RatepayerCosts_160MW+50MW'!S37-RatepayerCosts_160MW!S37</f>
        <v>4035480.3600000003</v>
      </c>
      <c r="T37" s="3">
        <f>'RatepayerCosts_160MW+50MW'!T37-RatepayerCosts_160MW!T37</f>
        <v>-92072.94</v>
      </c>
      <c r="U37" s="3">
        <f>'RatepayerCosts_160MW+50MW'!U37-RatepayerCosts_160MW!U37</f>
        <v>-30779.999999999993</v>
      </c>
      <c r="V37" s="89">
        <f t="shared" si="1"/>
        <v>3912627.4200000004</v>
      </c>
      <c r="W37" s="89">
        <f>'RatepayerCosts_160MW+50MW'!W37-RatepayerCosts_160MW!W37</f>
        <v>2490128.3999999994</v>
      </c>
      <c r="X37" s="89">
        <f>'RatepayerCosts_160MW+50MW'!X37-RatepayerCosts_160MW!X37</f>
        <v>-56814.41</v>
      </c>
      <c r="Y37" s="89">
        <f>'RatepayerCosts_160MW+50MW'!Y37-RatepayerCosts_160MW!Y37</f>
        <v>-18993.07</v>
      </c>
      <c r="Z37" s="89">
        <f t="shared" si="2"/>
        <v>2414320.9199999995</v>
      </c>
      <c r="AD37" s="48">
        <f>'IPC Ratepayer Costs'!A31</f>
        <v>2041</v>
      </c>
      <c r="AE37" s="96">
        <f>'IPC Ratepayer Costs'!B31-'RatepayerCosts_160MW+50MW'!AE37</f>
        <v>0</v>
      </c>
      <c r="AF37" s="96">
        <f>'IPC Ratepayer Costs'!C31-'RatepayerCosts_160MW+50MW'!AF37</f>
        <v>0</v>
      </c>
      <c r="AG37" s="3">
        <f>'RatepayerCosts_160MW+50MW'!AG37-RatepayerCosts_160MW!AG37</f>
        <v>0</v>
      </c>
      <c r="AH37" s="3">
        <f>'RatepayerCosts_160MW+50MW'!AH37-RatepayerCosts_160MW!AH37</f>
        <v>-4662.4399999999996</v>
      </c>
      <c r="AI37" s="3">
        <f>'RatepayerCosts_160MW+50MW'!AI37-RatepayerCosts_160MW!AI37</f>
        <v>0</v>
      </c>
      <c r="AJ37" s="3">
        <f t="shared" si="3"/>
        <v>-4662.4399999999996</v>
      </c>
      <c r="AK37" s="3">
        <f>'RatepayerCosts_160MW+50MW'!AK37-RatepayerCosts_160MW!AK37</f>
        <v>0</v>
      </c>
      <c r="AL37" s="3">
        <f>'RatepayerCosts_160MW+50MW'!AL37-RatepayerCosts_160MW!AL37</f>
        <v>-2877</v>
      </c>
      <c r="AM37" s="3">
        <f>'RatepayerCosts_160MW+50MW'!AM37-RatepayerCosts_160MW!AM37</f>
        <v>0</v>
      </c>
      <c r="AN37" s="3">
        <f t="shared" si="4"/>
        <v>-2877</v>
      </c>
    </row>
    <row r="38" spans="2:40">
      <c r="B38" s="48">
        <f>'PGE Ratepayer Costs'!A32</f>
        <v>2042</v>
      </c>
      <c r="C38" s="84">
        <f>'RatepayerCosts_160MW+50MW'!C38-RatepayerCosts_160MW!C38</f>
        <v>20</v>
      </c>
      <c r="D38" s="84">
        <f>'RatepayerCosts_160MW+50MW'!D38-RatepayerCosts_160MW!D38</f>
        <v>2933.0264500000012</v>
      </c>
      <c r="E38" s="89">
        <f>'RatepayerCosts_160MW+50MW'!E38-RatepayerCosts_160MW!E38</f>
        <v>2975769.9700000007</v>
      </c>
      <c r="F38" s="89">
        <f>'RatepayerCosts_160MW+50MW'!F38-RatepayerCosts_160MW!F38</f>
        <v>-132764.62</v>
      </c>
      <c r="G38" s="89">
        <f>'RatepayerCosts_160MW+50MW'!G38-RatepayerCosts_160MW!G38</f>
        <v>-11880</v>
      </c>
      <c r="H38" s="89">
        <f>'RatepayerCosts_160MW+50MW'!H38-RatepayerCosts_160MW!H38</f>
        <v>2831125.3500000015</v>
      </c>
      <c r="I38" s="89">
        <f>'RatepayerCosts_160MW+50MW'!I38-RatepayerCosts_160MW!I38</f>
        <v>1784810.5499999998</v>
      </c>
      <c r="J38" s="89">
        <f>'RatepayerCosts_160MW+50MW'!J38-RatepayerCosts_160MW!J38</f>
        <v>-79629.710000000021</v>
      </c>
      <c r="K38" s="89">
        <f>'RatepayerCosts_160MW+50MW'!K38-RatepayerCosts_160MW!K38</f>
        <v>-7125.4000000000015</v>
      </c>
      <c r="L38" s="89">
        <f>'RatepayerCosts_160MW+50MW'!L38-RatepayerCosts_160MW!L38</f>
        <v>1698055.4399999985</v>
      </c>
      <c r="P38" s="84">
        <f>'PAC Ratepayer Costs'!A32</f>
        <v>2042</v>
      </c>
      <c r="Q38" s="96">
        <f>'PAC Ratepayer Costs'!B32-RatepayerCosts_160MW!Q38</f>
        <v>30</v>
      </c>
      <c r="R38" s="96">
        <f>'PAC Ratepayer Costs'!C32-RatepayerCosts_160MW!R38</f>
        <v>5087.580324999999</v>
      </c>
      <c r="S38" s="3">
        <f>'RatepayerCosts_160MW+50MW'!S38-RatepayerCosts_160MW!S38</f>
        <v>4058019.7300000004</v>
      </c>
      <c r="T38" s="3">
        <f>'RatepayerCosts_160MW+50MW'!T38-RatepayerCosts_160MW!T38</f>
        <v>-92072.94</v>
      </c>
      <c r="U38" s="3">
        <f>'RatepayerCosts_160MW+50MW'!U38-RatepayerCosts_160MW!U38</f>
        <v>-30779.999999999993</v>
      </c>
      <c r="V38" s="89">
        <f t="shared" si="1"/>
        <v>3935166.7900000005</v>
      </c>
      <c r="W38" s="89">
        <f>'RatepayerCosts_160MW+50MW'!W38-RatepayerCosts_160MW!W38</f>
        <v>2433923.5</v>
      </c>
      <c r="X38" s="89">
        <f>'RatepayerCosts_160MW+50MW'!X38-RatepayerCosts_160MW!X38</f>
        <v>-55223.610000000015</v>
      </c>
      <c r="Y38" s="89">
        <f>'RatepayerCosts_160MW+50MW'!Y38-RatepayerCosts_160MW!Y38</f>
        <v>-18461.260000000002</v>
      </c>
      <c r="Z38" s="89">
        <f t="shared" si="2"/>
        <v>2360238.6300000004</v>
      </c>
      <c r="AD38" s="48">
        <f>'IPC Ratepayer Costs'!A32</f>
        <v>2042</v>
      </c>
      <c r="AE38" s="96">
        <f>'IPC Ratepayer Costs'!B32-'RatepayerCosts_160MW+50MW'!AE38</f>
        <v>0</v>
      </c>
      <c r="AF38" s="96">
        <f>'IPC Ratepayer Costs'!C32-'RatepayerCosts_160MW+50MW'!AF38</f>
        <v>0</v>
      </c>
      <c r="AG38" s="3">
        <f>'RatepayerCosts_160MW+50MW'!AG38-RatepayerCosts_160MW!AG38</f>
        <v>0</v>
      </c>
      <c r="AH38" s="3">
        <f>'RatepayerCosts_160MW+50MW'!AH38-RatepayerCosts_160MW!AH38</f>
        <v>-4662.4400000000005</v>
      </c>
      <c r="AI38" s="3">
        <f>'RatepayerCosts_160MW+50MW'!AI38-RatepayerCosts_160MW!AI38</f>
        <v>0</v>
      </c>
      <c r="AJ38" s="3">
        <f t="shared" si="3"/>
        <v>-4662.4400000000005</v>
      </c>
      <c r="AK38" s="3">
        <f>'RatepayerCosts_160MW+50MW'!AK38-RatepayerCosts_160MW!AK38</f>
        <v>0</v>
      </c>
      <c r="AL38" s="3">
        <f>'RatepayerCosts_160MW+50MW'!AL38-RatepayerCosts_160MW!AL38</f>
        <v>-2796.4399999999996</v>
      </c>
      <c r="AM38" s="3">
        <f>'RatepayerCosts_160MW+50MW'!AM38-RatepayerCosts_160MW!AM38</f>
        <v>0</v>
      </c>
      <c r="AN38" s="3">
        <f t="shared" si="4"/>
        <v>-2796.4399999999996</v>
      </c>
    </row>
    <row r="39" spans="2:40">
      <c r="B39" s="48">
        <f>'PGE Ratepayer Costs'!A33</f>
        <v>2043</v>
      </c>
      <c r="C39" s="84">
        <f>'RatepayerCosts_160MW+50MW'!C39-RatepayerCosts_160MW!C39</f>
        <v>20</v>
      </c>
      <c r="D39" s="84">
        <f>'RatepayerCosts_160MW+50MW'!D39-RatepayerCosts_160MW!D39</f>
        <v>2933.0264499999994</v>
      </c>
      <c r="E39" s="89">
        <f>'RatepayerCosts_160MW+50MW'!E39-RatepayerCosts_160MW!E39</f>
        <v>3023891.1300000008</v>
      </c>
      <c r="F39" s="89">
        <f>'RatepayerCosts_160MW+50MW'!F39-RatepayerCosts_160MW!F39</f>
        <v>-132764.62</v>
      </c>
      <c r="G39" s="89">
        <f>'RatepayerCosts_160MW+50MW'!G39-RatepayerCosts_160MW!G39</f>
        <v>-11880</v>
      </c>
      <c r="H39" s="89">
        <f>'RatepayerCosts_160MW+50MW'!H39-RatepayerCosts_160MW!H39</f>
        <v>2879246.51</v>
      </c>
      <c r="I39" s="89">
        <f>'RatepayerCosts_160MW+50MW'!I39-RatepayerCosts_160MW!I39</f>
        <v>1762889.88</v>
      </c>
      <c r="J39" s="89">
        <f>'RatepayerCosts_160MW+50MW'!J39-RatepayerCosts_160MW!J39</f>
        <v>-77400.069999999978</v>
      </c>
      <c r="K39" s="89">
        <f>'RatepayerCosts_160MW+50MW'!K39-RatepayerCosts_160MW!K39</f>
        <v>-6925.880000000001</v>
      </c>
      <c r="L39" s="89">
        <f>'RatepayerCosts_160MW+50MW'!L39-RatepayerCosts_160MW!L39</f>
        <v>1678563.9300000006</v>
      </c>
      <c r="P39" s="84">
        <f>'PAC Ratepayer Costs'!A33</f>
        <v>2043</v>
      </c>
      <c r="Q39" s="96">
        <f>'PAC Ratepayer Costs'!B33-RatepayerCosts_160MW!Q39</f>
        <v>30</v>
      </c>
      <c r="R39" s="96">
        <f>'PAC Ratepayer Costs'!C33-RatepayerCosts_160MW!R39</f>
        <v>5087.5803250000008</v>
      </c>
      <c r="S39" s="3">
        <f>'RatepayerCosts_160MW+50MW'!S39-RatepayerCosts_160MW!S39</f>
        <v>4053403.67</v>
      </c>
      <c r="T39" s="3">
        <f>'RatepayerCosts_160MW+50MW'!T39-RatepayerCosts_160MW!T39</f>
        <v>-92072.94</v>
      </c>
      <c r="U39" s="3">
        <f>'RatepayerCosts_160MW+50MW'!U39-RatepayerCosts_160MW!U39</f>
        <v>-30780</v>
      </c>
      <c r="V39" s="89">
        <f t="shared" si="1"/>
        <v>3930550.73</v>
      </c>
      <c r="W39" s="89">
        <f>'RatepayerCosts_160MW+50MW'!W39-RatepayerCosts_160MW!W39</f>
        <v>2363082.5400000005</v>
      </c>
      <c r="X39" s="89">
        <f>'RatepayerCosts_160MW+50MW'!X39-RatepayerCosts_160MW!X39</f>
        <v>-53677.350000000006</v>
      </c>
      <c r="Y39" s="89">
        <f>'RatepayerCosts_160MW+50MW'!Y39-RatepayerCosts_160MW!Y39</f>
        <v>-17944.349999999999</v>
      </c>
      <c r="Z39" s="89">
        <f t="shared" si="2"/>
        <v>2291460.8400000003</v>
      </c>
      <c r="AD39" s="48">
        <f>'IPC Ratepayer Costs'!A33</f>
        <v>2043</v>
      </c>
      <c r="AE39" s="96">
        <f>'IPC Ratepayer Costs'!B33-'RatepayerCosts_160MW+50MW'!AE39</f>
        <v>0</v>
      </c>
      <c r="AF39" s="96">
        <f>'IPC Ratepayer Costs'!C33-'RatepayerCosts_160MW+50MW'!AF39</f>
        <v>0</v>
      </c>
      <c r="AG39" s="3">
        <f>'RatepayerCosts_160MW+50MW'!AG39-RatepayerCosts_160MW!AG39</f>
        <v>0</v>
      </c>
      <c r="AH39" s="3">
        <f>'RatepayerCosts_160MW+50MW'!AH39-RatepayerCosts_160MW!AH39</f>
        <v>-4662.4400000000005</v>
      </c>
      <c r="AI39" s="3">
        <f>'RatepayerCosts_160MW+50MW'!AI39-RatepayerCosts_160MW!AI39</f>
        <v>0</v>
      </c>
      <c r="AJ39" s="3">
        <f t="shared" si="3"/>
        <v>-4662.4400000000005</v>
      </c>
      <c r="AK39" s="3">
        <f>'RatepayerCosts_160MW+50MW'!AK39-RatepayerCosts_160MW!AK39</f>
        <v>0</v>
      </c>
      <c r="AL39" s="3">
        <f>'RatepayerCosts_160MW+50MW'!AL39-RatepayerCosts_160MW!AL39</f>
        <v>-2718.1500000000005</v>
      </c>
      <c r="AM39" s="3">
        <f>'RatepayerCosts_160MW+50MW'!AM39-RatepayerCosts_160MW!AM39</f>
        <v>0</v>
      </c>
      <c r="AN39" s="3">
        <f t="shared" si="4"/>
        <v>-2718.1500000000005</v>
      </c>
    </row>
    <row r="40" spans="2:40">
      <c r="B40" s="48">
        <f>'PGE Ratepayer Costs'!A34</f>
        <v>2044</v>
      </c>
      <c r="C40" s="84">
        <f>'RatepayerCosts_160MW+50MW'!C40-RatepayerCosts_160MW!C40</f>
        <v>20.000000000000007</v>
      </c>
      <c r="D40" s="84">
        <f>'RatepayerCosts_160MW+50MW'!D40-RatepayerCosts_160MW!D40</f>
        <v>2933.0264500000012</v>
      </c>
      <c r="E40" s="89">
        <f>'RatepayerCosts_160MW+50MW'!E40-RatepayerCosts_160MW!E40</f>
        <v>2962290.29</v>
      </c>
      <c r="F40" s="89">
        <f>'RatepayerCosts_160MW+50MW'!F40-RatepayerCosts_160MW!F40</f>
        <v>-132764.62</v>
      </c>
      <c r="G40" s="89">
        <f>'RatepayerCosts_160MW+50MW'!G40-RatepayerCosts_160MW!G40</f>
        <v>-11879.999999999993</v>
      </c>
      <c r="H40" s="89">
        <f>'RatepayerCosts_160MW+50MW'!H40-RatepayerCosts_160MW!H40</f>
        <v>2817645.67</v>
      </c>
      <c r="I40" s="89">
        <f>'RatepayerCosts_160MW+50MW'!I40-RatepayerCosts_160MW!I40</f>
        <v>1678622.0100000002</v>
      </c>
      <c r="J40" s="89">
        <f>'RatepayerCosts_160MW+50MW'!J40-RatepayerCosts_160MW!J40</f>
        <v>-75232.88</v>
      </c>
      <c r="K40" s="89">
        <f>'RatepayerCosts_160MW+50MW'!K40-RatepayerCosts_160MW!K40</f>
        <v>-6731.9699999999975</v>
      </c>
      <c r="L40" s="89">
        <f>'RatepayerCosts_160MW+50MW'!L40-RatepayerCosts_160MW!L40</f>
        <v>1596657.1600000001</v>
      </c>
      <c r="P40" s="84">
        <f>'PAC Ratepayer Costs'!A34</f>
        <v>2044</v>
      </c>
      <c r="Q40" s="96">
        <f>'PAC Ratepayer Costs'!B34-RatepayerCosts_160MW!Q40</f>
        <v>29.999999999999993</v>
      </c>
      <c r="R40" s="96">
        <f>'PAC Ratepayer Costs'!C34-RatepayerCosts_160MW!R40</f>
        <v>5087.580324999999</v>
      </c>
      <c r="S40" s="3">
        <f>'RatepayerCosts_160MW+50MW'!S40-RatepayerCosts_160MW!S40</f>
        <v>4089859.79</v>
      </c>
      <c r="T40" s="3">
        <f>'RatepayerCosts_160MW+50MW'!T40-RatepayerCosts_160MW!T40</f>
        <v>-92072.94</v>
      </c>
      <c r="U40" s="3">
        <f>'RatepayerCosts_160MW+50MW'!U40-RatepayerCosts_160MW!U40</f>
        <v>-30780.000000000007</v>
      </c>
      <c r="V40" s="89">
        <f t="shared" si="1"/>
        <v>3967006.85</v>
      </c>
      <c r="W40" s="89">
        <f>'RatepayerCosts_160MW+50MW'!W40-RatepayerCosts_160MW!W40</f>
        <v>2317574.5799999996</v>
      </c>
      <c r="X40" s="89">
        <f>'RatepayerCosts_160MW+50MW'!X40-RatepayerCosts_160MW!X40</f>
        <v>-52174.380000000005</v>
      </c>
      <c r="Y40" s="89">
        <f>'RatepayerCosts_160MW+50MW'!Y40-RatepayerCosts_160MW!Y40</f>
        <v>-17441.899999999998</v>
      </c>
      <c r="Z40" s="89">
        <f t="shared" si="2"/>
        <v>2247958.2999999998</v>
      </c>
      <c r="AD40" s="48">
        <f>'IPC Ratepayer Costs'!A34</f>
        <v>2044</v>
      </c>
      <c r="AE40" s="96">
        <f>'IPC Ratepayer Costs'!B34-'RatepayerCosts_160MW+50MW'!AE40</f>
        <v>0</v>
      </c>
      <c r="AF40" s="96">
        <f>'IPC Ratepayer Costs'!C34-'RatepayerCosts_160MW+50MW'!AF40</f>
        <v>0</v>
      </c>
      <c r="AG40" s="3">
        <f>'RatepayerCosts_160MW+50MW'!AG40-RatepayerCosts_160MW!AG40</f>
        <v>0</v>
      </c>
      <c r="AH40" s="3">
        <f>'RatepayerCosts_160MW+50MW'!AH40-RatepayerCosts_160MW!AH40</f>
        <v>-4662.4399999999987</v>
      </c>
      <c r="AI40" s="3">
        <f>'RatepayerCosts_160MW+50MW'!AI40-RatepayerCosts_160MW!AI40</f>
        <v>0</v>
      </c>
      <c r="AJ40" s="3">
        <f t="shared" si="3"/>
        <v>-4662.4399999999987</v>
      </c>
      <c r="AK40" s="3">
        <f>'RatepayerCosts_160MW+50MW'!AK40-RatepayerCosts_160MW!AK40</f>
        <v>0</v>
      </c>
      <c r="AL40" s="3">
        <f>'RatepayerCosts_160MW+50MW'!AL40-RatepayerCosts_160MW!AL40</f>
        <v>-2642.0300000000007</v>
      </c>
      <c r="AM40" s="3">
        <f>'RatepayerCosts_160MW+50MW'!AM40-RatepayerCosts_160MW!AM40</f>
        <v>0</v>
      </c>
      <c r="AN40" s="3">
        <f t="shared" si="4"/>
        <v>-2642.0300000000007</v>
      </c>
    </row>
    <row r="41" spans="2:40">
      <c r="B41" s="48">
        <f>'PGE Ratepayer Costs'!A35</f>
        <v>2045</v>
      </c>
      <c r="C41" s="84">
        <f>'RatepayerCosts_160MW+50MW'!C41-RatepayerCosts_160MW!C41</f>
        <v>20.000000000000007</v>
      </c>
      <c r="D41" s="84">
        <f>'RatepayerCosts_160MW+50MW'!D41-RatepayerCosts_160MW!D41</f>
        <v>2933.0264500000003</v>
      </c>
      <c r="E41" s="89">
        <f>'RatepayerCosts_160MW+50MW'!E41-RatepayerCosts_160MW!E41</f>
        <v>2876276.8499999987</v>
      </c>
      <c r="F41" s="89">
        <f>'RatepayerCosts_160MW+50MW'!F41-RatepayerCosts_160MW!F41</f>
        <v>-132764.62</v>
      </c>
      <c r="G41" s="89">
        <f>'RatepayerCosts_160MW+50MW'!G41-RatepayerCosts_160MW!G41</f>
        <v>-11879.999999999993</v>
      </c>
      <c r="H41" s="89">
        <f>'RatepayerCosts_160MW+50MW'!H41-RatepayerCosts_160MW!H41</f>
        <v>2731632.2299999995</v>
      </c>
      <c r="I41" s="89">
        <f>'RatepayerCosts_160MW+50MW'!I41-RatepayerCosts_160MW!I41</f>
        <v>1584244.65</v>
      </c>
      <c r="J41" s="89">
        <f>'RatepayerCosts_160MW+50MW'!J41-RatepayerCosts_160MW!J41</f>
        <v>-73126.359999999986</v>
      </c>
      <c r="K41" s="89">
        <f>'RatepayerCosts_160MW+50MW'!K41-RatepayerCosts_160MW!K41</f>
        <v>-6543.4599999999991</v>
      </c>
      <c r="L41" s="89">
        <f>'RatepayerCosts_160MW+50MW'!L41-RatepayerCosts_160MW!L41</f>
        <v>1504574.8300000005</v>
      </c>
      <c r="P41" s="84">
        <f>'PAC Ratepayer Costs'!A35</f>
        <v>2045</v>
      </c>
      <c r="Q41" s="96">
        <f>'PAC Ratepayer Costs'!B35-RatepayerCosts_160MW!Q41</f>
        <v>30</v>
      </c>
      <c r="R41" s="96">
        <f>'PAC Ratepayer Costs'!C35-RatepayerCosts_160MW!R41</f>
        <v>5087.5803249999999</v>
      </c>
      <c r="S41" s="3">
        <f>'RatepayerCosts_160MW+50MW'!S41-RatepayerCosts_160MW!S41</f>
        <v>4071821.67</v>
      </c>
      <c r="T41" s="3">
        <f>'RatepayerCosts_160MW+50MW'!T41-RatepayerCosts_160MW!T41</f>
        <v>-92072.94</v>
      </c>
      <c r="U41" s="3">
        <f>'RatepayerCosts_160MW+50MW'!U41-RatepayerCosts_160MW!U41</f>
        <v>-30780</v>
      </c>
      <c r="V41" s="89">
        <f t="shared" si="1"/>
        <v>3948968.73</v>
      </c>
      <c r="W41" s="89">
        <f>'RatepayerCosts_160MW+50MW'!W41-RatepayerCosts_160MW!W41</f>
        <v>2242747.14</v>
      </c>
      <c r="X41" s="89">
        <f>'RatepayerCosts_160MW+50MW'!X41-RatepayerCosts_160MW!X41</f>
        <v>-50713.5</v>
      </c>
      <c r="Y41" s="89">
        <f>'RatepayerCosts_160MW+50MW'!Y41-RatepayerCosts_160MW!Y41</f>
        <v>-16953.53</v>
      </c>
      <c r="Z41" s="89">
        <f t="shared" si="2"/>
        <v>2175080.1100000003</v>
      </c>
      <c r="AD41" s="48">
        <f>'IPC Ratepayer Costs'!A35</f>
        <v>2045</v>
      </c>
      <c r="AE41" s="96">
        <f>'IPC Ratepayer Costs'!B35-'RatepayerCosts_160MW+50MW'!AE41</f>
        <v>0</v>
      </c>
      <c r="AF41" s="96">
        <f>'IPC Ratepayer Costs'!C35-'RatepayerCosts_160MW+50MW'!AF41</f>
        <v>0</v>
      </c>
      <c r="AG41" s="3">
        <f>'RatepayerCosts_160MW+50MW'!AG41-RatepayerCosts_160MW!AG41</f>
        <v>0</v>
      </c>
      <c r="AH41" s="3">
        <f>'RatepayerCosts_160MW+50MW'!AH41-RatepayerCosts_160MW!AH41</f>
        <v>-4662.4399999999987</v>
      </c>
      <c r="AI41" s="3">
        <f>'RatepayerCosts_160MW+50MW'!AI41-RatepayerCosts_160MW!AI41</f>
        <v>0</v>
      </c>
      <c r="AJ41" s="3">
        <f t="shared" si="3"/>
        <v>-4662.4399999999987</v>
      </c>
      <c r="AK41" s="3">
        <f>'RatepayerCosts_160MW+50MW'!AK41-RatepayerCosts_160MW!AK41</f>
        <v>0</v>
      </c>
      <c r="AL41" s="3">
        <f>'RatepayerCosts_160MW+50MW'!AL41-RatepayerCosts_160MW!AL41</f>
        <v>-2568.0499999999993</v>
      </c>
      <c r="AM41" s="3">
        <f>'RatepayerCosts_160MW+50MW'!AM41-RatepayerCosts_160MW!AM41</f>
        <v>0</v>
      </c>
      <c r="AN41" s="3">
        <f t="shared" si="4"/>
        <v>-2568.0499999999993</v>
      </c>
    </row>
    <row r="42" spans="2:40">
      <c r="B42" s="48">
        <f>'PGE Ratepayer Costs'!A36</f>
        <v>2046</v>
      </c>
      <c r="C42" s="84">
        <f>'RatepayerCosts_160MW+50MW'!C42-RatepayerCosts_160MW!C42</f>
        <v>20.000000000000007</v>
      </c>
      <c r="D42" s="84">
        <f>'RatepayerCosts_160MW+50MW'!D42-RatepayerCosts_160MW!D42</f>
        <v>2933.0264500000008</v>
      </c>
      <c r="E42" s="89">
        <f>'RatepayerCosts_160MW+50MW'!E42-RatepayerCosts_160MW!E42</f>
        <v>2858860.1899999995</v>
      </c>
      <c r="F42" s="89">
        <f>'RatepayerCosts_160MW+50MW'!F42-RatepayerCosts_160MW!F42</f>
        <v>-132764.62</v>
      </c>
      <c r="G42" s="89">
        <f>'RatepayerCosts_160MW+50MW'!G42-RatepayerCosts_160MW!G42</f>
        <v>-11880</v>
      </c>
      <c r="H42" s="89">
        <f>'RatepayerCosts_160MW+50MW'!H42-RatepayerCosts_160MW!H42</f>
        <v>2714215.5699999994</v>
      </c>
      <c r="I42" s="89">
        <f>'RatepayerCosts_160MW+50MW'!I42-RatepayerCosts_160MW!I42</f>
        <v>1530561.3599999999</v>
      </c>
      <c r="J42" s="89">
        <f>'RatepayerCosts_160MW+50MW'!J42-RatepayerCosts_160MW!J42</f>
        <v>-71078.81</v>
      </c>
      <c r="K42" s="89">
        <f>'RatepayerCosts_160MW+50MW'!K42-RatepayerCosts_160MW!K42</f>
        <v>-6360.25</v>
      </c>
      <c r="L42" s="89">
        <f>'RatepayerCosts_160MW+50MW'!L42-RatepayerCosts_160MW!L42</f>
        <v>1453122.3000000003</v>
      </c>
      <c r="P42" s="84">
        <f>'PAC Ratepayer Costs'!A36</f>
        <v>2046</v>
      </c>
      <c r="Q42" s="96">
        <f>'PAC Ratepayer Costs'!B36-RatepayerCosts_160MW!Q42</f>
        <v>30.000000000000004</v>
      </c>
      <c r="R42" s="96">
        <f>'PAC Ratepayer Costs'!C36-RatepayerCosts_160MW!R42</f>
        <v>5087.5803250000026</v>
      </c>
      <c r="S42" s="3">
        <f>'RatepayerCosts_160MW+50MW'!S42-RatepayerCosts_160MW!S42</f>
        <v>4119648.57</v>
      </c>
      <c r="T42" s="3">
        <f>'RatepayerCosts_160MW+50MW'!T42-RatepayerCosts_160MW!T42</f>
        <v>-92072.94</v>
      </c>
      <c r="U42" s="3">
        <f>'RatepayerCosts_160MW+50MW'!U42-RatepayerCosts_160MW!U42</f>
        <v>-30780</v>
      </c>
      <c r="V42" s="89">
        <f t="shared" si="1"/>
        <v>3996795.63</v>
      </c>
      <c r="W42" s="89">
        <f>'RatepayerCosts_160MW+50MW'!W42-RatepayerCosts_160MW!W42</f>
        <v>2205555.54</v>
      </c>
      <c r="X42" s="89">
        <f>'RatepayerCosts_160MW+50MW'!X42-RatepayerCosts_160MW!X42</f>
        <v>-49293.51999999999</v>
      </c>
      <c r="Y42" s="89">
        <f>'RatepayerCosts_160MW+50MW'!Y42-RatepayerCosts_160MW!Y42</f>
        <v>-16478.830000000002</v>
      </c>
      <c r="Z42" s="89">
        <f t="shared" si="2"/>
        <v>2139783.19</v>
      </c>
      <c r="AD42" s="48">
        <f>'IPC Ratepayer Costs'!A36</f>
        <v>2046</v>
      </c>
      <c r="AE42" s="96">
        <f>'IPC Ratepayer Costs'!B36-'RatepayerCosts_160MW+50MW'!AE42</f>
        <v>0</v>
      </c>
      <c r="AF42" s="96">
        <f>'IPC Ratepayer Costs'!C36-'RatepayerCosts_160MW+50MW'!AF42</f>
        <v>0</v>
      </c>
      <c r="AG42" s="3">
        <f>'RatepayerCosts_160MW+50MW'!AG42-RatepayerCosts_160MW!AG42</f>
        <v>0</v>
      </c>
      <c r="AH42" s="3">
        <f>'RatepayerCosts_160MW+50MW'!AH42-RatepayerCosts_160MW!AH42</f>
        <v>-4662.4399999999987</v>
      </c>
      <c r="AI42" s="3">
        <f>'RatepayerCosts_160MW+50MW'!AI42-RatepayerCosts_160MW!AI42</f>
        <v>0</v>
      </c>
      <c r="AJ42" s="3">
        <f t="shared" si="3"/>
        <v>-4662.4399999999987</v>
      </c>
      <c r="AK42" s="3">
        <f>'RatepayerCosts_160MW+50MW'!AK42-RatepayerCosts_160MW!AK42</f>
        <v>0</v>
      </c>
      <c r="AL42" s="3">
        <f>'RatepayerCosts_160MW+50MW'!AL42-RatepayerCosts_160MW!AL42</f>
        <v>-2496.1500000000015</v>
      </c>
      <c r="AM42" s="3">
        <f>'RatepayerCosts_160MW+50MW'!AM42-RatepayerCosts_160MW!AM42</f>
        <v>0</v>
      </c>
      <c r="AN42" s="3">
        <f t="shared" si="4"/>
        <v>-2496.1500000000015</v>
      </c>
    </row>
    <row r="43" spans="2:40">
      <c r="B43" s="48">
        <f>'PGE Ratepayer Costs'!A37</f>
        <v>2047</v>
      </c>
      <c r="C43" s="84">
        <f>'RatepayerCosts_160MW+50MW'!C43-RatepayerCosts_160MW!C43</f>
        <v>20</v>
      </c>
      <c r="D43" s="84">
        <f>'RatepayerCosts_160MW+50MW'!D43-RatepayerCosts_160MW!D43</f>
        <v>2933.0264499999994</v>
      </c>
      <c r="E43" s="89">
        <f>'RatepayerCosts_160MW+50MW'!E43-RatepayerCosts_160MW!E43</f>
        <v>2833340.5599999996</v>
      </c>
      <c r="F43" s="89">
        <f>'RatepayerCosts_160MW+50MW'!F43-RatepayerCosts_160MW!F43</f>
        <v>-132764.62</v>
      </c>
      <c r="G43" s="89">
        <f>'RatepayerCosts_160MW+50MW'!G43-RatepayerCosts_160MW!G43</f>
        <v>-11880</v>
      </c>
      <c r="H43" s="89">
        <f>'RatepayerCosts_160MW+50MW'!H43-RatepayerCosts_160MW!H43</f>
        <v>2688695.939999999</v>
      </c>
      <c r="I43" s="89">
        <f>'RatepayerCosts_160MW+50MW'!I43-RatepayerCosts_160MW!I43</f>
        <v>1474425.63</v>
      </c>
      <c r="J43" s="89">
        <f>'RatepayerCosts_160MW+50MW'!J43-RatepayerCosts_160MW!J43</f>
        <v>-69088.609999999986</v>
      </c>
      <c r="K43" s="89">
        <f>'RatepayerCosts_160MW+50MW'!K43-RatepayerCosts_160MW!K43</f>
        <v>-6182.1600000000035</v>
      </c>
      <c r="L43" s="89">
        <f>'RatepayerCosts_160MW+50MW'!L43-RatepayerCosts_160MW!L43</f>
        <v>1399154.8599999996</v>
      </c>
      <c r="P43" s="84">
        <f>'PAC Ratepayer Costs'!A37</f>
        <v>2047</v>
      </c>
      <c r="Q43" s="96">
        <f>'PAC Ratepayer Costs'!B37-RatepayerCosts_160MW!Q43</f>
        <v>30</v>
      </c>
      <c r="R43" s="96">
        <f>'PAC Ratepayer Costs'!C37-RatepayerCosts_160MW!R43</f>
        <v>5087.5803250000008</v>
      </c>
      <c r="S43" s="3">
        <f>'RatepayerCosts_160MW+50MW'!S43-RatepayerCosts_160MW!S43</f>
        <v>4148193.9599999995</v>
      </c>
      <c r="T43" s="3">
        <f>'RatepayerCosts_160MW+50MW'!T43-RatepayerCosts_160MW!T43</f>
        <v>-92072.940000000061</v>
      </c>
      <c r="U43" s="3">
        <f>'RatepayerCosts_160MW+50MW'!U43-RatepayerCosts_160MW!U43</f>
        <v>-30780</v>
      </c>
      <c r="V43" s="89">
        <f t="shared" si="1"/>
        <v>4025341.0199999996</v>
      </c>
      <c r="W43" s="89">
        <f>'RatepayerCosts_160MW+50MW'!W43-RatepayerCosts_160MW!W43</f>
        <v>2158654.5599999996</v>
      </c>
      <c r="X43" s="89">
        <f>'RatepayerCosts_160MW+50MW'!X43-RatepayerCosts_160MW!X43</f>
        <v>-47913.31</v>
      </c>
      <c r="Y43" s="89">
        <f>'RatepayerCosts_160MW+50MW'!Y43-RatepayerCosts_160MW!Y43</f>
        <v>-16017.419999999998</v>
      </c>
      <c r="Z43" s="89">
        <f t="shared" si="2"/>
        <v>2094723.8299999996</v>
      </c>
      <c r="AD43" s="48">
        <f>'IPC Ratepayer Costs'!A37</f>
        <v>2047</v>
      </c>
      <c r="AE43" s="96">
        <f>'IPC Ratepayer Costs'!B37-'RatepayerCosts_160MW+50MW'!AE43</f>
        <v>0</v>
      </c>
      <c r="AF43" s="96">
        <f>'IPC Ratepayer Costs'!C37-'RatepayerCosts_160MW+50MW'!AF43</f>
        <v>0</v>
      </c>
      <c r="AG43" s="3">
        <f>'RatepayerCosts_160MW+50MW'!AG43-RatepayerCosts_160MW!AG43</f>
        <v>0</v>
      </c>
      <c r="AH43" s="3">
        <f>'RatepayerCosts_160MW+50MW'!AH43-RatepayerCosts_160MW!AH43</f>
        <v>-4662.4399999999987</v>
      </c>
      <c r="AI43" s="3">
        <f>'RatepayerCosts_160MW+50MW'!AI43-RatepayerCosts_160MW!AI43</f>
        <v>0</v>
      </c>
      <c r="AJ43" s="3">
        <f t="shared" si="3"/>
        <v>-4662.4399999999987</v>
      </c>
      <c r="AK43" s="3">
        <f>'RatepayerCosts_160MW+50MW'!AK43-RatepayerCosts_160MW!AK43</f>
        <v>0</v>
      </c>
      <c r="AL43" s="3">
        <f>'RatepayerCosts_160MW+50MW'!AL43-RatepayerCosts_160MW!AL43</f>
        <v>-2426.2599999999984</v>
      </c>
      <c r="AM43" s="3">
        <f>'RatepayerCosts_160MW+50MW'!AM43-RatepayerCosts_160MW!AM43</f>
        <v>0</v>
      </c>
      <c r="AN43" s="3">
        <f t="shared" si="4"/>
        <v>-2426.2599999999984</v>
      </c>
    </row>
    <row r="44" spans="2:40">
      <c r="B44" s="48">
        <f>'PGE Ratepayer Costs'!A38</f>
        <v>2048</v>
      </c>
      <c r="C44" s="84">
        <f>'RatepayerCosts_160MW+50MW'!C44-RatepayerCosts_160MW!C44</f>
        <v>20</v>
      </c>
      <c r="D44" s="84">
        <f>'RatepayerCosts_160MW+50MW'!D44-RatepayerCosts_160MW!D44</f>
        <v>2933.0264500000003</v>
      </c>
      <c r="E44" s="89">
        <f>'RatepayerCosts_160MW+50MW'!E44-RatepayerCosts_160MW!E44</f>
        <v>2779843.97</v>
      </c>
      <c r="F44" s="89">
        <f>'RatepayerCosts_160MW+50MW'!F44-RatepayerCosts_160MW!F44</f>
        <v>-77446.029999999912</v>
      </c>
      <c r="G44" s="89">
        <f>'RatepayerCosts_160MW+50MW'!G44-RatepayerCosts_160MW!G44</f>
        <v>-11880</v>
      </c>
      <c r="H44" s="89">
        <f>'RatepayerCosts_160MW+50MW'!H44-RatepayerCosts_160MW!H44</f>
        <v>2690517.94</v>
      </c>
      <c r="I44" s="89">
        <f>'RatepayerCosts_160MW+50MW'!I44-RatepayerCosts_160MW!I44</f>
        <v>1406082.42</v>
      </c>
      <c r="J44" s="89">
        <f>'RatepayerCosts_160MW+50MW'!J44-RatepayerCosts_160MW!J44</f>
        <v>-39173.239999999991</v>
      </c>
      <c r="K44" s="89">
        <f>'RatepayerCosts_160MW+50MW'!K44-RatepayerCosts_160MW!K44</f>
        <v>-6009.0599999999977</v>
      </c>
      <c r="L44" s="89">
        <f>'RatepayerCosts_160MW+50MW'!L44-RatepayerCosts_160MW!L44</f>
        <v>1360900.1199999994</v>
      </c>
      <c r="P44" s="84">
        <f>'PAC Ratepayer Costs'!A38</f>
        <v>2048</v>
      </c>
      <c r="Q44" s="96">
        <f>'PAC Ratepayer Costs'!B38-RatepayerCosts_160MW!Q44</f>
        <v>30.000000000000004</v>
      </c>
      <c r="R44" s="96">
        <f>'PAC Ratepayer Costs'!C38-RatepayerCosts_160MW!R44</f>
        <v>5087.5803250000017</v>
      </c>
      <c r="S44" s="3">
        <f>'RatepayerCosts_160MW+50MW'!S44-RatepayerCosts_160MW!S44</f>
        <v>4180212.3</v>
      </c>
      <c r="T44" s="3">
        <f>'RatepayerCosts_160MW+50MW'!T44-RatepayerCosts_160MW!T44</f>
        <v>-53709.220000000088</v>
      </c>
      <c r="U44" s="3">
        <f>'RatepayerCosts_160MW+50MW'!U44-RatepayerCosts_160MW!U44</f>
        <v>-30780</v>
      </c>
      <c r="V44" s="89">
        <f t="shared" si="1"/>
        <v>4095723.0799999996</v>
      </c>
      <c r="W44" s="89">
        <f>'RatepayerCosts_160MW+50MW'!W44-RatepayerCosts_160MW!W44</f>
        <v>2114407.5299999998</v>
      </c>
      <c r="X44" s="89">
        <f>'RatepayerCosts_160MW+50MW'!X44-RatepayerCosts_160MW!X44</f>
        <v>-27166.839999999967</v>
      </c>
      <c r="Y44" s="89">
        <f>'RatepayerCosts_160MW+50MW'!Y44-RatepayerCosts_160MW!Y44</f>
        <v>-15568.939999999988</v>
      </c>
      <c r="Z44" s="89">
        <f t="shared" si="2"/>
        <v>2071671.75</v>
      </c>
      <c r="AD44" s="48">
        <f>'IPC Ratepayer Costs'!A38</f>
        <v>2048</v>
      </c>
      <c r="AE44" s="96">
        <f>'IPC Ratepayer Costs'!B38-'RatepayerCosts_160MW+50MW'!AE44</f>
        <v>0</v>
      </c>
      <c r="AF44" s="96">
        <f>'IPC Ratepayer Costs'!C38-'RatepayerCosts_160MW+50MW'!AF44</f>
        <v>0</v>
      </c>
      <c r="AG44" s="3">
        <f>'RatepayerCosts_160MW+50MW'!AG44-RatepayerCosts_160MW!AG44</f>
        <v>0</v>
      </c>
      <c r="AH44" s="3">
        <f>'RatepayerCosts_160MW+50MW'!AH44-RatepayerCosts_160MW!AH44</f>
        <v>-2719.760000000002</v>
      </c>
      <c r="AI44" s="3">
        <f>'RatepayerCosts_160MW+50MW'!AI44-RatepayerCosts_160MW!AI44</f>
        <v>0</v>
      </c>
      <c r="AJ44" s="3">
        <f t="shared" si="3"/>
        <v>-2719.760000000002</v>
      </c>
      <c r="AK44" s="3">
        <f>'RatepayerCosts_160MW+50MW'!AK44-RatepayerCosts_160MW!AK44</f>
        <v>0</v>
      </c>
      <c r="AL44" s="3">
        <f>'RatepayerCosts_160MW+50MW'!AL44-RatepayerCosts_160MW!AL44</f>
        <v>-1375.6900000000023</v>
      </c>
      <c r="AM44" s="3">
        <f>'RatepayerCosts_160MW+50MW'!AM44-RatepayerCosts_160MW!AM44</f>
        <v>0</v>
      </c>
      <c r="AN44" s="3">
        <f t="shared" si="4"/>
        <v>-1375.6900000000023</v>
      </c>
    </row>
    <row r="45" spans="2:40">
      <c r="B45" s="48">
        <f>'PGE Ratepayer Costs'!A39</f>
        <v>2049</v>
      </c>
      <c r="C45" s="84">
        <f>'RatepayerCosts_160MW+50MW'!C45-RatepayerCosts_160MW!C45</f>
        <v>20</v>
      </c>
      <c r="D45" s="84">
        <f>'RatepayerCosts_160MW+50MW'!D45-RatepayerCosts_160MW!D45</f>
        <v>2933.0264500000003</v>
      </c>
      <c r="E45" s="89">
        <f>'RatepayerCosts_160MW+50MW'!E45-RatepayerCosts_160MW!E45</f>
        <v>2748794.5000000005</v>
      </c>
      <c r="F45" s="89">
        <f>'RatepayerCosts_160MW+50MW'!F45-RatepayerCosts_160MW!F45</f>
        <v>-11063.720000000205</v>
      </c>
      <c r="G45" s="89">
        <f>'RatepayerCosts_160MW+50MW'!G45-RatepayerCosts_160MW!G45</f>
        <v>-11880</v>
      </c>
      <c r="H45" s="89">
        <f>'RatepayerCosts_160MW+50MW'!H45-RatepayerCosts_160MW!H45</f>
        <v>2725850.78</v>
      </c>
      <c r="I45" s="89">
        <f>'RatepayerCosts_160MW+50MW'!I45-RatepayerCosts_160MW!I45</f>
        <v>1351446.62</v>
      </c>
      <c r="J45" s="89">
        <f>'RatepayerCosts_160MW+50MW'!J45-RatepayerCosts_160MW!J45</f>
        <v>-5439.4799999999814</v>
      </c>
      <c r="K45" s="89">
        <f>'RatepayerCosts_160MW+50MW'!K45-RatepayerCosts_160MW!K45</f>
        <v>-5840.8100000000049</v>
      </c>
      <c r="L45" s="89">
        <f>'RatepayerCosts_160MW+50MW'!L45-RatepayerCosts_160MW!L45</f>
        <v>1340166.33</v>
      </c>
      <c r="P45" s="84">
        <f>'PAC Ratepayer Costs'!A39</f>
        <v>2049</v>
      </c>
      <c r="Q45" s="96">
        <f>'PAC Ratepayer Costs'!B39-RatepayerCosts_160MW!Q45</f>
        <v>30.000000000000004</v>
      </c>
      <c r="R45" s="96">
        <f>'PAC Ratepayer Costs'!C39-RatepayerCosts_160MW!R45</f>
        <v>5087.5803250000017</v>
      </c>
      <c r="S45" s="3">
        <f>'RatepayerCosts_160MW+50MW'!S45-RatepayerCosts_160MW!S45</f>
        <v>4215773.0599999996</v>
      </c>
      <c r="T45" s="3">
        <f>'RatepayerCosts_160MW+50MW'!T45-RatepayerCosts_160MW!T45</f>
        <v>-7672.75</v>
      </c>
      <c r="U45" s="3">
        <f>'RatepayerCosts_160MW+50MW'!U45-RatepayerCosts_160MW!U45</f>
        <v>-30780</v>
      </c>
      <c r="V45" s="89">
        <f t="shared" si="1"/>
        <v>4177320.3099999996</v>
      </c>
      <c r="W45" s="89">
        <f>'RatepayerCosts_160MW+50MW'!W45-RatepayerCosts_160MW!W45</f>
        <v>2072687.5899999999</v>
      </c>
      <c r="X45" s="89">
        <f>'RatepayerCosts_160MW+50MW'!X45-RatepayerCosts_160MW!X45</f>
        <v>-3772.3099999999977</v>
      </c>
      <c r="Y45" s="89">
        <f>'RatepayerCosts_160MW+50MW'!Y45-RatepayerCosts_160MW!Y45</f>
        <v>-15133.010000000009</v>
      </c>
      <c r="Z45" s="89">
        <f t="shared" si="2"/>
        <v>2053782.2699999998</v>
      </c>
      <c r="AD45" s="48">
        <f>'IPC Ratepayer Costs'!A39</f>
        <v>2049</v>
      </c>
      <c r="AE45" s="96">
        <f>'IPC Ratepayer Costs'!B39-'RatepayerCosts_160MW+50MW'!AE45</f>
        <v>0</v>
      </c>
      <c r="AF45" s="96">
        <f>'IPC Ratepayer Costs'!C39-'RatepayerCosts_160MW+50MW'!AF45</f>
        <v>0</v>
      </c>
      <c r="AG45" s="3">
        <f>'RatepayerCosts_160MW+50MW'!AG45-RatepayerCosts_160MW!AG45</f>
        <v>0</v>
      </c>
      <c r="AH45" s="3">
        <f>'RatepayerCosts_160MW+50MW'!AH45-RatepayerCosts_160MW!AH45</f>
        <v>-388.52999999999884</v>
      </c>
      <c r="AI45" s="3">
        <f>'RatepayerCosts_160MW+50MW'!AI45-RatepayerCosts_160MW!AI45</f>
        <v>0</v>
      </c>
      <c r="AJ45" s="3">
        <f t="shared" si="3"/>
        <v>-388.52999999999884</v>
      </c>
      <c r="AK45" s="3">
        <f>'RatepayerCosts_160MW+50MW'!AK45-RatepayerCosts_160MW!AK45</f>
        <v>0</v>
      </c>
      <c r="AL45" s="3">
        <f>'RatepayerCosts_160MW+50MW'!AL45-RatepayerCosts_160MW!AL45</f>
        <v>-191.02000000000044</v>
      </c>
      <c r="AM45" s="3">
        <f>'RatepayerCosts_160MW+50MW'!AM45-RatepayerCosts_160MW!AM45</f>
        <v>0</v>
      </c>
      <c r="AN45" s="3">
        <f t="shared" si="4"/>
        <v>-191.02000000000044</v>
      </c>
    </row>
    <row r="46" spans="2:40">
      <c r="B46" s="48">
        <f>'PGE Ratepayer Costs'!A40</f>
        <v>2050</v>
      </c>
      <c r="C46" s="84">
        <f>'RatepayerCosts_160MW+50MW'!C46-RatepayerCosts_160MW!C46</f>
        <v>20</v>
      </c>
      <c r="D46" s="84">
        <f>'RatepayerCosts_160MW+50MW'!D46-RatepayerCosts_160MW!D46</f>
        <v>2933.0264500000003</v>
      </c>
      <c r="E46" s="89">
        <f>'RatepayerCosts_160MW+50MW'!E46-RatepayerCosts_160MW!E46</f>
        <v>2677812.5300000003</v>
      </c>
      <c r="F46" s="89">
        <f>'RatepayerCosts_160MW+50MW'!F46-RatepayerCosts_160MW!F46</f>
        <v>0</v>
      </c>
      <c r="G46" s="89">
        <f>'RatepayerCosts_160MW+50MW'!G46-RatepayerCosts_160MW!G46</f>
        <v>-11880</v>
      </c>
      <c r="H46" s="89">
        <f>'RatepayerCosts_160MW+50MW'!H46-RatepayerCosts_160MW!H46</f>
        <v>2665932.5300000003</v>
      </c>
      <c r="I46" s="89">
        <f>'RatepayerCosts_160MW+50MW'!I46-RatepayerCosts_160MW!I46</f>
        <v>1279684.9300000002</v>
      </c>
      <c r="J46" s="89">
        <f>'RatepayerCosts_160MW+50MW'!J46-RatepayerCosts_160MW!J46</f>
        <v>0</v>
      </c>
      <c r="K46" s="89">
        <f>'RatepayerCosts_160MW+50MW'!K46-RatepayerCosts_160MW!K46</f>
        <v>-5677.260000000002</v>
      </c>
      <c r="L46" s="89">
        <f>'RatepayerCosts_160MW+50MW'!L46-RatepayerCosts_160MW!L46</f>
        <v>1274007.6700000002</v>
      </c>
      <c r="P46" s="84">
        <f>'PAC Ratepayer Costs'!A40</f>
        <v>2050</v>
      </c>
      <c r="Q46" s="96">
        <f>'PAC Ratepayer Costs'!B40-RatepayerCosts_160MW!Q46</f>
        <v>30.000000000000004</v>
      </c>
      <c r="R46" s="96">
        <f>'PAC Ratepayer Costs'!C40-RatepayerCosts_160MW!R46</f>
        <v>5087.5803250000017</v>
      </c>
      <c r="S46" s="3">
        <f>'RatepayerCosts_160MW+50MW'!S46-RatepayerCosts_160MW!S46</f>
        <v>4254947.0900000008</v>
      </c>
      <c r="T46" s="3">
        <f>'RatepayerCosts_160MW+50MW'!T46-RatepayerCosts_160MW!T46</f>
        <v>0</v>
      </c>
      <c r="U46" s="3">
        <f>'RatepayerCosts_160MW+50MW'!U46-RatepayerCosts_160MW!U46</f>
        <v>-30780</v>
      </c>
      <c r="V46" s="89">
        <f t="shared" si="1"/>
        <v>4224167.0900000008</v>
      </c>
      <c r="W46" s="89">
        <f>'RatepayerCosts_160MW+50MW'!W46-RatepayerCosts_160MW!W46</f>
        <v>2033373</v>
      </c>
      <c r="X46" s="89">
        <f>'RatepayerCosts_160MW+50MW'!X46-RatepayerCosts_160MW!X46</f>
        <v>0</v>
      </c>
      <c r="Y46" s="89">
        <f>'RatepayerCosts_160MW+50MW'!Y46-RatepayerCosts_160MW!Y46</f>
        <v>-14709.279999999999</v>
      </c>
      <c r="Z46" s="89">
        <f t="shared" si="2"/>
        <v>2018663.72</v>
      </c>
      <c r="AD46" s="48">
        <f>'IPC Ratepayer Costs'!A40</f>
        <v>2050</v>
      </c>
      <c r="AE46" s="96">
        <f>'IPC Ratepayer Costs'!B40-'RatepayerCosts_160MW+50MW'!AE46</f>
        <v>0</v>
      </c>
      <c r="AF46" s="96">
        <f>'IPC Ratepayer Costs'!C40-'RatepayerCosts_160MW+50MW'!AF46</f>
        <v>0</v>
      </c>
      <c r="AG46" s="3">
        <f>'RatepayerCosts_160MW+50MW'!AG46-RatepayerCosts_160MW!AG46</f>
        <v>0</v>
      </c>
      <c r="AH46" s="3">
        <f>'RatepayerCosts_160MW+50MW'!AH46-RatepayerCosts_160MW!AH46</f>
        <v>0</v>
      </c>
      <c r="AI46" s="3">
        <f>'RatepayerCosts_160MW+50MW'!AI46-RatepayerCosts_160MW!AI46</f>
        <v>0</v>
      </c>
      <c r="AJ46" s="3">
        <f t="shared" si="3"/>
        <v>0</v>
      </c>
      <c r="AK46" s="3">
        <f>'RatepayerCosts_160MW+50MW'!AK46-RatepayerCosts_160MW!AK46</f>
        <v>0</v>
      </c>
      <c r="AL46" s="3">
        <f>'RatepayerCosts_160MW+50MW'!AL46-RatepayerCosts_160MW!AL46</f>
        <v>0</v>
      </c>
      <c r="AM46" s="3">
        <f>'RatepayerCosts_160MW+50MW'!AM46-RatepayerCosts_160MW!AM46</f>
        <v>0</v>
      </c>
      <c r="AN46" s="3">
        <f t="shared" si="4"/>
        <v>0</v>
      </c>
    </row>
    <row r="47" spans="2:40">
      <c r="B47" s="4" t="s">
        <v>30</v>
      </c>
      <c r="C47" s="322"/>
      <c r="D47" s="322"/>
      <c r="E47" s="326">
        <f>'RatepayerCosts_160MW+50MW'!E47-RatepayerCosts_160MW!E47</f>
        <v>60960043.330000043</v>
      </c>
      <c r="F47" s="326">
        <f>'RatepayerCosts_160MW+50MW'!F47-RatepayerCosts_160MW!F47</f>
        <v>-2788852.4499999955</v>
      </c>
      <c r="G47" s="326">
        <f>'RatepayerCosts_160MW+50MW'!G47-RatepayerCosts_160MW!G47</f>
        <v>-267300</v>
      </c>
      <c r="H47" s="326">
        <f>'RatepayerCosts_160MW+50MW'!H47-RatepayerCosts_160MW!H47</f>
        <v>57903890.879999995</v>
      </c>
      <c r="I47" s="326">
        <f>'RatepayerCosts_160MW+50MW'!I47-RatepayerCosts_160MW!I47</f>
        <v>39731806.709999979</v>
      </c>
      <c r="J47" s="326">
        <f>'RatepayerCosts_160MW+50MW'!J47-RatepayerCosts_160MW!J47</f>
        <v>-1921163.8999999948</v>
      </c>
      <c r="K47" s="326">
        <f>'RatepayerCosts_160MW+50MW'!K47-RatepayerCosts_160MW!K47</f>
        <v>-176340.1100000001</v>
      </c>
      <c r="L47" s="326">
        <f>'RatepayerCosts_160MW+50MW'!L47-RatepayerCosts_160MW!L47</f>
        <v>37634302.700000018</v>
      </c>
      <c r="P47" s="4" t="s">
        <v>30</v>
      </c>
      <c r="Q47" s="4"/>
      <c r="R47" s="4"/>
      <c r="S47" s="6">
        <f>'RatepayerCosts_160MW+50MW'!S47-RatepayerCosts_160MW!S47</f>
        <v>87446506.090000033</v>
      </c>
      <c r="T47" s="6">
        <f>'RatepayerCosts_160MW+50MW'!T47-RatepayerCosts_160MW!T47</f>
        <v>-1934083.3899999987</v>
      </c>
      <c r="U47" s="6">
        <f>'RatepayerCosts_160MW+50MW'!U47-RatepayerCosts_160MW!U47</f>
        <v>-692550</v>
      </c>
      <c r="V47" s="6">
        <f>'RatepayerCosts_160MW+50MW'!V47-RatepayerCosts_160MW!V47</f>
        <v>84819872.699999928</v>
      </c>
      <c r="W47" s="6">
        <f>'RatepayerCosts_160MW+50MW'!W47-RatepayerCosts_160MW!W47</f>
        <v>56969643.579999954</v>
      </c>
      <c r="X47" s="6">
        <f>'RatepayerCosts_160MW+50MW'!X47-RatepayerCosts_160MW!X47</f>
        <v>-1332336.9400000013</v>
      </c>
      <c r="Y47" s="6">
        <f>'RatepayerCosts_160MW+50MW'!Y47-RatepayerCosts_160MW!Y47</f>
        <v>-456881.26000000071</v>
      </c>
      <c r="Z47" s="6">
        <f>'RatepayerCosts_160MW+50MW'!Z47-RatepayerCosts_160MW!Z47</f>
        <v>55180425.379999995</v>
      </c>
      <c r="AD47" s="4" t="s">
        <v>30</v>
      </c>
      <c r="AE47" s="4"/>
      <c r="AF47" s="4"/>
      <c r="AG47" s="6">
        <f>'RatepayerCosts_160MW+50MW'!AG47-RatepayerCosts_160MW!AG47</f>
        <v>0</v>
      </c>
      <c r="AH47" s="6">
        <f>'RatepayerCosts_160MW+50MW'!AH47-RatepayerCosts_160MW!AH47</f>
        <v>-97939.179999999935</v>
      </c>
      <c r="AI47" s="6">
        <f>'RatepayerCosts_160MW+50MW'!AI47-RatepayerCosts_160MW!AI47</f>
        <v>0</v>
      </c>
      <c r="AJ47" s="6">
        <f>'RatepayerCosts_160MW+50MW'!AJ47-RatepayerCosts_160MW!AJ47</f>
        <v>-97939.180000000633</v>
      </c>
      <c r="AK47" s="6">
        <f>'RatepayerCosts_160MW+50MW'!AK47-RatepayerCosts_160MW!AK47</f>
        <v>0</v>
      </c>
      <c r="AL47" s="6">
        <f>'RatepayerCosts_160MW+50MW'!AL47-RatepayerCosts_160MW!AL47</f>
        <v>-67467.570000000182</v>
      </c>
      <c r="AM47" s="6">
        <f>'RatepayerCosts_160MW+50MW'!AM47-RatepayerCosts_160MW!AM47</f>
        <v>0</v>
      </c>
      <c r="AN47" s="6">
        <f>'RatepayerCosts_160MW+50MW'!AN47-RatepayerCosts_160MW!AN47</f>
        <v>-67467.570000000764</v>
      </c>
    </row>
  </sheetData>
  <pageMargins left="0.7" right="0.7" top="0.75" bottom="0.75" header="0.3" footer="0.3"/>
  <headerFooter>
    <oddFooter>&amp;C_x000D_&amp;1#&amp;"Calibri"&amp;10&amp;K000000 Level 3 -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59EB8-D8C8-4D53-A78F-6E8F39F069AD}">
  <sheetPr codeName="Sheet6">
    <tabColor theme="5" tint="0.39997558519241921"/>
  </sheetPr>
  <dimension ref="A1:CD121"/>
  <sheetViews>
    <sheetView zoomScaleNormal="100" workbookViewId="0">
      <selection activeCell="C4" sqref="C4"/>
    </sheetView>
  </sheetViews>
  <sheetFormatPr defaultColWidth="9.140625" defaultRowHeight="15"/>
  <cols>
    <col min="1" max="1" width="9.42578125" bestFit="1" customWidth="1"/>
    <col min="2" max="2" width="14.5703125" customWidth="1"/>
    <col min="3" max="3" width="19.28515625" bestFit="1" customWidth="1"/>
    <col min="4" max="4" width="22" bestFit="1" customWidth="1"/>
    <col min="5" max="5" width="21" bestFit="1" customWidth="1"/>
    <col min="6" max="6" width="15.7109375" bestFit="1" customWidth="1"/>
    <col min="7" max="7" width="23.140625" customWidth="1"/>
    <col min="8" max="9" width="16.42578125" customWidth="1"/>
    <col min="10" max="10" width="22.28515625" bestFit="1" customWidth="1"/>
    <col min="11" max="11" width="18" bestFit="1" customWidth="1"/>
    <col min="12" max="12" width="19.5703125" customWidth="1"/>
    <col min="13" max="13" width="31.7109375" bestFit="1" customWidth="1"/>
    <col min="14" max="14" width="10" bestFit="1" customWidth="1"/>
    <col min="15" max="15" width="13.5703125" bestFit="1" customWidth="1"/>
    <col min="16" max="16" width="11.5703125" bestFit="1" customWidth="1"/>
    <col min="17" max="17" width="16.7109375" bestFit="1" customWidth="1"/>
    <col min="18" max="18" width="18" customWidth="1"/>
    <col min="19" max="19" width="9.140625" customWidth="1"/>
    <col min="20" max="26" width="11.5703125" bestFit="1" customWidth="1"/>
    <col min="29" max="40" width="11.5703125" bestFit="1" customWidth="1"/>
    <col min="71" max="71" width="10.85546875" bestFit="1" customWidth="1"/>
  </cols>
  <sheetData>
    <row r="1" spans="1:82">
      <c r="F1" s="72"/>
      <c r="G1" s="72"/>
      <c r="H1" s="72"/>
      <c r="I1" s="72"/>
      <c r="M1" s="9"/>
      <c r="N1" s="20"/>
      <c r="P1" s="9"/>
      <c r="Q1" s="9"/>
    </row>
    <row r="2" spans="1:82">
      <c r="F2" s="73"/>
      <c r="G2" s="126"/>
      <c r="H2" s="126"/>
      <c r="J2" s="4" t="s">
        <v>33</v>
      </c>
      <c r="K2" s="4" t="s">
        <v>34</v>
      </c>
      <c r="L2" s="76"/>
      <c r="O2" s="68"/>
      <c r="P2" s="9"/>
      <c r="Q2" s="9"/>
    </row>
    <row r="3" spans="1:82">
      <c r="A3" s="4" t="s">
        <v>35</v>
      </c>
      <c r="B3" s="1" t="s">
        <v>36</v>
      </c>
      <c r="C3" s="4" t="s">
        <v>37</v>
      </c>
      <c r="D3" s="1" t="s">
        <v>38</v>
      </c>
      <c r="E3" s="1"/>
      <c r="F3" s="132" t="s">
        <v>39</v>
      </c>
      <c r="G3" s="1" t="s">
        <v>40</v>
      </c>
      <c r="H3" s="1" t="s">
        <v>41</v>
      </c>
      <c r="J3" s="48">
        <v>1</v>
      </c>
      <c r="K3" s="84">
        <v>1640.5911699999999</v>
      </c>
      <c r="N3" s="68"/>
    </row>
    <row r="4" spans="1:82">
      <c r="A4" s="48" t="s">
        <v>11</v>
      </c>
      <c r="B4" s="21">
        <f>'Program Inputs'!D49</f>
        <v>4.41E-2</v>
      </c>
      <c r="C4" s="21">
        <f>'Program Inputs'!D50</f>
        <v>2.8000000000000001E-2</v>
      </c>
      <c r="D4" s="8">
        <f>((1+B4)/(1+C4))-1</f>
        <v>1.5661478599221734E-2</v>
      </c>
      <c r="E4" s="8"/>
      <c r="F4" s="31">
        <f>'Program Inputs'!I43</f>
        <v>0.11</v>
      </c>
      <c r="G4" s="121">
        <f>'Program Inputs'!J43</f>
        <v>110500</v>
      </c>
      <c r="H4" s="48">
        <f>'Program Inputs'!F43</f>
        <v>0.57849507440788095</v>
      </c>
      <c r="J4" s="48">
        <v>2</v>
      </c>
      <c r="K4" s="84">
        <v>1759.8158699999999</v>
      </c>
      <c r="AA4" s="11"/>
    </row>
    <row r="5" spans="1:8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11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</row>
    <row r="6" spans="1:82">
      <c r="A6" s="361" t="str">
        <f>CONCATENATE(A4," Ratepayer Costs (Entire Program)")</f>
        <v>PGE Ratepayer Costs (Entire Program)</v>
      </c>
      <c r="B6" s="362"/>
      <c r="C6" s="362"/>
      <c r="D6" s="362"/>
      <c r="E6" s="362"/>
      <c r="F6" s="362"/>
      <c r="G6" s="362"/>
      <c r="H6" s="362"/>
      <c r="I6" s="362"/>
      <c r="J6" s="362"/>
      <c r="K6" s="363"/>
      <c r="L6" s="5"/>
      <c r="N6" s="289"/>
      <c r="O6" s="22"/>
      <c r="R6" s="22"/>
      <c r="S6" s="22"/>
      <c r="T6" s="22"/>
      <c r="U6" s="22"/>
      <c r="V6" s="22"/>
      <c r="W6" s="22"/>
      <c r="X6" s="22"/>
      <c r="Y6" s="22"/>
      <c r="Z6" s="22"/>
      <c r="AA6" s="11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</row>
    <row r="7" spans="1:82" ht="45">
      <c r="A7" s="48"/>
      <c r="B7" s="1" t="s">
        <v>18</v>
      </c>
      <c r="C7" s="1" t="s">
        <v>19</v>
      </c>
      <c r="D7" s="1" t="s">
        <v>20</v>
      </c>
      <c r="E7" s="1" t="s">
        <v>21</v>
      </c>
      <c r="F7" s="1" t="s">
        <v>42</v>
      </c>
      <c r="G7" s="1" t="s">
        <v>5</v>
      </c>
      <c r="H7" s="1" t="s">
        <v>43</v>
      </c>
      <c r="I7" s="1" t="s">
        <v>4</v>
      </c>
      <c r="J7" s="2" t="s">
        <v>26</v>
      </c>
      <c r="K7" s="1" t="s">
        <v>27</v>
      </c>
      <c r="L7" s="5"/>
      <c r="N7" s="22"/>
      <c r="O7" s="22"/>
      <c r="R7" s="22"/>
      <c r="S7" s="22"/>
      <c r="T7" s="22"/>
      <c r="U7" s="22"/>
      <c r="V7" s="22"/>
      <c r="W7" s="22"/>
      <c r="X7" s="22"/>
      <c r="Y7" s="22"/>
      <c r="Z7" s="22"/>
      <c r="AA7" s="11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</row>
    <row r="8" spans="1:82">
      <c r="A8" s="48">
        <v>2018</v>
      </c>
      <c r="B8" s="31">
        <f>B45+B82</f>
        <v>0</v>
      </c>
      <c r="C8" s="84">
        <f>C45+C82</f>
        <v>0</v>
      </c>
      <c r="D8" s="89">
        <f>D45+D82</f>
        <v>0</v>
      </c>
      <c r="E8" s="89">
        <f>IFERROR(INDEX('PA Costs 2019-2050'!$H$6:$H$37,MATCH(M8,'PA Costs 2019-2050'!$K$6:$K$37,0))*$H$4,0)</f>
        <v>0</v>
      </c>
      <c r="F8" s="89">
        <f>F45+F82</f>
        <v>0</v>
      </c>
      <c r="G8" s="89">
        <f>SUM(D8)*(1-$C$4)^(A8-$A$14)</f>
        <v>0</v>
      </c>
      <c r="H8" s="89">
        <f>SUM(E8:F8)*(1-$C$4)^(A8-$A$14)</f>
        <v>0</v>
      </c>
      <c r="I8" s="89">
        <f>SUM(G8:H8)</f>
        <v>0</v>
      </c>
      <c r="J8" s="328">
        <f>'Program Inputs'!E43</f>
        <v>1937818036</v>
      </c>
      <c r="K8" s="7">
        <f>I8/J8</f>
        <v>0</v>
      </c>
      <c r="L8" s="75"/>
      <c r="M8">
        <v>0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11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</row>
    <row r="9" spans="1:82">
      <c r="A9" s="48">
        <v>2019</v>
      </c>
      <c r="B9" s="31">
        <f t="shared" ref="B9:C40" si="0">B46+B83</f>
        <v>0</v>
      </c>
      <c r="C9" s="84">
        <f t="shared" si="0"/>
        <v>0</v>
      </c>
      <c r="D9" s="89">
        <f t="shared" ref="D9:D40" si="1">D46+D83</f>
        <v>0</v>
      </c>
      <c r="E9" s="89">
        <f>IFERROR(INDEX('PA Costs 2019-2050'!$H$6:$H$37,MATCH(M9,'PA Costs 2019-2050'!$K$6:$K$37,0))*$H$4,0)</f>
        <v>968643.80926430505</v>
      </c>
      <c r="F9" s="89">
        <f>MAX(0,$G$4+(F46+F83))</f>
        <v>110500</v>
      </c>
      <c r="G9" s="89">
        <f t="shared" ref="G9:G40" si="2">SUM(D9)*(1-$C$4)^(A9-$A$14)</f>
        <v>0</v>
      </c>
      <c r="H9" s="89">
        <f t="shared" ref="H9:H40" si="3">SUM(E9:F9)*(1-$C$4)^(A9-$A$14)</f>
        <v>1243792.6870366703</v>
      </c>
      <c r="I9" s="89">
        <f t="shared" ref="I9:I29" si="4">SUM(G9:H9)</f>
        <v>1243792.6870366703</v>
      </c>
      <c r="J9" s="328">
        <f t="shared" ref="J9:J40" si="5">J8+(J8*$D$4)</f>
        <v>1968167131.6999998</v>
      </c>
      <c r="K9" s="7">
        <f t="shared" ref="K9:K41" si="6">I9/J9</f>
        <v>6.3195481064778642E-4</v>
      </c>
      <c r="L9" s="75"/>
      <c r="M9">
        <v>1</v>
      </c>
      <c r="N9" s="22"/>
      <c r="O9" s="290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1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</row>
    <row r="10" spans="1:82">
      <c r="A10" s="48">
        <v>2020</v>
      </c>
      <c r="B10" s="31">
        <f t="shared" si="0"/>
        <v>0</v>
      </c>
      <c r="C10" s="84">
        <f t="shared" si="0"/>
        <v>0</v>
      </c>
      <c r="D10" s="89">
        <f t="shared" si="1"/>
        <v>0</v>
      </c>
      <c r="E10" s="89">
        <f>IFERROR(INDEX('PA Costs 2019-2050'!$H$6:$H$37,MATCH(M10,'PA Costs 2019-2050'!$K$6:$K$37,0))*$H$4,0)</f>
        <v>1559241.4923496125</v>
      </c>
      <c r="F10" s="89">
        <f t="shared" ref="F10:F40" si="7">MAX(0,$G$4+(F47+F84))</f>
        <v>110500</v>
      </c>
      <c r="G10" s="89">
        <f t="shared" si="2"/>
        <v>0</v>
      </c>
      <c r="H10" s="89">
        <f t="shared" si="3"/>
        <v>1870613.9968447892</v>
      </c>
      <c r="I10" s="89">
        <f t="shared" si="4"/>
        <v>1870613.9968447892</v>
      </c>
      <c r="J10" s="328">
        <f t="shared" si="5"/>
        <v>1998991539.1128111</v>
      </c>
      <c r="K10" s="7">
        <f t="shared" si="6"/>
        <v>9.3577884660532476E-4</v>
      </c>
      <c r="L10" s="75"/>
      <c r="M10">
        <v>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1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</row>
    <row r="11" spans="1:82">
      <c r="A11" s="48">
        <v>2021</v>
      </c>
      <c r="B11" s="31">
        <f t="shared" si="0"/>
        <v>5.95</v>
      </c>
      <c r="C11" s="84">
        <f t="shared" si="0"/>
        <v>813.45978845833326</v>
      </c>
      <c r="D11" s="89">
        <f t="shared" si="1"/>
        <v>736079.08</v>
      </c>
      <c r="E11" s="89">
        <f>IFERROR(INDEX('PA Costs 2019-2050'!$H$6:$H$37,MATCH(M11,'PA Costs 2019-2050'!$K$6:$K$37,0))*$H$4,0)</f>
        <v>1174647.8316495493</v>
      </c>
      <c r="F11" s="89">
        <f t="shared" si="7"/>
        <v>103824.1</v>
      </c>
      <c r="G11" s="89">
        <f t="shared" si="2"/>
        <v>801540.88565770199</v>
      </c>
      <c r="H11" s="89">
        <f t="shared" si="3"/>
        <v>1392170.4232959494</v>
      </c>
      <c r="I11" s="89">
        <f t="shared" si="4"/>
        <v>2193711.3089536512</v>
      </c>
      <c r="J11" s="328">
        <f t="shared" si="5"/>
        <v>2030298702.3226516</v>
      </c>
      <c r="K11" s="7">
        <f t="shared" si="6"/>
        <v>1.0804869778245222E-3</v>
      </c>
      <c r="L11" s="75"/>
      <c r="M11">
        <v>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1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</row>
    <row r="12" spans="1:82">
      <c r="A12" s="48">
        <v>2022</v>
      </c>
      <c r="B12" s="31">
        <f t="shared" si="0"/>
        <v>9.8899999999999988</v>
      </c>
      <c r="C12" s="84">
        <f t="shared" si="0"/>
        <v>1352.1205559416665</v>
      </c>
      <c r="D12" s="89">
        <f t="shared" si="1"/>
        <v>1185012.3600000001</v>
      </c>
      <c r="E12" s="89">
        <f>IFERROR(INDEX('PA Costs 2019-2050'!$H$6:$H$37,MATCH(M12,'PA Costs 2019-2050'!$K$6:$K$37,0))*$H$4,0)</f>
        <v>1782855.6799832319</v>
      </c>
      <c r="F12" s="89">
        <f t="shared" si="7"/>
        <v>99413.98</v>
      </c>
      <c r="G12" s="89">
        <f t="shared" si="2"/>
        <v>1254268.0231672004</v>
      </c>
      <c r="H12" s="89">
        <f t="shared" si="3"/>
        <v>1992275.123185016</v>
      </c>
      <c r="I12" s="89">
        <f t="shared" si="4"/>
        <v>3246543.1463522166</v>
      </c>
      <c r="J12" s="328">
        <f t="shared" si="5"/>
        <v>2062096181.9991055</v>
      </c>
      <c r="K12" s="7">
        <f t="shared" si="6"/>
        <v>1.5743897761378159E-3</v>
      </c>
      <c r="L12" s="75"/>
      <c r="M12">
        <v>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1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</row>
    <row r="13" spans="1:82">
      <c r="A13" s="48">
        <v>2023</v>
      </c>
      <c r="B13" s="31">
        <f t="shared" si="0"/>
        <v>26.519999999999996</v>
      </c>
      <c r="C13" s="84">
        <f t="shared" si="0"/>
        <v>3643.8882524499995</v>
      </c>
      <c r="D13" s="89">
        <f t="shared" si="1"/>
        <v>3078302.9</v>
      </c>
      <c r="E13" s="89">
        <f>IFERROR(INDEX('PA Costs 2019-2050'!$H$6:$H$37,MATCH(M13,'PA Costs 2019-2050'!$K$6:$K$37,0))*$H$4,0)</f>
        <v>1586903.773129323</v>
      </c>
      <c r="F13" s="89">
        <f t="shared" si="7"/>
        <v>80765.679999999993</v>
      </c>
      <c r="G13" s="89">
        <f t="shared" si="2"/>
        <v>3166978.29218107</v>
      </c>
      <c r="H13" s="89">
        <f t="shared" si="3"/>
        <v>1715709.3139190564</v>
      </c>
      <c r="I13" s="89">
        <f t="shared" si="4"/>
        <v>4882687.6061001262</v>
      </c>
      <c r="J13" s="328">
        <f t="shared" si="5"/>
        <v>2094391657.2230213</v>
      </c>
      <c r="K13" s="7">
        <f t="shared" si="6"/>
        <v>2.3313154391448156E-3</v>
      </c>
      <c r="L13" s="75"/>
      <c r="M13">
        <v>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</row>
    <row r="14" spans="1:82">
      <c r="A14" s="48">
        <v>2024</v>
      </c>
      <c r="B14" s="31">
        <f t="shared" si="0"/>
        <v>30.86</v>
      </c>
      <c r="C14" s="84">
        <f t="shared" si="0"/>
        <v>4273.8969875166658</v>
      </c>
      <c r="D14" s="89">
        <f t="shared" si="1"/>
        <v>3535477.58</v>
      </c>
      <c r="E14" s="89">
        <f>IFERROR(INDEX('PA Costs 2019-2050'!$H$6:$H$37,MATCH(M14,'PA Costs 2019-2050'!$K$6:$K$37,0))*$H$4,0)</f>
        <v>1379119.1833997068</v>
      </c>
      <c r="F14" s="89">
        <f t="shared" si="7"/>
        <v>75991.239999999991</v>
      </c>
      <c r="G14" s="89">
        <f t="shared" si="2"/>
        <v>3535477.58</v>
      </c>
      <c r="H14" s="89">
        <f t="shared" si="3"/>
        <v>1455110.4233997068</v>
      </c>
      <c r="I14" s="89">
        <f t="shared" si="4"/>
        <v>4990588.0033997074</v>
      </c>
      <c r="J14" s="328">
        <f t="shared" si="5"/>
        <v>2127192927.3410082</v>
      </c>
      <c r="K14" s="7">
        <f t="shared" si="6"/>
        <v>2.3460909159931931E-3</v>
      </c>
      <c r="L14" s="75"/>
      <c r="M14">
        <v>6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1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</row>
    <row r="15" spans="1:82">
      <c r="A15" s="48">
        <v>2025</v>
      </c>
      <c r="B15" s="31">
        <f t="shared" si="0"/>
        <v>54.99</v>
      </c>
      <c r="C15" s="84">
        <f t="shared" si="0"/>
        <v>7744.3372586916666</v>
      </c>
      <c r="D15" s="89">
        <f t="shared" si="1"/>
        <v>3375151.5999999996</v>
      </c>
      <c r="E15" s="89">
        <f>IFERROR(INDEX('PA Costs 2019-2050'!$H$6:$H$37,MATCH(M15,'PA Costs 2019-2050'!$K$6:$K$37,0))*$H$4,0)</f>
        <v>1158319.0053970099</v>
      </c>
      <c r="F15" s="89">
        <f t="shared" si="7"/>
        <v>48980.74</v>
      </c>
      <c r="G15" s="89">
        <f t="shared" si="2"/>
        <v>3280647.3551999996</v>
      </c>
      <c r="H15" s="89">
        <f t="shared" si="3"/>
        <v>1173495.3525258936</v>
      </c>
      <c r="I15" s="89">
        <f t="shared" si="4"/>
        <v>4454142.7077258937</v>
      </c>
      <c r="J15" s="328">
        <f t="shared" si="5"/>
        <v>2160507913.8489752</v>
      </c>
      <c r="K15" s="7">
        <f t="shared" si="6"/>
        <v>2.0616183255680724E-3</v>
      </c>
      <c r="L15" s="75"/>
      <c r="M15">
        <v>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</row>
    <row r="16" spans="1:82">
      <c r="A16" s="48">
        <v>2026</v>
      </c>
      <c r="B16" s="31">
        <f t="shared" si="0"/>
        <v>65.400000000000006</v>
      </c>
      <c r="C16" s="84">
        <f t="shared" si="0"/>
        <v>9270.9775259166672</v>
      </c>
      <c r="D16" s="89">
        <f t="shared" si="1"/>
        <v>6851362.0099999998</v>
      </c>
      <c r="E16" s="89">
        <f>IFERROR(INDEX('PA Costs 2019-2050'!$H$6:$H$37,MATCH(M16,'PA Costs 2019-2050'!$K$6:$K$37,0))*$H$4,0)</f>
        <v>1043203.2572773003</v>
      </c>
      <c r="F16" s="89">
        <f t="shared" si="7"/>
        <v>38272.239999999991</v>
      </c>
      <c r="G16" s="89">
        <f t="shared" si="2"/>
        <v>6473057.205255839</v>
      </c>
      <c r="H16" s="89">
        <f t="shared" si="3"/>
        <v>1021760.7462196369</v>
      </c>
      <c r="I16" s="89">
        <f t="shared" si="4"/>
        <v>7494817.9514754759</v>
      </c>
      <c r="J16" s="328">
        <f t="shared" si="5"/>
        <v>2194344662.3051701</v>
      </c>
      <c r="K16" s="7">
        <f t="shared" si="6"/>
        <v>3.415515383805811E-3</v>
      </c>
      <c r="L16" s="75"/>
      <c r="M16">
        <v>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11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</row>
    <row r="17" spans="1:82">
      <c r="A17" s="48">
        <v>2027</v>
      </c>
      <c r="B17" s="31">
        <f t="shared" si="0"/>
        <v>79.490000000000009</v>
      </c>
      <c r="C17" s="84">
        <f t="shared" si="0"/>
        <v>11337.294659941666</v>
      </c>
      <c r="D17" s="89">
        <f t="shared" si="1"/>
        <v>8412088.9199999999</v>
      </c>
      <c r="E17" s="89">
        <f>IFERROR(INDEX('PA Costs 2019-2050'!$H$6:$H$37,MATCH(M17,'PA Costs 2019-2050'!$K$6:$K$37,0))*$H$4,0)</f>
        <v>945450.19334562984</v>
      </c>
      <c r="F17" s="89">
        <f t="shared" si="7"/>
        <v>26613.339999999997</v>
      </c>
      <c r="G17" s="89">
        <f t="shared" si="2"/>
        <v>7725074.021683868</v>
      </c>
      <c r="H17" s="89">
        <f t="shared" si="3"/>
        <v>892675.1512363418</v>
      </c>
      <c r="I17" s="89">
        <f t="shared" si="4"/>
        <v>8617749.1729202103</v>
      </c>
      <c r="J17" s="328">
        <f t="shared" si="5"/>
        <v>2228711344.2731791</v>
      </c>
      <c r="K17" s="7">
        <f t="shared" si="6"/>
        <v>3.8666959698769811E-3</v>
      </c>
      <c r="L17" s="75"/>
      <c r="M17">
        <v>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1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</row>
    <row r="18" spans="1:82">
      <c r="A18" s="48">
        <v>2028</v>
      </c>
      <c r="B18" s="31">
        <f t="shared" si="0"/>
        <v>97.490000000000009</v>
      </c>
      <c r="C18" s="84">
        <f t="shared" si="0"/>
        <v>13977.018464941666</v>
      </c>
      <c r="D18" s="89">
        <f t="shared" si="1"/>
        <v>10536230.530000001</v>
      </c>
      <c r="E18" s="89">
        <f>IFERROR(INDEX('PA Costs 2019-2050'!$H$6:$H$37,MATCH(M18,'PA Costs 2019-2050'!$K$6:$K$37,0))*$H$4,0)</f>
        <v>688239.14643722493</v>
      </c>
      <c r="F18" s="89">
        <f t="shared" si="7"/>
        <v>15715.420000000013</v>
      </c>
      <c r="G18" s="89">
        <f t="shared" si="2"/>
        <v>9404816.4498800542</v>
      </c>
      <c r="H18" s="89">
        <f t="shared" si="3"/>
        <v>628361.6771241047</v>
      </c>
      <c r="I18" s="89">
        <f t="shared" si="4"/>
        <v>10033178.12700416</v>
      </c>
      <c r="J18" s="328">
        <f t="shared" si="5"/>
        <v>2263616259.2953563</v>
      </c>
      <c r="K18" s="7">
        <f t="shared" si="6"/>
        <v>4.4323670524117013E-3</v>
      </c>
      <c r="L18" s="75"/>
      <c r="M18">
        <v>10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11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</row>
    <row r="19" spans="1:82">
      <c r="A19" s="48">
        <v>2029</v>
      </c>
      <c r="B19" s="31">
        <f t="shared" si="0"/>
        <v>113.15</v>
      </c>
      <c r="C19" s="84">
        <f t="shared" si="0"/>
        <v>16273.578175291666</v>
      </c>
      <c r="D19" s="89">
        <f t="shared" si="1"/>
        <v>12368361.560000001</v>
      </c>
      <c r="E19" s="89">
        <f>IFERROR(INDEX('PA Costs 2019-2050'!$H$6:$H$37,MATCH(M19,'PA Costs 2019-2050'!$K$6:$K$37,0))*$H$4,0)</f>
        <v>588414.43266652687</v>
      </c>
      <c r="F19" s="89">
        <f t="shared" si="7"/>
        <v>6402.820000000007</v>
      </c>
      <c r="G19" s="89">
        <f t="shared" si="2"/>
        <v>10731081.59207491</v>
      </c>
      <c r="H19" s="89">
        <f t="shared" si="3"/>
        <v>516077.44807375583</v>
      </c>
      <c r="I19" s="89">
        <f t="shared" si="4"/>
        <v>11247159.040148666</v>
      </c>
      <c r="J19" s="328">
        <f t="shared" si="5"/>
        <v>2299067836.897161</v>
      </c>
      <c r="K19" s="7">
        <f t="shared" si="6"/>
        <v>4.892051839291491E-3</v>
      </c>
      <c r="L19" s="75"/>
      <c r="M19">
        <v>11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</row>
    <row r="20" spans="1:82">
      <c r="A20" s="48">
        <v>2030</v>
      </c>
      <c r="B20" s="31">
        <f t="shared" si="0"/>
        <v>113.15</v>
      </c>
      <c r="C20" s="84">
        <f t="shared" si="0"/>
        <v>16273.578175291666</v>
      </c>
      <c r="D20" s="89">
        <f t="shared" si="1"/>
        <v>12441144.109999999</v>
      </c>
      <c r="E20" s="89">
        <f>IFERROR(INDEX('PA Costs 2019-2050'!$H$6:$H$37,MATCH(M20,'PA Costs 2019-2050'!$K$6:$K$37,0))*$H$4,0)</f>
        <v>344265.81610815326</v>
      </c>
      <c r="F20" s="89">
        <f t="shared" si="7"/>
        <v>6402.820000000007</v>
      </c>
      <c r="G20" s="89">
        <f t="shared" si="2"/>
        <v>10491991.020996911</v>
      </c>
      <c r="H20" s="89">
        <f t="shared" si="3"/>
        <v>295729.40791150258</v>
      </c>
      <c r="I20" s="89">
        <f t="shared" si="4"/>
        <v>10787720.428908413</v>
      </c>
      <c r="J20" s="328">
        <f t="shared" si="5"/>
        <v>2335074638.6228848</v>
      </c>
      <c r="K20" s="7">
        <f t="shared" si="6"/>
        <v>4.6198610744496351E-3</v>
      </c>
      <c r="L20" s="75"/>
      <c r="M20">
        <v>12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1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</row>
    <row r="21" spans="1:82">
      <c r="A21" s="48">
        <v>2031</v>
      </c>
      <c r="B21" s="31">
        <f t="shared" si="0"/>
        <v>113.15</v>
      </c>
      <c r="C21" s="84">
        <f t="shared" si="0"/>
        <v>16273.578175291666</v>
      </c>
      <c r="D21" s="89">
        <f t="shared" si="1"/>
        <v>12692293.15</v>
      </c>
      <c r="E21" s="89">
        <f>IFERROR(INDEX('PA Costs 2019-2050'!$H$6:$H$37,MATCH(M21,'PA Costs 2019-2050'!$K$6:$K$37,0))*$H$4,0)</f>
        <v>173133.08921651629</v>
      </c>
      <c r="F21" s="89">
        <f t="shared" si="7"/>
        <v>6402.820000000007</v>
      </c>
      <c r="G21" s="89">
        <f t="shared" si="2"/>
        <v>10404086.368566476</v>
      </c>
      <c r="H21" s="89">
        <f t="shared" si="3"/>
        <v>147168.60725421755</v>
      </c>
      <c r="I21" s="89">
        <f t="shared" si="4"/>
        <v>10551254.975820694</v>
      </c>
      <c r="J21" s="328">
        <f t="shared" si="5"/>
        <v>2371645360.1032624</v>
      </c>
      <c r="K21" s="7">
        <f t="shared" si="6"/>
        <v>4.4489176810825074E-3</v>
      </c>
      <c r="L21" s="75"/>
      <c r="M21">
        <v>13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1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</row>
    <row r="22" spans="1:82">
      <c r="A22" s="48">
        <v>2032</v>
      </c>
      <c r="B22" s="31">
        <f t="shared" si="0"/>
        <v>113.15</v>
      </c>
      <c r="C22" s="84">
        <f t="shared" si="0"/>
        <v>16273.578175291666</v>
      </c>
      <c r="D22" s="89">
        <f t="shared" si="1"/>
        <v>12767636.949999999</v>
      </c>
      <c r="E22" s="89">
        <f>IFERROR(INDEX('PA Costs 2019-2050'!$H$6:$H$37,MATCH(M22,'PA Costs 2019-2050'!$K$6:$K$37,0))*$H$4,0)</f>
        <v>-9287.2335669672575</v>
      </c>
      <c r="F22" s="89">
        <f t="shared" si="7"/>
        <v>6402.820000000007</v>
      </c>
      <c r="G22" s="89">
        <f t="shared" si="2"/>
        <v>10172803.235236671</v>
      </c>
      <c r="H22" s="89">
        <f t="shared" si="3"/>
        <v>-2298.1990935922558</v>
      </c>
      <c r="I22" s="89">
        <f t="shared" si="4"/>
        <v>10170505.036143079</v>
      </c>
      <c r="J22" s="328">
        <f t="shared" si="5"/>
        <v>2408788833.1554632</v>
      </c>
      <c r="K22" s="7">
        <f t="shared" si="6"/>
        <v>4.2222484993920907E-3</v>
      </c>
      <c r="L22" s="75"/>
      <c r="M22">
        <v>14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11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</row>
    <row r="23" spans="1:82">
      <c r="A23" s="48">
        <v>2033</v>
      </c>
      <c r="B23" s="31">
        <f t="shared" si="0"/>
        <v>113.15</v>
      </c>
      <c r="C23" s="84">
        <f t="shared" si="0"/>
        <v>16273.578175291666</v>
      </c>
      <c r="D23" s="89">
        <f t="shared" si="1"/>
        <v>12528485.27</v>
      </c>
      <c r="E23" s="89">
        <f>IFERROR(INDEX('PA Costs 2019-2050'!$H$6:$H$37,MATCH(M23,'PA Costs 2019-2050'!$K$6:$K$37,0))*$H$4,0)</f>
        <v>-57242.16125508296</v>
      </c>
      <c r="F23" s="89">
        <f t="shared" si="7"/>
        <v>6402.820000000007</v>
      </c>
      <c r="G23" s="89">
        <f t="shared" si="2"/>
        <v>9702752.4465776253</v>
      </c>
      <c r="H23" s="89">
        <f t="shared" si="3"/>
        <v>-39372.799832900382</v>
      </c>
      <c r="I23" s="89">
        <f t="shared" si="4"/>
        <v>9663379.6467447244</v>
      </c>
      <c r="J23" s="328">
        <f t="shared" si="5"/>
        <v>2446514027.9159718</v>
      </c>
      <c r="K23" s="7">
        <f t="shared" si="6"/>
        <v>3.9498566272175998E-3</v>
      </c>
      <c r="L23" s="75"/>
      <c r="M23">
        <v>15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11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</row>
    <row r="24" spans="1:82">
      <c r="A24" s="48">
        <v>2034</v>
      </c>
      <c r="B24" s="31">
        <f t="shared" si="0"/>
        <v>113.15</v>
      </c>
      <c r="C24" s="84">
        <f t="shared" si="0"/>
        <v>16273.578175291666</v>
      </c>
      <c r="D24" s="89">
        <f t="shared" si="1"/>
        <v>12542778.970000001</v>
      </c>
      <c r="E24" s="89">
        <f>IFERROR(INDEX('PA Costs 2019-2050'!$H$6:$H$37,MATCH(M24,'PA Costs 2019-2050'!$K$6:$K$37,0))*$H$4,0)</f>
        <v>-30522.63075833175</v>
      </c>
      <c r="F24" s="89">
        <f t="shared" si="7"/>
        <v>6402.820000000007</v>
      </c>
      <c r="G24" s="89">
        <f t="shared" si="2"/>
        <v>9441835.25520356</v>
      </c>
      <c r="H24" s="89">
        <f t="shared" si="3"/>
        <v>-18156.684424684139</v>
      </c>
      <c r="I24" s="89">
        <f t="shared" si="4"/>
        <v>9423678.5707788765</v>
      </c>
      <c r="J24" s="328">
        <f t="shared" si="5"/>
        <v>2484830055.0068736</v>
      </c>
      <c r="K24" s="7">
        <f t="shared" si="6"/>
        <v>3.7924841386196163E-3</v>
      </c>
      <c r="L24" s="75"/>
      <c r="M24">
        <v>16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1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</row>
    <row r="25" spans="1:82">
      <c r="A25" s="48">
        <v>2035</v>
      </c>
      <c r="B25" s="31">
        <f t="shared" si="0"/>
        <v>113.15</v>
      </c>
      <c r="C25" s="84">
        <f t="shared" si="0"/>
        <v>16273.578175291666</v>
      </c>
      <c r="D25" s="89">
        <f t="shared" si="1"/>
        <v>12802695.25</v>
      </c>
      <c r="E25" s="89">
        <f>IFERROR(INDEX('PA Costs 2019-2050'!$H$6:$H$37,MATCH(M25,'PA Costs 2019-2050'!$K$6:$K$37,0))*$H$4,0)</f>
        <v>-2359.1765558584748</v>
      </c>
      <c r="F25" s="89">
        <f t="shared" si="7"/>
        <v>6402.820000000007</v>
      </c>
      <c r="G25" s="89">
        <f t="shared" si="2"/>
        <v>9367642.796836352</v>
      </c>
      <c r="H25" s="89">
        <f t="shared" si="3"/>
        <v>2958.7056977308716</v>
      </c>
      <c r="I25" s="89">
        <f t="shared" si="4"/>
        <v>9370601.5025340822</v>
      </c>
      <c r="J25" s="328">
        <f t="shared" si="5"/>
        <v>2523746167.7360668</v>
      </c>
      <c r="K25" s="7">
        <f t="shared" si="6"/>
        <v>3.7129730486881751E-3</v>
      </c>
      <c r="L25" s="75"/>
      <c r="M25">
        <v>17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1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</row>
    <row r="26" spans="1:82">
      <c r="A26" s="48">
        <v>2036</v>
      </c>
      <c r="B26" s="31">
        <f t="shared" si="0"/>
        <v>113.15</v>
      </c>
      <c r="C26" s="84">
        <f t="shared" si="0"/>
        <v>16273.578175291666</v>
      </c>
      <c r="D26" s="89">
        <f t="shared" si="1"/>
        <v>13083115.59</v>
      </c>
      <c r="E26" s="89">
        <f>IFERROR(INDEX('PA Costs 2019-2050'!$H$6:$H$37,MATCH(M26,'PA Costs 2019-2050'!$K$6:$K$37,0))*$H$4,0)</f>
        <v>26706.729962691097</v>
      </c>
      <c r="F26" s="89">
        <f t="shared" si="7"/>
        <v>6402.820000000007</v>
      </c>
      <c r="G26" s="89">
        <f t="shared" si="2"/>
        <v>9304785.3199793492</v>
      </c>
      <c r="H26" s="89">
        <f t="shared" si="3"/>
        <v>23547.69797183845</v>
      </c>
      <c r="I26" s="89">
        <f t="shared" si="4"/>
        <v>9328333.0179511867</v>
      </c>
      <c r="J26" s="328">
        <f t="shared" si="5"/>
        <v>2563271764.331933</v>
      </c>
      <c r="K26" s="7">
        <f t="shared" si="6"/>
        <v>3.6392290305520669E-3</v>
      </c>
      <c r="L26" s="75"/>
      <c r="M26">
        <v>18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1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</row>
    <row r="27" spans="1:82">
      <c r="A27" s="48">
        <v>2037</v>
      </c>
      <c r="B27" s="31">
        <f t="shared" si="0"/>
        <v>113.15</v>
      </c>
      <c r="C27" s="84">
        <f t="shared" si="0"/>
        <v>16273.578175291666</v>
      </c>
      <c r="D27" s="89">
        <f t="shared" si="1"/>
        <v>13657243.870000001</v>
      </c>
      <c r="E27" s="89">
        <f>IFERROR(INDEX('PA Costs 2019-2050'!$H$6:$H$37,MATCH(M27,'PA Costs 2019-2050'!$K$6:$K$37,0))*$H$4,0)</f>
        <v>57036.069723747481</v>
      </c>
      <c r="F27" s="89">
        <f t="shared" si="7"/>
        <v>6402.820000000007</v>
      </c>
      <c r="G27" s="89">
        <f t="shared" si="2"/>
        <v>9441141.5384667758</v>
      </c>
      <c r="H27" s="89">
        <f t="shared" si="3"/>
        <v>43854.788171479391</v>
      </c>
      <c r="I27" s="89">
        <f t="shared" si="4"/>
        <v>9484996.3266382553</v>
      </c>
      <c r="J27" s="328">
        <f t="shared" si="5"/>
        <v>2603416390.213007</v>
      </c>
      <c r="K27" s="7">
        <f t="shared" si="6"/>
        <v>3.6432882432080754E-3</v>
      </c>
      <c r="L27" s="75"/>
      <c r="M27">
        <v>19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1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</row>
    <row r="28" spans="1:82">
      <c r="A28" s="48">
        <v>2038</v>
      </c>
      <c r="B28" s="31">
        <f t="shared" si="0"/>
        <v>113.15</v>
      </c>
      <c r="C28" s="84">
        <f t="shared" si="0"/>
        <v>16273.578175291666</v>
      </c>
      <c r="D28" s="89">
        <f t="shared" si="1"/>
        <v>14029411.34</v>
      </c>
      <c r="E28" s="89">
        <f>IFERROR(INDEX('PA Costs 2019-2050'!$H$6:$H$37,MATCH(M28,'PA Costs 2019-2050'!$K$6:$K$37,0))*$H$4,0)</f>
        <v>88982.881712848291</v>
      </c>
      <c r="F28" s="89">
        <f t="shared" si="7"/>
        <v>6402.820000000007</v>
      </c>
      <c r="G28" s="89">
        <f t="shared" si="2"/>
        <v>9426862.1809245106</v>
      </c>
      <c r="H28" s="89">
        <f t="shared" si="3"/>
        <v>64093.057241402123</v>
      </c>
      <c r="I28" s="89">
        <f t="shared" si="4"/>
        <v>9490955.2381659131</v>
      </c>
      <c r="J28" s="328">
        <f t="shared" si="5"/>
        <v>2644189740.293191</v>
      </c>
      <c r="K28" s="7">
        <f t="shared" si="6"/>
        <v>3.5893624022281943E-3</v>
      </c>
      <c r="L28" s="75"/>
      <c r="M28">
        <v>20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11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</row>
    <row r="29" spans="1:82">
      <c r="A29" s="48">
        <v>2039</v>
      </c>
      <c r="B29" s="31">
        <f t="shared" si="0"/>
        <v>113.15</v>
      </c>
      <c r="C29" s="84">
        <f t="shared" si="0"/>
        <v>16273.578175291666</v>
      </c>
      <c r="D29" s="89">
        <f t="shared" si="1"/>
        <v>14300446.65</v>
      </c>
      <c r="E29" s="89">
        <f>IFERROR(INDEX('PA Costs 2019-2050'!$H$6:$H$37,MATCH(M29,'PA Costs 2019-2050'!$K$6:$K$37,0))*$H$4,0)</f>
        <v>122040.40424481225</v>
      </c>
      <c r="F29" s="89">
        <f t="shared" si="7"/>
        <v>6402.820000000007</v>
      </c>
      <c r="G29" s="89">
        <f t="shared" si="2"/>
        <v>9339929.0254004076</v>
      </c>
      <c r="H29" s="89">
        <f t="shared" si="3"/>
        <v>83889.030014327232</v>
      </c>
      <c r="I29" s="89">
        <f t="shared" si="4"/>
        <v>9423818.0554147344</v>
      </c>
      <c r="J29" s="328">
        <f t="shared" si="5"/>
        <v>2685601661.3230743</v>
      </c>
      <c r="K29" s="7">
        <f t="shared" si="6"/>
        <v>3.509015574101204E-3</v>
      </c>
      <c r="L29" s="75"/>
      <c r="M29">
        <v>21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11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</row>
    <row r="30" spans="1:82">
      <c r="A30" s="48">
        <v>2040</v>
      </c>
      <c r="B30" s="31">
        <f t="shared" si="0"/>
        <v>113.15</v>
      </c>
      <c r="C30" s="84">
        <f t="shared" si="0"/>
        <v>16273.578175291666</v>
      </c>
      <c r="D30" s="89">
        <f t="shared" si="1"/>
        <v>14290857.43</v>
      </c>
      <c r="E30" s="89">
        <f>IFERROR(INDEX('PA Costs 2019-2050'!$H$6:$H$37,MATCH(M30,'PA Costs 2019-2050'!$K$6:$K$37,0))*$H$4,0)</f>
        <v>156465.48913267642</v>
      </c>
      <c r="F30" s="89">
        <f t="shared" si="7"/>
        <v>6402.820000000007</v>
      </c>
      <c r="G30" s="89">
        <f t="shared" si="2"/>
        <v>9072323.4489520807</v>
      </c>
      <c r="H30" s="89">
        <f t="shared" si="3"/>
        <v>103394.35455662206</v>
      </c>
      <c r="I30" s="89">
        <f t="shared" ref="I30:I34" si="8">SUM(G30:H30)</f>
        <v>9175717.8035087027</v>
      </c>
      <c r="J30" s="328">
        <f t="shared" si="5"/>
        <v>2727662154.26792</v>
      </c>
      <c r="K30" s="7">
        <f t="shared" ref="K30:K34" si="9">I30/J30</f>
        <v>3.3639495232764202E-3</v>
      </c>
      <c r="L30" s="75"/>
      <c r="M30">
        <v>22</v>
      </c>
      <c r="N30" s="22"/>
      <c r="O30" s="22"/>
      <c r="P30" s="22"/>
      <c r="Q30" s="136"/>
      <c r="R30" s="22"/>
      <c r="S30" s="22"/>
      <c r="T30" s="22"/>
      <c r="U30" s="22"/>
      <c r="V30" s="22"/>
      <c r="W30" s="22"/>
      <c r="X30" s="22"/>
      <c r="Y30" s="22"/>
      <c r="Z30" s="22"/>
      <c r="AA30" s="11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</row>
    <row r="31" spans="1:82">
      <c r="A31" s="48">
        <v>2041</v>
      </c>
      <c r="B31" s="31">
        <f t="shared" si="0"/>
        <v>110.05</v>
      </c>
      <c r="C31" s="84">
        <f t="shared" si="0"/>
        <v>15849.758789708332</v>
      </c>
      <c r="D31" s="89">
        <f t="shared" si="1"/>
        <v>14054935.52</v>
      </c>
      <c r="E31" s="89">
        <f>IFERROR(INDEX('PA Costs 2019-2050'!$H$6:$H$37,MATCH(M31,'PA Costs 2019-2050'!$K$6:$K$37,0))*$H$4,0)</f>
        <v>215167.90946384403</v>
      </c>
      <c r="F31" s="89">
        <f t="shared" si="7"/>
        <v>9881.0200000000041</v>
      </c>
      <c r="G31" s="89">
        <f t="shared" si="2"/>
        <v>8672720.7172929272</v>
      </c>
      <c r="H31" s="89">
        <f t="shared" si="3"/>
        <v>138868.40748492276</v>
      </c>
      <c r="I31" s="89">
        <f t="shared" si="8"/>
        <v>8811589.1247778498</v>
      </c>
      <c r="J31" s="328">
        <f t="shared" si="5"/>
        <v>2770381376.7228942</v>
      </c>
      <c r="K31" s="7">
        <f t="shared" si="9"/>
        <v>3.1806411921528103E-3</v>
      </c>
      <c r="L31" s="75"/>
      <c r="M31">
        <v>23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1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</row>
    <row r="32" spans="1:82">
      <c r="A32" s="48">
        <v>2042</v>
      </c>
      <c r="B32" s="31">
        <f t="shared" si="0"/>
        <v>89.3</v>
      </c>
      <c r="C32" s="84">
        <f t="shared" si="0"/>
        <v>13012.903224916667</v>
      </c>
      <c r="D32" s="89">
        <f t="shared" si="1"/>
        <v>12594269.15</v>
      </c>
      <c r="E32" s="89">
        <f>IFERROR(INDEX('PA Costs 2019-2050'!$H$6:$H$37,MATCH(M32,'PA Costs 2019-2050'!$K$6:$K$37,0))*$H$4,0)</f>
        <v>275716.87797359028</v>
      </c>
      <c r="F32" s="89">
        <f t="shared" si="7"/>
        <v>33151.960000000006</v>
      </c>
      <c r="G32" s="89">
        <f t="shared" si="2"/>
        <v>7553804.4706042064</v>
      </c>
      <c r="H32" s="89">
        <f t="shared" si="3"/>
        <v>185253.68811220242</v>
      </c>
      <c r="I32" s="89">
        <f t="shared" si="8"/>
        <v>7739058.1587164085</v>
      </c>
      <c r="J32" s="328">
        <f t="shared" si="5"/>
        <v>2813769645.3661222</v>
      </c>
      <c r="K32" s="7">
        <f t="shared" si="9"/>
        <v>2.7504235008937333E-3</v>
      </c>
      <c r="L32" s="75"/>
      <c r="M32">
        <v>24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1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</row>
    <row r="33" spans="1:82">
      <c r="A33" s="48">
        <v>2043</v>
      </c>
      <c r="B33" s="31">
        <f t="shared" si="0"/>
        <v>88.289999999999992</v>
      </c>
      <c r="C33" s="84">
        <f t="shared" si="0"/>
        <v>12873.131118191666</v>
      </c>
      <c r="D33" s="89">
        <f t="shared" si="1"/>
        <v>12687507.139999999</v>
      </c>
      <c r="E33" s="89">
        <f>IFERROR(INDEX('PA Costs 2019-2050'!$H$6:$H$37,MATCH(M33,'PA Costs 2019-2050'!$K$6:$K$37,0))*$H$4,0)</f>
        <v>397180.62259316706</v>
      </c>
      <c r="F33" s="89">
        <f t="shared" si="7"/>
        <v>34274.62000000001</v>
      </c>
      <c r="G33" s="89">
        <f t="shared" si="2"/>
        <v>7396654.5019101836</v>
      </c>
      <c r="H33" s="89">
        <f t="shared" si="3"/>
        <v>251532.89194519422</v>
      </c>
      <c r="I33" s="89">
        <f t="shared" si="8"/>
        <v>7648187.393855378</v>
      </c>
      <c r="J33" s="328">
        <f t="shared" si="5"/>
        <v>2857837438.4501634</v>
      </c>
      <c r="K33" s="7">
        <f t="shared" si="9"/>
        <v>2.6762149907319692E-3</v>
      </c>
      <c r="L33" s="75"/>
      <c r="M33">
        <v>25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11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</row>
    <row r="34" spans="1:82">
      <c r="A34" s="48">
        <v>2044</v>
      </c>
      <c r="B34" s="31">
        <f t="shared" si="0"/>
        <v>68.680000000000007</v>
      </c>
      <c r="C34" s="84">
        <f t="shared" si="0"/>
        <v>10065.554824716668</v>
      </c>
      <c r="D34" s="89">
        <f t="shared" si="1"/>
        <v>10112179.91</v>
      </c>
      <c r="E34" s="89">
        <f>IFERROR(INDEX('PA Costs 2019-2050'!$H$6:$H$37,MATCH(M34,'PA Costs 2019-2050'!$K$6:$K$37,0))*$H$4,0)</f>
        <v>469710.75428463623</v>
      </c>
      <c r="F34" s="89">
        <f t="shared" si="7"/>
        <v>56213.68</v>
      </c>
      <c r="G34" s="89">
        <f t="shared" si="2"/>
        <v>5730204.0364310108</v>
      </c>
      <c r="H34" s="89">
        <f t="shared" si="3"/>
        <v>298022.22102627903</v>
      </c>
      <c r="I34" s="89">
        <f t="shared" si="8"/>
        <v>6028226.2574572898</v>
      </c>
      <c r="J34" s="328">
        <f t="shared" si="5"/>
        <v>2902595398.3325052</v>
      </c>
      <c r="K34" s="7">
        <f t="shared" si="9"/>
        <v>2.076840010468014E-3</v>
      </c>
      <c r="L34" s="75"/>
      <c r="M34">
        <v>26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11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</row>
    <row r="35" spans="1:82">
      <c r="A35" s="48">
        <v>2045</v>
      </c>
      <c r="B35" s="31">
        <f t="shared" si="0"/>
        <v>61.21</v>
      </c>
      <c r="C35" s="84">
        <f t="shared" si="0"/>
        <v>8976.5274502249995</v>
      </c>
      <c r="D35" s="89">
        <f t="shared" si="1"/>
        <v>8802845.2899999991</v>
      </c>
      <c r="E35" s="89">
        <f>IFERROR(INDEX('PA Costs 2019-2050'!$H$6:$H$37,MATCH(M35,'PA Costs 2019-2050'!$K$6:$K$37,0))*$H$4,0)</f>
        <v>478554.72190148814</v>
      </c>
      <c r="F35" s="89">
        <f t="shared" si="7"/>
        <v>64499.98000000001</v>
      </c>
      <c r="G35" s="89">
        <f t="shared" si="2"/>
        <v>4848580.7471829588</v>
      </c>
      <c r="H35" s="89">
        <f t="shared" si="3"/>
        <v>299112.89879169699</v>
      </c>
      <c r="I35" s="89">
        <f t="shared" ref="I35:I40" si="10">SUM(G35:H35)</f>
        <v>5147693.6459746556</v>
      </c>
      <c r="J35" s="328">
        <f t="shared" si="5"/>
        <v>2948054334.0456891</v>
      </c>
      <c r="K35" s="7">
        <f t="shared" ref="K35:K40" si="11">I35/J35</f>
        <v>1.7461325547926201E-3</v>
      </c>
      <c r="L35" s="75"/>
      <c r="M35">
        <v>27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1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</row>
    <row r="36" spans="1:82">
      <c r="A36" s="48">
        <v>2046</v>
      </c>
      <c r="B36" s="31">
        <f t="shared" si="0"/>
        <v>47.580000000000005</v>
      </c>
      <c r="C36" s="84">
        <f t="shared" si="0"/>
        <v>6977.6699245500004</v>
      </c>
      <c r="D36" s="89">
        <f t="shared" si="1"/>
        <v>6801228.3899999997</v>
      </c>
      <c r="E36" s="89">
        <f>IFERROR(INDEX('PA Costs 2019-2050'!$H$6:$H$37,MATCH(M36,'PA Costs 2019-2050'!$K$6:$K$37,0))*$H$4,0)</f>
        <v>665212.18009662547</v>
      </c>
      <c r="F36" s="89">
        <f t="shared" si="7"/>
        <v>78905.8</v>
      </c>
      <c r="G36" s="89">
        <f t="shared" si="2"/>
        <v>3641205.4775686744</v>
      </c>
      <c r="H36" s="89">
        <f t="shared" si="3"/>
        <v>398381.92598692758</v>
      </c>
      <c r="I36" s="89">
        <f t="shared" si="10"/>
        <v>4039587.4035556018</v>
      </c>
      <c r="J36" s="328">
        <f t="shared" si="5"/>
        <v>2994225223.9076886</v>
      </c>
      <c r="K36" s="7">
        <f t="shared" si="11"/>
        <v>1.349126101570822E-3</v>
      </c>
      <c r="L36" s="75"/>
      <c r="M36">
        <v>28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1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</row>
    <row r="37" spans="1:82">
      <c r="A37" s="48">
        <v>2047</v>
      </c>
      <c r="B37" s="31">
        <f t="shared" si="0"/>
        <v>38.130000000000003</v>
      </c>
      <c r="C37" s="84">
        <f t="shared" si="0"/>
        <v>5591.8149269249998</v>
      </c>
      <c r="D37" s="89">
        <f t="shared" si="1"/>
        <v>5401763.7699999996</v>
      </c>
      <c r="E37" s="89">
        <f>IFERROR(INDEX('PA Costs 2019-2050'!$H$6:$H$37,MATCH(M37,'PA Costs 2019-2050'!$K$6:$K$37,0))*$H$4,0)</f>
        <v>815494.70957870467</v>
      </c>
      <c r="F37" s="89">
        <f t="shared" si="7"/>
        <v>87497.02</v>
      </c>
      <c r="G37" s="89">
        <f t="shared" si="2"/>
        <v>2810992.4620067114</v>
      </c>
      <c r="H37" s="89">
        <f t="shared" si="3"/>
        <v>469902.61943649233</v>
      </c>
      <c r="I37" s="89">
        <f t="shared" si="10"/>
        <v>3280895.0814432036</v>
      </c>
      <c r="J37" s="328">
        <f t="shared" si="5"/>
        <v>3041119218.1731687</v>
      </c>
      <c r="K37" s="7">
        <f t="shared" si="11"/>
        <v>1.07884461149605E-3</v>
      </c>
      <c r="L37" s="75"/>
      <c r="M37">
        <v>29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11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</row>
    <row r="38" spans="1:82">
      <c r="A38" s="48">
        <v>2048</v>
      </c>
      <c r="B38" s="31">
        <f t="shared" si="0"/>
        <v>31.32</v>
      </c>
      <c r="C38" s="84">
        <f t="shared" si="0"/>
        <v>4593.1194206999999</v>
      </c>
      <c r="D38" s="89">
        <f t="shared" si="1"/>
        <v>4353235.66</v>
      </c>
      <c r="E38" s="89">
        <f>IFERROR(INDEX('PA Costs 2019-2050'!$H$6:$H$37,MATCH(M38,'PA Costs 2019-2050'!$K$6:$K$37,0))*$H$4,0)</f>
        <v>944478.54856424232</v>
      </c>
      <c r="F38" s="89">
        <f t="shared" si="7"/>
        <v>91874.8</v>
      </c>
      <c r="G38" s="89">
        <f t="shared" si="2"/>
        <v>2201925.0708703329</v>
      </c>
      <c r="H38" s="89">
        <f t="shared" si="3"/>
        <v>524201.44433072716</v>
      </c>
      <c r="I38" s="89">
        <f t="shared" si="10"/>
        <v>2726126.5152010601</v>
      </c>
      <c r="J38" s="328">
        <f t="shared" si="5"/>
        <v>3088747641.7262697</v>
      </c>
      <c r="K38" s="7">
        <f t="shared" si="11"/>
        <v>8.8259930282859095E-4</v>
      </c>
      <c r="L38" s="75"/>
      <c r="M38">
        <v>30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11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</row>
    <row r="39" spans="1:82">
      <c r="A39" s="48">
        <v>2049</v>
      </c>
      <c r="B39" s="31">
        <f t="shared" si="0"/>
        <v>31.32</v>
      </c>
      <c r="C39" s="84">
        <f t="shared" si="0"/>
        <v>4593.1194206999999</v>
      </c>
      <c r="D39" s="89">
        <f t="shared" si="1"/>
        <v>4304612.1900000004</v>
      </c>
      <c r="E39" s="89">
        <f>IFERROR(INDEX('PA Costs 2019-2050'!$H$6:$H$37,MATCH(M39,'PA Costs 2019-2050'!$K$6:$K$37,0))*$H$4,0)</f>
        <v>1057876.6484594424</v>
      </c>
      <c r="F39" s="89">
        <f t="shared" si="7"/>
        <v>91874.8</v>
      </c>
      <c r="G39" s="89">
        <f t="shared" si="2"/>
        <v>2116365.4079531427</v>
      </c>
      <c r="H39" s="89">
        <f t="shared" si="3"/>
        <v>565276.05411617446</v>
      </c>
      <c r="I39" s="89">
        <f t="shared" si="10"/>
        <v>2681641.4620693172</v>
      </c>
      <c r="J39" s="328">
        <f t="shared" si="5"/>
        <v>3137121996.8155622</v>
      </c>
      <c r="K39" s="7">
        <f t="shared" si="11"/>
        <v>8.5480942876668632E-4</v>
      </c>
      <c r="L39" s="75"/>
      <c r="M39">
        <v>31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11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</row>
    <row r="40" spans="1:82">
      <c r="A40" s="48">
        <v>2050</v>
      </c>
      <c r="B40" s="31">
        <f t="shared" si="0"/>
        <v>31.32</v>
      </c>
      <c r="C40" s="84">
        <f t="shared" si="0"/>
        <v>4593.1194206999999</v>
      </c>
      <c r="D40" s="89">
        <f t="shared" si="1"/>
        <v>4193454.43</v>
      </c>
      <c r="E40" s="89">
        <f>IFERROR(INDEX('PA Costs 2019-2050'!$H$6:$H$37,MATCH(M40,'PA Costs 2019-2050'!$K$6:$K$37,0))*$H$4,0)</f>
        <v>1129046.5227415636</v>
      </c>
      <c r="F40" s="89">
        <f t="shared" si="7"/>
        <v>91874.8</v>
      </c>
      <c r="G40" s="89">
        <f t="shared" si="2"/>
        <v>2003986.6128814789</v>
      </c>
      <c r="H40" s="89">
        <f t="shared" si="3"/>
        <v>583459.29996326228</v>
      </c>
      <c r="I40" s="89">
        <f t="shared" si="10"/>
        <v>2587445.9128447413</v>
      </c>
      <c r="J40" s="328">
        <f t="shared" si="5"/>
        <v>3186253965.8318367</v>
      </c>
      <c r="K40" s="7">
        <f t="shared" si="11"/>
        <v>8.1206518394061399E-4</v>
      </c>
      <c r="L40" s="75"/>
      <c r="M40">
        <v>32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11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</row>
    <row r="41" spans="1:82">
      <c r="A41" s="4" t="s">
        <v>10</v>
      </c>
      <c r="B41" s="31"/>
      <c r="C41" s="322"/>
      <c r="D41" s="327">
        <f t="shared" ref="D41:J41" si="12">SUM(D8:D40)</f>
        <v>278520206.57000005</v>
      </c>
      <c r="E41" s="327">
        <f t="shared" si="12"/>
        <v>20192696.578521933</v>
      </c>
      <c r="F41" s="327">
        <f t="shared" si="12"/>
        <v>1427459.060000001</v>
      </c>
      <c r="G41" s="327">
        <f t="shared" si="12"/>
        <v>199515533.54694304</v>
      </c>
      <c r="H41" s="327">
        <f t="shared" si="12"/>
        <v>18320861.759522744</v>
      </c>
      <c r="I41" s="327">
        <f t="shared" si="12"/>
        <v>217836395.30646574</v>
      </c>
      <c r="J41" s="327">
        <f t="shared" si="12"/>
        <v>82900051224.659988</v>
      </c>
      <c r="K41" s="7">
        <f t="shared" si="6"/>
        <v>2.6276991640949276E-3</v>
      </c>
      <c r="L41" s="73"/>
      <c r="M41" s="10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11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P41" s="364" t="s">
        <v>44</v>
      </c>
      <c r="AQ41" s="364"/>
      <c r="AR41" s="364"/>
      <c r="AS41" s="364"/>
      <c r="AT41" s="364"/>
      <c r="AU41" s="364"/>
      <c r="AV41" s="364"/>
      <c r="AW41" s="364"/>
      <c r="AX41" s="364"/>
      <c r="AY41" s="364"/>
      <c r="AZ41" s="364"/>
      <c r="BA41" s="364"/>
      <c r="BB41" s="364"/>
      <c r="BD41" s="364" t="s">
        <v>45</v>
      </c>
      <c r="BE41" s="364"/>
      <c r="BF41" s="364"/>
      <c r="BG41" s="364"/>
      <c r="BH41" s="364"/>
      <c r="BI41" s="364"/>
      <c r="BJ41" s="364"/>
      <c r="BK41" s="364"/>
      <c r="BL41" s="364"/>
      <c r="BM41" s="364"/>
      <c r="BN41" s="364"/>
      <c r="BO41" s="364"/>
      <c r="BP41" s="364"/>
      <c r="BR41" s="364" t="s">
        <v>46</v>
      </c>
      <c r="BS41" s="364"/>
      <c r="BT41" s="364"/>
      <c r="BU41" s="364"/>
      <c r="BV41" s="364"/>
      <c r="BW41" s="364"/>
      <c r="BX41" s="364"/>
      <c r="BY41" s="364"/>
      <c r="BZ41" s="364"/>
      <c r="CA41" s="364"/>
      <c r="CB41" s="364"/>
      <c r="CC41" s="364"/>
      <c r="CD41" s="364"/>
    </row>
    <row r="42" spans="1:8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11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P42" s="366" t="s">
        <v>47</v>
      </c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8"/>
      <c r="BD42" s="366" t="s">
        <v>47</v>
      </c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8"/>
      <c r="BR42" s="366" t="s">
        <v>48</v>
      </c>
      <c r="BS42" s="367"/>
      <c r="BT42" s="367"/>
      <c r="BU42" s="367"/>
      <c r="BV42" s="367"/>
      <c r="BW42" s="367"/>
      <c r="BX42" s="367"/>
      <c r="BY42" s="367"/>
      <c r="BZ42" s="367"/>
      <c r="CA42" s="367"/>
      <c r="CB42" s="367"/>
      <c r="CC42" s="367"/>
      <c r="CD42" s="368"/>
    </row>
    <row r="43" spans="1:82">
      <c r="A43" s="99" t="str">
        <f>CONCATENATE(A4," Costs - Tier 1")</f>
        <v>PGE Costs - Tier 1</v>
      </c>
      <c r="B43" s="100"/>
      <c r="C43" s="100"/>
      <c r="D43" s="100"/>
      <c r="E43" s="100"/>
      <c r="F43" s="100"/>
      <c r="G43" s="5"/>
      <c r="H43" s="5"/>
      <c r="I43" s="5"/>
      <c r="J43" s="5"/>
      <c r="K43" s="5"/>
      <c r="L43" s="71"/>
      <c r="N43" s="372" t="s">
        <v>49</v>
      </c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11"/>
      <c r="AB43" s="373" t="s">
        <v>50</v>
      </c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5"/>
      <c r="AP43" s="369" t="s">
        <v>51</v>
      </c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1"/>
      <c r="BD43" s="369" t="s">
        <v>52</v>
      </c>
      <c r="BE43" s="370"/>
      <c r="BF43" s="370"/>
      <c r="BG43" s="370"/>
      <c r="BH43" s="370"/>
      <c r="BI43" s="370"/>
      <c r="BJ43" s="370"/>
      <c r="BK43" s="370"/>
      <c r="BL43" s="370"/>
      <c r="BM43" s="370"/>
      <c r="BN43" s="370"/>
      <c r="BO43" s="370"/>
      <c r="BP43" s="371"/>
      <c r="BR43" s="369" t="s">
        <v>51</v>
      </c>
      <c r="BS43" s="370"/>
      <c r="BT43" s="370"/>
      <c r="BU43" s="370"/>
      <c r="BV43" s="370"/>
      <c r="BW43" s="370"/>
      <c r="BX43" s="370"/>
      <c r="BY43" s="370"/>
      <c r="BZ43" s="370"/>
      <c r="CA43" s="370"/>
      <c r="CB43" s="370"/>
      <c r="CC43" s="370"/>
      <c r="CD43" s="371"/>
    </row>
    <row r="44" spans="1:82" ht="45">
      <c r="A44" s="48"/>
      <c r="B44" s="1" t="s">
        <v>18</v>
      </c>
      <c r="C44" s="1" t="s">
        <v>19</v>
      </c>
      <c r="D44" s="1" t="s">
        <v>20</v>
      </c>
      <c r="E44" s="1" t="s">
        <v>53</v>
      </c>
      <c r="F44" s="1" t="s">
        <v>54</v>
      </c>
      <c r="G44" s="72"/>
      <c r="H44" s="1" t="s">
        <v>5</v>
      </c>
      <c r="I44" s="329">
        <f>H78+H115</f>
        <v>199515533.53999999</v>
      </c>
      <c r="J44" s="103"/>
      <c r="K44" s="133"/>
      <c r="L44" s="72"/>
      <c r="N44" s="26" t="s">
        <v>55</v>
      </c>
      <c r="O44" s="26" t="s">
        <v>56</v>
      </c>
      <c r="P44" s="27" t="s">
        <v>57</v>
      </c>
      <c r="Q44" s="27" t="s">
        <v>58</v>
      </c>
      <c r="R44" s="27" t="s">
        <v>59</v>
      </c>
      <c r="S44" s="27" t="s">
        <v>60</v>
      </c>
      <c r="T44" s="27" t="s">
        <v>61</v>
      </c>
      <c r="U44" s="27" t="s">
        <v>62</v>
      </c>
      <c r="V44" s="27" t="s">
        <v>63</v>
      </c>
      <c r="W44" s="26" t="s">
        <v>64</v>
      </c>
      <c r="X44" s="26" t="s">
        <v>65</v>
      </c>
      <c r="Y44" s="27" t="s">
        <v>66</v>
      </c>
      <c r="Z44" s="26" t="s">
        <v>67</v>
      </c>
      <c r="AA44" s="11"/>
      <c r="AB44" s="24" t="s">
        <v>55</v>
      </c>
      <c r="AC44" s="24" t="s">
        <v>56</v>
      </c>
      <c r="AD44" s="25" t="s">
        <v>57</v>
      </c>
      <c r="AE44" s="25" t="s">
        <v>58</v>
      </c>
      <c r="AF44" s="25" t="s">
        <v>59</v>
      </c>
      <c r="AG44" s="25" t="s">
        <v>60</v>
      </c>
      <c r="AH44" s="25" t="s">
        <v>61</v>
      </c>
      <c r="AI44" s="25" t="s">
        <v>62</v>
      </c>
      <c r="AJ44" s="25" t="s">
        <v>63</v>
      </c>
      <c r="AK44" s="24" t="s">
        <v>64</v>
      </c>
      <c r="AL44" s="24" t="s">
        <v>65</v>
      </c>
      <c r="AM44" s="25" t="s">
        <v>66</v>
      </c>
      <c r="AN44" s="24" t="s">
        <v>67</v>
      </c>
      <c r="AP44" s="49" t="s">
        <v>55</v>
      </c>
      <c r="AQ44" s="50" t="s">
        <v>56</v>
      </c>
      <c r="AR44" s="50" t="s">
        <v>57</v>
      </c>
      <c r="AS44" s="50" t="s">
        <v>58</v>
      </c>
      <c r="AT44" s="50" t="s">
        <v>59</v>
      </c>
      <c r="AU44" s="50" t="s">
        <v>60</v>
      </c>
      <c r="AV44" s="50" t="s">
        <v>61</v>
      </c>
      <c r="AW44" s="49" t="s">
        <v>62</v>
      </c>
      <c r="AX44" s="49" t="s">
        <v>63</v>
      </c>
      <c r="AY44" s="50" t="s">
        <v>64</v>
      </c>
      <c r="AZ44" s="50" t="s">
        <v>65</v>
      </c>
      <c r="BA44" s="50" t="s">
        <v>66</v>
      </c>
      <c r="BB44" s="50" t="s">
        <v>67</v>
      </c>
      <c r="BD44" s="49" t="s">
        <v>55</v>
      </c>
      <c r="BE44" s="50" t="s">
        <v>56</v>
      </c>
      <c r="BF44" s="50" t="s">
        <v>57</v>
      </c>
      <c r="BG44" s="50" t="s">
        <v>58</v>
      </c>
      <c r="BH44" s="50" t="s">
        <v>59</v>
      </c>
      <c r="BI44" s="50" t="s">
        <v>60</v>
      </c>
      <c r="BJ44" s="50" t="s">
        <v>61</v>
      </c>
      <c r="BK44" s="49" t="s">
        <v>62</v>
      </c>
      <c r="BL44" s="49" t="s">
        <v>63</v>
      </c>
      <c r="BM44" s="50" t="s">
        <v>64</v>
      </c>
      <c r="BN44" s="50" t="s">
        <v>65</v>
      </c>
      <c r="BO44" s="50" t="s">
        <v>66</v>
      </c>
      <c r="BP44" s="50" t="s">
        <v>67</v>
      </c>
      <c r="BR44" s="49" t="s">
        <v>55</v>
      </c>
      <c r="BS44" s="50" t="s">
        <v>56</v>
      </c>
      <c r="BT44" s="50" t="s">
        <v>57</v>
      </c>
      <c r="BU44" s="50" t="s">
        <v>58</v>
      </c>
      <c r="BV44" s="50" t="s">
        <v>59</v>
      </c>
      <c r="BW44" s="50" t="s">
        <v>60</v>
      </c>
      <c r="BX44" s="50" t="s">
        <v>61</v>
      </c>
      <c r="BY44" s="49" t="s">
        <v>62</v>
      </c>
      <c r="BZ44" s="49" t="s">
        <v>63</v>
      </c>
      <c r="CA44" s="50" t="s">
        <v>64</v>
      </c>
      <c r="CB44" s="50" t="s">
        <v>65</v>
      </c>
      <c r="CC44" s="50" t="s">
        <v>66</v>
      </c>
      <c r="CD44" s="50" t="s">
        <v>67</v>
      </c>
    </row>
    <row r="45" spans="1:82">
      <c r="A45" s="48">
        <v>2018</v>
      </c>
      <c r="B45" s="31" cm="1">
        <f t="array" ref="B45">IF(A45&lt;2021,0,SUMPRODUCT(('Project Operational Timelines'!$AO$20:$AO$49=$A45)*('Project Operational Timelines'!$AP$18:$AY$18=$A$4)*('Project Operational Timelines'!$AP$17:$AY$17=$G45)*'Project Operational Timelines'!$AP17:$AY17))</f>
        <v>0</v>
      </c>
      <c r="C45" s="84">
        <f t="shared" ref="C45:C77" si="13">INDEX($K$3:$K$4,MATCH(G45,$J$3:$J$4,0))/12*B45</f>
        <v>0</v>
      </c>
      <c r="D45" s="89">
        <f>ROUND(C45*SUM(O45:Z45),2)</f>
        <v>0</v>
      </c>
      <c r="E45" s="89"/>
      <c r="F45" s="89" cm="1">
        <f t="array" ref="F45">IF(A45&lt;2021,0,(-(SUMPRODUCT(('Project Operational Timelines'!$AO$20:$AO$49=$A45)*('Project Operational Timelines'!$AP$18:$AY$18=$A$4)*('Project Operational Timelines'!$AP$19:$AY$19="Non-Carve Out")*('Project Operational Timelines'!$AP$17:$AY$17=$G45)*'Project Operational Timelines'!$AP17:$AY17))*1000*('Program Inputs'!$D$14-'Program Inputs'!$D$6)*$F$4*12)+(-(SUMPRODUCT(('Project Operational Timelines'!$AO$20:$AO$49=$A45)*('Project Operational Timelines'!$AP$18:$AY$18=$A$4)*('Project Operational Timelines'!$AP$19:$AY$19="Carve Out")*('Project Operational Timelines'!$AP$17:$AY$17=$G45)*'Project Operational Timelines'!$AP17:$AY17))*1000*('Program Inputs'!$D$14-'Program Inputs'!$D$7)*$F$4*12))</f>
        <v>0</v>
      </c>
      <c r="G45" s="79">
        <v>1</v>
      </c>
      <c r="H45" s="328">
        <f>ROUND(SUM(D45)*(1-$C$4)^(A45-$A$51),2)</f>
        <v>0</v>
      </c>
      <c r="I45" s="69"/>
      <c r="J45" s="69"/>
      <c r="K45" s="309"/>
      <c r="L45" s="75"/>
      <c r="M45">
        <v>0</v>
      </c>
      <c r="N45" s="51">
        <v>2018</v>
      </c>
      <c r="O45" s="18">
        <f t="shared" ref="O45:O66" si="14">(AC45-BS45)</f>
        <v>75.368714285714276</v>
      </c>
      <c r="P45" s="18">
        <f t="shared" ref="P45:P66" si="15">(AD45-BT45)</f>
        <v>77.918714285714273</v>
      </c>
      <c r="Q45" s="18">
        <f t="shared" ref="Q45:Q66" si="16">(AE45-BU45)</f>
        <v>81.997285714285695</v>
      </c>
      <c r="R45" s="18">
        <f t="shared" ref="R45:R66" si="17">(AF45-BV45)</f>
        <v>86.434428571428555</v>
      </c>
      <c r="S45" s="18">
        <f t="shared" ref="S45:S66" si="18">(AG45-BW45)</f>
        <v>87.317285714285703</v>
      </c>
      <c r="T45" s="18">
        <f t="shared" ref="T45:T66" si="19">(AH45-BX45)</f>
        <v>87.048714285714269</v>
      </c>
      <c r="U45" s="18">
        <f t="shared" ref="U45:U66" si="20">(AI45-BY45)</f>
        <v>78.202999999999989</v>
      </c>
      <c r="V45" s="18">
        <f t="shared" ref="V45:V66" si="21">(AJ45-BZ45)</f>
        <v>74.614428571428562</v>
      </c>
      <c r="W45" s="18">
        <f t="shared" ref="W45:W66" si="22">(AK45-CA45)</f>
        <v>76.572999999999993</v>
      </c>
      <c r="X45" s="18">
        <f t="shared" ref="X45:X66" si="23">(AL45-CB45)</f>
        <v>81.538714285714263</v>
      </c>
      <c r="Y45" s="18">
        <f t="shared" ref="Y45:Y66" si="24">(AM45-CC45)</f>
        <v>79.621571428571414</v>
      </c>
      <c r="Z45" s="18">
        <f t="shared" ref="Z45:Z66" si="25">(AN45-CD45)</f>
        <v>75.147285714285701</v>
      </c>
      <c r="AA45" s="13"/>
      <c r="AB45" s="52">
        <v>2018</v>
      </c>
      <c r="AC45" s="14">
        <f>SUMIFS('Bill Credit Rates'!$K:$K,'Bill Credit Rates'!$A:$A,$A$4,'Bill Credit Rates'!$B:$B,$G45,'Bill Credit Rates'!$C:$C,$M45)</f>
        <v>106.72299999999998</v>
      </c>
      <c r="AD45" s="14">
        <f>SUMIFS('Bill Credit Rates'!$K:$K,'Bill Credit Rates'!$A:$A,$A$4,'Bill Credit Rates'!$B:$B,$G45,'Bill Credit Rates'!$C:$C,$M45)</f>
        <v>106.72299999999998</v>
      </c>
      <c r="AE45" s="14">
        <f>SUMIFS('Bill Credit Rates'!$K:$K,'Bill Credit Rates'!$A:$A,$A$4,'Bill Credit Rates'!$B:$B,$G45,'Bill Credit Rates'!$C:$C,$M45)</f>
        <v>106.72299999999998</v>
      </c>
      <c r="AF45" s="14">
        <f>SUMIFS('Bill Credit Rates'!$K:$K,'Bill Credit Rates'!$A:$A,$A$4,'Bill Credit Rates'!$B:$B,$G45,'Bill Credit Rates'!$C:$C,$M45)</f>
        <v>106.72299999999998</v>
      </c>
      <c r="AG45" s="14">
        <f>SUMIFS('Bill Credit Rates'!$K:$K,'Bill Credit Rates'!$A:$A,$A$4,'Bill Credit Rates'!$B:$B,$G45,'Bill Credit Rates'!$C:$C,$M45)</f>
        <v>106.72299999999998</v>
      </c>
      <c r="AH45" s="14">
        <f>SUMIFS('Bill Credit Rates'!$K:$K,'Bill Credit Rates'!$A:$A,$A$4,'Bill Credit Rates'!$B:$B,$G45,'Bill Credit Rates'!$C:$C,$M45)</f>
        <v>106.72299999999998</v>
      </c>
      <c r="AI45" s="14">
        <f>SUMIFS('Bill Credit Rates'!$K:$K,'Bill Credit Rates'!$A:$A,$A$4,'Bill Credit Rates'!$B:$B,$G45,'Bill Credit Rates'!$C:$C,$M45)</f>
        <v>106.72299999999998</v>
      </c>
      <c r="AJ45" s="14">
        <f>SUMIFS('Bill Credit Rates'!$K:$K,'Bill Credit Rates'!$A:$A,$A$4,'Bill Credit Rates'!$B:$B,$G45,'Bill Credit Rates'!$C:$C,$M45)</f>
        <v>106.72299999999998</v>
      </c>
      <c r="AK45" s="14">
        <f>SUMIFS('Bill Credit Rates'!$K:$K,'Bill Credit Rates'!$A:$A,$A$4,'Bill Credit Rates'!$B:$B,$G45,'Bill Credit Rates'!$C:$C,$M45)</f>
        <v>106.72299999999998</v>
      </c>
      <c r="AL45" s="14">
        <f>SUMIFS('Bill Credit Rates'!$K:$K,'Bill Credit Rates'!$A:$A,$A$4,'Bill Credit Rates'!$B:$B,$G45,'Bill Credit Rates'!$C:$C,$M45)</f>
        <v>106.72299999999998</v>
      </c>
      <c r="AM45" s="14">
        <f>SUMIFS('Bill Credit Rates'!$K:$K,'Bill Credit Rates'!$A:$A,$A$4,'Bill Credit Rates'!$B:$B,$G45,'Bill Credit Rates'!$C:$C,$M45)</f>
        <v>106.72299999999998</v>
      </c>
      <c r="AN45" s="14">
        <f>SUMIFS('Bill Credit Rates'!$K:$K,'Bill Credit Rates'!$A:$A,$A$4,'Bill Credit Rates'!$B:$B,$G45,'Bill Credit Rates'!$C:$C,$M45)</f>
        <v>106.72299999999998</v>
      </c>
      <c r="AP45" s="52">
        <v>2018</v>
      </c>
      <c r="AQ45" s="281">
        <v>32.01</v>
      </c>
      <c r="AR45" s="281">
        <v>29.46</v>
      </c>
      <c r="AS45" s="281">
        <v>25.38</v>
      </c>
      <c r="AT45" s="281">
        <v>21.14</v>
      </c>
      <c r="AU45" s="281">
        <v>20.62</v>
      </c>
      <c r="AV45" s="281">
        <v>21.14</v>
      </c>
      <c r="AW45" s="281">
        <v>30.01</v>
      </c>
      <c r="AX45" s="281">
        <v>33.42</v>
      </c>
      <c r="AY45" s="281">
        <v>31.06</v>
      </c>
      <c r="AZ45" s="281">
        <v>25.63</v>
      </c>
      <c r="BA45" s="281">
        <v>27.67</v>
      </c>
      <c r="BB45" s="283">
        <v>32.270000000000003</v>
      </c>
      <c r="BD45" s="52">
        <v>2018</v>
      </c>
      <c r="BE45" s="281">
        <v>27.42</v>
      </c>
      <c r="BF45" s="281">
        <v>24.87</v>
      </c>
      <c r="BG45" s="281">
        <v>20.8</v>
      </c>
      <c r="BH45" s="281">
        <v>15.18</v>
      </c>
      <c r="BI45" s="281">
        <v>12.12</v>
      </c>
      <c r="BJ45" s="281">
        <v>10.88</v>
      </c>
      <c r="BK45" s="281">
        <v>19.579999999999998</v>
      </c>
      <c r="BL45" s="281">
        <v>24.24</v>
      </c>
      <c r="BM45" s="281">
        <v>24.69</v>
      </c>
      <c r="BN45" s="281">
        <v>22.51</v>
      </c>
      <c r="BO45" s="281">
        <v>23.69</v>
      </c>
      <c r="BP45" s="281">
        <v>27.41</v>
      </c>
      <c r="BR45" s="52">
        <v>2018</v>
      </c>
      <c r="BS45" s="280">
        <f>(AQ45*6/7)+(BE45*(1/7))</f>
        <v>31.354285714285712</v>
      </c>
      <c r="BT45" s="280">
        <f t="shared" ref="BT45:CD45" si="26">(AR45*6/7)+(BF45*(1/7))</f>
        <v>28.804285714285712</v>
      </c>
      <c r="BU45" s="280">
        <f t="shared" si="26"/>
        <v>24.725714285714286</v>
      </c>
      <c r="BV45" s="280">
        <f t="shared" si="26"/>
        <v>20.28857142857143</v>
      </c>
      <c r="BW45" s="280">
        <f t="shared" si="26"/>
        <v>19.405714285714282</v>
      </c>
      <c r="BX45" s="280">
        <f t="shared" si="26"/>
        <v>19.674285714285716</v>
      </c>
      <c r="BY45" s="280">
        <f t="shared" si="26"/>
        <v>28.52</v>
      </c>
      <c r="BZ45" s="280">
        <f t="shared" si="26"/>
        <v>32.10857142857143</v>
      </c>
      <c r="CA45" s="280">
        <f t="shared" si="26"/>
        <v>30.149999999999995</v>
      </c>
      <c r="CB45" s="280">
        <f t="shared" si="26"/>
        <v>25.184285714285714</v>
      </c>
      <c r="CC45" s="280">
        <f t="shared" si="26"/>
        <v>27.101428571428571</v>
      </c>
      <c r="CD45" s="280">
        <f t="shared" si="26"/>
        <v>31.575714285714284</v>
      </c>
    </row>
    <row r="46" spans="1:82">
      <c r="A46" s="48">
        <v>2019</v>
      </c>
      <c r="B46" s="31" cm="1">
        <f t="array" ref="B46">IF(A46&lt;2021,0,SUMPRODUCT(('Project Operational Timelines'!$AO$20:$AO$49=$A46)*('Project Operational Timelines'!$AP$18:$AY$18=$A$4)*('Project Operational Timelines'!$AP$17:$AY$17=$G46)*'Project Operational Timelines'!$AP18:$AY18))</f>
        <v>0</v>
      </c>
      <c r="C46" s="84">
        <f t="shared" si="13"/>
        <v>0</v>
      </c>
      <c r="D46" s="89">
        <f>ROUND(C46*SUM(O46:Z46),2)</f>
        <v>0</v>
      </c>
      <c r="E46" s="89"/>
      <c r="F46" s="89" cm="1">
        <f t="array" ref="F46">IF(A46&lt;2021,0,(-(SUMPRODUCT(('Project Operational Timelines'!$AO$20:$AO$49=$A46)*('Project Operational Timelines'!$AP$18:$AY$18=$A$4)*('Project Operational Timelines'!$AP$19:$AY$19="Non-Carve Out")*('Project Operational Timelines'!$AP$17:$AY$17=$G46)*'Project Operational Timelines'!$AP18:$AY18))*1000*('Program Inputs'!$D$14-'Program Inputs'!$D$6)*$F$4*12)+(-(SUMPRODUCT(('Project Operational Timelines'!$AO$20:$AO$49=$A46)*('Project Operational Timelines'!$AP$18:$AY$18=$A$4)*('Project Operational Timelines'!$AP$19:$AY$19="Carve Out")*('Project Operational Timelines'!$AP$17:$AY$17=$G46)*'Project Operational Timelines'!$AP18:$AY18))*1000*('Program Inputs'!$D$14-'Program Inputs'!$D$7)*$F$4*12))</f>
        <v>0</v>
      </c>
      <c r="G46" s="79">
        <v>1</v>
      </c>
      <c r="H46" s="328">
        <f t="shared" ref="H46:H77" si="27">ROUND(SUM(D46)*(1-$C$4)^(A46-$A$51),2)</f>
        <v>0</v>
      </c>
      <c r="I46" s="69"/>
      <c r="J46" s="69"/>
      <c r="K46" s="309"/>
      <c r="L46" s="75"/>
      <c r="M46">
        <v>1</v>
      </c>
      <c r="N46" s="51">
        <v>2019</v>
      </c>
      <c r="O46" s="18">
        <f t="shared" si="14"/>
        <v>76.508714285714277</v>
      </c>
      <c r="P46" s="18">
        <f t="shared" si="15"/>
        <v>77.93014285714284</v>
      </c>
      <c r="Q46" s="18">
        <f t="shared" si="16"/>
        <v>83.490142857142843</v>
      </c>
      <c r="R46" s="18">
        <f t="shared" si="17"/>
        <v>88.300142857142845</v>
      </c>
      <c r="S46" s="18">
        <f t="shared" si="18"/>
        <v>89.274428571428558</v>
      </c>
      <c r="T46" s="18">
        <f t="shared" si="19"/>
        <v>88.544428571428554</v>
      </c>
      <c r="U46" s="18">
        <f t="shared" si="20"/>
        <v>78.152999999999992</v>
      </c>
      <c r="V46" s="18">
        <f t="shared" si="21"/>
        <v>73.597285714285704</v>
      </c>
      <c r="W46" s="18">
        <f t="shared" si="22"/>
        <v>76.135857142857134</v>
      </c>
      <c r="X46" s="18">
        <f t="shared" si="23"/>
        <v>80.324428571428555</v>
      </c>
      <c r="Y46" s="18">
        <f t="shared" si="24"/>
        <v>78.37299999999999</v>
      </c>
      <c r="Z46" s="18">
        <f t="shared" si="25"/>
        <v>73.091571428571413</v>
      </c>
      <c r="AA46" s="13"/>
      <c r="AB46" s="52">
        <v>2019</v>
      </c>
      <c r="AC46" s="14">
        <f>SUMIFS('Bill Credit Rates'!$K:$K,'Bill Credit Rates'!$A:$A,$A$4,'Bill Credit Rates'!$B:$B,$G46,'Bill Credit Rates'!$C:$C,$M46)</f>
        <v>106.72299999999998</v>
      </c>
      <c r="AD46" s="14">
        <f>SUMIFS('Bill Credit Rates'!$K:$K,'Bill Credit Rates'!$A:$A,$A$4,'Bill Credit Rates'!$B:$B,$G46,'Bill Credit Rates'!$C:$C,$M46)</f>
        <v>106.72299999999998</v>
      </c>
      <c r="AE46" s="14">
        <f>SUMIFS('Bill Credit Rates'!$K:$K,'Bill Credit Rates'!$A:$A,$A$4,'Bill Credit Rates'!$B:$B,$G46,'Bill Credit Rates'!$C:$C,$M46)</f>
        <v>106.72299999999998</v>
      </c>
      <c r="AF46" s="14">
        <f>SUMIFS('Bill Credit Rates'!$K:$K,'Bill Credit Rates'!$A:$A,$A$4,'Bill Credit Rates'!$B:$B,$G46,'Bill Credit Rates'!$C:$C,$M46)</f>
        <v>106.72299999999998</v>
      </c>
      <c r="AG46" s="14">
        <f>SUMIFS('Bill Credit Rates'!$K:$K,'Bill Credit Rates'!$A:$A,$A$4,'Bill Credit Rates'!$B:$B,$G46,'Bill Credit Rates'!$C:$C,$M46)</f>
        <v>106.72299999999998</v>
      </c>
      <c r="AH46" s="14">
        <f>SUMIFS('Bill Credit Rates'!$K:$K,'Bill Credit Rates'!$A:$A,$A$4,'Bill Credit Rates'!$B:$B,$G46,'Bill Credit Rates'!$C:$C,$M46)</f>
        <v>106.72299999999998</v>
      </c>
      <c r="AI46" s="14">
        <f>SUMIFS('Bill Credit Rates'!$K:$K,'Bill Credit Rates'!$A:$A,$A$4,'Bill Credit Rates'!$B:$B,$G46,'Bill Credit Rates'!$C:$C,$M46)</f>
        <v>106.72299999999998</v>
      </c>
      <c r="AJ46" s="14">
        <f>SUMIFS('Bill Credit Rates'!$K:$K,'Bill Credit Rates'!$A:$A,$A$4,'Bill Credit Rates'!$B:$B,$G46,'Bill Credit Rates'!$C:$C,$M46)</f>
        <v>106.72299999999998</v>
      </c>
      <c r="AK46" s="14">
        <f>SUMIFS('Bill Credit Rates'!$K:$K,'Bill Credit Rates'!$A:$A,$A$4,'Bill Credit Rates'!$B:$B,$G46,'Bill Credit Rates'!$C:$C,$M46)</f>
        <v>106.72299999999998</v>
      </c>
      <c r="AL46" s="14">
        <f>SUMIFS('Bill Credit Rates'!$K:$K,'Bill Credit Rates'!$A:$A,$A$4,'Bill Credit Rates'!$B:$B,$G46,'Bill Credit Rates'!$C:$C,$M46)</f>
        <v>106.72299999999998</v>
      </c>
      <c r="AM46" s="14">
        <f>SUMIFS('Bill Credit Rates'!$K:$K,'Bill Credit Rates'!$A:$A,$A$4,'Bill Credit Rates'!$B:$B,$G46,'Bill Credit Rates'!$C:$C,$M46)</f>
        <v>106.72299999999998</v>
      </c>
      <c r="AN46" s="14">
        <f>SUMIFS('Bill Credit Rates'!$K:$K,'Bill Credit Rates'!$A:$A,$A$4,'Bill Credit Rates'!$B:$B,$G46,'Bill Credit Rates'!$C:$C,$M46)</f>
        <v>106.72299999999998</v>
      </c>
      <c r="AP46" s="52">
        <v>2019</v>
      </c>
      <c r="AQ46" s="281">
        <v>31.18</v>
      </c>
      <c r="AR46" s="281">
        <v>29.49</v>
      </c>
      <c r="AS46" s="281">
        <v>23.89</v>
      </c>
      <c r="AT46" s="281">
        <v>19.25</v>
      </c>
      <c r="AU46" s="281">
        <v>18.62</v>
      </c>
      <c r="AV46" s="281">
        <v>19.53</v>
      </c>
      <c r="AW46" s="281">
        <v>30.14</v>
      </c>
      <c r="AX46" s="281">
        <v>34.47</v>
      </c>
      <c r="AY46" s="281">
        <v>31.43</v>
      </c>
      <c r="AZ46" s="281">
        <v>26.91</v>
      </c>
      <c r="BA46" s="281">
        <v>28.93</v>
      </c>
      <c r="BB46" s="283">
        <v>34.340000000000003</v>
      </c>
      <c r="BD46" s="52">
        <v>2019</v>
      </c>
      <c r="BE46" s="281">
        <v>24.42</v>
      </c>
      <c r="BF46" s="281">
        <v>24.61</v>
      </c>
      <c r="BG46" s="281">
        <v>19.29</v>
      </c>
      <c r="BH46" s="281">
        <v>13.46</v>
      </c>
      <c r="BI46" s="281">
        <v>10.42</v>
      </c>
      <c r="BJ46" s="281">
        <v>10.07</v>
      </c>
      <c r="BK46" s="281">
        <v>19.149999999999999</v>
      </c>
      <c r="BL46" s="281">
        <v>25.06</v>
      </c>
      <c r="BM46" s="281">
        <v>25.53</v>
      </c>
      <c r="BN46" s="281">
        <v>23.33</v>
      </c>
      <c r="BO46" s="281">
        <v>24.87</v>
      </c>
      <c r="BP46" s="281">
        <v>29.38</v>
      </c>
      <c r="BR46" s="52">
        <v>2019</v>
      </c>
      <c r="BS46" s="280">
        <f t="shared" ref="BS46:BS77" si="28">(AQ46*6/7)+(BE46*(1/7))</f>
        <v>30.214285714285712</v>
      </c>
      <c r="BT46" s="280">
        <f t="shared" ref="BT46:BT77" si="29">(AR46*6/7)+(BF46*(1/7))</f>
        <v>28.792857142857141</v>
      </c>
      <c r="BU46" s="280">
        <f t="shared" ref="BU46:BU77" si="30">(AS46*6/7)+(BG46*(1/7))</f>
        <v>23.232857142857142</v>
      </c>
      <c r="BV46" s="280">
        <f t="shared" ref="BV46:BV77" si="31">(AT46*6/7)+(BH46*(1/7))</f>
        <v>18.422857142857143</v>
      </c>
      <c r="BW46" s="280">
        <f t="shared" ref="BW46:BW77" si="32">(AU46*6/7)+(BI46*(1/7))</f>
        <v>17.448571428571427</v>
      </c>
      <c r="BX46" s="280">
        <f t="shared" ref="BX46:BX77" si="33">(AV46*6/7)+(BJ46*(1/7))</f>
        <v>18.178571428571431</v>
      </c>
      <c r="BY46" s="280">
        <f t="shared" ref="BY46:BY77" si="34">(AW46*6/7)+(BK46*(1/7))</f>
        <v>28.57</v>
      </c>
      <c r="BZ46" s="280">
        <f t="shared" ref="BZ46:BZ77" si="35">(AX46*6/7)+(BL46*(1/7))</f>
        <v>33.125714285714288</v>
      </c>
      <c r="CA46" s="280">
        <f t="shared" ref="CA46:CA77" si="36">(AY46*6/7)+(BM46*(1/7))</f>
        <v>30.587142857142855</v>
      </c>
      <c r="CB46" s="280">
        <f t="shared" ref="CB46:CB77" si="37">(AZ46*6/7)+(BN46*(1/7))</f>
        <v>26.398571428571429</v>
      </c>
      <c r="CC46" s="280">
        <f t="shared" ref="CC46:CC77" si="38">(BA46*6/7)+(BO46*(1/7))</f>
        <v>28.349999999999998</v>
      </c>
      <c r="CD46" s="280">
        <f t="shared" ref="CD46:CD77" si="39">(BB46*6/7)+(BP46*(1/7))</f>
        <v>33.631428571428572</v>
      </c>
    </row>
    <row r="47" spans="1:82">
      <c r="A47" s="48">
        <v>2020</v>
      </c>
      <c r="B47" s="31" cm="1">
        <f t="array" ref="B47">IF(A47&lt;2021,0,SUMPRODUCT(('Project Operational Timelines'!$AO$20:$AO$49=$A47)*('Project Operational Timelines'!$AP$18:$AY$18=$A$4)*('Project Operational Timelines'!$AP$17:$AY$17=$G47)*'Project Operational Timelines'!$AP19:$AY19))</f>
        <v>0</v>
      </c>
      <c r="C47" s="84">
        <f t="shared" si="13"/>
        <v>0</v>
      </c>
      <c r="D47" s="89">
        <f t="shared" ref="D47:D77" si="40">ROUND(C47*SUM(O47:Z47),2)</f>
        <v>0</v>
      </c>
      <c r="E47" s="89"/>
      <c r="F47" s="89" cm="1">
        <f t="array" ref="F47">IF(A47&lt;2021,0,(-(SUMPRODUCT(('Project Operational Timelines'!$AO$20:$AO$49=$A47)*('Project Operational Timelines'!$AP$18:$AY$18=$A$4)*('Project Operational Timelines'!$AP$19:$AY$19="Non-Carve Out")*('Project Operational Timelines'!$AP$17:$AY$17=$G47)*'Project Operational Timelines'!$AP19:$AY19))*1000*('Program Inputs'!$D$14-'Program Inputs'!$D$6)*$F$4*12)+(-(SUMPRODUCT(('Project Operational Timelines'!$AO$20:$AO$49=$A47)*('Project Operational Timelines'!$AP$18:$AY$18=$A$4)*('Project Operational Timelines'!$AP$19:$AY$19="Carve Out")*('Project Operational Timelines'!$AP$17:$AY$17=$G47)*'Project Operational Timelines'!$AP19:$AY19))*1000*('Program Inputs'!$D$14-'Program Inputs'!$D$7)*$F$4*12))</f>
        <v>0</v>
      </c>
      <c r="G47" s="79">
        <v>1</v>
      </c>
      <c r="H47" s="328">
        <f t="shared" si="27"/>
        <v>0</v>
      </c>
      <c r="I47" s="69"/>
      <c r="J47" s="79"/>
      <c r="K47" s="309"/>
      <c r="L47" s="75"/>
      <c r="M47">
        <v>2</v>
      </c>
      <c r="N47" s="51">
        <v>2020</v>
      </c>
      <c r="O47" s="18">
        <f t="shared" si="14"/>
        <v>74.810142857142836</v>
      </c>
      <c r="P47" s="18">
        <f t="shared" si="15"/>
        <v>76.307285714285712</v>
      </c>
      <c r="Q47" s="18">
        <f t="shared" si="16"/>
        <v>82.19442857142856</v>
      </c>
      <c r="R47" s="18">
        <f t="shared" si="17"/>
        <v>87.288714285714263</v>
      </c>
      <c r="S47" s="18">
        <f t="shared" si="18"/>
        <v>88.332999999999984</v>
      </c>
      <c r="T47" s="18">
        <f t="shared" si="19"/>
        <v>87.557285714285698</v>
      </c>
      <c r="U47" s="18">
        <f t="shared" si="20"/>
        <v>76.568714285714265</v>
      </c>
      <c r="V47" s="18">
        <f t="shared" si="21"/>
        <v>71.747285714285709</v>
      </c>
      <c r="W47" s="18">
        <f t="shared" si="22"/>
        <v>74.425857142857126</v>
      </c>
      <c r="X47" s="18">
        <f t="shared" si="23"/>
        <v>78.844428571428551</v>
      </c>
      <c r="Y47" s="18">
        <f t="shared" si="24"/>
        <v>76.780142857142849</v>
      </c>
      <c r="Z47" s="18">
        <f t="shared" si="25"/>
        <v>71.197285714285698</v>
      </c>
      <c r="AA47" s="13"/>
      <c r="AB47" s="52">
        <v>2020</v>
      </c>
      <c r="AC47" s="14">
        <f>SUMIFS('Bill Credit Rates'!$K:$K,'Bill Credit Rates'!$A:$A,$A$4,'Bill Credit Rates'!$B:$B,$G47,'Bill Credit Rates'!$C:$C,$M47)</f>
        <v>106.72299999999998</v>
      </c>
      <c r="AD47" s="14">
        <f>SUMIFS('Bill Credit Rates'!$K:$K,'Bill Credit Rates'!$A:$A,$A$4,'Bill Credit Rates'!$B:$B,$G47,'Bill Credit Rates'!$C:$C,$M47)</f>
        <v>106.72299999999998</v>
      </c>
      <c r="AE47" s="14">
        <f>SUMIFS('Bill Credit Rates'!$K:$K,'Bill Credit Rates'!$A:$A,$A$4,'Bill Credit Rates'!$B:$B,$G47,'Bill Credit Rates'!$C:$C,$M47)</f>
        <v>106.72299999999998</v>
      </c>
      <c r="AF47" s="14">
        <f>SUMIFS('Bill Credit Rates'!$K:$K,'Bill Credit Rates'!$A:$A,$A$4,'Bill Credit Rates'!$B:$B,$G47,'Bill Credit Rates'!$C:$C,$M47)</f>
        <v>106.72299999999998</v>
      </c>
      <c r="AG47" s="14">
        <f>SUMIFS('Bill Credit Rates'!$K:$K,'Bill Credit Rates'!$A:$A,$A$4,'Bill Credit Rates'!$B:$B,$G47,'Bill Credit Rates'!$C:$C,$M47)</f>
        <v>106.72299999999998</v>
      </c>
      <c r="AH47" s="14">
        <f>SUMIFS('Bill Credit Rates'!$K:$K,'Bill Credit Rates'!$A:$A,$A$4,'Bill Credit Rates'!$B:$B,$G47,'Bill Credit Rates'!$C:$C,$M47)</f>
        <v>106.72299999999998</v>
      </c>
      <c r="AI47" s="14">
        <f>SUMIFS('Bill Credit Rates'!$K:$K,'Bill Credit Rates'!$A:$A,$A$4,'Bill Credit Rates'!$B:$B,$G47,'Bill Credit Rates'!$C:$C,$M47)</f>
        <v>106.72299999999998</v>
      </c>
      <c r="AJ47" s="14">
        <f>SUMIFS('Bill Credit Rates'!$K:$K,'Bill Credit Rates'!$A:$A,$A$4,'Bill Credit Rates'!$B:$B,$G47,'Bill Credit Rates'!$C:$C,$M47)</f>
        <v>106.72299999999998</v>
      </c>
      <c r="AK47" s="14">
        <f>SUMIFS('Bill Credit Rates'!$K:$K,'Bill Credit Rates'!$A:$A,$A$4,'Bill Credit Rates'!$B:$B,$G47,'Bill Credit Rates'!$C:$C,$M47)</f>
        <v>106.72299999999998</v>
      </c>
      <c r="AL47" s="14">
        <f>SUMIFS('Bill Credit Rates'!$K:$K,'Bill Credit Rates'!$A:$A,$A$4,'Bill Credit Rates'!$B:$B,$G47,'Bill Credit Rates'!$C:$C,$M47)</f>
        <v>106.72299999999998</v>
      </c>
      <c r="AM47" s="14">
        <f>SUMIFS('Bill Credit Rates'!$K:$K,'Bill Credit Rates'!$A:$A,$A$4,'Bill Credit Rates'!$B:$B,$G47,'Bill Credit Rates'!$C:$C,$M47)</f>
        <v>106.72299999999998</v>
      </c>
      <c r="AN47" s="14">
        <f>SUMIFS('Bill Credit Rates'!$K:$K,'Bill Credit Rates'!$A:$A,$A$4,'Bill Credit Rates'!$B:$B,$G47,'Bill Credit Rates'!$C:$C,$M47)</f>
        <v>106.72299999999998</v>
      </c>
      <c r="AP47" s="52">
        <v>2020</v>
      </c>
      <c r="AQ47" s="281">
        <v>32.840000000000003</v>
      </c>
      <c r="AR47" s="281">
        <v>31.06</v>
      </c>
      <c r="AS47" s="281">
        <v>25.15</v>
      </c>
      <c r="AT47" s="281">
        <v>20.260000000000002</v>
      </c>
      <c r="AU47" s="281">
        <v>19.59</v>
      </c>
      <c r="AV47" s="281">
        <v>20.56</v>
      </c>
      <c r="AW47" s="281">
        <v>31.74</v>
      </c>
      <c r="AX47" s="281">
        <v>36.299999999999997</v>
      </c>
      <c r="AY47" s="281">
        <v>33.090000000000003</v>
      </c>
      <c r="AZ47" s="281">
        <v>28.33</v>
      </c>
      <c r="BA47" s="281">
        <v>30.46</v>
      </c>
      <c r="BB47" s="283">
        <v>36.159999999999997</v>
      </c>
      <c r="BD47" s="52">
        <v>2020</v>
      </c>
      <c r="BE47" s="281">
        <v>26.35</v>
      </c>
      <c r="BF47" s="281">
        <v>26.55</v>
      </c>
      <c r="BG47" s="281">
        <v>20.8</v>
      </c>
      <c r="BH47" s="281">
        <v>14.48</v>
      </c>
      <c r="BI47" s="281">
        <v>11.19</v>
      </c>
      <c r="BJ47" s="281">
        <v>10.8</v>
      </c>
      <c r="BK47" s="281">
        <v>20.64</v>
      </c>
      <c r="BL47" s="281">
        <v>27.03</v>
      </c>
      <c r="BM47" s="281">
        <v>27.54</v>
      </c>
      <c r="BN47" s="281">
        <v>25.17</v>
      </c>
      <c r="BO47" s="281">
        <v>26.84</v>
      </c>
      <c r="BP47" s="281">
        <v>31.72</v>
      </c>
      <c r="BR47" s="52">
        <v>2020</v>
      </c>
      <c r="BS47" s="280">
        <f t="shared" si="28"/>
        <v>31.912857142857149</v>
      </c>
      <c r="BT47" s="280">
        <f t="shared" si="29"/>
        <v>30.41571428571428</v>
      </c>
      <c r="BU47" s="280">
        <f t="shared" si="30"/>
        <v>24.528571428571425</v>
      </c>
      <c r="BV47" s="280">
        <f t="shared" si="31"/>
        <v>19.434285714285714</v>
      </c>
      <c r="BW47" s="280">
        <f t="shared" si="32"/>
        <v>18.39</v>
      </c>
      <c r="BX47" s="280">
        <f t="shared" si="33"/>
        <v>19.165714285714284</v>
      </c>
      <c r="BY47" s="280">
        <f t="shared" si="34"/>
        <v>30.154285714285713</v>
      </c>
      <c r="BZ47" s="280">
        <f t="shared" si="35"/>
        <v>34.975714285714282</v>
      </c>
      <c r="CA47" s="280">
        <f t="shared" si="36"/>
        <v>32.297142857142859</v>
      </c>
      <c r="CB47" s="280">
        <f t="shared" si="37"/>
        <v>27.87857142857143</v>
      </c>
      <c r="CC47" s="280">
        <f t="shared" si="38"/>
        <v>29.94285714285714</v>
      </c>
      <c r="CD47" s="280">
        <f t="shared" si="39"/>
        <v>35.525714285714287</v>
      </c>
    </row>
    <row r="48" spans="1:82">
      <c r="A48" s="48">
        <v>2021</v>
      </c>
      <c r="B48" s="31" cm="1">
        <f t="array" ref="B48">IF(A48&lt;2021,0,SUMPRODUCT(('Project Operational Timelines'!$AO$20:$AO$49=$A48)*('Project Operational Timelines'!$AP$18:$AY$18=$A$4)*('Project Operational Timelines'!$AP$17:$AY$17=$G48)*'Project Operational Timelines'!$AP20:$AY20))</f>
        <v>5.95</v>
      </c>
      <c r="C48" s="84">
        <f t="shared" si="13"/>
        <v>813.45978845833326</v>
      </c>
      <c r="D48" s="89">
        <f t="shared" si="40"/>
        <v>736079.08</v>
      </c>
      <c r="E48" s="89"/>
      <c r="F48" s="89" cm="1">
        <f t="array" ref="F48">IF(A48&lt;2021,0,(-(SUMPRODUCT(('Project Operational Timelines'!$AO$20:$AO$49=$A48)*('Project Operational Timelines'!$AP$18:$AY$18=$A$4)*('Project Operational Timelines'!$AP$19:$AY$19="Non-Carve Out")*('Project Operational Timelines'!$AP$17:$AY$17=$G48)*'Project Operational Timelines'!$AP20:$AY20))*1000*('Program Inputs'!$D$14-'Program Inputs'!$D$6)*$F$4*12)+(-(SUMPRODUCT(('Project Operational Timelines'!$AO$20:$AO$49=$A48)*('Project Operational Timelines'!$AP$18:$AY$18=$A$4)*('Project Operational Timelines'!$AP$19:$AY$19="Carve Out")*('Project Operational Timelines'!$AP$17:$AY$17=$G48)*'Project Operational Timelines'!$AP20:$AY20))*1000*('Program Inputs'!$D$14-'Program Inputs'!$D$7)*$F$4*12))</f>
        <v>-6675.9000000000005</v>
      </c>
      <c r="G48" s="79">
        <v>1</v>
      </c>
      <c r="H48" s="328">
        <f t="shared" si="27"/>
        <v>801540.89</v>
      </c>
      <c r="I48" s="69"/>
      <c r="J48" s="79"/>
      <c r="K48" s="309"/>
      <c r="L48" s="75"/>
      <c r="M48">
        <v>3</v>
      </c>
      <c r="N48" s="51">
        <v>2021</v>
      </c>
      <c r="O48" s="18">
        <f t="shared" si="14"/>
        <v>73.620142857142838</v>
      </c>
      <c r="P48" s="18">
        <f t="shared" si="15"/>
        <v>73.850142857142842</v>
      </c>
      <c r="Q48" s="18">
        <f t="shared" si="16"/>
        <v>74.29014285714284</v>
      </c>
      <c r="R48" s="18">
        <f t="shared" si="17"/>
        <v>76.54014285714284</v>
      </c>
      <c r="S48" s="18">
        <f t="shared" si="18"/>
        <v>76.620142857142838</v>
      </c>
      <c r="T48" s="18">
        <f t="shared" si="19"/>
        <v>76.440142857142831</v>
      </c>
      <c r="U48" s="18">
        <f t="shared" si="20"/>
        <v>76.230142857142837</v>
      </c>
      <c r="V48" s="18">
        <f t="shared" si="21"/>
        <v>76.060142857142836</v>
      </c>
      <c r="W48" s="18">
        <f t="shared" si="22"/>
        <v>76.030142857142849</v>
      </c>
      <c r="X48" s="18">
        <f t="shared" si="23"/>
        <v>75.821571428571417</v>
      </c>
      <c r="Y48" s="18">
        <f t="shared" si="24"/>
        <v>75.18014285714284</v>
      </c>
      <c r="Z48" s="18">
        <f t="shared" si="25"/>
        <v>74.191571428571422</v>
      </c>
      <c r="AA48" s="13"/>
      <c r="AB48" s="52">
        <v>2021</v>
      </c>
      <c r="AC48" s="14">
        <f>SUMIFS('Bill Credit Rates'!$K:$K,'Bill Credit Rates'!$A:$A,$A$4,'Bill Credit Rates'!$B:$B,$G48,'Bill Credit Rates'!$C:$C,$M48)</f>
        <v>106.72299999999998</v>
      </c>
      <c r="AD48" s="14">
        <f>SUMIFS('Bill Credit Rates'!$K:$K,'Bill Credit Rates'!$A:$A,$A$4,'Bill Credit Rates'!$B:$B,$G48,'Bill Credit Rates'!$C:$C,$M48)</f>
        <v>106.72299999999998</v>
      </c>
      <c r="AE48" s="14">
        <f>SUMIFS('Bill Credit Rates'!$K:$K,'Bill Credit Rates'!$A:$A,$A$4,'Bill Credit Rates'!$B:$B,$G48,'Bill Credit Rates'!$C:$C,$M48)</f>
        <v>106.72299999999998</v>
      </c>
      <c r="AF48" s="14">
        <f>SUMIFS('Bill Credit Rates'!$K:$K,'Bill Credit Rates'!$A:$A,$A$4,'Bill Credit Rates'!$B:$B,$G48,'Bill Credit Rates'!$C:$C,$M48)</f>
        <v>106.72299999999998</v>
      </c>
      <c r="AG48" s="14">
        <f>SUMIFS('Bill Credit Rates'!$K:$K,'Bill Credit Rates'!$A:$A,$A$4,'Bill Credit Rates'!$B:$B,$G48,'Bill Credit Rates'!$C:$C,$M48)</f>
        <v>106.72299999999998</v>
      </c>
      <c r="AH48" s="14">
        <f>SUMIFS('Bill Credit Rates'!$K:$K,'Bill Credit Rates'!$A:$A,$A$4,'Bill Credit Rates'!$B:$B,$G48,'Bill Credit Rates'!$C:$C,$M48)</f>
        <v>106.72299999999998</v>
      </c>
      <c r="AI48" s="14">
        <f>SUMIFS('Bill Credit Rates'!$K:$K,'Bill Credit Rates'!$A:$A,$A$4,'Bill Credit Rates'!$B:$B,$G48,'Bill Credit Rates'!$C:$C,$M48)</f>
        <v>106.72299999999998</v>
      </c>
      <c r="AJ48" s="14">
        <f>SUMIFS('Bill Credit Rates'!$K:$K,'Bill Credit Rates'!$A:$A,$A$4,'Bill Credit Rates'!$B:$B,$G48,'Bill Credit Rates'!$C:$C,$M48)</f>
        <v>106.72299999999998</v>
      </c>
      <c r="AK48" s="14">
        <f>SUMIFS('Bill Credit Rates'!$K:$K,'Bill Credit Rates'!$A:$A,$A$4,'Bill Credit Rates'!$B:$B,$G48,'Bill Credit Rates'!$C:$C,$M48)</f>
        <v>106.72299999999998</v>
      </c>
      <c r="AL48" s="14">
        <f>SUMIFS('Bill Credit Rates'!$K:$K,'Bill Credit Rates'!$A:$A,$A$4,'Bill Credit Rates'!$B:$B,$G48,'Bill Credit Rates'!$C:$C,$M48)</f>
        <v>106.72299999999998</v>
      </c>
      <c r="AM48" s="14">
        <f>SUMIFS('Bill Credit Rates'!$K:$K,'Bill Credit Rates'!$A:$A,$A$4,'Bill Credit Rates'!$B:$B,$G48,'Bill Credit Rates'!$C:$C,$M48)</f>
        <v>106.72299999999998</v>
      </c>
      <c r="AN48" s="14">
        <f>SUMIFS('Bill Credit Rates'!$K:$K,'Bill Credit Rates'!$A:$A,$A$4,'Bill Credit Rates'!$B:$B,$G48,'Bill Credit Rates'!$C:$C,$M48)</f>
        <v>106.72299999999998</v>
      </c>
      <c r="AP48" s="52">
        <v>2021</v>
      </c>
      <c r="AQ48" s="281">
        <v>34.71</v>
      </c>
      <c r="AR48" s="281">
        <v>34.479999999999997</v>
      </c>
      <c r="AS48" s="281">
        <v>34.04</v>
      </c>
      <c r="AT48" s="281">
        <v>31.79</v>
      </c>
      <c r="AU48" s="281">
        <v>31.71</v>
      </c>
      <c r="AV48" s="281">
        <v>31.89</v>
      </c>
      <c r="AW48" s="281">
        <v>32.1</v>
      </c>
      <c r="AX48" s="281">
        <v>32.270000000000003</v>
      </c>
      <c r="AY48" s="281">
        <v>32.299999999999997</v>
      </c>
      <c r="AZ48" s="281">
        <v>32.51</v>
      </c>
      <c r="BA48" s="281">
        <v>33.15</v>
      </c>
      <c r="BB48" s="283">
        <v>34.14</v>
      </c>
      <c r="BD48" s="52">
        <v>2021</v>
      </c>
      <c r="BE48" s="281">
        <v>23.46</v>
      </c>
      <c r="BF48" s="281">
        <v>23.23</v>
      </c>
      <c r="BG48" s="281">
        <v>22.79</v>
      </c>
      <c r="BH48" s="281">
        <v>20.54</v>
      </c>
      <c r="BI48" s="281">
        <v>20.46</v>
      </c>
      <c r="BJ48" s="281">
        <v>20.64</v>
      </c>
      <c r="BK48" s="281">
        <v>20.85</v>
      </c>
      <c r="BL48" s="281">
        <v>21.02</v>
      </c>
      <c r="BM48" s="281">
        <v>21.05</v>
      </c>
      <c r="BN48" s="281">
        <v>21.25</v>
      </c>
      <c r="BO48" s="281">
        <v>21.9</v>
      </c>
      <c r="BP48" s="281">
        <v>22.88</v>
      </c>
      <c r="BR48" s="52">
        <v>2021</v>
      </c>
      <c r="BS48" s="280">
        <f t="shared" si="28"/>
        <v>33.10285714285714</v>
      </c>
      <c r="BT48" s="280">
        <f t="shared" si="29"/>
        <v>32.872857142857143</v>
      </c>
      <c r="BU48" s="280">
        <f t="shared" si="30"/>
        <v>32.432857142857145</v>
      </c>
      <c r="BV48" s="280">
        <f t="shared" si="31"/>
        <v>30.182857142857145</v>
      </c>
      <c r="BW48" s="280">
        <f t="shared" si="32"/>
        <v>30.102857142857143</v>
      </c>
      <c r="BX48" s="280">
        <f t="shared" si="33"/>
        <v>30.282857142857146</v>
      </c>
      <c r="BY48" s="280">
        <f t="shared" si="34"/>
        <v>30.492857142857144</v>
      </c>
      <c r="BZ48" s="280">
        <f t="shared" si="35"/>
        <v>30.662857142857142</v>
      </c>
      <c r="CA48" s="280">
        <f t="shared" si="36"/>
        <v>30.69285714285714</v>
      </c>
      <c r="CB48" s="280">
        <f t="shared" si="37"/>
        <v>30.901428571428571</v>
      </c>
      <c r="CC48" s="280">
        <f t="shared" si="38"/>
        <v>31.542857142857137</v>
      </c>
      <c r="CD48" s="280">
        <f t="shared" si="39"/>
        <v>32.53142857142857</v>
      </c>
    </row>
    <row r="49" spans="1:82">
      <c r="A49" s="48">
        <v>2022</v>
      </c>
      <c r="B49" s="31" cm="1">
        <f t="array" ref="B49">IF(A49&lt;2021,0,SUMPRODUCT(('Project Operational Timelines'!$AO$20:$AO$49=$A49)*('Project Operational Timelines'!$AP$18:$AY$18=$A$4)*('Project Operational Timelines'!$AP$17:$AY$17=$G49)*'Project Operational Timelines'!$AP21:$AY21))</f>
        <v>9.8899999999999988</v>
      </c>
      <c r="C49" s="84">
        <f t="shared" si="13"/>
        <v>1352.1205559416665</v>
      </c>
      <c r="D49" s="89">
        <f t="shared" si="40"/>
        <v>1185012.3600000001</v>
      </c>
      <c r="E49" s="89"/>
      <c r="F49" s="89" cm="1">
        <f t="array" ref="F49">IF(A49&lt;2021,0,(-(SUMPRODUCT(('Project Operational Timelines'!$AO$20:$AO$49=$A49)*('Project Operational Timelines'!$AP$18:$AY$18=$A$4)*('Project Operational Timelines'!$AP$19:$AY$19="Non-Carve Out")*('Project Operational Timelines'!$AP$17:$AY$17=$G49)*'Project Operational Timelines'!$AP21:$AY21))*1000*('Program Inputs'!$D$14-'Program Inputs'!$D$6)*$F$4*12)+(-(SUMPRODUCT(('Project Operational Timelines'!$AO$20:$AO$49=$A49)*('Project Operational Timelines'!$AP$18:$AY$18=$A$4)*('Project Operational Timelines'!$AP$19:$AY$19="Carve Out")*('Project Operational Timelines'!$AP$17:$AY$17=$G49)*'Project Operational Timelines'!$AP21:$AY21))*1000*('Program Inputs'!$D$14-'Program Inputs'!$D$7)*$F$4*12))</f>
        <v>-11086.019999999999</v>
      </c>
      <c r="G49" s="79">
        <v>1</v>
      </c>
      <c r="H49" s="328">
        <f t="shared" si="27"/>
        <v>1254268.02</v>
      </c>
      <c r="I49" s="69"/>
      <c r="J49" s="79"/>
      <c r="K49" s="309"/>
      <c r="L49" s="75"/>
      <c r="M49">
        <v>4</v>
      </c>
      <c r="N49" s="51">
        <v>2022</v>
      </c>
      <c r="O49" s="18">
        <f t="shared" si="14"/>
        <v>73.032999999999987</v>
      </c>
      <c r="P49" s="18">
        <f t="shared" si="15"/>
        <v>72.952999999999989</v>
      </c>
      <c r="Q49" s="18">
        <f t="shared" si="16"/>
        <v>72.871571428571414</v>
      </c>
      <c r="R49" s="18">
        <f t="shared" si="17"/>
        <v>73.422999999999988</v>
      </c>
      <c r="S49" s="18">
        <f t="shared" si="18"/>
        <v>73.522999999999982</v>
      </c>
      <c r="T49" s="18">
        <f t="shared" si="19"/>
        <v>73.432999999999993</v>
      </c>
      <c r="U49" s="18">
        <f t="shared" si="20"/>
        <v>73.362999999999985</v>
      </c>
      <c r="V49" s="18">
        <f t="shared" si="21"/>
        <v>73.281571428571411</v>
      </c>
      <c r="W49" s="18">
        <f t="shared" si="22"/>
        <v>73.191571428571422</v>
      </c>
      <c r="X49" s="18">
        <f t="shared" si="23"/>
        <v>72.831571428571408</v>
      </c>
      <c r="Y49" s="18">
        <f t="shared" si="24"/>
        <v>72.302999999999983</v>
      </c>
      <c r="Z49" s="18">
        <f t="shared" si="25"/>
        <v>72.202999999999989</v>
      </c>
      <c r="AA49" s="13"/>
      <c r="AB49" s="52">
        <v>2022</v>
      </c>
      <c r="AC49" s="14">
        <f>SUMIFS('Bill Credit Rates'!$K:$K,'Bill Credit Rates'!$A:$A,$A$4,'Bill Credit Rates'!$B:$B,$G49,'Bill Credit Rates'!$C:$C,$M49)</f>
        <v>106.72299999999998</v>
      </c>
      <c r="AD49" s="14">
        <f>SUMIFS('Bill Credit Rates'!$K:$K,'Bill Credit Rates'!$A:$A,$A$4,'Bill Credit Rates'!$B:$B,$G49,'Bill Credit Rates'!$C:$C,$M49)</f>
        <v>106.72299999999998</v>
      </c>
      <c r="AE49" s="14">
        <f>SUMIFS('Bill Credit Rates'!$K:$K,'Bill Credit Rates'!$A:$A,$A$4,'Bill Credit Rates'!$B:$B,$G49,'Bill Credit Rates'!$C:$C,$M49)</f>
        <v>106.72299999999998</v>
      </c>
      <c r="AF49" s="14">
        <f>SUMIFS('Bill Credit Rates'!$K:$K,'Bill Credit Rates'!$A:$A,$A$4,'Bill Credit Rates'!$B:$B,$G49,'Bill Credit Rates'!$C:$C,$M49)</f>
        <v>106.72299999999998</v>
      </c>
      <c r="AG49" s="14">
        <f>SUMIFS('Bill Credit Rates'!$K:$K,'Bill Credit Rates'!$A:$A,$A$4,'Bill Credit Rates'!$B:$B,$G49,'Bill Credit Rates'!$C:$C,$M49)</f>
        <v>106.72299999999998</v>
      </c>
      <c r="AH49" s="14">
        <f>SUMIFS('Bill Credit Rates'!$K:$K,'Bill Credit Rates'!$A:$A,$A$4,'Bill Credit Rates'!$B:$B,$G49,'Bill Credit Rates'!$C:$C,$M49)</f>
        <v>106.72299999999998</v>
      </c>
      <c r="AI49" s="14">
        <f>SUMIFS('Bill Credit Rates'!$K:$K,'Bill Credit Rates'!$A:$A,$A$4,'Bill Credit Rates'!$B:$B,$G49,'Bill Credit Rates'!$C:$C,$M49)</f>
        <v>106.72299999999998</v>
      </c>
      <c r="AJ49" s="14">
        <f>SUMIFS('Bill Credit Rates'!$K:$K,'Bill Credit Rates'!$A:$A,$A$4,'Bill Credit Rates'!$B:$B,$G49,'Bill Credit Rates'!$C:$C,$M49)</f>
        <v>106.72299999999998</v>
      </c>
      <c r="AK49" s="14">
        <f>SUMIFS('Bill Credit Rates'!$K:$K,'Bill Credit Rates'!$A:$A,$A$4,'Bill Credit Rates'!$B:$B,$G49,'Bill Credit Rates'!$C:$C,$M49)</f>
        <v>106.72299999999998</v>
      </c>
      <c r="AL49" s="14">
        <f>SUMIFS('Bill Credit Rates'!$K:$K,'Bill Credit Rates'!$A:$A,$A$4,'Bill Credit Rates'!$B:$B,$G49,'Bill Credit Rates'!$C:$C,$M49)</f>
        <v>106.72299999999998</v>
      </c>
      <c r="AM49" s="14">
        <f>SUMIFS('Bill Credit Rates'!$K:$K,'Bill Credit Rates'!$A:$A,$A$4,'Bill Credit Rates'!$B:$B,$G49,'Bill Credit Rates'!$C:$C,$M49)</f>
        <v>106.72299999999998</v>
      </c>
      <c r="AN49" s="14">
        <f>SUMIFS('Bill Credit Rates'!$K:$K,'Bill Credit Rates'!$A:$A,$A$4,'Bill Credit Rates'!$B:$B,$G49,'Bill Credit Rates'!$C:$C,$M49)</f>
        <v>106.72299999999998</v>
      </c>
      <c r="AP49" s="52">
        <v>2022</v>
      </c>
      <c r="AQ49" s="281">
        <v>35.33</v>
      </c>
      <c r="AR49" s="281">
        <v>35.409999999999997</v>
      </c>
      <c r="AS49" s="281">
        <v>35.49</v>
      </c>
      <c r="AT49" s="281">
        <v>34.94</v>
      </c>
      <c r="AU49" s="281">
        <v>34.840000000000003</v>
      </c>
      <c r="AV49" s="281">
        <v>34.93</v>
      </c>
      <c r="AW49" s="281">
        <v>35</v>
      </c>
      <c r="AX49" s="281">
        <v>35.08</v>
      </c>
      <c r="AY49" s="281">
        <v>35.17</v>
      </c>
      <c r="AZ49" s="281">
        <v>35.53</v>
      </c>
      <c r="BA49" s="281">
        <v>36.06</v>
      </c>
      <c r="BB49" s="283">
        <v>36.159999999999997</v>
      </c>
      <c r="BD49" s="52">
        <v>2022</v>
      </c>
      <c r="BE49" s="281">
        <v>23.85</v>
      </c>
      <c r="BF49" s="281">
        <v>23.93</v>
      </c>
      <c r="BG49" s="281">
        <v>24.02</v>
      </c>
      <c r="BH49" s="281">
        <v>23.46</v>
      </c>
      <c r="BI49" s="281">
        <v>23.36</v>
      </c>
      <c r="BJ49" s="281">
        <v>23.45</v>
      </c>
      <c r="BK49" s="281">
        <v>23.52</v>
      </c>
      <c r="BL49" s="281">
        <v>23.61</v>
      </c>
      <c r="BM49" s="281">
        <v>23.7</v>
      </c>
      <c r="BN49" s="281">
        <v>24.06</v>
      </c>
      <c r="BO49" s="281">
        <v>24.58</v>
      </c>
      <c r="BP49" s="281">
        <v>24.68</v>
      </c>
      <c r="BR49" s="52">
        <v>2022</v>
      </c>
      <c r="BS49" s="280">
        <f t="shared" si="28"/>
        <v>33.69</v>
      </c>
      <c r="BT49" s="280">
        <f t="shared" si="29"/>
        <v>33.769999999999996</v>
      </c>
      <c r="BU49" s="280">
        <f t="shared" si="30"/>
        <v>33.851428571428571</v>
      </c>
      <c r="BV49" s="280">
        <f t="shared" si="31"/>
        <v>33.299999999999997</v>
      </c>
      <c r="BW49" s="280">
        <f t="shared" si="32"/>
        <v>33.200000000000003</v>
      </c>
      <c r="BX49" s="280">
        <f t="shared" si="33"/>
        <v>33.29</v>
      </c>
      <c r="BY49" s="280">
        <f t="shared" si="34"/>
        <v>33.36</v>
      </c>
      <c r="BZ49" s="280">
        <f t="shared" si="35"/>
        <v>33.441428571428574</v>
      </c>
      <c r="CA49" s="280">
        <f t="shared" si="36"/>
        <v>33.53142857142857</v>
      </c>
      <c r="CB49" s="280">
        <f t="shared" si="37"/>
        <v>33.89142857142857</v>
      </c>
      <c r="CC49" s="280">
        <f t="shared" si="38"/>
        <v>34.42</v>
      </c>
      <c r="CD49" s="280">
        <f t="shared" si="39"/>
        <v>34.519999999999996</v>
      </c>
    </row>
    <row r="50" spans="1:82">
      <c r="A50" s="48">
        <v>2023</v>
      </c>
      <c r="B50" s="31" cm="1">
        <f t="array" ref="B50">IF(A50&lt;2021,0,SUMPRODUCT(('Project Operational Timelines'!$AO$20:$AO$49=$A50)*('Project Operational Timelines'!$AP$18:$AY$18=$A$4)*('Project Operational Timelines'!$AP$17:$AY$17=$G50)*'Project Operational Timelines'!$AP22:$AY22))</f>
        <v>24.689999999999998</v>
      </c>
      <c r="C50" s="84">
        <f t="shared" si="13"/>
        <v>3375.5163322749995</v>
      </c>
      <c r="D50" s="89">
        <f t="shared" si="40"/>
        <v>2860601.57</v>
      </c>
      <c r="E50" s="89"/>
      <c r="F50" s="89" cm="1">
        <f t="array" ref="F50">IF(A50&lt;2021,0,(-(SUMPRODUCT(('Project Operational Timelines'!$AO$20:$AO$49=$A50)*('Project Operational Timelines'!$AP$18:$AY$18=$A$4)*('Project Operational Timelines'!$AP$19:$AY$19="Non-Carve Out")*('Project Operational Timelines'!$AP$17:$AY$17=$G50)*'Project Operational Timelines'!$AP22:$AY22))*1000*('Program Inputs'!$D$14-'Program Inputs'!$D$6)*$F$4*12)+(-(SUMPRODUCT(('Project Operational Timelines'!$AO$20:$AO$49=$A50)*('Project Operational Timelines'!$AP$18:$AY$18=$A$4)*('Project Operational Timelines'!$AP$19:$AY$19="Carve Out")*('Project Operational Timelines'!$AP$17:$AY$17=$G50)*'Project Operational Timelines'!$AP22:$AY22))*1000*('Program Inputs'!$D$14-'Program Inputs'!$D$7)*$F$4*12))</f>
        <v>-27681.06</v>
      </c>
      <c r="G50" s="79">
        <v>1</v>
      </c>
      <c r="H50" s="328">
        <f t="shared" si="27"/>
        <v>2943005.73</v>
      </c>
      <c r="I50" s="69"/>
      <c r="J50" s="79"/>
      <c r="K50" s="309"/>
      <c r="L50" s="75"/>
      <c r="M50">
        <v>5</v>
      </c>
      <c r="N50" s="51">
        <v>2023</v>
      </c>
      <c r="O50" s="18">
        <f t="shared" si="14"/>
        <v>70.591571428571413</v>
      </c>
      <c r="P50" s="18">
        <f t="shared" si="15"/>
        <v>70.500142857142848</v>
      </c>
      <c r="Q50" s="18">
        <f t="shared" si="16"/>
        <v>70.410142857142844</v>
      </c>
      <c r="R50" s="18">
        <f t="shared" si="17"/>
        <v>70.950142857142851</v>
      </c>
      <c r="S50" s="18">
        <f t="shared" si="18"/>
        <v>71.110142857142847</v>
      </c>
      <c r="T50" s="18">
        <f t="shared" si="19"/>
        <v>71.011571428571415</v>
      </c>
      <c r="U50" s="18">
        <f t="shared" si="20"/>
        <v>70.93014285714284</v>
      </c>
      <c r="V50" s="18">
        <f t="shared" si="21"/>
        <v>70.840142857142837</v>
      </c>
      <c r="W50" s="18">
        <f t="shared" si="22"/>
        <v>70.740142857142843</v>
      </c>
      <c r="X50" s="18">
        <f t="shared" si="23"/>
        <v>70.620142857142838</v>
      </c>
      <c r="Y50" s="18">
        <f t="shared" si="24"/>
        <v>69.921571428571411</v>
      </c>
      <c r="Z50" s="18">
        <f t="shared" si="25"/>
        <v>69.830142857142846</v>
      </c>
      <c r="AA50" s="13"/>
      <c r="AB50" s="52">
        <v>2023</v>
      </c>
      <c r="AC50" s="14">
        <f>SUMIFS('Bill Credit Rates'!$K:$K,'Bill Credit Rates'!$A:$A,$A$4,'Bill Credit Rates'!$B:$B,$G50,'Bill Credit Rates'!$C:$C,$M50)</f>
        <v>106.72299999999998</v>
      </c>
      <c r="AD50" s="14">
        <f>SUMIFS('Bill Credit Rates'!$K:$K,'Bill Credit Rates'!$A:$A,$A$4,'Bill Credit Rates'!$B:$B,$G50,'Bill Credit Rates'!$C:$C,$M50)</f>
        <v>106.72299999999998</v>
      </c>
      <c r="AE50" s="14">
        <f>SUMIFS('Bill Credit Rates'!$K:$K,'Bill Credit Rates'!$A:$A,$A$4,'Bill Credit Rates'!$B:$B,$G50,'Bill Credit Rates'!$C:$C,$M50)</f>
        <v>106.72299999999998</v>
      </c>
      <c r="AF50" s="14">
        <f>SUMIFS('Bill Credit Rates'!$K:$K,'Bill Credit Rates'!$A:$A,$A$4,'Bill Credit Rates'!$B:$B,$G50,'Bill Credit Rates'!$C:$C,$M50)</f>
        <v>106.72299999999998</v>
      </c>
      <c r="AG50" s="14">
        <f>SUMIFS('Bill Credit Rates'!$K:$K,'Bill Credit Rates'!$A:$A,$A$4,'Bill Credit Rates'!$B:$B,$G50,'Bill Credit Rates'!$C:$C,$M50)</f>
        <v>106.72299999999998</v>
      </c>
      <c r="AH50" s="14">
        <f>SUMIFS('Bill Credit Rates'!$K:$K,'Bill Credit Rates'!$A:$A,$A$4,'Bill Credit Rates'!$B:$B,$G50,'Bill Credit Rates'!$C:$C,$M50)</f>
        <v>106.72299999999998</v>
      </c>
      <c r="AI50" s="14">
        <f>SUMIFS('Bill Credit Rates'!$K:$K,'Bill Credit Rates'!$A:$A,$A$4,'Bill Credit Rates'!$B:$B,$G50,'Bill Credit Rates'!$C:$C,$M50)</f>
        <v>106.72299999999998</v>
      </c>
      <c r="AJ50" s="14">
        <f>SUMIFS('Bill Credit Rates'!$K:$K,'Bill Credit Rates'!$A:$A,$A$4,'Bill Credit Rates'!$B:$B,$G50,'Bill Credit Rates'!$C:$C,$M50)</f>
        <v>106.72299999999998</v>
      </c>
      <c r="AK50" s="14">
        <f>SUMIFS('Bill Credit Rates'!$K:$K,'Bill Credit Rates'!$A:$A,$A$4,'Bill Credit Rates'!$B:$B,$G50,'Bill Credit Rates'!$C:$C,$M50)</f>
        <v>106.72299999999998</v>
      </c>
      <c r="AL50" s="14">
        <f>SUMIFS('Bill Credit Rates'!$K:$K,'Bill Credit Rates'!$A:$A,$A$4,'Bill Credit Rates'!$B:$B,$G50,'Bill Credit Rates'!$C:$C,$M50)</f>
        <v>106.72299999999998</v>
      </c>
      <c r="AM50" s="14">
        <f>SUMIFS('Bill Credit Rates'!$K:$K,'Bill Credit Rates'!$A:$A,$A$4,'Bill Credit Rates'!$B:$B,$G50,'Bill Credit Rates'!$C:$C,$M50)</f>
        <v>106.72299999999998</v>
      </c>
      <c r="AN50" s="14">
        <f>SUMIFS('Bill Credit Rates'!$K:$K,'Bill Credit Rates'!$A:$A,$A$4,'Bill Credit Rates'!$B:$B,$G50,'Bill Credit Rates'!$C:$C,$M50)</f>
        <v>106.72299999999998</v>
      </c>
      <c r="AP50" s="52">
        <v>2023</v>
      </c>
      <c r="AQ50" s="281">
        <v>37.81</v>
      </c>
      <c r="AR50" s="281">
        <v>37.9</v>
      </c>
      <c r="AS50" s="281">
        <v>37.99</v>
      </c>
      <c r="AT50" s="281">
        <v>37.450000000000003</v>
      </c>
      <c r="AU50" s="281">
        <v>37.29</v>
      </c>
      <c r="AV50" s="281">
        <v>37.39</v>
      </c>
      <c r="AW50" s="281">
        <v>37.47</v>
      </c>
      <c r="AX50" s="281">
        <v>37.56</v>
      </c>
      <c r="AY50" s="281">
        <v>37.659999999999997</v>
      </c>
      <c r="AZ50" s="281">
        <v>37.78</v>
      </c>
      <c r="BA50" s="281">
        <v>38.479999999999997</v>
      </c>
      <c r="BB50" s="283">
        <v>38.57</v>
      </c>
      <c r="BD50" s="52">
        <v>2023</v>
      </c>
      <c r="BE50" s="281">
        <v>26.06</v>
      </c>
      <c r="BF50" s="281">
        <v>26.16</v>
      </c>
      <c r="BG50" s="281">
        <v>26.25</v>
      </c>
      <c r="BH50" s="281">
        <v>25.71</v>
      </c>
      <c r="BI50" s="281">
        <v>25.55</v>
      </c>
      <c r="BJ50" s="281">
        <v>25.64</v>
      </c>
      <c r="BK50" s="281">
        <v>25.73</v>
      </c>
      <c r="BL50" s="281">
        <v>25.82</v>
      </c>
      <c r="BM50" s="281">
        <v>25.92</v>
      </c>
      <c r="BN50" s="281">
        <v>26.04</v>
      </c>
      <c r="BO50" s="281">
        <v>26.73</v>
      </c>
      <c r="BP50" s="281">
        <v>26.83</v>
      </c>
      <c r="BR50" s="52">
        <v>2023</v>
      </c>
      <c r="BS50" s="280">
        <f t="shared" si="28"/>
        <v>36.131428571428572</v>
      </c>
      <c r="BT50" s="280">
        <f t="shared" si="29"/>
        <v>36.222857142857137</v>
      </c>
      <c r="BU50" s="280">
        <f t="shared" si="30"/>
        <v>36.312857142857141</v>
      </c>
      <c r="BV50" s="280">
        <f t="shared" si="31"/>
        <v>35.772857142857141</v>
      </c>
      <c r="BW50" s="280">
        <f t="shared" si="32"/>
        <v>35.612857142857145</v>
      </c>
      <c r="BX50" s="280">
        <f t="shared" si="33"/>
        <v>35.71142857142857</v>
      </c>
      <c r="BY50" s="280">
        <f t="shared" si="34"/>
        <v>35.792857142857144</v>
      </c>
      <c r="BZ50" s="280">
        <f t="shared" si="35"/>
        <v>35.882857142857148</v>
      </c>
      <c r="CA50" s="280">
        <f t="shared" si="36"/>
        <v>35.982857142857135</v>
      </c>
      <c r="CB50" s="280">
        <f t="shared" si="37"/>
        <v>36.10285714285714</v>
      </c>
      <c r="CC50" s="280">
        <f t="shared" si="38"/>
        <v>36.801428571428573</v>
      </c>
      <c r="CD50" s="280">
        <f t="shared" si="39"/>
        <v>36.892857142857146</v>
      </c>
    </row>
    <row r="51" spans="1:82">
      <c r="A51" s="48">
        <v>2024</v>
      </c>
      <c r="B51" s="31" cm="1">
        <f t="array" ref="B51">IF(A51&lt;2021,0,SUMPRODUCT(('Project Operational Timelines'!$AO$20:$AO$49=$A51)*('Project Operational Timelines'!$AP$18:$AY$18=$A$4)*('Project Operational Timelines'!$AP$17:$AY$17=$G51)*'Project Operational Timelines'!$AP23:$AY23))</f>
        <v>25.34</v>
      </c>
      <c r="C51" s="84">
        <f t="shared" si="13"/>
        <v>3464.3816873166661</v>
      </c>
      <c r="D51" s="89">
        <f t="shared" si="40"/>
        <v>2873289.87</v>
      </c>
      <c r="E51" s="89"/>
      <c r="F51" s="89" cm="1">
        <f t="array" ref="F51">IF(A51&lt;2021,0,(-(SUMPRODUCT(('Project Operational Timelines'!$AO$20:$AO$49=$A51)*('Project Operational Timelines'!$AP$18:$AY$18=$A$4)*('Project Operational Timelines'!$AP$19:$AY$19="Non-Carve Out")*('Project Operational Timelines'!$AP$17:$AY$17=$G51)*'Project Operational Timelines'!$AP23:$AY23))*1000*('Program Inputs'!$D$14-'Program Inputs'!$D$6)*$F$4*12)+(-(SUMPRODUCT(('Project Operational Timelines'!$AO$20:$AO$49=$A51)*('Project Operational Timelines'!$AP$18:$AY$18=$A$4)*('Project Operational Timelines'!$AP$19:$AY$19="Carve Out")*('Project Operational Timelines'!$AP$17:$AY$17=$G51)*'Project Operational Timelines'!$AP23:$AY23))*1000*('Program Inputs'!$D$14-'Program Inputs'!$D$7)*$F$4*12))</f>
        <v>-28410.36</v>
      </c>
      <c r="G51" s="79">
        <v>1</v>
      </c>
      <c r="H51" s="328">
        <f t="shared" si="27"/>
        <v>2873289.87</v>
      </c>
      <c r="I51" s="69"/>
      <c r="J51" s="69"/>
      <c r="K51" s="309"/>
      <c r="L51" s="75"/>
      <c r="M51">
        <v>6</v>
      </c>
      <c r="N51" s="51">
        <v>2024</v>
      </c>
      <c r="O51" s="18">
        <f t="shared" si="14"/>
        <v>69.042999999999978</v>
      </c>
      <c r="P51" s="18">
        <f t="shared" si="15"/>
        <v>68.932999999999993</v>
      </c>
      <c r="Q51" s="18">
        <f t="shared" si="16"/>
        <v>68.824428571428555</v>
      </c>
      <c r="R51" s="18">
        <f t="shared" si="17"/>
        <v>69.322999999999979</v>
      </c>
      <c r="S51" s="18">
        <f t="shared" si="18"/>
        <v>69.562999999999988</v>
      </c>
      <c r="T51" s="18">
        <f t="shared" si="19"/>
        <v>69.454428571428565</v>
      </c>
      <c r="U51" s="18">
        <f t="shared" si="20"/>
        <v>69.362999999999971</v>
      </c>
      <c r="V51" s="18">
        <f t="shared" si="21"/>
        <v>69.272999999999982</v>
      </c>
      <c r="W51" s="18">
        <f t="shared" si="22"/>
        <v>69.162999999999982</v>
      </c>
      <c r="X51" s="18">
        <f t="shared" si="23"/>
        <v>68.862999999999985</v>
      </c>
      <c r="Y51" s="18">
        <f t="shared" si="24"/>
        <v>68.83442857142856</v>
      </c>
      <c r="Z51" s="18">
        <f t="shared" si="25"/>
        <v>68.742999999999995</v>
      </c>
      <c r="AA51" s="13"/>
      <c r="AB51" s="52">
        <v>2024</v>
      </c>
      <c r="AC51" s="14">
        <f>SUMIFS('Bill Credit Rates'!$K:$K,'Bill Credit Rates'!$A:$A,$A$4,'Bill Credit Rates'!$B:$B,$G51,'Bill Credit Rates'!$C:$C,$M51)</f>
        <v>106.72299999999998</v>
      </c>
      <c r="AD51" s="14">
        <f>SUMIFS('Bill Credit Rates'!$K:$K,'Bill Credit Rates'!$A:$A,$A$4,'Bill Credit Rates'!$B:$B,$G51,'Bill Credit Rates'!$C:$C,$M51)</f>
        <v>106.72299999999998</v>
      </c>
      <c r="AE51" s="14">
        <f>SUMIFS('Bill Credit Rates'!$K:$K,'Bill Credit Rates'!$A:$A,$A$4,'Bill Credit Rates'!$B:$B,$G51,'Bill Credit Rates'!$C:$C,$M51)</f>
        <v>106.72299999999998</v>
      </c>
      <c r="AF51" s="14">
        <f>SUMIFS('Bill Credit Rates'!$K:$K,'Bill Credit Rates'!$A:$A,$A$4,'Bill Credit Rates'!$B:$B,$G51,'Bill Credit Rates'!$C:$C,$M51)</f>
        <v>106.72299999999998</v>
      </c>
      <c r="AG51" s="14">
        <f>SUMIFS('Bill Credit Rates'!$K:$K,'Bill Credit Rates'!$A:$A,$A$4,'Bill Credit Rates'!$B:$B,$G51,'Bill Credit Rates'!$C:$C,$M51)</f>
        <v>106.72299999999998</v>
      </c>
      <c r="AH51" s="14">
        <f>SUMIFS('Bill Credit Rates'!$K:$K,'Bill Credit Rates'!$A:$A,$A$4,'Bill Credit Rates'!$B:$B,$G51,'Bill Credit Rates'!$C:$C,$M51)</f>
        <v>106.72299999999998</v>
      </c>
      <c r="AI51" s="14">
        <f>SUMIFS('Bill Credit Rates'!$K:$K,'Bill Credit Rates'!$A:$A,$A$4,'Bill Credit Rates'!$B:$B,$G51,'Bill Credit Rates'!$C:$C,$M51)</f>
        <v>106.72299999999998</v>
      </c>
      <c r="AJ51" s="14">
        <f>SUMIFS('Bill Credit Rates'!$K:$K,'Bill Credit Rates'!$A:$A,$A$4,'Bill Credit Rates'!$B:$B,$G51,'Bill Credit Rates'!$C:$C,$M51)</f>
        <v>106.72299999999998</v>
      </c>
      <c r="AK51" s="14">
        <f>SUMIFS('Bill Credit Rates'!$K:$K,'Bill Credit Rates'!$A:$A,$A$4,'Bill Credit Rates'!$B:$B,$G51,'Bill Credit Rates'!$C:$C,$M51)</f>
        <v>106.72299999999998</v>
      </c>
      <c r="AL51" s="14">
        <f>SUMIFS('Bill Credit Rates'!$K:$K,'Bill Credit Rates'!$A:$A,$A$4,'Bill Credit Rates'!$B:$B,$G51,'Bill Credit Rates'!$C:$C,$M51)</f>
        <v>106.72299999999998</v>
      </c>
      <c r="AM51" s="14">
        <f>SUMIFS('Bill Credit Rates'!$K:$K,'Bill Credit Rates'!$A:$A,$A$4,'Bill Credit Rates'!$B:$B,$G51,'Bill Credit Rates'!$C:$C,$M51)</f>
        <v>106.72299999999998</v>
      </c>
      <c r="AN51" s="14">
        <f>SUMIFS('Bill Credit Rates'!$K:$K,'Bill Credit Rates'!$A:$A,$A$4,'Bill Credit Rates'!$B:$B,$G51,'Bill Credit Rates'!$C:$C,$M51)</f>
        <v>106.72299999999998</v>
      </c>
      <c r="AP51" s="52">
        <v>2024</v>
      </c>
      <c r="AQ51" s="281">
        <v>39.380000000000003</v>
      </c>
      <c r="AR51" s="281">
        <v>39.49</v>
      </c>
      <c r="AS51" s="281">
        <v>39.6</v>
      </c>
      <c r="AT51" s="281">
        <v>39.1</v>
      </c>
      <c r="AU51" s="281">
        <v>38.86</v>
      </c>
      <c r="AV51" s="281">
        <v>38.97</v>
      </c>
      <c r="AW51" s="281">
        <v>39.06</v>
      </c>
      <c r="AX51" s="281">
        <v>39.15</v>
      </c>
      <c r="AY51" s="281">
        <v>39.26</v>
      </c>
      <c r="AZ51" s="281">
        <v>39.56</v>
      </c>
      <c r="BA51" s="281">
        <v>39.590000000000003</v>
      </c>
      <c r="BB51" s="283">
        <v>39.68</v>
      </c>
      <c r="BD51" s="52">
        <v>2024</v>
      </c>
      <c r="BE51" s="281">
        <v>27.48</v>
      </c>
      <c r="BF51" s="281">
        <v>27.59</v>
      </c>
      <c r="BG51" s="281">
        <v>27.69</v>
      </c>
      <c r="BH51" s="281">
        <v>27.2</v>
      </c>
      <c r="BI51" s="281">
        <v>26.96</v>
      </c>
      <c r="BJ51" s="281">
        <v>27.06</v>
      </c>
      <c r="BK51" s="281">
        <v>27.16</v>
      </c>
      <c r="BL51" s="281">
        <v>27.25</v>
      </c>
      <c r="BM51" s="281">
        <v>27.36</v>
      </c>
      <c r="BN51" s="281">
        <v>27.66</v>
      </c>
      <c r="BO51" s="281">
        <v>27.68</v>
      </c>
      <c r="BP51" s="281">
        <v>27.78</v>
      </c>
      <c r="BR51" s="52">
        <v>2024</v>
      </c>
      <c r="BS51" s="280">
        <f t="shared" si="28"/>
        <v>37.680000000000007</v>
      </c>
      <c r="BT51" s="280">
        <f t="shared" si="29"/>
        <v>37.79</v>
      </c>
      <c r="BU51" s="280">
        <f t="shared" si="30"/>
        <v>37.898571428571429</v>
      </c>
      <c r="BV51" s="280">
        <f t="shared" si="31"/>
        <v>37.400000000000006</v>
      </c>
      <c r="BW51" s="280">
        <f t="shared" si="32"/>
        <v>37.159999999999997</v>
      </c>
      <c r="BX51" s="280">
        <f t="shared" si="33"/>
        <v>37.268571428571427</v>
      </c>
      <c r="BY51" s="280">
        <f t="shared" si="34"/>
        <v>37.360000000000007</v>
      </c>
      <c r="BZ51" s="280">
        <f t="shared" si="35"/>
        <v>37.450000000000003</v>
      </c>
      <c r="CA51" s="280">
        <f t="shared" si="36"/>
        <v>37.56</v>
      </c>
      <c r="CB51" s="280">
        <f t="shared" si="37"/>
        <v>37.86</v>
      </c>
      <c r="CC51" s="280">
        <f t="shared" si="38"/>
        <v>37.888571428571431</v>
      </c>
      <c r="CD51" s="280">
        <f t="shared" si="39"/>
        <v>37.979999999999997</v>
      </c>
    </row>
    <row r="52" spans="1:82">
      <c r="A52" s="48">
        <v>2025</v>
      </c>
      <c r="B52" s="31" cm="1">
        <f t="array" ref="B52">IF(A52&lt;2021,0,SUMPRODUCT(('Project Operational Timelines'!$AO$20:$AO$49=$A52)*('Project Operational Timelines'!$AP$18:$AY$18=$A$4)*('Project Operational Timelines'!$AP$17:$AY$17=$G52)*'Project Operational Timelines'!$AP24:$AY24))</f>
        <v>32.21</v>
      </c>
      <c r="C52" s="84">
        <f t="shared" si="13"/>
        <v>4403.6201321416665</v>
      </c>
      <c r="D52" s="89">
        <f t="shared" si="40"/>
        <v>1892578.66</v>
      </c>
      <c r="E52" s="89"/>
      <c r="F52" s="89" cm="1">
        <f t="array" ref="F52">IF(A52&lt;2021,0,(-(SUMPRODUCT(('Project Operational Timelines'!$AO$20:$AO$49=$A52)*('Project Operational Timelines'!$AP$18:$AY$18=$A$4)*('Project Operational Timelines'!$AP$19:$AY$19="Non-Carve Out")*('Project Operational Timelines'!$AP$17:$AY$17=$G52)*'Project Operational Timelines'!$AP24:$AY24))*1000*('Program Inputs'!$D$14-'Program Inputs'!$D$6)*$F$4*12)+(-(SUMPRODUCT(('Project Operational Timelines'!$AO$20:$AO$49=$A52)*('Project Operational Timelines'!$AP$18:$AY$18=$A$4)*('Project Operational Timelines'!$AP$19:$AY$19="Carve Out")*('Project Operational Timelines'!$AP$17:$AY$17=$G52)*'Project Operational Timelines'!$AP24:$AY24))*1000*('Program Inputs'!$D$14-'Program Inputs'!$D$7)*$F$4*12))</f>
        <v>-36118.5</v>
      </c>
      <c r="G52" s="79">
        <v>1</v>
      </c>
      <c r="H52" s="328">
        <f t="shared" si="27"/>
        <v>1839586.46</v>
      </c>
      <c r="I52" s="69"/>
      <c r="J52" s="69"/>
      <c r="K52" s="309"/>
      <c r="L52" s="75"/>
      <c r="M52">
        <v>7</v>
      </c>
      <c r="N52" s="51">
        <v>2025</v>
      </c>
      <c r="O52" s="18">
        <f>(AC52-BS52)</f>
        <v>-29.424585704743293</v>
      </c>
      <c r="P52" s="18">
        <f t="shared" si="15"/>
        <v>-8.8433851344669279</v>
      </c>
      <c r="Q52" s="18">
        <f t="shared" si="16"/>
        <v>26.786110258473173</v>
      </c>
      <c r="R52" s="18">
        <f t="shared" si="17"/>
        <v>42.914736016441161</v>
      </c>
      <c r="S52" s="18">
        <f t="shared" si="18"/>
        <v>85.344244535946871</v>
      </c>
      <c r="T52" s="18">
        <f t="shared" si="19"/>
        <v>78.926812456808278</v>
      </c>
      <c r="U52" s="18">
        <f t="shared" si="20"/>
        <v>45.964547686687247</v>
      </c>
      <c r="V52" s="18">
        <f t="shared" si="21"/>
        <v>23.795236867844778</v>
      </c>
      <c r="W52" s="18">
        <f t="shared" si="22"/>
        <v>43.047533105260605</v>
      </c>
      <c r="X52" s="18">
        <f t="shared" si="23"/>
        <v>47.131353519257907</v>
      </c>
      <c r="Y52" s="18">
        <f t="shared" si="24"/>
        <v>46.98550279018658</v>
      </c>
      <c r="Z52" s="18">
        <f t="shared" si="25"/>
        <v>27.14980363648543</v>
      </c>
      <c r="AA52" s="13"/>
      <c r="AB52" s="52">
        <v>2025</v>
      </c>
      <c r="AC52" s="14">
        <f>SUMIFS('Bill Credit Rates'!$K:$K,'Bill Credit Rates'!$A:$A,$A$4,'Bill Credit Rates'!$B:$B,$G52,'Bill Credit Rates'!$C:$C,$M52)</f>
        <v>106.72299999999998</v>
      </c>
      <c r="AD52" s="14">
        <f>SUMIFS('Bill Credit Rates'!$K:$K,'Bill Credit Rates'!$A:$A,$A$4,'Bill Credit Rates'!$B:$B,$G52,'Bill Credit Rates'!$C:$C,$M52)</f>
        <v>106.72299999999998</v>
      </c>
      <c r="AE52" s="14">
        <f>SUMIFS('Bill Credit Rates'!$K:$K,'Bill Credit Rates'!$A:$A,$A$4,'Bill Credit Rates'!$B:$B,$G52,'Bill Credit Rates'!$C:$C,$M52)</f>
        <v>106.72299999999998</v>
      </c>
      <c r="AF52" s="14">
        <f>SUMIFS('Bill Credit Rates'!$K:$K,'Bill Credit Rates'!$A:$A,$A$4,'Bill Credit Rates'!$B:$B,$G52,'Bill Credit Rates'!$C:$C,$M52)</f>
        <v>106.72299999999998</v>
      </c>
      <c r="AG52" s="14">
        <f>SUMIFS('Bill Credit Rates'!$K:$K,'Bill Credit Rates'!$A:$A,$A$4,'Bill Credit Rates'!$B:$B,$G52,'Bill Credit Rates'!$C:$C,$M52)</f>
        <v>106.72299999999998</v>
      </c>
      <c r="AH52" s="14">
        <f>SUMIFS('Bill Credit Rates'!$K:$K,'Bill Credit Rates'!$A:$A,$A$4,'Bill Credit Rates'!$B:$B,$G52,'Bill Credit Rates'!$C:$C,$M52)</f>
        <v>106.72299999999998</v>
      </c>
      <c r="AI52" s="14">
        <f>SUMIFS('Bill Credit Rates'!$K:$K,'Bill Credit Rates'!$A:$A,$A$4,'Bill Credit Rates'!$B:$B,$G52,'Bill Credit Rates'!$C:$C,$M52)</f>
        <v>106.72299999999998</v>
      </c>
      <c r="AJ52" s="14">
        <f>SUMIFS('Bill Credit Rates'!$K:$K,'Bill Credit Rates'!$A:$A,$A$4,'Bill Credit Rates'!$B:$B,$G52,'Bill Credit Rates'!$C:$C,$M52)</f>
        <v>106.72299999999998</v>
      </c>
      <c r="AK52" s="14">
        <f>SUMIFS('Bill Credit Rates'!$K:$K,'Bill Credit Rates'!$A:$A,$A$4,'Bill Credit Rates'!$B:$B,$G52,'Bill Credit Rates'!$C:$C,$M52)</f>
        <v>106.72299999999998</v>
      </c>
      <c r="AL52" s="14">
        <f>SUMIFS('Bill Credit Rates'!$K:$K,'Bill Credit Rates'!$A:$A,$A$4,'Bill Credit Rates'!$B:$B,$G52,'Bill Credit Rates'!$C:$C,$M52)</f>
        <v>106.72299999999998</v>
      </c>
      <c r="AM52" s="14">
        <f>SUMIFS('Bill Credit Rates'!$K:$K,'Bill Credit Rates'!$A:$A,$A$4,'Bill Credit Rates'!$B:$B,$G52,'Bill Credit Rates'!$C:$C,$M52)</f>
        <v>106.72299999999998</v>
      </c>
      <c r="AN52" s="14">
        <f>SUMIFS('Bill Credit Rates'!$K:$K,'Bill Credit Rates'!$A:$A,$A$4,'Bill Credit Rates'!$B:$B,$G52,'Bill Credit Rates'!$C:$C,$M52)</f>
        <v>106.72299999999998</v>
      </c>
      <c r="AP52" s="52">
        <v>2025</v>
      </c>
      <c r="AQ52" s="281">
        <v>140.45229704791913</v>
      </c>
      <c r="AR52" s="281">
        <v>118.76863998673836</v>
      </c>
      <c r="AS52" s="281">
        <v>82.736377805467782</v>
      </c>
      <c r="AT52" s="281">
        <v>64.104559739667238</v>
      </c>
      <c r="AU52" s="281">
        <v>22.035083744874104</v>
      </c>
      <c r="AV52" s="281">
        <v>29.181769469369367</v>
      </c>
      <c r="AW52" s="281">
        <v>64.915198091845696</v>
      </c>
      <c r="AX52" s="281">
        <v>88.907643024079803</v>
      </c>
      <c r="AY52" s="281">
        <v>66.446630747094687</v>
      </c>
      <c r="AZ52" s="281">
        <v>60.320900126098735</v>
      </c>
      <c r="BA52" s="281">
        <v>60.320900126098735</v>
      </c>
      <c r="BB52" s="283">
        <v>80.740002196085214</v>
      </c>
      <c r="BD52" s="52">
        <v>2025</v>
      </c>
      <c r="BE52" s="281">
        <v>110.31931764568832</v>
      </c>
      <c r="BF52" s="281">
        <v>96.352856020838274</v>
      </c>
      <c r="BG52" s="281">
        <v>63.139961357881077</v>
      </c>
      <c r="BH52" s="281">
        <v>62.030489446908362</v>
      </c>
      <c r="BI52" s="281">
        <v>17.440785779127147</v>
      </c>
      <c r="BJ52" s="281">
        <v>19.482695986125794</v>
      </c>
      <c r="BK52" s="281">
        <v>35.817977642114968</v>
      </c>
      <c r="BL52" s="281">
        <v>47.048483780607533</v>
      </c>
      <c r="BM52" s="281">
        <v>47.048483780607533</v>
      </c>
      <c r="BN52" s="281">
        <v>55.216124608602122</v>
      </c>
      <c r="BO52" s="281">
        <v>56.237079712101441</v>
      </c>
      <c r="BP52" s="281">
        <v>72.572361368090625</v>
      </c>
      <c r="BR52" s="52">
        <v>2025</v>
      </c>
      <c r="BS52" s="280">
        <f t="shared" si="28"/>
        <v>136.14758570474328</v>
      </c>
      <c r="BT52" s="280">
        <f t="shared" si="29"/>
        <v>115.56638513446691</v>
      </c>
      <c r="BU52" s="280">
        <f t="shared" si="30"/>
        <v>79.936889741526812</v>
      </c>
      <c r="BV52" s="280">
        <f t="shared" si="31"/>
        <v>63.808263983558824</v>
      </c>
      <c r="BW52" s="280">
        <f t="shared" si="32"/>
        <v>21.378755464053111</v>
      </c>
      <c r="BX52" s="280">
        <f t="shared" si="33"/>
        <v>27.796187543191714</v>
      </c>
      <c r="BY52" s="280">
        <f t="shared" si="34"/>
        <v>60.758452313312738</v>
      </c>
      <c r="BZ52" s="280">
        <f t="shared" si="35"/>
        <v>82.927763132155206</v>
      </c>
      <c r="CA52" s="280">
        <f t="shared" si="36"/>
        <v>63.67546689473938</v>
      </c>
      <c r="CB52" s="280">
        <f t="shared" si="37"/>
        <v>59.591646480742078</v>
      </c>
      <c r="CC52" s="280">
        <f t="shared" si="38"/>
        <v>59.737497209813405</v>
      </c>
      <c r="CD52" s="280">
        <f t="shared" si="39"/>
        <v>79.573196363514555</v>
      </c>
    </row>
    <row r="53" spans="1:82">
      <c r="A53" s="48">
        <v>2026</v>
      </c>
      <c r="B53" s="31" cm="1">
        <f t="array" ref="B53">IF(A53&lt;2021,0,SUMPRODUCT(('Project Operational Timelines'!$AO$20:$AO$49=$A53)*('Project Operational Timelines'!$AP$18:$AY$18=$A$4)*('Project Operational Timelines'!$AP$17:$AY$17=$G53)*'Project Operational Timelines'!$AP25:$AY25))</f>
        <v>32.21</v>
      </c>
      <c r="C53" s="84">
        <f t="shared" si="13"/>
        <v>4403.6201321416665</v>
      </c>
      <c r="D53" s="89">
        <f t="shared" si="40"/>
        <v>3162069.96</v>
      </c>
      <c r="E53" s="89"/>
      <c r="F53" s="89" cm="1">
        <f t="array" ref="F53">IF(A53&lt;2021,0,(-(SUMPRODUCT(('Project Operational Timelines'!$AO$20:$AO$49=$A53)*('Project Operational Timelines'!$AP$18:$AY$18=$A$4)*('Project Operational Timelines'!$AP$19:$AY$19="Non-Carve Out")*('Project Operational Timelines'!$AP$17:$AY$17=$G53)*'Project Operational Timelines'!$AP25:$AY25))*1000*('Program Inputs'!$D$14-'Program Inputs'!$D$6)*$F$4*12)+(-(SUMPRODUCT(('Project Operational Timelines'!$AO$20:$AO$49=$A53)*('Project Operational Timelines'!$AP$18:$AY$18=$A$4)*('Project Operational Timelines'!$AP$19:$AY$19="Carve Out")*('Project Operational Timelines'!$AP$17:$AY$17=$G53)*'Project Operational Timelines'!$AP25:$AY25))*1000*('Program Inputs'!$D$14-'Program Inputs'!$D$7)*$F$4*12))</f>
        <v>-36118.5</v>
      </c>
      <c r="G53" s="79">
        <v>1</v>
      </c>
      <c r="H53" s="328">
        <f t="shared" si="27"/>
        <v>2987473.11</v>
      </c>
      <c r="I53" s="69"/>
      <c r="J53" s="69"/>
      <c r="K53" s="309"/>
      <c r="L53" s="75"/>
      <c r="M53">
        <v>8</v>
      </c>
      <c r="N53" s="51">
        <v>2026</v>
      </c>
      <c r="O53" s="18">
        <f t="shared" si="14"/>
        <v>57.064557113079914</v>
      </c>
      <c r="P53" s="18">
        <f t="shared" si="15"/>
        <v>57.339195056876335</v>
      </c>
      <c r="Q53" s="18">
        <f t="shared" si="16"/>
        <v>59.47601222934118</v>
      </c>
      <c r="R53" s="18">
        <f t="shared" si="17"/>
        <v>61.340870852583222</v>
      </c>
      <c r="S53" s="18">
        <f t="shared" si="18"/>
        <v>61.706608211882845</v>
      </c>
      <c r="T53" s="18">
        <f t="shared" si="19"/>
        <v>61.703928817309219</v>
      </c>
      <c r="U53" s="18">
        <f t="shared" si="20"/>
        <v>61.8258412704091</v>
      </c>
      <c r="V53" s="18">
        <f t="shared" si="21"/>
        <v>61.677804720216379</v>
      </c>
      <c r="W53" s="18">
        <f t="shared" si="22"/>
        <v>61.519050591729197</v>
      </c>
      <c r="X53" s="18">
        <f t="shared" si="23"/>
        <v>60.615424771774627</v>
      </c>
      <c r="Y53" s="18">
        <f t="shared" si="24"/>
        <v>57.767228340012707</v>
      </c>
      <c r="Z53" s="18">
        <f t="shared" si="25"/>
        <v>56.024952018513936</v>
      </c>
      <c r="AA53" s="13"/>
      <c r="AB53" s="52">
        <v>2026</v>
      </c>
      <c r="AC53" s="14">
        <f>SUMIFS('Bill Credit Rates'!$K:$K,'Bill Credit Rates'!$A:$A,$A$4,'Bill Credit Rates'!$B:$B,$G53,'Bill Credit Rates'!$C:$C,$M53)</f>
        <v>106.72299999999998</v>
      </c>
      <c r="AD53" s="14">
        <f>SUMIFS('Bill Credit Rates'!$K:$K,'Bill Credit Rates'!$A:$A,$A$4,'Bill Credit Rates'!$B:$B,$G53,'Bill Credit Rates'!$C:$C,$M53)</f>
        <v>106.72299999999998</v>
      </c>
      <c r="AE53" s="14">
        <f>SUMIFS('Bill Credit Rates'!$K:$K,'Bill Credit Rates'!$A:$A,$A$4,'Bill Credit Rates'!$B:$B,$G53,'Bill Credit Rates'!$C:$C,$M53)</f>
        <v>106.72299999999998</v>
      </c>
      <c r="AF53" s="14">
        <f>SUMIFS('Bill Credit Rates'!$K:$K,'Bill Credit Rates'!$A:$A,$A$4,'Bill Credit Rates'!$B:$B,$G53,'Bill Credit Rates'!$C:$C,$M53)</f>
        <v>106.72299999999998</v>
      </c>
      <c r="AG53" s="14">
        <f>SUMIFS('Bill Credit Rates'!$K:$K,'Bill Credit Rates'!$A:$A,$A$4,'Bill Credit Rates'!$B:$B,$G53,'Bill Credit Rates'!$C:$C,$M53)</f>
        <v>106.72299999999998</v>
      </c>
      <c r="AH53" s="14">
        <f>SUMIFS('Bill Credit Rates'!$K:$K,'Bill Credit Rates'!$A:$A,$A$4,'Bill Credit Rates'!$B:$B,$G53,'Bill Credit Rates'!$C:$C,$M53)</f>
        <v>106.72299999999998</v>
      </c>
      <c r="AI53" s="14">
        <f>SUMIFS('Bill Credit Rates'!$K:$K,'Bill Credit Rates'!$A:$A,$A$4,'Bill Credit Rates'!$B:$B,$G53,'Bill Credit Rates'!$C:$C,$M53)</f>
        <v>106.72299999999998</v>
      </c>
      <c r="AJ53" s="14">
        <f>SUMIFS('Bill Credit Rates'!$K:$K,'Bill Credit Rates'!$A:$A,$A$4,'Bill Credit Rates'!$B:$B,$G53,'Bill Credit Rates'!$C:$C,$M53)</f>
        <v>106.72299999999998</v>
      </c>
      <c r="AK53" s="14">
        <f>SUMIFS('Bill Credit Rates'!$K:$K,'Bill Credit Rates'!$A:$A,$A$4,'Bill Credit Rates'!$B:$B,$G53,'Bill Credit Rates'!$C:$C,$M53)</f>
        <v>106.72299999999998</v>
      </c>
      <c r="AL53" s="14">
        <f>SUMIFS('Bill Credit Rates'!$K:$K,'Bill Credit Rates'!$A:$A,$A$4,'Bill Credit Rates'!$B:$B,$G53,'Bill Credit Rates'!$C:$C,$M53)</f>
        <v>106.72299999999998</v>
      </c>
      <c r="AM53" s="14">
        <f>SUMIFS('Bill Credit Rates'!$K:$K,'Bill Credit Rates'!$A:$A,$A$4,'Bill Credit Rates'!$B:$B,$G53,'Bill Credit Rates'!$C:$C,$M53)</f>
        <v>106.72299999999998</v>
      </c>
      <c r="AN53" s="14">
        <f>SUMIFS('Bill Credit Rates'!$K:$K,'Bill Credit Rates'!$A:$A,$A$4,'Bill Credit Rates'!$B:$B,$G53,'Bill Credit Rates'!$C:$C,$M53)</f>
        <v>106.72299999999998</v>
      </c>
      <c r="AP53" s="52">
        <v>2026</v>
      </c>
      <c r="AQ53" s="281">
        <v>54.820028752057169</v>
      </c>
      <c r="AR53" s="281">
        <v>54.545390808260748</v>
      </c>
      <c r="AS53" s="281">
        <v>52.408573635795904</v>
      </c>
      <c r="AT53" s="281">
        <v>50.543715012553861</v>
      </c>
      <c r="AU53" s="281">
        <v>50.177977653254231</v>
      </c>
      <c r="AV53" s="281">
        <v>50.180657047827864</v>
      </c>
      <c r="AW53" s="281">
        <v>50.058744594727983</v>
      </c>
      <c r="AX53" s="281">
        <v>50.206781144920697</v>
      </c>
      <c r="AY53" s="281">
        <v>50.365535273407886</v>
      </c>
      <c r="AZ53" s="281">
        <v>51.269161093362456</v>
      </c>
      <c r="BA53" s="281">
        <v>54.117357525124376</v>
      </c>
      <c r="BB53" s="283">
        <v>55.85963384662314</v>
      </c>
      <c r="BD53" s="52">
        <v>2026</v>
      </c>
      <c r="BE53" s="281">
        <v>18.688927696097497</v>
      </c>
      <c r="BF53" s="281">
        <v>18.414289752301077</v>
      </c>
      <c r="BG53" s="281">
        <v>16.277472579836232</v>
      </c>
      <c r="BH53" s="281">
        <v>14.412613956594189</v>
      </c>
      <c r="BI53" s="281">
        <v>14.04687659729456</v>
      </c>
      <c r="BJ53" s="281">
        <v>14.049555991868186</v>
      </c>
      <c r="BK53" s="281">
        <v>13.927643538768312</v>
      </c>
      <c r="BL53" s="281">
        <v>14.075680088961018</v>
      </c>
      <c r="BM53" s="281">
        <v>14.234434217448214</v>
      </c>
      <c r="BN53" s="281">
        <v>15.138060037402784</v>
      </c>
      <c r="BO53" s="281">
        <v>17.986256469164697</v>
      </c>
      <c r="BP53" s="281">
        <v>19.728532790663461</v>
      </c>
      <c r="BR53" s="52">
        <v>2026</v>
      </c>
      <c r="BS53" s="280">
        <f t="shared" si="28"/>
        <v>49.658442886920071</v>
      </c>
      <c r="BT53" s="280">
        <f t="shared" si="29"/>
        <v>49.38380494312365</v>
      </c>
      <c r="BU53" s="280">
        <f t="shared" si="30"/>
        <v>47.246987770658805</v>
      </c>
      <c r="BV53" s="280">
        <f t="shared" si="31"/>
        <v>45.382129147416762</v>
      </c>
      <c r="BW53" s="280">
        <f t="shared" si="32"/>
        <v>45.01639178811714</v>
      </c>
      <c r="BX53" s="280">
        <f t="shared" si="33"/>
        <v>45.019071182690766</v>
      </c>
      <c r="BY53" s="280">
        <f t="shared" si="34"/>
        <v>44.897158729590885</v>
      </c>
      <c r="BZ53" s="280">
        <f t="shared" si="35"/>
        <v>45.045195279783606</v>
      </c>
      <c r="CA53" s="280">
        <f t="shared" si="36"/>
        <v>45.203949408270788</v>
      </c>
      <c r="CB53" s="280">
        <f t="shared" si="37"/>
        <v>46.107575228225357</v>
      </c>
      <c r="CC53" s="280">
        <f t="shared" si="38"/>
        <v>48.955771659987278</v>
      </c>
      <c r="CD53" s="280">
        <f t="shared" si="39"/>
        <v>50.698047981486049</v>
      </c>
    </row>
    <row r="54" spans="1:82">
      <c r="A54" s="48">
        <v>2027</v>
      </c>
      <c r="B54" s="31" cm="1">
        <f t="array" ref="B54">IF(A54&lt;2021,0,SUMPRODUCT(('Project Operational Timelines'!$AO$20:$AO$49=$A54)*('Project Operational Timelines'!$AP$18:$AY$18=$A$4)*('Project Operational Timelines'!$AP$17:$AY$17=$G54)*'Project Operational Timelines'!$AP26:$AY26))</f>
        <v>32.21</v>
      </c>
      <c r="C54" s="84">
        <f t="shared" si="13"/>
        <v>4403.6201321416665</v>
      </c>
      <c r="D54" s="89">
        <f t="shared" si="40"/>
        <v>3088813.75</v>
      </c>
      <c r="E54" s="89"/>
      <c r="F54" s="89" cm="1">
        <f t="array" ref="F54">IF(A54&lt;2021,0,(-(SUMPRODUCT(('Project Operational Timelines'!$AO$20:$AO$49=$A54)*('Project Operational Timelines'!$AP$18:$AY$18=$A$4)*('Project Operational Timelines'!$AP$19:$AY$19="Non-Carve Out")*('Project Operational Timelines'!$AP$17:$AY$17=$G54)*'Project Operational Timelines'!$AP26:$AY26))*1000*('Program Inputs'!$D$14-'Program Inputs'!$D$6)*$F$4*12)+(-(SUMPRODUCT(('Project Operational Timelines'!$AO$20:$AO$49=$A54)*('Project Operational Timelines'!$AP$18:$AY$18=$A$4)*('Project Operational Timelines'!$AP$19:$AY$19="Carve Out")*('Project Operational Timelines'!$AP$17:$AY$17=$G54)*'Project Operational Timelines'!$AP26:$AY26))*1000*('Program Inputs'!$D$14-'Program Inputs'!$D$7)*$F$4*12))</f>
        <v>-36118.5</v>
      </c>
      <c r="G54" s="79">
        <v>1</v>
      </c>
      <c r="H54" s="328">
        <f t="shared" si="27"/>
        <v>2836550.48</v>
      </c>
      <c r="I54" s="69"/>
      <c r="J54" s="69"/>
      <c r="K54" s="309"/>
      <c r="L54" s="75"/>
      <c r="M54">
        <v>9</v>
      </c>
      <c r="N54" s="51">
        <v>2027</v>
      </c>
      <c r="O54" s="18">
        <f t="shared" si="14"/>
        <v>54.855583628570976</v>
      </c>
      <c r="P54" s="18">
        <f t="shared" si="15"/>
        <v>54.964099108802728</v>
      </c>
      <c r="Q54" s="18">
        <f t="shared" si="16"/>
        <v>57.250292528747082</v>
      </c>
      <c r="R54" s="18">
        <f t="shared" si="17"/>
        <v>60.118584419811171</v>
      </c>
      <c r="S54" s="18">
        <f t="shared" si="18"/>
        <v>60.585468924265093</v>
      </c>
      <c r="T54" s="18">
        <f t="shared" si="19"/>
        <v>60.636377421163935</v>
      </c>
      <c r="U54" s="18">
        <f t="shared" si="20"/>
        <v>60.800490338798383</v>
      </c>
      <c r="V54" s="18">
        <f t="shared" si="21"/>
        <v>60.636377421163935</v>
      </c>
      <c r="W54" s="18">
        <f t="shared" si="22"/>
        <v>60.454178590157532</v>
      </c>
      <c r="X54" s="18">
        <f t="shared" si="23"/>
        <v>59.343569539390536</v>
      </c>
      <c r="Y54" s="18">
        <f t="shared" si="24"/>
        <v>56.7974748458047</v>
      </c>
      <c r="Z54" s="18">
        <f t="shared" si="25"/>
        <v>54.983524719461492</v>
      </c>
      <c r="AA54" s="13"/>
      <c r="AB54" s="52">
        <v>2027</v>
      </c>
      <c r="AC54" s="14">
        <f>SUMIFS('Bill Credit Rates'!$K:$K,'Bill Credit Rates'!$A:$A,$A$4,'Bill Credit Rates'!$B:$B,$G54,'Bill Credit Rates'!$C:$C,$M54)</f>
        <v>106.72299999999998</v>
      </c>
      <c r="AD54" s="14">
        <f>SUMIFS('Bill Credit Rates'!$K:$K,'Bill Credit Rates'!$A:$A,$A$4,'Bill Credit Rates'!$B:$B,$G54,'Bill Credit Rates'!$C:$C,$M54)</f>
        <v>106.72299999999998</v>
      </c>
      <c r="AE54" s="14">
        <f>SUMIFS('Bill Credit Rates'!$K:$K,'Bill Credit Rates'!$A:$A,$A$4,'Bill Credit Rates'!$B:$B,$G54,'Bill Credit Rates'!$C:$C,$M54)</f>
        <v>106.72299999999998</v>
      </c>
      <c r="AF54" s="14">
        <f>SUMIFS('Bill Credit Rates'!$K:$K,'Bill Credit Rates'!$A:$A,$A$4,'Bill Credit Rates'!$B:$B,$G54,'Bill Credit Rates'!$C:$C,$M54)</f>
        <v>106.72299999999998</v>
      </c>
      <c r="AG54" s="14">
        <f>SUMIFS('Bill Credit Rates'!$K:$K,'Bill Credit Rates'!$A:$A,$A$4,'Bill Credit Rates'!$B:$B,$G54,'Bill Credit Rates'!$C:$C,$M54)</f>
        <v>106.72299999999998</v>
      </c>
      <c r="AH54" s="14">
        <f>SUMIFS('Bill Credit Rates'!$K:$K,'Bill Credit Rates'!$A:$A,$A$4,'Bill Credit Rates'!$B:$B,$G54,'Bill Credit Rates'!$C:$C,$M54)</f>
        <v>106.72299999999998</v>
      </c>
      <c r="AI54" s="14">
        <f>SUMIFS('Bill Credit Rates'!$K:$K,'Bill Credit Rates'!$A:$A,$A$4,'Bill Credit Rates'!$B:$B,$G54,'Bill Credit Rates'!$C:$C,$M54)</f>
        <v>106.72299999999998</v>
      </c>
      <c r="AJ54" s="14">
        <f>SUMIFS('Bill Credit Rates'!$K:$K,'Bill Credit Rates'!$A:$A,$A$4,'Bill Credit Rates'!$B:$B,$G54,'Bill Credit Rates'!$C:$C,$M54)</f>
        <v>106.72299999999998</v>
      </c>
      <c r="AK54" s="14">
        <f>SUMIFS('Bill Credit Rates'!$K:$K,'Bill Credit Rates'!$A:$A,$A$4,'Bill Credit Rates'!$B:$B,$G54,'Bill Credit Rates'!$C:$C,$M54)</f>
        <v>106.72299999999998</v>
      </c>
      <c r="AL54" s="14">
        <f>SUMIFS('Bill Credit Rates'!$K:$K,'Bill Credit Rates'!$A:$A,$A$4,'Bill Credit Rates'!$B:$B,$G54,'Bill Credit Rates'!$C:$C,$M54)</f>
        <v>106.72299999999998</v>
      </c>
      <c r="AM54" s="14">
        <f>SUMIFS('Bill Credit Rates'!$K:$K,'Bill Credit Rates'!$A:$A,$A$4,'Bill Credit Rates'!$B:$B,$G54,'Bill Credit Rates'!$C:$C,$M54)</f>
        <v>106.72299999999998</v>
      </c>
      <c r="AN54" s="14">
        <f>SUMIFS('Bill Credit Rates'!$K:$K,'Bill Credit Rates'!$A:$A,$A$4,'Bill Credit Rates'!$B:$B,$G54,'Bill Credit Rates'!$C:$C,$M54)</f>
        <v>106.72299999999998</v>
      </c>
      <c r="AP54" s="52">
        <v>2027</v>
      </c>
      <c r="AQ54" s="281">
        <v>57.139111519336318</v>
      </c>
      <c r="AR54" s="281">
        <v>57.030596039104566</v>
      </c>
      <c r="AS54" s="281">
        <v>54.744402619160205</v>
      </c>
      <c r="AT54" s="281">
        <v>51.876110728096116</v>
      </c>
      <c r="AU54" s="281">
        <v>51.409226223642193</v>
      </c>
      <c r="AV54" s="281">
        <v>51.358317726743351</v>
      </c>
      <c r="AW54" s="281">
        <v>51.194204809108903</v>
      </c>
      <c r="AX54" s="281">
        <v>51.358317726743351</v>
      </c>
      <c r="AY54" s="281">
        <v>51.540516557749754</v>
      </c>
      <c r="AZ54" s="281">
        <v>52.65112560851675</v>
      </c>
      <c r="BA54" s="281">
        <v>55.197220302102593</v>
      </c>
      <c r="BB54" s="283">
        <v>57.011170428445794</v>
      </c>
      <c r="BD54" s="52">
        <v>2027</v>
      </c>
      <c r="BE54" s="281">
        <v>20.237245483985184</v>
      </c>
      <c r="BF54" s="281">
        <v>20.128730003753429</v>
      </c>
      <c r="BG54" s="281">
        <v>17.842536583809071</v>
      </c>
      <c r="BH54" s="281">
        <v>14.97424469274498</v>
      </c>
      <c r="BI54" s="281">
        <v>14.507360188291061</v>
      </c>
      <c r="BJ54" s="281">
        <v>14.456451691392216</v>
      </c>
      <c r="BK54" s="281">
        <v>14.292338773757772</v>
      </c>
      <c r="BL54" s="281">
        <v>14.456451691392216</v>
      </c>
      <c r="BM54" s="281">
        <v>14.638650522398619</v>
      </c>
      <c r="BN54" s="281">
        <v>15.749259573165615</v>
      </c>
      <c r="BO54" s="281">
        <v>18.295354266751463</v>
      </c>
      <c r="BP54" s="281">
        <v>20.109304393094657</v>
      </c>
      <c r="BR54" s="52">
        <v>2027</v>
      </c>
      <c r="BS54" s="280">
        <f t="shared" si="28"/>
        <v>51.867416371429009</v>
      </c>
      <c r="BT54" s="280">
        <f t="shared" si="29"/>
        <v>51.758900891197257</v>
      </c>
      <c r="BU54" s="280">
        <f t="shared" si="30"/>
        <v>49.472707471252903</v>
      </c>
      <c r="BV54" s="280">
        <f t="shared" si="31"/>
        <v>46.604415580188814</v>
      </c>
      <c r="BW54" s="280">
        <f t="shared" si="32"/>
        <v>46.137531075734891</v>
      </c>
      <c r="BX54" s="280">
        <f t="shared" si="33"/>
        <v>46.08662257883605</v>
      </c>
      <c r="BY54" s="280">
        <f t="shared" si="34"/>
        <v>45.922509661201602</v>
      </c>
      <c r="BZ54" s="280">
        <f t="shared" si="35"/>
        <v>46.08662257883605</v>
      </c>
      <c r="CA54" s="280">
        <f t="shared" si="36"/>
        <v>46.268821409842452</v>
      </c>
      <c r="CB54" s="280">
        <f t="shared" si="37"/>
        <v>47.379430460609449</v>
      </c>
      <c r="CC54" s="280">
        <f t="shared" si="38"/>
        <v>49.925525154195284</v>
      </c>
      <c r="CD54" s="280">
        <f t="shared" si="39"/>
        <v>51.739475280538493</v>
      </c>
    </row>
    <row r="55" spans="1:82">
      <c r="A55" s="48">
        <v>2028</v>
      </c>
      <c r="B55" s="31" cm="1">
        <f t="array" ref="B55">IF(A55&lt;2021,0,SUMPRODUCT(('Project Operational Timelines'!$AO$20:$AO$49=$A55)*('Project Operational Timelines'!$AP$18:$AY$18=$A$4)*('Project Operational Timelines'!$AP$17:$AY$17=$G55)*'Project Operational Timelines'!$AP27:$AY27))</f>
        <v>32.21</v>
      </c>
      <c r="C55" s="84">
        <f t="shared" si="13"/>
        <v>4403.6201321416665</v>
      </c>
      <c r="D55" s="89">
        <f t="shared" si="40"/>
        <v>3038280.45</v>
      </c>
      <c r="E55" s="89"/>
      <c r="F55" s="89" cm="1">
        <f t="array" ref="F55">IF(A55&lt;2021,0,(-(SUMPRODUCT(('Project Operational Timelines'!$AO$20:$AO$49=$A55)*('Project Operational Timelines'!$AP$18:$AY$18=$A$4)*('Project Operational Timelines'!$AP$19:$AY$19="Non-Carve Out")*('Project Operational Timelines'!$AP$17:$AY$17=$G55)*'Project Operational Timelines'!$AP27:$AY27))*1000*('Program Inputs'!$D$14-'Program Inputs'!$D$6)*$F$4*12)+(-(SUMPRODUCT(('Project Operational Timelines'!$AO$20:$AO$49=$A55)*('Project Operational Timelines'!$AP$18:$AY$18=$A$4)*('Project Operational Timelines'!$AP$19:$AY$19="Carve Out")*('Project Operational Timelines'!$AP$17:$AY$17=$G55)*'Project Operational Timelines'!$AP27:$AY27))*1000*('Program Inputs'!$D$14-'Program Inputs'!$D$7)*$F$4*12))</f>
        <v>-36118.5</v>
      </c>
      <c r="G55" s="79">
        <v>1</v>
      </c>
      <c r="H55" s="328">
        <f t="shared" si="27"/>
        <v>2712020.19</v>
      </c>
      <c r="I55" s="69"/>
      <c r="J55" s="69"/>
      <c r="K55" s="309"/>
      <c r="L55" s="75"/>
      <c r="M55">
        <v>10</v>
      </c>
      <c r="N55" s="51">
        <v>2028</v>
      </c>
      <c r="O55" s="18">
        <f t="shared" si="14"/>
        <v>53.869157167534418</v>
      </c>
      <c r="P55" s="18">
        <f t="shared" si="15"/>
        <v>53.950208853386528</v>
      </c>
      <c r="Q55" s="18">
        <f t="shared" si="16"/>
        <v>56.744817393675959</v>
      </c>
      <c r="R55" s="18">
        <f t="shared" si="17"/>
        <v>59.041728391914823</v>
      </c>
      <c r="S55" s="18">
        <f t="shared" si="18"/>
        <v>59.558181695980771</v>
      </c>
      <c r="T55" s="18">
        <f t="shared" si="19"/>
        <v>59.590334430864253</v>
      </c>
      <c r="U55" s="18">
        <f t="shared" si="20"/>
        <v>59.628515803538399</v>
      </c>
      <c r="V55" s="18">
        <f t="shared" si="21"/>
        <v>59.449666215749019</v>
      </c>
      <c r="W55" s="18">
        <f t="shared" si="22"/>
        <v>59.326414065362329</v>
      </c>
      <c r="X55" s="18">
        <f t="shared" si="23"/>
        <v>58.355803381067176</v>
      </c>
      <c r="Y55" s="18">
        <f t="shared" si="24"/>
        <v>56.149991798331513</v>
      </c>
      <c r="Z55" s="18">
        <f t="shared" si="25"/>
        <v>54.285803023732882</v>
      </c>
      <c r="AA55" s="13"/>
      <c r="AB55" s="52">
        <v>2028</v>
      </c>
      <c r="AC55" s="14">
        <f>SUMIFS('Bill Credit Rates'!$K:$K,'Bill Credit Rates'!$A:$A,$A$4,'Bill Credit Rates'!$B:$B,$G55,'Bill Credit Rates'!$C:$C,$M55)</f>
        <v>106.72299999999998</v>
      </c>
      <c r="AD55" s="14">
        <f>SUMIFS('Bill Credit Rates'!$K:$K,'Bill Credit Rates'!$A:$A,$A$4,'Bill Credit Rates'!$B:$B,$G55,'Bill Credit Rates'!$C:$C,$M55)</f>
        <v>106.72299999999998</v>
      </c>
      <c r="AE55" s="14">
        <f>SUMIFS('Bill Credit Rates'!$K:$K,'Bill Credit Rates'!$A:$A,$A$4,'Bill Credit Rates'!$B:$B,$G55,'Bill Credit Rates'!$C:$C,$M55)</f>
        <v>106.72299999999998</v>
      </c>
      <c r="AF55" s="14">
        <f>SUMIFS('Bill Credit Rates'!$K:$K,'Bill Credit Rates'!$A:$A,$A$4,'Bill Credit Rates'!$B:$B,$G55,'Bill Credit Rates'!$C:$C,$M55)</f>
        <v>106.72299999999998</v>
      </c>
      <c r="AG55" s="14">
        <f>SUMIFS('Bill Credit Rates'!$K:$K,'Bill Credit Rates'!$A:$A,$A$4,'Bill Credit Rates'!$B:$B,$G55,'Bill Credit Rates'!$C:$C,$M55)</f>
        <v>106.72299999999998</v>
      </c>
      <c r="AH55" s="14">
        <f>SUMIFS('Bill Credit Rates'!$K:$K,'Bill Credit Rates'!$A:$A,$A$4,'Bill Credit Rates'!$B:$B,$G55,'Bill Credit Rates'!$C:$C,$M55)</f>
        <v>106.72299999999998</v>
      </c>
      <c r="AI55" s="14">
        <f>SUMIFS('Bill Credit Rates'!$K:$K,'Bill Credit Rates'!$A:$A,$A$4,'Bill Credit Rates'!$B:$B,$G55,'Bill Credit Rates'!$C:$C,$M55)</f>
        <v>106.72299999999998</v>
      </c>
      <c r="AJ55" s="14">
        <f>SUMIFS('Bill Credit Rates'!$K:$K,'Bill Credit Rates'!$A:$A,$A$4,'Bill Credit Rates'!$B:$B,$G55,'Bill Credit Rates'!$C:$C,$M55)</f>
        <v>106.72299999999998</v>
      </c>
      <c r="AK55" s="14">
        <f>SUMIFS('Bill Credit Rates'!$K:$K,'Bill Credit Rates'!$A:$A,$A$4,'Bill Credit Rates'!$B:$B,$G55,'Bill Credit Rates'!$C:$C,$M55)</f>
        <v>106.72299999999998</v>
      </c>
      <c r="AL55" s="14">
        <f>SUMIFS('Bill Credit Rates'!$K:$K,'Bill Credit Rates'!$A:$A,$A$4,'Bill Credit Rates'!$B:$B,$G55,'Bill Credit Rates'!$C:$C,$M55)</f>
        <v>106.72299999999998</v>
      </c>
      <c r="AM55" s="14">
        <f>SUMIFS('Bill Credit Rates'!$K:$K,'Bill Credit Rates'!$A:$A,$A$4,'Bill Credit Rates'!$B:$B,$G55,'Bill Credit Rates'!$C:$C,$M55)</f>
        <v>106.72299999999998</v>
      </c>
      <c r="AN55" s="14">
        <f>SUMIFS('Bill Credit Rates'!$K:$K,'Bill Credit Rates'!$A:$A,$A$4,'Bill Credit Rates'!$B:$B,$G55,'Bill Credit Rates'!$C:$C,$M55)</f>
        <v>106.72299999999998</v>
      </c>
      <c r="AP55" s="52">
        <v>2028</v>
      </c>
      <c r="AQ55" s="281">
        <v>58.237996164133776</v>
      </c>
      <c r="AR55" s="281">
        <v>58.156944478281666</v>
      </c>
      <c r="AS55" s="281">
        <v>55.362335937992228</v>
      </c>
      <c r="AT55" s="281">
        <v>53.06542493975337</v>
      </c>
      <c r="AU55" s="281">
        <v>52.548971635687423</v>
      </c>
      <c r="AV55" s="281">
        <v>52.516818900803941</v>
      </c>
      <c r="AW55" s="281">
        <v>52.478637528129795</v>
      </c>
      <c r="AX55" s="281">
        <v>52.657487115919174</v>
      </c>
      <c r="AY55" s="281">
        <v>52.780739266305858</v>
      </c>
      <c r="AZ55" s="281">
        <v>53.751349950601018</v>
      </c>
      <c r="BA55" s="281">
        <v>55.957161533336674</v>
      </c>
      <c r="BB55" s="283">
        <v>57.821350307935305</v>
      </c>
      <c r="BD55" s="52">
        <v>2028</v>
      </c>
      <c r="BE55" s="281">
        <v>20.548922842456331</v>
      </c>
      <c r="BF55" s="281">
        <v>20.467871156604218</v>
      </c>
      <c r="BG55" s="281">
        <v>17.673262616314776</v>
      </c>
      <c r="BH55" s="281">
        <v>15.376351618075926</v>
      </c>
      <c r="BI55" s="281">
        <v>14.859898314009971</v>
      </c>
      <c r="BJ55" s="281">
        <v>14.827745579126489</v>
      </c>
      <c r="BK55" s="281">
        <v>14.789564206452351</v>
      </c>
      <c r="BL55" s="281">
        <v>14.968413794241727</v>
      </c>
      <c r="BM55" s="281">
        <v>15.091665944628414</v>
      </c>
      <c r="BN55" s="281">
        <v>16.06227662892357</v>
      </c>
      <c r="BO55" s="281">
        <v>18.268088211659226</v>
      </c>
      <c r="BP55" s="281">
        <v>20.13227698625786</v>
      </c>
      <c r="BR55" s="52">
        <v>2028</v>
      </c>
      <c r="BS55" s="280">
        <f t="shared" si="28"/>
        <v>52.853842832465567</v>
      </c>
      <c r="BT55" s="280">
        <f t="shared" si="29"/>
        <v>52.772791146613457</v>
      </c>
      <c r="BU55" s="280">
        <f t="shared" si="30"/>
        <v>49.978182606324026</v>
      </c>
      <c r="BV55" s="280">
        <f t="shared" si="31"/>
        <v>47.681271608085162</v>
      </c>
      <c r="BW55" s="280">
        <f t="shared" si="32"/>
        <v>47.164818304019214</v>
      </c>
      <c r="BX55" s="280">
        <f t="shared" si="33"/>
        <v>47.132665569135732</v>
      </c>
      <c r="BY55" s="280">
        <f t="shared" si="34"/>
        <v>47.094484196461586</v>
      </c>
      <c r="BZ55" s="280">
        <f t="shared" si="35"/>
        <v>47.273333784250966</v>
      </c>
      <c r="CA55" s="280">
        <f t="shared" si="36"/>
        <v>47.396585934637656</v>
      </c>
      <c r="CB55" s="280">
        <f t="shared" si="37"/>
        <v>48.367196618932809</v>
      </c>
      <c r="CC55" s="280">
        <f t="shared" si="38"/>
        <v>50.573008201668472</v>
      </c>
      <c r="CD55" s="280">
        <f t="shared" si="39"/>
        <v>52.437196976267103</v>
      </c>
    </row>
    <row r="56" spans="1:82">
      <c r="A56" s="48">
        <v>2029</v>
      </c>
      <c r="B56" s="31" cm="1">
        <f t="array" ref="B56">IF(A56&lt;2021,0,SUMPRODUCT(('Project Operational Timelines'!$AO$20:$AO$49=$A56)*('Project Operational Timelines'!$AP$18:$AY$18=$A$4)*('Project Operational Timelines'!$AP$17:$AY$17=$G56)*'Project Operational Timelines'!$AP28:$AY28))</f>
        <v>32.21</v>
      </c>
      <c r="C56" s="84">
        <f t="shared" si="13"/>
        <v>4403.6201321416665</v>
      </c>
      <c r="D56" s="89">
        <f t="shared" si="40"/>
        <v>2959070.51</v>
      </c>
      <c r="E56" s="89"/>
      <c r="F56" s="89" cm="1">
        <f t="array" ref="F56">IF(A56&lt;2021,0,(-(SUMPRODUCT(('Project Operational Timelines'!$AO$20:$AO$49=$A56)*('Project Operational Timelines'!$AP$18:$AY$18=$A$4)*('Project Operational Timelines'!$AP$19:$AY$19="Non-Carve Out")*('Project Operational Timelines'!$AP$17:$AY$17=$G56)*'Project Operational Timelines'!$AP28:$AY28))*1000*('Program Inputs'!$D$14-'Program Inputs'!$D$6)*$F$4*12)+(-(SUMPRODUCT(('Project Operational Timelines'!$AO$20:$AO$49=$A56)*('Project Operational Timelines'!$AP$18:$AY$18=$A$4)*('Project Operational Timelines'!$AP$19:$AY$19="Carve Out")*('Project Operational Timelines'!$AP$17:$AY$17=$G56)*'Project Operational Timelines'!$AP28:$AY28))*1000*('Program Inputs'!$D$14-'Program Inputs'!$D$7)*$F$4*12))</f>
        <v>-36118.5</v>
      </c>
      <c r="G56" s="79">
        <v>1</v>
      </c>
      <c r="H56" s="328">
        <f t="shared" si="27"/>
        <v>2567359.2200000002</v>
      </c>
      <c r="I56" s="69"/>
      <c r="J56" s="69"/>
      <c r="K56" s="309"/>
      <c r="L56" s="75"/>
      <c r="M56">
        <v>11</v>
      </c>
      <c r="N56" s="51">
        <v>2029</v>
      </c>
      <c r="O56" s="18">
        <f t="shared" si="14"/>
        <v>54.038318041529195</v>
      </c>
      <c r="P56" s="18">
        <f t="shared" si="15"/>
        <v>54.469298098813887</v>
      </c>
      <c r="Q56" s="18">
        <f t="shared" si="16"/>
        <v>56.050528465760024</v>
      </c>
      <c r="R56" s="18">
        <f t="shared" si="17"/>
        <v>57.136544671248657</v>
      </c>
      <c r="S56" s="18">
        <f t="shared" si="18"/>
        <v>57.266794896392199</v>
      </c>
      <c r="T56" s="18">
        <f t="shared" si="19"/>
        <v>57.278806661334137</v>
      </c>
      <c r="U56" s="18">
        <f t="shared" si="20"/>
        <v>56.88169432699182</v>
      </c>
      <c r="V56" s="18">
        <f t="shared" si="21"/>
        <v>56.574938237517458</v>
      </c>
      <c r="W56" s="18">
        <f t="shared" si="22"/>
        <v>56.30810590696349</v>
      </c>
      <c r="X56" s="18">
        <f t="shared" si="23"/>
        <v>55.868290995949977</v>
      </c>
      <c r="Y56" s="18">
        <f t="shared" si="24"/>
        <v>55.203086224188723</v>
      </c>
      <c r="Z56" s="18">
        <f t="shared" si="25"/>
        <v>54.88675551675631</v>
      </c>
      <c r="AA56" s="13"/>
      <c r="AB56" s="52">
        <v>2029</v>
      </c>
      <c r="AC56" s="14">
        <f>SUMIFS('Bill Credit Rates'!$K:$K,'Bill Credit Rates'!$A:$A,$A$4,'Bill Credit Rates'!$B:$B,$G56,'Bill Credit Rates'!$C:$C,$M56)</f>
        <v>106.72299999999998</v>
      </c>
      <c r="AD56" s="14">
        <f>SUMIFS('Bill Credit Rates'!$K:$K,'Bill Credit Rates'!$A:$A,$A$4,'Bill Credit Rates'!$B:$B,$G56,'Bill Credit Rates'!$C:$C,$M56)</f>
        <v>106.72299999999998</v>
      </c>
      <c r="AE56" s="14">
        <f>SUMIFS('Bill Credit Rates'!$K:$K,'Bill Credit Rates'!$A:$A,$A$4,'Bill Credit Rates'!$B:$B,$G56,'Bill Credit Rates'!$C:$C,$M56)</f>
        <v>106.72299999999998</v>
      </c>
      <c r="AF56" s="14">
        <f>SUMIFS('Bill Credit Rates'!$K:$K,'Bill Credit Rates'!$A:$A,$A$4,'Bill Credit Rates'!$B:$B,$G56,'Bill Credit Rates'!$C:$C,$M56)</f>
        <v>106.72299999999998</v>
      </c>
      <c r="AG56" s="14">
        <f>SUMIFS('Bill Credit Rates'!$K:$K,'Bill Credit Rates'!$A:$A,$A$4,'Bill Credit Rates'!$B:$B,$G56,'Bill Credit Rates'!$C:$C,$M56)</f>
        <v>106.72299999999998</v>
      </c>
      <c r="AH56" s="14">
        <f>SUMIFS('Bill Credit Rates'!$K:$K,'Bill Credit Rates'!$A:$A,$A$4,'Bill Credit Rates'!$B:$B,$G56,'Bill Credit Rates'!$C:$C,$M56)</f>
        <v>106.72299999999998</v>
      </c>
      <c r="AI56" s="14">
        <f>SUMIFS('Bill Credit Rates'!$K:$K,'Bill Credit Rates'!$A:$A,$A$4,'Bill Credit Rates'!$B:$B,$G56,'Bill Credit Rates'!$C:$C,$M56)</f>
        <v>106.72299999999998</v>
      </c>
      <c r="AJ56" s="14">
        <f>SUMIFS('Bill Credit Rates'!$K:$K,'Bill Credit Rates'!$A:$A,$A$4,'Bill Credit Rates'!$B:$B,$G56,'Bill Credit Rates'!$C:$C,$M56)</f>
        <v>106.72299999999998</v>
      </c>
      <c r="AK56" s="14">
        <f>SUMIFS('Bill Credit Rates'!$K:$K,'Bill Credit Rates'!$A:$A,$A$4,'Bill Credit Rates'!$B:$B,$G56,'Bill Credit Rates'!$C:$C,$M56)</f>
        <v>106.72299999999998</v>
      </c>
      <c r="AL56" s="14">
        <f>SUMIFS('Bill Credit Rates'!$K:$K,'Bill Credit Rates'!$A:$A,$A$4,'Bill Credit Rates'!$B:$B,$G56,'Bill Credit Rates'!$C:$C,$M56)</f>
        <v>106.72299999999998</v>
      </c>
      <c r="AM56" s="14">
        <f>SUMIFS('Bill Credit Rates'!$K:$K,'Bill Credit Rates'!$A:$A,$A$4,'Bill Credit Rates'!$B:$B,$G56,'Bill Credit Rates'!$C:$C,$M56)</f>
        <v>106.72299999999998</v>
      </c>
      <c r="AN56" s="14">
        <f>SUMIFS('Bill Credit Rates'!$K:$K,'Bill Credit Rates'!$A:$A,$A$4,'Bill Credit Rates'!$B:$B,$G56,'Bill Credit Rates'!$C:$C,$M56)</f>
        <v>106.72299999999998</v>
      </c>
      <c r="AP56" s="52">
        <v>2029</v>
      </c>
      <c r="AQ56" s="281">
        <v>58.183692482708253</v>
      </c>
      <c r="AR56" s="281">
        <v>57.752712425423567</v>
      </c>
      <c r="AS56" s="281">
        <v>56.171482058477423</v>
      </c>
      <c r="AT56" s="281">
        <v>55.08546585298879</v>
      </c>
      <c r="AU56" s="281">
        <v>54.955215627845256</v>
      </c>
      <c r="AV56" s="281">
        <v>54.943203862903317</v>
      </c>
      <c r="AW56" s="281">
        <v>55.340316197245627</v>
      </c>
      <c r="AX56" s="281">
        <v>55.647072286719997</v>
      </c>
      <c r="AY56" s="281">
        <v>55.913904617273957</v>
      </c>
      <c r="AZ56" s="281">
        <v>56.353719528287471</v>
      </c>
      <c r="BA56" s="281">
        <v>57.018924300048738</v>
      </c>
      <c r="BB56" s="283">
        <v>57.335255007481138</v>
      </c>
      <c r="BD56" s="52">
        <v>2029</v>
      </c>
      <c r="BE56" s="281">
        <v>19.690618813045987</v>
      </c>
      <c r="BF56" s="281">
        <v>19.259638755761301</v>
      </c>
      <c r="BG56" s="281">
        <v>17.678408388815154</v>
      </c>
      <c r="BH56" s="281">
        <v>16.592392183326524</v>
      </c>
      <c r="BI56" s="281">
        <v>16.46214195818299</v>
      </c>
      <c r="BJ56" s="281">
        <v>16.450130193241048</v>
      </c>
      <c r="BK56" s="281">
        <v>16.847242527583361</v>
      </c>
      <c r="BL56" s="281">
        <v>17.153998617057731</v>
      </c>
      <c r="BM56" s="281">
        <v>17.420830947611687</v>
      </c>
      <c r="BN56" s="281">
        <v>17.860645858625208</v>
      </c>
      <c r="BO56" s="281">
        <v>18.525850630386476</v>
      </c>
      <c r="BP56" s="281">
        <v>18.842181337818868</v>
      </c>
      <c r="BR56" s="52">
        <v>2029</v>
      </c>
      <c r="BS56" s="280">
        <f t="shared" si="28"/>
        <v>52.68468195847079</v>
      </c>
      <c r="BT56" s="280">
        <f t="shared" si="29"/>
        <v>52.253701901186098</v>
      </c>
      <c r="BU56" s="280">
        <f t="shared" si="30"/>
        <v>50.672471534239961</v>
      </c>
      <c r="BV56" s="280">
        <f t="shared" si="31"/>
        <v>49.586455328751327</v>
      </c>
      <c r="BW56" s="280">
        <f t="shared" si="32"/>
        <v>49.456205103607786</v>
      </c>
      <c r="BX56" s="280">
        <f t="shared" si="33"/>
        <v>49.444193338665848</v>
      </c>
      <c r="BY56" s="280">
        <f t="shared" si="34"/>
        <v>49.841305673008165</v>
      </c>
      <c r="BZ56" s="280">
        <f t="shared" si="35"/>
        <v>50.148061762482527</v>
      </c>
      <c r="CA56" s="280">
        <f t="shared" si="36"/>
        <v>50.414894093036494</v>
      </c>
      <c r="CB56" s="280">
        <f t="shared" si="37"/>
        <v>50.854709004050008</v>
      </c>
      <c r="CC56" s="280">
        <f t="shared" si="38"/>
        <v>51.519913775811261</v>
      </c>
      <c r="CD56" s="280">
        <f t="shared" si="39"/>
        <v>51.836244483243675</v>
      </c>
    </row>
    <row r="57" spans="1:82">
      <c r="A57" s="48">
        <v>2030</v>
      </c>
      <c r="B57" s="31" cm="1">
        <f t="array" ref="B57">IF(A57&lt;2021,0,SUMPRODUCT(('Project Operational Timelines'!$AO$20:$AO$49=$A57)*('Project Operational Timelines'!$AP$18:$AY$18=$A$4)*('Project Operational Timelines'!$AP$17:$AY$17=$G57)*'Project Operational Timelines'!$AP29:$AY29))</f>
        <v>32.21</v>
      </c>
      <c r="C57" s="84">
        <f t="shared" si="13"/>
        <v>4403.6201321416665</v>
      </c>
      <c r="D57" s="89">
        <f t="shared" si="40"/>
        <v>2888738.7</v>
      </c>
      <c r="E57" s="89"/>
      <c r="F57" s="89" cm="1">
        <f t="array" ref="F57">IF(A57&lt;2021,0,(-(SUMPRODUCT(('Project Operational Timelines'!$AO$20:$AO$49=$A57)*('Project Operational Timelines'!$AP$18:$AY$18=$A$4)*('Project Operational Timelines'!$AP$19:$AY$19="Non-Carve Out")*('Project Operational Timelines'!$AP$17:$AY$17=$G57)*'Project Operational Timelines'!$AP29:$AY29))*1000*('Program Inputs'!$D$14-'Program Inputs'!$D$6)*$F$4*12)+(-(SUMPRODUCT(('Project Operational Timelines'!$AO$20:$AO$49=$A57)*('Project Operational Timelines'!$AP$18:$AY$18=$A$4)*('Project Operational Timelines'!$AP$19:$AY$19="Carve Out")*('Project Operational Timelines'!$AP$17:$AY$17=$G57)*'Project Operational Timelines'!$AP29:$AY29))*1000*('Program Inputs'!$D$14-'Program Inputs'!$D$7)*$F$4*12))</f>
        <v>-36118.5</v>
      </c>
      <c r="G57" s="79">
        <v>1</v>
      </c>
      <c r="H57" s="328">
        <f t="shared" si="27"/>
        <v>2436160.23</v>
      </c>
      <c r="I57" s="69"/>
      <c r="J57" s="69"/>
      <c r="K57" s="309"/>
      <c r="L57" s="75"/>
      <c r="M57">
        <v>12</v>
      </c>
      <c r="N57" s="15">
        <v>2030</v>
      </c>
      <c r="O57" s="18">
        <f t="shared" si="14"/>
        <v>53.408664810245156</v>
      </c>
      <c r="P57" s="18">
        <f t="shared" si="15"/>
        <v>53.363905182737192</v>
      </c>
      <c r="Q57" s="18">
        <f t="shared" si="16"/>
        <v>54.805715938921125</v>
      </c>
      <c r="R57" s="18">
        <f t="shared" si="17"/>
        <v>55.659308983384747</v>
      </c>
      <c r="S57" s="18">
        <f t="shared" si="18"/>
        <v>55.56377705081028</v>
      </c>
      <c r="T57" s="18">
        <f t="shared" si="19"/>
        <v>55.687270404122259</v>
      </c>
      <c r="U57" s="18">
        <f t="shared" si="20"/>
        <v>55.405087302969129</v>
      </c>
      <c r="V57" s="18">
        <f t="shared" si="21"/>
        <v>55.552559654220097</v>
      </c>
      <c r="W57" s="18">
        <f t="shared" si="22"/>
        <v>55.221551635219249</v>
      </c>
      <c r="X57" s="18">
        <f t="shared" si="23"/>
        <v>54.837430303112235</v>
      </c>
      <c r="Y57" s="18">
        <f t="shared" si="24"/>
        <v>53.559289315275841</v>
      </c>
      <c r="Z57" s="18">
        <f t="shared" si="25"/>
        <v>52.927241048673253</v>
      </c>
      <c r="AA57" s="13"/>
      <c r="AB57" s="52">
        <v>2030</v>
      </c>
      <c r="AC57" s="14">
        <f>SUMIFS('Bill Credit Rates'!$K:$K,'Bill Credit Rates'!$A:$A,$A$4,'Bill Credit Rates'!$B:$B,$G57,'Bill Credit Rates'!$C:$C,$M57)</f>
        <v>106.72299999999998</v>
      </c>
      <c r="AD57" s="14">
        <f>SUMIFS('Bill Credit Rates'!$K:$K,'Bill Credit Rates'!$A:$A,$A$4,'Bill Credit Rates'!$B:$B,$G57,'Bill Credit Rates'!$C:$C,$M57)</f>
        <v>106.72299999999998</v>
      </c>
      <c r="AE57" s="14">
        <f>SUMIFS('Bill Credit Rates'!$K:$K,'Bill Credit Rates'!$A:$A,$A$4,'Bill Credit Rates'!$B:$B,$G57,'Bill Credit Rates'!$C:$C,$M57)</f>
        <v>106.72299999999998</v>
      </c>
      <c r="AF57" s="14">
        <f>SUMIFS('Bill Credit Rates'!$K:$K,'Bill Credit Rates'!$A:$A,$A$4,'Bill Credit Rates'!$B:$B,$G57,'Bill Credit Rates'!$C:$C,$M57)</f>
        <v>106.72299999999998</v>
      </c>
      <c r="AG57" s="14">
        <f>SUMIFS('Bill Credit Rates'!$K:$K,'Bill Credit Rates'!$A:$A,$A$4,'Bill Credit Rates'!$B:$B,$G57,'Bill Credit Rates'!$C:$C,$M57)</f>
        <v>106.72299999999998</v>
      </c>
      <c r="AH57" s="14">
        <f>SUMIFS('Bill Credit Rates'!$K:$K,'Bill Credit Rates'!$A:$A,$A$4,'Bill Credit Rates'!$B:$B,$G57,'Bill Credit Rates'!$C:$C,$M57)</f>
        <v>106.72299999999998</v>
      </c>
      <c r="AI57" s="14">
        <f>SUMIFS('Bill Credit Rates'!$K:$K,'Bill Credit Rates'!$A:$A,$A$4,'Bill Credit Rates'!$B:$B,$G57,'Bill Credit Rates'!$C:$C,$M57)</f>
        <v>106.72299999999998</v>
      </c>
      <c r="AJ57" s="14">
        <f>SUMIFS('Bill Credit Rates'!$K:$K,'Bill Credit Rates'!$A:$A,$A$4,'Bill Credit Rates'!$B:$B,$G57,'Bill Credit Rates'!$C:$C,$M57)</f>
        <v>106.72299999999998</v>
      </c>
      <c r="AK57" s="14">
        <f>SUMIFS('Bill Credit Rates'!$K:$K,'Bill Credit Rates'!$A:$A,$A$4,'Bill Credit Rates'!$B:$B,$G57,'Bill Credit Rates'!$C:$C,$M57)</f>
        <v>106.72299999999998</v>
      </c>
      <c r="AL57" s="14">
        <f>SUMIFS('Bill Credit Rates'!$K:$K,'Bill Credit Rates'!$A:$A,$A$4,'Bill Credit Rates'!$B:$B,$G57,'Bill Credit Rates'!$C:$C,$M57)</f>
        <v>106.72299999999998</v>
      </c>
      <c r="AM57" s="14">
        <f>SUMIFS('Bill Credit Rates'!$K:$K,'Bill Credit Rates'!$A:$A,$A$4,'Bill Credit Rates'!$B:$B,$G57,'Bill Credit Rates'!$C:$C,$M57)</f>
        <v>106.72299999999998</v>
      </c>
      <c r="AN57" s="14">
        <f>SUMIFS('Bill Credit Rates'!$K:$K,'Bill Credit Rates'!$A:$A,$A$4,'Bill Credit Rates'!$B:$B,$G57,'Bill Credit Rates'!$C:$C,$M57)</f>
        <v>106.72299999999998</v>
      </c>
      <c r="AP57" s="52">
        <v>2030</v>
      </c>
      <c r="AQ57" s="281">
        <v>58.930653092110191</v>
      </c>
      <c r="AR57" s="281">
        <v>58.975412719618149</v>
      </c>
      <c r="AS57" s="281">
        <v>57.533601963434222</v>
      </c>
      <c r="AT57" s="281">
        <v>56.6800089189706</v>
      </c>
      <c r="AU57" s="281">
        <v>56.775540851545074</v>
      </c>
      <c r="AV57" s="281">
        <v>56.652047498233088</v>
      </c>
      <c r="AW57" s="281">
        <v>56.934230599386225</v>
      </c>
      <c r="AX57" s="281">
        <v>56.78675824813525</v>
      </c>
      <c r="AY57" s="281">
        <v>57.117766267136105</v>
      </c>
      <c r="AZ57" s="281">
        <v>57.501887599243112</v>
      </c>
      <c r="BA57" s="281">
        <v>58.780028587079514</v>
      </c>
      <c r="BB57" s="283">
        <v>59.412076853682095</v>
      </c>
      <c r="BD57" s="52">
        <v>2030</v>
      </c>
      <c r="BE57" s="281">
        <v>19.616427775622661</v>
      </c>
      <c r="BF57" s="281">
        <v>19.661187403130615</v>
      </c>
      <c r="BG57" s="281">
        <v>18.219376646946689</v>
      </c>
      <c r="BH57" s="281">
        <v>17.365783602483067</v>
      </c>
      <c r="BI57" s="281">
        <v>17.461315535057544</v>
      </c>
      <c r="BJ57" s="281">
        <v>17.337822181745562</v>
      </c>
      <c r="BK57" s="281">
        <v>17.620005282898695</v>
      </c>
      <c r="BL57" s="281">
        <v>17.47253293164772</v>
      </c>
      <c r="BM57" s="281">
        <v>17.803540950648578</v>
      </c>
      <c r="BN57" s="281">
        <v>18.187662282755582</v>
      </c>
      <c r="BO57" s="281">
        <v>19.46580327059198</v>
      </c>
      <c r="BP57" s="281">
        <v>20.097851537194565</v>
      </c>
      <c r="BR57" s="52">
        <v>2030</v>
      </c>
      <c r="BS57" s="280">
        <f t="shared" si="28"/>
        <v>53.314335189754829</v>
      </c>
      <c r="BT57" s="280">
        <f t="shared" si="29"/>
        <v>53.359094817262793</v>
      </c>
      <c r="BU57" s="280">
        <f t="shared" si="30"/>
        <v>51.91728406107886</v>
      </c>
      <c r="BV57" s="280">
        <f t="shared" si="31"/>
        <v>51.063691016615238</v>
      </c>
      <c r="BW57" s="280">
        <f t="shared" si="32"/>
        <v>51.159222949189704</v>
      </c>
      <c r="BX57" s="280">
        <f t="shared" si="33"/>
        <v>51.035729595877726</v>
      </c>
      <c r="BY57" s="280">
        <f t="shared" si="34"/>
        <v>51.317912697030856</v>
      </c>
      <c r="BZ57" s="280">
        <f t="shared" si="35"/>
        <v>51.170440345779888</v>
      </c>
      <c r="CA57" s="280">
        <f t="shared" si="36"/>
        <v>51.501448364780735</v>
      </c>
      <c r="CB57" s="280">
        <f t="shared" si="37"/>
        <v>51.88556969688775</v>
      </c>
      <c r="CC57" s="280">
        <f t="shared" si="38"/>
        <v>53.163710684724144</v>
      </c>
      <c r="CD57" s="280">
        <f t="shared" si="39"/>
        <v>53.795758951326732</v>
      </c>
    </row>
    <row r="58" spans="1:82">
      <c r="A58" s="48">
        <v>2031</v>
      </c>
      <c r="B58" s="31" cm="1">
        <f t="array" ref="B58">IF(A58&lt;2021,0,SUMPRODUCT(('Project Operational Timelines'!$AO$20:$AO$49=$A58)*('Project Operational Timelines'!$AP$18:$AY$18=$A$4)*('Project Operational Timelines'!$AP$17:$AY$17=$G58)*'Project Operational Timelines'!$AP30:$AY30))</f>
        <v>32.21</v>
      </c>
      <c r="C58" s="84">
        <f t="shared" si="13"/>
        <v>4403.6201321416665</v>
      </c>
      <c r="D58" s="89">
        <f t="shared" si="40"/>
        <v>2864872.22</v>
      </c>
      <c r="E58" s="89"/>
      <c r="F58" s="89" cm="1">
        <f t="array" ref="F58">IF(A58&lt;2021,0,(-(SUMPRODUCT(('Project Operational Timelines'!$AO$20:$AO$49=$A58)*('Project Operational Timelines'!$AP$18:$AY$18=$A$4)*('Project Operational Timelines'!$AP$19:$AY$19="Non-Carve Out")*('Project Operational Timelines'!$AP$17:$AY$17=$G58)*'Project Operational Timelines'!$AP30:$AY30))*1000*('Program Inputs'!$D$14-'Program Inputs'!$D$6)*$F$4*12)+(-(SUMPRODUCT(('Project Operational Timelines'!$AO$20:$AO$49=$A58)*('Project Operational Timelines'!$AP$18:$AY$18=$A$4)*('Project Operational Timelines'!$AP$19:$AY$19="Carve Out")*('Project Operational Timelines'!$AP$17:$AY$17=$G58)*'Project Operational Timelines'!$AP30:$AY30))*1000*('Program Inputs'!$D$14-'Program Inputs'!$D$7)*$F$4*12))</f>
        <v>-36118.5</v>
      </c>
      <c r="G58" s="79">
        <v>1</v>
      </c>
      <c r="H58" s="328">
        <f t="shared" si="27"/>
        <v>2348383.9900000002</v>
      </c>
      <c r="I58" s="69"/>
      <c r="J58" s="69"/>
      <c r="K58" s="309"/>
      <c r="L58" s="75"/>
      <c r="M58">
        <v>13</v>
      </c>
      <c r="N58" s="52">
        <v>2031</v>
      </c>
      <c r="O58" s="18">
        <f t="shared" si="14"/>
        <v>52.091384128267741</v>
      </c>
      <c r="P58" s="18">
        <f t="shared" si="15"/>
        <v>52.094944044573452</v>
      </c>
      <c r="Q58" s="18">
        <f t="shared" si="16"/>
        <v>54.818617995285571</v>
      </c>
      <c r="R58" s="18">
        <f t="shared" si="17"/>
        <v>55.436951384713204</v>
      </c>
      <c r="S58" s="18">
        <f t="shared" si="18"/>
        <v>55.584607402769848</v>
      </c>
      <c r="T58" s="18">
        <f t="shared" si="19"/>
        <v>55.699997793369398</v>
      </c>
      <c r="U58" s="18">
        <f t="shared" si="20"/>
        <v>55.18096422791627</v>
      </c>
      <c r="V58" s="18">
        <f t="shared" si="21"/>
        <v>55.077623030079238</v>
      </c>
      <c r="W58" s="18">
        <f t="shared" si="22"/>
        <v>55.121454798511749</v>
      </c>
      <c r="X58" s="18">
        <f t="shared" si="23"/>
        <v>54.807659256062294</v>
      </c>
      <c r="Y58" s="18">
        <f t="shared" si="24"/>
        <v>52.753013624740156</v>
      </c>
      <c r="Z58" s="18">
        <f t="shared" si="25"/>
        <v>51.904843238463172</v>
      </c>
      <c r="AA58" s="13"/>
      <c r="AB58" s="52">
        <v>2031</v>
      </c>
      <c r="AC58" s="14">
        <f>SUMIFS('Bill Credit Rates'!$K:$K,'Bill Credit Rates'!$A:$A,$A$4,'Bill Credit Rates'!$B:$B,$G58,'Bill Credit Rates'!$C:$C,$M58)</f>
        <v>106.72299999999998</v>
      </c>
      <c r="AD58" s="14">
        <f>SUMIFS('Bill Credit Rates'!$K:$K,'Bill Credit Rates'!$A:$A,$A$4,'Bill Credit Rates'!$B:$B,$G58,'Bill Credit Rates'!$C:$C,$M58)</f>
        <v>106.72299999999998</v>
      </c>
      <c r="AE58" s="14">
        <f>SUMIFS('Bill Credit Rates'!$K:$K,'Bill Credit Rates'!$A:$A,$A$4,'Bill Credit Rates'!$B:$B,$G58,'Bill Credit Rates'!$C:$C,$M58)</f>
        <v>106.72299999999998</v>
      </c>
      <c r="AF58" s="14">
        <f>SUMIFS('Bill Credit Rates'!$K:$K,'Bill Credit Rates'!$A:$A,$A$4,'Bill Credit Rates'!$B:$B,$G58,'Bill Credit Rates'!$C:$C,$M58)</f>
        <v>106.72299999999998</v>
      </c>
      <c r="AG58" s="14">
        <f>SUMIFS('Bill Credit Rates'!$K:$K,'Bill Credit Rates'!$A:$A,$A$4,'Bill Credit Rates'!$B:$B,$G58,'Bill Credit Rates'!$C:$C,$M58)</f>
        <v>106.72299999999998</v>
      </c>
      <c r="AH58" s="14">
        <f>SUMIFS('Bill Credit Rates'!$K:$K,'Bill Credit Rates'!$A:$A,$A$4,'Bill Credit Rates'!$B:$B,$G58,'Bill Credit Rates'!$C:$C,$M58)</f>
        <v>106.72299999999998</v>
      </c>
      <c r="AI58" s="14">
        <f>SUMIFS('Bill Credit Rates'!$K:$K,'Bill Credit Rates'!$A:$A,$A$4,'Bill Credit Rates'!$B:$B,$G58,'Bill Credit Rates'!$C:$C,$M58)</f>
        <v>106.72299999999998</v>
      </c>
      <c r="AJ58" s="14">
        <f>SUMIFS('Bill Credit Rates'!$K:$K,'Bill Credit Rates'!$A:$A,$A$4,'Bill Credit Rates'!$B:$B,$G58,'Bill Credit Rates'!$C:$C,$M58)</f>
        <v>106.72299999999998</v>
      </c>
      <c r="AK58" s="14">
        <f>SUMIFS('Bill Credit Rates'!$K:$K,'Bill Credit Rates'!$A:$A,$A$4,'Bill Credit Rates'!$B:$B,$G58,'Bill Credit Rates'!$C:$C,$M58)</f>
        <v>106.72299999999998</v>
      </c>
      <c r="AL58" s="14">
        <f>SUMIFS('Bill Credit Rates'!$K:$K,'Bill Credit Rates'!$A:$A,$A$4,'Bill Credit Rates'!$B:$B,$G58,'Bill Credit Rates'!$C:$C,$M58)</f>
        <v>106.72299999999998</v>
      </c>
      <c r="AM58" s="14">
        <f>SUMIFS('Bill Credit Rates'!$K:$K,'Bill Credit Rates'!$A:$A,$A$4,'Bill Credit Rates'!$B:$B,$G58,'Bill Credit Rates'!$C:$C,$M58)</f>
        <v>106.72299999999998</v>
      </c>
      <c r="AN58" s="14">
        <f>SUMIFS('Bill Credit Rates'!$K:$K,'Bill Credit Rates'!$A:$A,$A$4,'Bill Credit Rates'!$B:$B,$G58,'Bill Credit Rates'!$C:$C,$M58)</f>
        <v>106.72299999999998</v>
      </c>
      <c r="AP58" s="52">
        <v>2031</v>
      </c>
      <c r="AQ58" s="281">
        <v>60.367743606219776</v>
      </c>
      <c r="AR58" s="281">
        <v>60.364183689914057</v>
      </c>
      <c r="AS58" s="281">
        <v>57.640509739201939</v>
      </c>
      <c r="AT58" s="281">
        <v>57.022176349774313</v>
      </c>
      <c r="AU58" s="281">
        <v>56.874520331717662</v>
      </c>
      <c r="AV58" s="281">
        <v>56.759129941118118</v>
      </c>
      <c r="AW58" s="281">
        <v>57.278163506571232</v>
      </c>
      <c r="AX58" s="281">
        <v>57.381504704408272</v>
      </c>
      <c r="AY58" s="281">
        <v>57.337672935975768</v>
      </c>
      <c r="AZ58" s="281">
        <v>57.651468478425215</v>
      </c>
      <c r="BA58" s="281">
        <v>59.706114109747354</v>
      </c>
      <c r="BB58" s="283">
        <v>60.554284496024337</v>
      </c>
      <c r="BD58" s="52">
        <v>2031</v>
      </c>
      <c r="BE58" s="281">
        <v>20.214849464807092</v>
      </c>
      <c r="BF58" s="281">
        <v>20.211289548501366</v>
      </c>
      <c r="BG58" s="281">
        <v>17.487615597789251</v>
      </c>
      <c r="BH58" s="281">
        <v>16.869282208361629</v>
      </c>
      <c r="BI58" s="281">
        <v>16.721626190304978</v>
      </c>
      <c r="BJ58" s="281">
        <v>16.606235799705427</v>
      </c>
      <c r="BK58" s="281">
        <v>17.125269365158548</v>
      </c>
      <c r="BL58" s="281">
        <v>17.228610562995581</v>
      </c>
      <c r="BM58" s="281">
        <v>17.18477879456308</v>
      </c>
      <c r="BN58" s="281">
        <v>17.498574337012531</v>
      </c>
      <c r="BO58" s="281">
        <v>19.553219968334666</v>
      </c>
      <c r="BP58" s="281">
        <v>20.40139035461165</v>
      </c>
      <c r="BR58" s="52">
        <v>2031</v>
      </c>
      <c r="BS58" s="280">
        <f t="shared" si="28"/>
        <v>54.631615871732244</v>
      </c>
      <c r="BT58" s="280">
        <f t="shared" si="29"/>
        <v>54.628055955426532</v>
      </c>
      <c r="BU58" s="280">
        <f t="shared" si="30"/>
        <v>51.904382004714414</v>
      </c>
      <c r="BV58" s="280">
        <f t="shared" si="31"/>
        <v>51.286048615286781</v>
      </c>
      <c r="BW58" s="280">
        <f t="shared" si="32"/>
        <v>51.138392597230137</v>
      </c>
      <c r="BX58" s="280">
        <f t="shared" si="33"/>
        <v>51.023002206630586</v>
      </c>
      <c r="BY58" s="280">
        <f t="shared" si="34"/>
        <v>51.542035772083715</v>
      </c>
      <c r="BZ58" s="280">
        <f t="shared" si="35"/>
        <v>51.645376969920747</v>
      </c>
      <c r="CA58" s="280">
        <f t="shared" si="36"/>
        <v>51.601545201488236</v>
      </c>
      <c r="CB58" s="280">
        <f t="shared" si="37"/>
        <v>51.915340743937691</v>
      </c>
      <c r="CC58" s="280">
        <f t="shared" si="38"/>
        <v>53.969986375259829</v>
      </c>
      <c r="CD58" s="280">
        <f t="shared" si="39"/>
        <v>54.818156761536812</v>
      </c>
    </row>
    <row r="59" spans="1:82">
      <c r="A59" s="48">
        <v>2032</v>
      </c>
      <c r="B59" s="31" cm="1">
        <f t="array" ref="B59">IF(A59&lt;2021,0,SUMPRODUCT(('Project Operational Timelines'!$AO$20:$AO$49=$A59)*('Project Operational Timelines'!$AP$18:$AY$18=$A$4)*('Project Operational Timelines'!$AP$17:$AY$17=$G59)*'Project Operational Timelines'!$AP31:$AY31))</f>
        <v>32.21</v>
      </c>
      <c r="C59" s="84">
        <f t="shared" si="13"/>
        <v>4403.6201321416665</v>
      </c>
      <c r="D59" s="89">
        <f t="shared" si="40"/>
        <v>2791596.41</v>
      </c>
      <c r="E59" s="89"/>
      <c r="F59" s="89" cm="1">
        <f t="array" ref="F59">IF(A59&lt;2021,0,(-(SUMPRODUCT(('Project Operational Timelines'!$AO$20:$AO$49=$A59)*('Project Operational Timelines'!$AP$18:$AY$18=$A$4)*('Project Operational Timelines'!$AP$19:$AY$19="Non-Carve Out")*('Project Operational Timelines'!$AP$17:$AY$17=$G59)*'Project Operational Timelines'!$AP31:$AY31))*1000*('Program Inputs'!$D$14-'Program Inputs'!$D$6)*$F$4*12)+(-(SUMPRODUCT(('Project Operational Timelines'!$AO$20:$AO$49=$A59)*('Project Operational Timelines'!$AP$18:$AY$18=$A$4)*('Project Operational Timelines'!$AP$19:$AY$19="Carve Out")*('Project Operational Timelines'!$AP$17:$AY$17=$G59)*'Project Operational Timelines'!$AP31:$AY31))*1000*('Program Inputs'!$D$14-'Program Inputs'!$D$7)*$F$4*12))</f>
        <v>-36118.5</v>
      </c>
      <c r="G59" s="79">
        <v>1</v>
      </c>
      <c r="H59" s="328">
        <f t="shared" si="27"/>
        <v>2224245.65</v>
      </c>
      <c r="I59" s="69"/>
      <c r="J59" s="69"/>
      <c r="K59" s="309"/>
      <c r="L59" s="75"/>
      <c r="M59">
        <v>14</v>
      </c>
      <c r="N59" s="52">
        <v>2032</v>
      </c>
      <c r="O59" s="18">
        <f t="shared" si="14"/>
        <v>51.824684021975195</v>
      </c>
      <c r="P59" s="18">
        <f t="shared" si="15"/>
        <v>51.376882419973136</v>
      </c>
      <c r="Q59" s="18">
        <f t="shared" si="16"/>
        <v>53.52195670005807</v>
      </c>
      <c r="R59" s="18">
        <f t="shared" si="17"/>
        <v>54.805833568452378</v>
      </c>
      <c r="S59" s="18">
        <f t="shared" si="18"/>
        <v>54.89540218209526</v>
      </c>
      <c r="T59" s="18">
        <f t="shared" si="19"/>
        <v>54.644136073190325</v>
      </c>
      <c r="U59" s="18">
        <f t="shared" si="20"/>
        <v>53.626776905593324</v>
      </c>
      <c r="V59" s="18">
        <f t="shared" si="21"/>
        <v>53.51721838786397</v>
      </c>
      <c r="W59" s="18">
        <f t="shared" si="22"/>
        <v>52.964904387211021</v>
      </c>
      <c r="X59" s="18">
        <f t="shared" si="23"/>
        <v>52.160778837474595</v>
      </c>
      <c r="Y59" s="18">
        <f t="shared" si="24"/>
        <v>50.623167025683109</v>
      </c>
      <c r="Z59" s="18">
        <f t="shared" si="25"/>
        <v>49.970417074029264</v>
      </c>
      <c r="AA59" s="13"/>
      <c r="AB59" s="52">
        <v>2032</v>
      </c>
      <c r="AC59" s="14">
        <f>SUMIFS('Bill Credit Rates'!$K:$K,'Bill Credit Rates'!$A:$A,$A$4,'Bill Credit Rates'!$B:$B,$G59,'Bill Credit Rates'!$C:$C,$M59)</f>
        <v>106.72299999999998</v>
      </c>
      <c r="AD59" s="14">
        <f>SUMIFS('Bill Credit Rates'!$K:$K,'Bill Credit Rates'!$A:$A,$A$4,'Bill Credit Rates'!$B:$B,$G59,'Bill Credit Rates'!$C:$C,$M59)</f>
        <v>106.72299999999998</v>
      </c>
      <c r="AE59" s="14">
        <f>SUMIFS('Bill Credit Rates'!$K:$K,'Bill Credit Rates'!$A:$A,$A$4,'Bill Credit Rates'!$B:$B,$G59,'Bill Credit Rates'!$C:$C,$M59)</f>
        <v>106.72299999999998</v>
      </c>
      <c r="AF59" s="14">
        <f>SUMIFS('Bill Credit Rates'!$K:$K,'Bill Credit Rates'!$A:$A,$A$4,'Bill Credit Rates'!$B:$B,$G59,'Bill Credit Rates'!$C:$C,$M59)</f>
        <v>106.72299999999998</v>
      </c>
      <c r="AG59" s="14">
        <f>SUMIFS('Bill Credit Rates'!$K:$K,'Bill Credit Rates'!$A:$A,$A$4,'Bill Credit Rates'!$B:$B,$G59,'Bill Credit Rates'!$C:$C,$M59)</f>
        <v>106.72299999999998</v>
      </c>
      <c r="AH59" s="14">
        <f>SUMIFS('Bill Credit Rates'!$K:$K,'Bill Credit Rates'!$A:$A,$A$4,'Bill Credit Rates'!$B:$B,$G59,'Bill Credit Rates'!$C:$C,$M59)</f>
        <v>106.72299999999998</v>
      </c>
      <c r="AI59" s="14">
        <f>SUMIFS('Bill Credit Rates'!$K:$K,'Bill Credit Rates'!$A:$A,$A$4,'Bill Credit Rates'!$B:$B,$G59,'Bill Credit Rates'!$C:$C,$M59)</f>
        <v>106.72299999999998</v>
      </c>
      <c r="AJ59" s="14">
        <f>SUMIFS('Bill Credit Rates'!$K:$K,'Bill Credit Rates'!$A:$A,$A$4,'Bill Credit Rates'!$B:$B,$G59,'Bill Credit Rates'!$C:$C,$M59)</f>
        <v>106.72299999999998</v>
      </c>
      <c r="AK59" s="14">
        <f>SUMIFS('Bill Credit Rates'!$K:$K,'Bill Credit Rates'!$A:$A,$A$4,'Bill Credit Rates'!$B:$B,$G59,'Bill Credit Rates'!$C:$C,$M59)</f>
        <v>106.72299999999998</v>
      </c>
      <c r="AL59" s="14">
        <f>SUMIFS('Bill Credit Rates'!$K:$K,'Bill Credit Rates'!$A:$A,$A$4,'Bill Credit Rates'!$B:$B,$G59,'Bill Credit Rates'!$C:$C,$M59)</f>
        <v>106.72299999999998</v>
      </c>
      <c r="AM59" s="14">
        <f>SUMIFS('Bill Credit Rates'!$K:$K,'Bill Credit Rates'!$A:$A,$A$4,'Bill Credit Rates'!$B:$B,$G59,'Bill Credit Rates'!$C:$C,$M59)</f>
        <v>106.72299999999998</v>
      </c>
      <c r="AN59" s="14">
        <f>SUMIFS('Bill Credit Rates'!$K:$K,'Bill Credit Rates'!$A:$A,$A$4,'Bill Credit Rates'!$B:$B,$G59,'Bill Credit Rates'!$C:$C,$M59)</f>
        <v>106.72299999999998</v>
      </c>
      <c r="AP59" s="52">
        <v>2032</v>
      </c>
      <c r="AQ59" s="281">
        <v>60.719612598620742</v>
      </c>
      <c r="AR59" s="281">
        <v>61.167414200622801</v>
      </c>
      <c r="AS59" s="281">
        <v>59.02233992053786</v>
      </c>
      <c r="AT59" s="281">
        <v>57.738463052143558</v>
      </c>
      <c r="AU59" s="281">
        <v>57.648894438500669</v>
      </c>
      <c r="AV59" s="281">
        <v>57.900160547405605</v>
      </c>
      <c r="AW59" s="281">
        <v>58.917519715002612</v>
      </c>
      <c r="AX59" s="281">
        <v>59.027078232731967</v>
      </c>
      <c r="AY59" s="281">
        <v>59.579392233384915</v>
      </c>
      <c r="AZ59" s="281">
        <v>60.383517783121334</v>
      </c>
      <c r="BA59" s="281">
        <v>61.921129594912827</v>
      </c>
      <c r="BB59" s="283">
        <v>62.573879546566673</v>
      </c>
      <c r="BD59" s="52">
        <v>2032</v>
      </c>
      <c r="BE59" s="281">
        <v>19.970536254449108</v>
      </c>
      <c r="BF59" s="281">
        <v>20.418337856451164</v>
      </c>
      <c r="BG59" s="281">
        <v>18.273263576366229</v>
      </c>
      <c r="BH59" s="281">
        <v>16.989386707971924</v>
      </c>
      <c r="BI59" s="281">
        <v>16.899818094329035</v>
      </c>
      <c r="BJ59" s="281">
        <v>17.151084203233975</v>
      </c>
      <c r="BK59" s="281">
        <v>18.168443370830975</v>
      </c>
      <c r="BL59" s="281">
        <v>18.278001888560336</v>
      </c>
      <c r="BM59" s="281">
        <v>18.830315889213281</v>
      </c>
      <c r="BN59" s="281">
        <v>19.634441438949697</v>
      </c>
      <c r="BO59" s="281">
        <v>21.172053250741193</v>
      </c>
      <c r="BP59" s="281">
        <v>21.824803202395035</v>
      </c>
      <c r="BR59" s="52">
        <v>2032</v>
      </c>
      <c r="BS59" s="280">
        <f t="shared" si="28"/>
        <v>54.89831597802479</v>
      </c>
      <c r="BT59" s="280">
        <f t="shared" si="29"/>
        <v>55.346117580026849</v>
      </c>
      <c r="BU59" s="280">
        <f t="shared" si="30"/>
        <v>53.201043299941915</v>
      </c>
      <c r="BV59" s="280">
        <f t="shared" si="31"/>
        <v>51.917166431547606</v>
      </c>
      <c r="BW59" s="280">
        <f t="shared" si="32"/>
        <v>51.827597817904724</v>
      </c>
      <c r="BX59" s="280">
        <f t="shared" si="33"/>
        <v>52.07886392680966</v>
      </c>
      <c r="BY59" s="280">
        <f t="shared" si="34"/>
        <v>53.09622309440666</v>
      </c>
      <c r="BZ59" s="280">
        <f t="shared" si="35"/>
        <v>53.205781612136015</v>
      </c>
      <c r="CA59" s="280">
        <f t="shared" si="36"/>
        <v>53.758095612788964</v>
      </c>
      <c r="CB59" s="280">
        <f t="shared" si="37"/>
        <v>54.56222116252539</v>
      </c>
      <c r="CC59" s="280">
        <f t="shared" si="38"/>
        <v>56.099832974316875</v>
      </c>
      <c r="CD59" s="280">
        <f t="shared" si="39"/>
        <v>56.752582925970721</v>
      </c>
    </row>
    <row r="60" spans="1:82">
      <c r="A60" s="48">
        <v>2033</v>
      </c>
      <c r="B60" s="31" cm="1">
        <f t="array" ref="B60">IF(A60&lt;2021,0,SUMPRODUCT(('Project Operational Timelines'!$AO$20:$AO$49=$A60)*('Project Operational Timelines'!$AP$18:$AY$18=$A$4)*('Project Operational Timelines'!$AP$17:$AY$17=$G60)*'Project Operational Timelines'!$AP32:$AY32))</f>
        <v>32.21</v>
      </c>
      <c r="C60" s="84">
        <f t="shared" si="13"/>
        <v>4403.6201321416665</v>
      </c>
      <c r="D60" s="89">
        <f t="shared" si="40"/>
        <v>2631345.04</v>
      </c>
      <c r="E60" s="89"/>
      <c r="F60" s="89" cm="1">
        <f t="array" ref="F60">IF(A60&lt;2021,0,(-(SUMPRODUCT(('Project Operational Timelines'!$AO$20:$AO$49=$A60)*('Project Operational Timelines'!$AP$18:$AY$18=$A$4)*('Project Operational Timelines'!$AP$19:$AY$19="Non-Carve Out")*('Project Operational Timelines'!$AP$17:$AY$17=$G60)*'Project Operational Timelines'!$AP32:$AY32))*1000*('Program Inputs'!$D$14-'Program Inputs'!$D$6)*$F$4*12)+(-(SUMPRODUCT(('Project Operational Timelines'!$AO$20:$AO$49=$A60)*('Project Operational Timelines'!$AP$18:$AY$18=$A$4)*('Project Operational Timelines'!$AP$19:$AY$19="Carve Out")*('Project Operational Timelines'!$AP$17:$AY$17=$G60)*'Project Operational Timelines'!$AP32:$AY32))*1000*('Program Inputs'!$D$14-'Program Inputs'!$D$7)*$F$4*12))</f>
        <v>-36118.5</v>
      </c>
      <c r="G60" s="79">
        <v>1</v>
      </c>
      <c r="H60" s="328">
        <f t="shared" si="27"/>
        <v>2037859.24</v>
      </c>
      <c r="I60" s="69"/>
      <c r="J60" s="69"/>
      <c r="K60" s="104"/>
      <c r="L60" s="75"/>
      <c r="M60">
        <v>15</v>
      </c>
      <c r="N60" s="52">
        <v>2033</v>
      </c>
      <c r="O60" s="18">
        <f t="shared" si="14"/>
        <v>48.906527284013862</v>
      </c>
      <c r="P60" s="18">
        <f t="shared" si="15"/>
        <v>49.461902205893075</v>
      </c>
      <c r="Q60" s="18">
        <f t="shared" si="16"/>
        <v>49.871686517299423</v>
      </c>
      <c r="R60" s="18">
        <f t="shared" si="17"/>
        <v>50.916866978265105</v>
      </c>
      <c r="S60" s="18">
        <f t="shared" si="18"/>
        <v>51.203864854400138</v>
      </c>
      <c r="T60" s="18">
        <f t="shared" si="19"/>
        <v>50.98397599787792</v>
      </c>
      <c r="U60" s="18">
        <f t="shared" si="20"/>
        <v>50.715235183019786</v>
      </c>
      <c r="V60" s="18">
        <f t="shared" si="21"/>
        <v>50.729900822035546</v>
      </c>
      <c r="W60" s="18">
        <f t="shared" si="22"/>
        <v>49.840092850655594</v>
      </c>
      <c r="X60" s="18">
        <f t="shared" si="23"/>
        <v>49.416351292718574</v>
      </c>
      <c r="Y60" s="18">
        <f t="shared" si="24"/>
        <v>48.381618025429475</v>
      </c>
      <c r="Z60" s="18">
        <f t="shared" si="25"/>
        <v>47.113309886444412</v>
      </c>
      <c r="AA60" s="13"/>
      <c r="AB60" s="52">
        <v>2033</v>
      </c>
      <c r="AC60" s="14">
        <f>SUMIFS('Bill Credit Rates'!$K:$K,'Bill Credit Rates'!$A:$A,$A$4,'Bill Credit Rates'!$B:$B,$G60,'Bill Credit Rates'!$C:$C,$M60)</f>
        <v>106.72299999999998</v>
      </c>
      <c r="AD60" s="14">
        <f>SUMIFS('Bill Credit Rates'!$K:$K,'Bill Credit Rates'!$A:$A,$A$4,'Bill Credit Rates'!$B:$B,$G60,'Bill Credit Rates'!$C:$C,$M60)</f>
        <v>106.72299999999998</v>
      </c>
      <c r="AE60" s="14">
        <f>SUMIFS('Bill Credit Rates'!$K:$K,'Bill Credit Rates'!$A:$A,$A$4,'Bill Credit Rates'!$B:$B,$G60,'Bill Credit Rates'!$C:$C,$M60)</f>
        <v>106.72299999999998</v>
      </c>
      <c r="AF60" s="14">
        <f>SUMIFS('Bill Credit Rates'!$K:$K,'Bill Credit Rates'!$A:$A,$A$4,'Bill Credit Rates'!$B:$B,$G60,'Bill Credit Rates'!$C:$C,$M60)</f>
        <v>106.72299999999998</v>
      </c>
      <c r="AG60" s="14">
        <f>SUMIFS('Bill Credit Rates'!$K:$K,'Bill Credit Rates'!$A:$A,$A$4,'Bill Credit Rates'!$B:$B,$G60,'Bill Credit Rates'!$C:$C,$M60)</f>
        <v>106.72299999999998</v>
      </c>
      <c r="AH60" s="14">
        <f>SUMIFS('Bill Credit Rates'!$K:$K,'Bill Credit Rates'!$A:$A,$A$4,'Bill Credit Rates'!$B:$B,$G60,'Bill Credit Rates'!$C:$C,$M60)</f>
        <v>106.72299999999998</v>
      </c>
      <c r="AI60" s="14">
        <f>SUMIFS('Bill Credit Rates'!$K:$K,'Bill Credit Rates'!$A:$A,$A$4,'Bill Credit Rates'!$B:$B,$G60,'Bill Credit Rates'!$C:$C,$M60)</f>
        <v>106.72299999999998</v>
      </c>
      <c r="AJ60" s="14">
        <f>SUMIFS('Bill Credit Rates'!$K:$K,'Bill Credit Rates'!$A:$A,$A$4,'Bill Credit Rates'!$B:$B,$G60,'Bill Credit Rates'!$C:$C,$M60)</f>
        <v>106.72299999999998</v>
      </c>
      <c r="AK60" s="14">
        <f>SUMIFS('Bill Credit Rates'!$K:$K,'Bill Credit Rates'!$A:$A,$A$4,'Bill Credit Rates'!$B:$B,$G60,'Bill Credit Rates'!$C:$C,$M60)</f>
        <v>106.72299999999998</v>
      </c>
      <c r="AL60" s="14">
        <f>SUMIFS('Bill Credit Rates'!$K:$K,'Bill Credit Rates'!$A:$A,$A$4,'Bill Credit Rates'!$B:$B,$G60,'Bill Credit Rates'!$C:$C,$M60)</f>
        <v>106.72299999999998</v>
      </c>
      <c r="AM60" s="14">
        <f>SUMIFS('Bill Credit Rates'!$K:$K,'Bill Credit Rates'!$A:$A,$A$4,'Bill Credit Rates'!$B:$B,$G60,'Bill Credit Rates'!$C:$C,$M60)</f>
        <v>106.72299999999998</v>
      </c>
      <c r="AN60" s="14">
        <f>SUMIFS('Bill Credit Rates'!$K:$K,'Bill Credit Rates'!$A:$A,$A$4,'Bill Credit Rates'!$B:$B,$G60,'Bill Credit Rates'!$C:$C,$M60)</f>
        <v>106.72299999999998</v>
      </c>
      <c r="AP60" s="52">
        <v>2033</v>
      </c>
      <c r="AQ60" s="281">
        <v>63.799942149502002</v>
      </c>
      <c r="AR60" s="281">
        <v>63.244567227622788</v>
      </c>
      <c r="AS60" s="281">
        <v>62.834782916216433</v>
      </c>
      <c r="AT60" s="281">
        <v>61.789602455250758</v>
      </c>
      <c r="AU60" s="281">
        <v>61.502604579115719</v>
      </c>
      <c r="AV60" s="281">
        <v>61.722493435637944</v>
      </c>
      <c r="AW60" s="281">
        <v>61.991234250496078</v>
      </c>
      <c r="AX60" s="281">
        <v>61.976568611480317</v>
      </c>
      <c r="AY60" s="281">
        <v>62.866376582860262</v>
      </c>
      <c r="AZ60" s="281">
        <v>63.29011814079729</v>
      </c>
      <c r="BA60" s="281">
        <v>64.324851408086388</v>
      </c>
      <c r="BB60" s="283">
        <v>65.593159547071451</v>
      </c>
      <c r="BD60" s="52">
        <v>2033</v>
      </c>
      <c r="BE60" s="281">
        <v>21.915656114890854</v>
      </c>
      <c r="BF60" s="281">
        <v>21.360281193011645</v>
      </c>
      <c r="BG60" s="281">
        <v>20.950496881605289</v>
      </c>
      <c r="BH60" s="281">
        <v>19.905316420639618</v>
      </c>
      <c r="BI60" s="281">
        <v>19.618318544504575</v>
      </c>
      <c r="BJ60" s="281">
        <v>19.8382074010268</v>
      </c>
      <c r="BK60" s="281">
        <v>20.10694821588493</v>
      </c>
      <c r="BL60" s="281">
        <v>20.092282576869174</v>
      </c>
      <c r="BM60" s="281">
        <v>20.982090548249118</v>
      </c>
      <c r="BN60" s="281">
        <v>21.40583210618615</v>
      </c>
      <c r="BO60" s="281">
        <v>22.440565373475241</v>
      </c>
      <c r="BP60" s="281">
        <v>23.708873512460304</v>
      </c>
      <c r="BR60" s="52">
        <v>2033</v>
      </c>
      <c r="BS60" s="280">
        <f t="shared" si="28"/>
        <v>57.816472715986123</v>
      </c>
      <c r="BT60" s="280">
        <f t="shared" si="29"/>
        <v>57.261097794106909</v>
      </c>
      <c r="BU60" s="280">
        <f t="shared" si="30"/>
        <v>56.851313482700562</v>
      </c>
      <c r="BV60" s="280">
        <f t="shared" si="31"/>
        <v>55.80613302173488</v>
      </c>
      <c r="BW60" s="280">
        <f t="shared" si="32"/>
        <v>55.519135145599847</v>
      </c>
      <c r="BX60" s="280">
        <f t="shared" si="33"/>
        <v>55.739024002122065</v>
      </c>
      <c r="BY60" s="280">
        <f t="shared" si="34"/>
        <v>56.007764816980199</v>
      </c>
      <c r="BZ60" s="280">
        <f t="shared" si="35"/>
        <v>55.993099177964439</v>
      </c>
      <c r="CA60" s="280">
        <f t="shared" si="36"/>
        <v>56.882907149344391</v>
      </c>
      <c r="CB60" s="280">
        <f t="shared" si="37"/>
        <v>57.306648707281411</v>
      </c>
      <c r="CC60" s="280">
        <f t="shared" si="38"/>
        <v>58.34138197457051</v>
      </c>
      <c r="CD60" s="280">
        <f t="shared" si="39"/>
        <v>59.609690113555573</v>
      </c>
    </row>
    <row r="61" spans="1:82">
      <c r="A61" s="48">
        <v>2034</v>
      </c>
      <c r="B61" s="31" cm="1">
        <f t="array" ref="B61">IF(A61&lt;2021,0,SUMPRODUCT(('Project Operational Timelines'!$AO$20:$AO$49=$A61)*('Project Operational Timelines'!$AP$18:$AY$18=$A$4)*('Project Operational Timelines'!$AP$17:$AY$17=$G61)*'Project Operational Timelines'!$AP33:$AY33))</f>
        <v>32.21</v>
      </c>
      <c r="C61" s="84">
        <f t="shared" si="13"/>
        <v>4403.6201321416665</v>
      </c>
      <c r="D61" s="89">
        <f t="shared" si="40"/>
        <v>2537765.09</v>
      </c>
      <c r="E61" s="89"/>
      <c r="F61" s="89" cm="1">
        <f t="array" ref="F61">IF(A61&lt;2021,0,(-(SUMPRODUCT(('Project Operational Timelines'!$AO$20:$AO$49=$A61)*('Project Operational Timelines'!$AP$18:$AY$18=$A$4)*('Project Operational Timelines'!$AP$19:$AY$19="Non-Carve Out")*('Project Operational Timelines'!$AP$17:$AY$17=$G61)*'Project Operational Timelines'!$AP33:$AY33))*1000*('Program Inputs'!$D$14-'Program Inputs'!$D$6)*$F$4*12)+(-(SUMPRODUCT(('Project Operational Timelines'!$AO$20:$AO$49=$A61)*('Project Operational Timelines'!$AP$18:$AY$18=$A$4)*('Project Operational Timelines'!$AP$19:$AY$19="Carve Out")*('Project Operational Timelines'!$AP$17:$AY$17=$G61)*'Project Operational Timelines'!$AP33:$AY33))*1000*('Program Inputs'!$D$14-'Program Inputs'!$D$7)*$F$4*12))</f>
        <v>-36118.5</v>
      </c>
      <c r="G61" s="79">
        <v>1</v>
      </c>
      <c r="H61" s="328">
        <f t="shared" si="27"/>
        <v>1910354.95</v>
      </c>
      <c r="I61" s="69"/>
      <c r="J61" s="69"/>
      <c r="K61" s="104"/>
      <c r="L61" s="75"/>
      <c r="M61">
        <v>16</v>
      </c>
      <c r="N61" s="52">
        <v>2034</v>
      </c>
      <c r="O61" s="18">
        <f t="shared" si="14"/>
        <v>44.909039030959313</v>
      </c>
      <c r="P61" s="18">
        <f t="shared" si="15"/>
        <v>46.560777456615469</v>
      </c>
      <c r="Q61" s="18">
        <f t="shared" si="16"/>
        <v>47.723134722661705</v>
      </c>
      <c r="R61" s="18">
        <f t="shared" si="17"/>
        <v>49.089213795136729</v>
      </c>
      <c r="S61" s="18">
        <f t="shared" si="18"/>
        <v>49.145509946210083</v>
      </c>
      <c r="T61" s="18">
        <f t="shared" si="19"/>
        <v>49.433695930537176</v>
      </c>
      <c r="U61" s="18">
        <f t="shared" si="20"/>
        <v>49.406107289123469</v>
      </c>
      <c r="V61" s="18">
        <f t="shared" si="21"/>
        <v>48.898193776869384</v>
      </c>
      <c r="W61" s="18">
        <f t="shared" si="22"/>
        <v>49.047997625786074</v>
      </c>
      <c r="X61" s="18">
        <f t="shared" si="23"/>
        <v>48.307863886944574</v>
      </c>
      <c r="Y61" s="18">
        <f t="shared" si="24"/>
        <v>47.580430340161449</v>
      </c>
      <c r="Z61" s="18">
        <f t="shared" si="25"/>
        <v>46.188682738255402</v>
      </c>
      <c r="AA61" s="13"/>
      <c r="AB61" s="52">
        <v>2034</v>
      </c>
      <c r="AC61" s="14">
        <f>SUMIFS('Bill Credit Rates'!$K:$K,'Bill Credit Rates'!$A:$A,$A$4,'Bill Credit Rates'!$B:$B,$G61,'Bill Credit Rates'!$C:$C,$M61)</f>
        <v>106.72299999999998</v>
      </c>
      <c r="AD61" s="14">
        <f>SUMIFS('Bill Credit Rates'!$K:$K,'Bill Credit Rates'!$A:$A,$A$4,'Bill Credit Rates'!$B:$B,$G61,'Bill Credit Rates'!$C:$C,$M61)</f>
        <v>106.72299999999998</v>
      </c>
      <c r="AE61" s="14">
        <f>SUMIFS('Bill Credit Rates'!$K:$K,'Bill Credit Rates'!$A:$A,$A$4,'Bill Credit Rates'!$B:$B,$G61,'Bill Credit Rates'!$C:$C,$M61)</f>
        <v>106.72299999999998</v>
      </c>
      <c r="AF61" s="14">
        <f>SUMIFS('Bill Credit Rates'!$K:$K,'Bill Credit Rates'!$A:$A,$A$4,'Bill Credit Rates'!$B:$B,$G61,'Bill Credit Rates'!$C:$C,$M61)</f>
        <v>106.72299999999998</v>
      </c>
      <c r="AG61" s="14">
        <f>SUMIFS('Bill Credit Rates'!$K:$K,'Bill Credit Rates'!$A:$A,$A$4,'Bill Credit Rates'!$B:$B,$G61,'Bill Credit Rates'!$C:$C,$M61)</f>
        <v>106.72299999999998</v>
      </c>
      <c r="AH61" s="14">
        <f>SUMIFS('Bill Credit Rates'!$K:$K,'Bill Credit Rates'!$A:$A,$A$4,'Bill Credit Rates'!$B:$B,$G61,'Bill Credit Rates'!$C:$C,$M61)</f>
        <v>106.72299999999998</v>
      </c>
      <c r="AI61" s="14">
        <f>SUMIFS('Bill Credit Rates'!$K:$K,'Bill Credit Rates'!$A:$A,$A$4,'Bill Credit Rates'!$B:$B,$G61,'Bill Credit Rates'!$C:$C,$M61)</f>
        <v>106.72299999999998</v>
      </c>
      <c r="AJ61" s="14">
        <f>SUMIFS('Bill Credit Rates'!$K:$K,'Bill Credit Rates'!$A:$A,$A$4,'Bill Credit Rates'!$B:$B,$G61,'Bill Credit Rates'!$C:$C,$M61)</f>
        <v>106.72299999999998</v>
      </c>
      <c r="AK61" s="14">
        <f>SUMIFS('Bill Credit Rates'!$K:$K,'Bill Credit Rates'!$A:$A,$A$4,'Bill Credit Rates'!$B:$B,$G61,'Bill Credit Rates'!$C:$C,$M61)</f>
        <v>106.72299999999998</v>
      </c>
      <c r="AL61" s="14">
        <f>SUMIFS('Bill Credit Rates'!$K:$K,'Bill Credit Rates'!$A:$A,$A$4,'Bill Credit Rates'!$B:$B,$G61,'Bill Credit Rates'!$C:$C,$M61)</f>
        <v>106.72299999999998</v>
      </c>
      <c r="AM61" s="14">
        <f>SUMIFS('Bill Credit Rates'!$K:$K,'Bill Credit Rates'!$A:$A,$A$4,'Bill Credit Rates'!$B:$B,$G61,'Bill Credit Rates'!$C:$C,$M61)</f>
        <v>106.72299999999998</v>
      </c>
      <c r="AN61" s="14">
        <f>SUMIFS('Bill Credit Rates'!$K:$K,'Bill Credit Rates'!$A:$A,$A$4,'Bill Credit Rates'!$B:$B,$G61,'Bill Credit Rates'!$C:$C,$M61)</f>
        <v>106.72299999999998</v>
      </c>
      <c r="AP61" s="52">
        <v>2034</v>
      </c>
      <c r="AQ61" s="281">
        <v>67.944659372967266</v>
      </c>
      <c r="AR61" s="281">
        <v>66.292920947311103</v>
      </c>
      <c r="AS61" s="281">
        <v>65.130563681264874</v>
      </c>
      <c r="AT61" s="281">
        <v>63.764484608789843</v>
      </c>
      <c r="AU61" s="281">
        <v>63.708188457716489</v>
      </c>
      <c r="AV61" s="281">
        <v>63.420002473389395</v>
      </c>
      <c r="AW61" s="281">
        <v>63.44759111480311</v>
      </c>
      <c r="AX61" s="281">
        <v>63.955504627057195</v>
      </c>
      <c r="AY61" s="281">
        <v>63.805700778140505</v>
      </c>
      <c r="AZ61" s="281">
        <v>64.545834516981998</v>
      </c>
      <c r="BA61" s="281">
        <v>65.27326806376513</v>
      </c>
      <c r="BB61" s="283">
        <v>66.665015665671177</v>
      </c>
      <c r="BD61" s="52">
        <v>2034</v>
      </c>
      <c r="BE61" s="281">
        <v>25.029770545481121</v>
      </c>
      <c r="BF61" s="281">
        <v>23.378032119824969</v>
      </c>
      <c r="BG61" s="281">
        <v>22.215674853778737</v>
      </c>
      <c r="BH61" s="281">
        <v>20.849595781303702</v>
      </c>
      <c r="BI61" s="281">
        <v>20.793299630230351</v>
      </c>
      <c r="BJ61" s="281">
        <v>20.505113645903258</v>
      </c>
      <c r="BK61" s="281">
        <v>20.532702287316972</v>
      </c>
      <c r="BL61" s="281">
        <v>21.040615799571057</v>
      </c>
      <c r="BM61" s="281">
        <v>20.890811950654371</v>
      </c>
      <c r="BN61" s="281">
        <v>21.63094568949586</v>
      </c>
      <c r="BO61" s="281">
        <v>22.358379236278989</v>
      </c>
      <c r="BP61" s="281">
        <v>23.750126838185036</v>
      </c>
      <c r="BR61" s="52">
        <v>2034</v>
      </c>
      <c r="BS61" s="280">
        <f t="shared" si="28"/>
        <v>61.813960969040672</v>
      </c>
      <c r="BT61" s="280">
        <f t="shared" si="29"/>
        <v>60.162222543384516</v>
      </c>
      <c r="BU61" s="280">
        <f t="shared" si="30"/>
        <v>58.99986527733828</v>
      </c>
      <c r="BV61" s="280">
        <f t="shared" si="31"/>
        <v>57.633786204863256</v>
      </c>
      <c r="BW61" s="280">
        <f t="shared" si="32"/>
        <v>57.577490053789901</v>
      </c>
      <c r="BX61" s="280">
        <f t="shared" si="33"/>
        <v>57.289304069462808</v>
      </c>
      <c r="BY61" s="280">
        <f t="shared" si="34"/>
        <v>57.316892710876516</v>
      </c>
      <c r="BZ61" s="280">
        <f t="shared" si="35"/>
        <v>57.824806223130601</v>
      </c>
      <c r="CA61" s="280">
        <f t="shared" si="36"/>
        <v>57.675002374213911</v>
      </c>
      <c r="CB61" s="280">
        <f t="shared" si="37"/>
        <v>58.415136113055411</v>
      </c>
      <c r="CC61" s="280">
        <f t="shared" si="38"/>
        <v>59.142569659838536</v>
      </c>
      <c r="CD61" s="280">
        <f t="shared" si="39"/>
        <v>60.534317261744583</v>
      </c>
    </row>
    <row r="62" spans="1:82">
      <c r="A62" s="48">
        <v>2035</v>
      </c>
      <c r="B62" s="31" cm="1">
        <f t="array" ref="B62">IF(A62&lt;2021,0,SUMPRODUCT(('Project Operational Timelines'!$AO$20:$AO$49=$A62)*('Project Operational Timelines'!$AP$18:$AY$18=$A$4)*('Project Operational Timelines'!$AP$17:$AY$17=$G62)*'Project Operational Timelines'!$AP34:$AY34))</f>
        <v>32.21</v>
      </c>
      <c r="C62" s="84">
        <f t="shared" si="13"/>
        <v>4403.6201321416665</v>
      </c>
      <c r="D62" s="89">
        <f t="shared" si="40"/>
        <v>2508701.5</v>
      </c>
      <c r="E62" s="89"/>
      <c r="F62" s="89" cm="1">
        <f t="array" ref="F62">IF(A62&lt;2021,0,(-(SUMPRODUCT(('Project Operational Timelines'!$AO$20:$AO$49=$A62)*('Project Operational Timelines'!$AP$18:$AY$18=$A$4)*('Project Operational Timelines'!$AP$19:$AY$19="Non-Carve Out")*('Project Operational Timelines'!$AP$17:$AY$17=$G62)*'Project Operational Timelines'!$AP34:$AY34))*1000*('Program Inputs'!$D$14-'Program Inputs'!$D$6)*$F$4*12)+(-(SUMPRODUCT(('Project Operational Timelines'!$AO$20:$AO$49=$A62)*('Project Operational Timelines'!$AP$18:$AY$18=$A$4)*('Project Operational Timelines'!$AP$19:$AY$19="Carve Out")*('Project Operational Timelines'!$AP$17:$AY$17=$G62)*'Project Operational Timelines'!$AP34:$AY34))*1000*('Program Inputs'!$D$14-'Program Inputs'!$D$7)*$F$4*12))</f>
        <v>-36118.5</v>
      </c>
      <c r="G62" s="79">
        <v>1</v>
      </c>
      <c r="H62" s="328">
        <f t="shared" si="27"/>
        <v>1835599.39</v>
      </c>
      <c r="I62" s="69"/>
      <c r="J62" s="69"/>
      <c r="K62" s="104"/>
      <c r="L62" s="75"/>
      <c r="M62">
        <v>17</v>
      </c>
      <c r="N62" s="52">
        <v>2035</v>
      </c>
      <c r="O62" s="18">
        <f t="shared" si="14"/>
        <v>44.373122883494659</v>
      </c>
      <c r="P62" s="18">
        <f t="shared" si="15"/>
        <v>45.259353115879904</v>
      </c>
      <c r="Q62" s="18">
        <f t="shared" si="16"/>
        <v>47.830581451232661</v>
      </c>
      <c r="R62" s="18">
        <f t="shared" si="17"/>
        <v>48.988110106861271</v>
      </c>
      <c r="S62" s="18">
        <f t="shared" si="18"/>
        <v>49.079019803977751</v>
      </c>
      <c r="T62" s="18">
        <f t="shared" si="19"/>
        <v>49.024751816344519</v>
      </c>
      <c r="U62" s="18">
        <f t="shared" si="20"/>
        <v>48.890467008625279</v>
      </c>
      <c r="V62" s="18">
        <f t="shared" si="21"/>
        <v>48.780364643390094</v>
      </c>
      <c r="W62" s="18">
        <f t="shared" si="22"/>
        <v>48.588619989171633</v>
      </c>
      <c r="X62" s="18">
        <f t="shared" si="23"/>
        <v>47.908019555926685</v>
      </c>
      <c r="Y62" s="18">
        <f t="shared" si="24"/>
        <v>46.305075697714031</v>
      </c>
      <c r="Z62" s="18">
        <f t="shared" si="25"/>
        <v>44.663229163457714</v>
      </c>
      <c r="AA62" s="13"/>
      <c r="AB62" s="52">
        <v>2035</v>
      </c>
      <c r="AC62" s="14">
        <f>SUMIFS('Bill Credit Rates'!$K:$K,'Bill Credit Rates'!$A:$A,$A$4,'Bill Credit Rates'!$B:$B,$G62,'Bill Credit Rates'!$C:$C,$M62)</f>
        <v>106.72299999999998</v>
      </c>
      <c r="AD62" s="14">
        <f>SUMIFS('Bill Credit Rates'!$K:$K,'Bill Credit Rates'!$A:$A,$A$4,'Bill Credit Rates'!$B:$B,$G62,'Bill Credit Rates'!$C:$C,$M62)</f>
        <v>106.72299999999998</v>
      </c>
      <c r="AE62" s="14">
        <f>SUMIFS('Bill Credit Rates'!$K:$K,'Bill Credit Rates'!$A:$A,$A$4,'Bill Credit Rates'!$B:$B,$G62,'Bill Credit Rates'!$C:$C,$M62)</f>
        <v>106.72299999999998</v>
      </c>
      <c r="AF62" s="14">
        <f>SUMIFS('Bill Credit Rates'!$K:$K,'Bill Credit Rates'!$A:$A,$A$4,'Bill Credit Rates'!$B:$B,$G62,'Bill Credit Rates'!$C:$C,$M62)</f>
        <v>106.72299999999998</v>
      </c>
      <c r="AG62" s="14">
        <f>SUMIFS('Bill Credit Rates'!$K:$K,'Bill Credit Rates'!$A:$A,$A$4,'Bill Credit Rates'!$B:$B,$G62,'Bill Credit Rates'!$C:$C,$M62)</f>
        <v>106.72299999999998</v>
      </c>
      <c r="AH62" s="14">
        <f>SUMIFS('Bill Credit Rates'!$K:$K,'Bill Credit Rates'!$A:$A,$A$4,'Bill Credit Rates'!$B:$B,$G62,'Bill Credit Rates'!$C:$C,$M62)</f>
        <v>106.72299999999998</v>
      </c>
      <c r="AI62" s="14">
        <f>SUMIFS('Bill Credit Rates'!$K:$K,'Bill Credit Rates'!$A:$A,$A$4,'Bill Credit Rates'!$B:$B,$G62,'Bill Credit Rates'!$C:$C,$M62)</f>
        <v>106.72299999999998</v>
      </c>
      <c r="AJ62" s="14">
        <f>SUMIFS('Bill Credit Rates'!$K:$K,'Bill Credit Rates'!$A:$A,$A$4,'Bill Credit Rates'!$B:$B,$G62,'Bill Credit Rates'!$C:$C,$M62)</f>
        <v>106.72299999999998</v>
      </c>
      <c r="AK62" s="14">
        <f>SUMIFS('Bill Credit Rates'!$K:$K,'Bill Credit Rates'!$A:$A,$A$4,'Bill Credit Rates'!$B:$B,$G62,'Bill Credit Rates'!$C:$C,$M62)</f>
        <v>106.72299999999998</v>
      </c>
      <c r="AL62" s="14">
        <f>SUMIFS('Bill Credit Rates'!$K:$K,'Bill Credit Rates'!$A:$A,$A$4,'Bill Credit Rates'!$B:$B,$G62,'Bill Credit Rates'!$C:$C,$M62)</f>
        <v>106.72299999999998</v>
      </c>
      <c r="AM62" s="14">
        <f>SUMIFS('Bill Credit Rates'!$K:$K,'Bill Credit Rates'!$A:$A,$A$4,'Bill Credit Rates'!$B:$B,$G62,'Bill Credit Rates'!$C:$C,$M62)</f>
        <v>106.72299999999998</v>
      </c>
      <c r="AN62" s="14">
        <f>SUMIFS('Bill Credit Rates'!$K:$K,'Bill Credit Rates'!$A:$A,$A$4,'Bill Credit Rates'!$B:$B,$G62,'Bill Credit Rates'!$C:$C,$M62)</f>
        <v>106.72299999999998</v>
      </c>
      <c r="AP62" s="52">
        <v>2035</v>
      </c>
      <c r="AQ62" s="281">
        <v>68.591353617554233</v>
      </c>
      <c r="AR62" s="281">
        <v>67.705123385168989</v>
      </c>
      <c r="AS62" s="281">
        <v>65.133895049816232</v>
      </c>
      <c r="AT62" s="281">
        <v>63.976366394187622</v>
      </c>
      <c r="AU62" s="281">
        <v>63.885456697071149</v>
      </c>
      <c r="AV62" s="281">
        <v>63.939724684704373</v>
      </c>
      <c r="AW62" s="281">
        <v>64.074009492423613</v>
      </c>
      <c r="AX62" s="281">
        <v>64.184111857658806</v>
      </c>
      <c r="AY62" s="281">
        <v>64.375856511877259</v>
      </c>
      <c r="AZ62" s="281">
        <v>65.056456945122207</v>
      </c>
      <c r="BA62" s="281">
        <v>66.659400803334862</v>
      </c>
      <c r="BB62" s="283">
        <v>68.301247337591178</v>
      </c>
      <c r="BD62" s="52">
        <v>2035</v>
      </c>
      <c r="BE62" s="281">
        <v>24.901018110211858</v>
      </c>
      <c r="BF62" s="281">
        <v>24.014787877826617</v>
      </c>
      <c r="BG62" s="281">
        <v>21.443559542473857</v>
      </c>
      <c r="BH62" s="281">
        <v>20.28603088684525</v>
      </c>
      <c r="BI62" s="281">
        <v>20.195121189728784</v>
      </c>
      <c r="BJ62" s="281">
        <v>20.249389177362005</v>
      </c>
      <c r="BK62" s="281">
        <v>20.383673985081238</v>
      </c>
      <c r="BL62" s="281">
        <v>20.493776350316434</v>
      </c>
      <c r="BM62" s="281">
        <v>20.685521004534888</v>
      </c>
      <c r="BN62" s="281">
        <v>21.366121437779839</v>
      </c>
      <c r="BO62" s="281">
        <v>22.969065295992493</v>
      </c>
      <c r="BP62" s="281">
        <v>24.61091183024881</v>
      </c>
      <c r="BR62" s="52">
        <v>2035</v>
      </c>
      <c r="BS62" s="280">
        <f t="shared" si="28"/>
        <v>62.349877116505326</v>
      </c>
      <c r="BT62" s="280">
        <f t="shared" si="29"/>
        <v>61.463646884120081</v>
      </c>
      <c r="BU62" s="280">
        <f t="shared" si="30"/>
        <v>58.892418548767324</v>
      </c>
      <c r="BV62" s="280">
        <f t="shared" si="31"/>
        <v>57.734889893138714</v>
      </c>
      <c r="BW62" s="280">
        <f t="shared" si="32"/>
        <v>57.643980196022234</v>
      </c>
      <c r="BX62" s="280">
        <f t="shared" si="33"/>
        <v>57.698248183655465</v>
      </c>
      <c r="BY62" s="280">
        <f t="shared" si="34"/>
        <v>57.832532991374705</v>
      </c>
      <c r="BZ62" s="280">
        <f t="shared" si="35"/>
        <v>57.942635356609891</v>
      </c>
      <c r="CA62" s="280">
        <f t="shared" si="36"/>
        <v>58.134380010828352</v>
      </c>
      <c r="CB62" s="280">
        <f t="shared" si="37"/>
        <v>58.814980444073299</v>
      </c>
      <c r="CC62" s="280">
        <f t="shared" si="38"/>
        <v>60.417924302285954</v>
      </c>
      <c r="CD62" s="280">
        <f t="shared" si="39"/>
        <v>62.05977083654227</v>
      </c>
    </row>
    <row r="63" spans="1:82">
      <c r="A63" s="48">
        <v>2036</v>
      </c>
      <c r="B63" s="31" cm="1">
        <f t="array" ref="B63">IF(A63&lt;2021,0,SUMPRODUCT(('Project Operational Timelines'!$AO$20:$AO$49=$A63)*('Project Operational Timelines'!$AP$18:$AY$18=$A$4)*('Project Operational Timelines'!$AP$17:$AY$17=$G63)*'Project Operational Timelines'!$AP35:$AY35))</f>
        <v>32.21</v>
      </c>
      <c r="C63" s="84">
        <f t="shared" si="13"/>
        <v>4403.6201321416665</v>
      </c>
      <c r="D63" s="89">
        <f t="shared" si="40"/>
        <v>2483198.37</v>
      </c>
      <c r="E63" s="89"/>
      <c r="F63" s="89" cm="1">
        <f t="array" ref="F63">IF(A63&lt;2021,0,(-(SUMPRODUCT(('Project Operational Timelines'!$AO$20:$AO$49=$A63)*('Project Operational Timelines'!$AP$18:$AY$18=$A$4)*('Project Operational Timelines'!$AP$19:$AY$19="Non-Carve Out")*('Project Operational Timelines'!$AP$17:$AY$17=$G63)*'Project Operational Timelines'!$AP35:$AY35))*1000*('Program Inputs'!$D$14-'Program Inputs'!$D$6)*$F$4*12)+(-(SUMPRODUCT(('Project Operational Timelines'!$AO$20:$AO$49=$A63)*('Project Operational Timelines'!$AP$18:$AY$18=$A$4)*('Project Operational Timelines'!$AP$19:$AY$19="Carve Out")*('Project Operational Timelines'!$AP$17:$AY$17=$G63)*'Project Operational Timelines'!$AP35:$AY35))*1000*('Program Inputs'!$D$14-'Program Inputs'!$D$7)*$F$4*12))</f>
        <v>-36118.5</v>
      </c>
      <c r="G63" s="79">
        <v>1</v>
      </c>
      <c r="H63" s="328">
        <f t="shared" si="27"/>
        <v>1766064.63</v>
      </c>
      <c r="I63" s="69"/>
      <c r="J63" s="69"/>
      <c r="K63" s="104"/>
      <c r="L63" s="75"/>
      <c r="M63">
        <v>18</v>
      </c>
      <c r="N63" s="52">
        <v>2036</v>
      </c>
      <c r="O63" s="18">
        <f t="shared" si="14"/>
        <v>42.735122665519555</v>
      </c>
      <c r="P63" s="18">
        <f t="shared" si="15"/>
        <v>44.093818158880083</v>
      </c>
      <c r="Q63" s="18">
        <f t="shared" si="16"/>
        <v>47.246588410579875</v>
      </c>
      <c r="R63" s="18">
        <f t="shared" si="17"/>
        <v>48.779895328061158</v>
      </c>
      <c r="S63" s="18">
        <f t="shared" si="18"/>
        <v>48.911801525686734</v>
      </c>
      <c r="T63" s="18">
        <f t="shared" si="19"/>
        <v>48.554673378551456</v>
      </c>
      <c r="U63" s="18">
        <f t="shared" si="20"/>
        <v>48.642492639529657</v>
      </c>
      <c r="V63" s="18">
        <f t="shared" si="21"/>
        <v>48.555182934087355</v>
      </c>
      <c r="W63" s="18">
        <f t="shared" si="22"/>
        <v>48.383763020815202</v>
      </c>
      <c r="X63" s="18">
        <f t="shared" si="23"/>
        <v>46.71505809253766</v>
      </c>
      <c r="Y63" s="18">
        <f t="shared" si="24"/>
        <v>46.484695861791337</v>
      </c>
      <c r="Z63" s="18">
        <f t="shared" si="25"/>
        <v>44.7962204981919</v>
      </c>
      <c r="AA63" s="13"/>
      <c r="AB63" s="52">
        <v>2036</v>
      </c>
      <c r="AC63" s="14">
        <f>SUMIFS('Bill Credit Rates'!$K:$K,'Bill Credit Rates'!$A:$A,$A$4,'Bill Credit Rates'!$B:$B,$G63,'Bill Credit Rates'!$C:$C,$M63)</f>
        <v>106.72299999999998</v>
      </c>
      <c r="AD63" s="14">
        <f>SUMIFS('Bill Credit Rates'!$K:$K,'Bill Credit Rates'!$A:$A,$A$4,'Bill Credit Rates'!$B:$B,$G63,'Bill Credit Rates'!$C:$C,$M63)</f>
        <v>106.72299999999998</v>
      </c>
      <c r="AE63" s="14">
        <f>SUMIFS('Bill Credit Rates'!$K:$K,'Bill Credit Rates'!$A:$A,$A$4,'Bill Credit Rates'!$B:$B,$G63,'Bill Credit Rates'!$C:$C,$M63)</f>
        <v>106.72299999999998</v>
      </c>
      <c r="AF63" s="14">
        <f>SUMIFS('Bill Credit Rates'!$K:$K,'Bill Credit Rates'!$A:$A,$A$4,'Bill Credit Rates'!$B:$B,$G63,'Bill Credit Rates'!$C:$C,$M63)</f>
        <v>106.72299999999998</v>
      </c>
      <c r="AG63" s="14">
        <f>SUMIFS('Bill Credit Rates'!$K:$K,'Bill Credit Rates'!$A:$A,$A$4,'Bill Credit Rates'!$B:$B,$G63,'Bill Credit Rates'!$C:$C,$M63)</f>
        <v>106.72299999999998</v>
      </c>
      <c r="AH63" s="14">
        <f>SUMIFS('Bill Credit Rates'!$K:$K,'Bill Credit Rates'!$A:$A,$A$4,'Bill Credit Rates'!$B:$B,$G63,'Bill Credit Rates'!$C:$C,$M63)</f>
        <v>106.72299999999998</v>
      </c>
      <c r="AI63" s="14">
        <f>SUMIFS('Bill Credit Rates'!$K:$K,'Bill Credit Rates'!$A:$A,$A$4,'Bill Credit Rates'!$B:$B,$G63,'Bill Credit Rates'!$C:$C,$M63)</f>
        <v>106.72299999999998</v>
      </c>
      <c r="AJ63" s="14">
        <f>SUMIFS('Bill Credit Rates'!$K:$K,'Bill Credit Rates'!$A:$A,$A$4,'Bill Credit Rates'!$B:$B,$G63,'Bill Credit Rates'!$C:$C,$M63)</f>
        <v>106.72299999999998</v>
      </c>
      <c r="AK63" s="14">
        <f>SUMIFS('Bill Credit Rates'!$K:$K,'Bill Credit Rates'!$A:$A,$A$4,'Bill Credit Rates'!$B:$B,$G63,'Bill Credit Rates'!$C:$C,$M63)</f>
        <v>106.72299999999998</v>
      </c>
      <c r="AL63" s="14">
        <f>SUMIFS('Bill Credit Rates'!$K:$K,'Bill Credit Rates'!$A:$A,$A$4,'Bill Credit Rates'!$B:$B,$G63,'Bill Credit Rates'!$C:$C,$M63)</f>
        <v>106.72299999999998</v>
      </c>
      <c r="AM63" s="14">
        <f>SUMIFS('Bill Credit Rates'!$K:$K,'Bill Credit Rates'!$A:$A,$A$4,'Bill Credit Rates'!$B:$B,$G63,'Bill Credit Rates'!$C:$C,$M63)</f>
        <v>106.72299999999998</v>
      </c>
      <c r="AN63" s="14">
        <f>SUMIFS('Bill Credit Rates'!$K:$K,'Bill Credit Rates'!$A:$A,$A$4,'Bill Credit Rates'!$B:$B,$G63,'Bill Credit Rates'!$C:$C,$M63)</f>
        <v>106.72299999999998</v>
      </c>
      <c r="AP63" s="52">
        <v>2036</v>
      </c>
      <c r="AQ63" s="281">
        <v>70.342198487929409</v>
      </c>
      <c r="AR63" s="281">
        <v>68.98350299456888</v>
      </c>
      <c r="AS63" s="281">
        <v>65.830732742869088</v>
      </c>
      <c r="AT63" s="281">
        <v>64.297425825387805</v>
      </c>
      <c r="AU63" s="281">
        <v>64.165519627762237</v>
      </c>
      <c r="AV63" s="281">
        <v>64.522647774897507</v>
      </c>
      <c r="AW63" s="281">
        <v>64.4348285139193</v>
      </c>
      <c r="AX63" s="281">
        <v>64.522138219361608</v>
      </c>
      <c r="AY63" s="281">
        <v>64.693558132633768</v>
      </c>
      <c r="AZ63" s="281">
        <v>66.362263060911303</v>
      </c>
      <c r="BA63" s="281">
        <v>66.592625291657626</v>
      </c>
      <c r="BB63" s="283">
        <v>68.281100655257063</v>
      </c>
      <c r="BD63" s="52">
        <v>2036</v>
      </c>
      <c r="BE63" s="281">
        <v>25.861950413786552</v>
      </c>
      <c r="BF63" s="281">
        <v>24.503254920426031</v>
      </c>
      <c r="BG63" s="281">
        <v>21.350484668726224</v>
      </c>
      <c r="BH63" s="281">
        <v>19.817177751244952</v>
      </c>
      <c r="BI63" s="281">
        <v>19.685271553619383</v>
      </c>
      <c r="BJ63" s="281">
        <v>20.042399700754647</v>
      </c>
      <c r="BK63" s="281">
        <v>19.954580439776443</v>
      </c>
      <c r="BL63" s="281">
        <v>20.041890145218755</v>
      </c>
      <c r="BM63" s="281">
        <v>20.213310058490908</v>
      </c>
      <c r="BN63" s="281">
        <v>21.882014986768443</v>
      </c>
      <c r="BO63" s="281">
        <v>22.112377217514769</v>
      </c>
      <c r="BP63" s="281">
        <v>23.800852581114203</v>
      </c>
      <c r="BR63" s="52">
        <v>2036</v>
      </c>
      <c r="BS63" s="280">
        <f t="shared" si="28"/>
        <v>63.98787733448043</v>
      </c>
      <c r="BT63" s="280">
        <f t="shared" si="29"/>
        <v>62.629181841119902</v>
      </c>
      <c r="BU63" s="280">
        <f t="shared" si="30"/>
        <v>59.47641158942011</v>
      </c>
      <c r="BV63" s="280">
        <f t="shared" si="31"/>
        <v>57.943104671938826</v>
      </c>
      <c r="BW63" s="280">
        <f t="shared" si="32"/>
        <v>57.811198474313251</v>
      </c>
      <c r="BX63" s="280">
        <f t="shared" si="33"/>
        <v>58.168326621448529</v>
      </c>
      <c r="BY63" s="280">
        <f t="shared" si="34"/>
        <v>58.080507360470328</v>
      </c>
      <c r="BZ63" s="280">
        <f t="shared" si="35"/>
        <v>58.167817065912629</v>
      </c>
      <c r="CA63" s="280">
        <f t="shared" si="36"/>
        <v>58.339236979184783</v>
      </c>
      <c r="CB63" s="280">
        <f t="shared" si="37"/>
        <v>60.007941907462325</v>
      </c>
      <c r="CC63" s="280">
        <f t="shared" si="38"/>
        <v>60.238304138208647</v>
      </c>
      <c r="CD63" s="280">
        <f t="shared" si="39"/>
        <v>61.926779501808085</v>
      </c>
    </row>
    <row r="64" spans="1:82">
      <c r="A64" s="48">
        <v>2037</v>
      </c>
      <c r="B64" s="31" cm="1">
        <f t="array" ref="B64">IF(A64&lt;2021,0,SUMPRODUCT(('Project Operational Timelines'!$AO$20:$AO$49=$A64)*('Project Operational Timelines'!$AP$18:$AY$18=$A$4)*('Project Operational Timelines'!$AP$17:$AY$17=$G64)*'Project Operational Timelines'!$AP36:$AY36))</f>
        <v>32.21</v>
      </c>
      <c r="C64" s="84">
        <f t="shared" si="13"/>
        <v>4403.6201321416665</v>
      </c>
      <c r="D64" s="89">
        <f t="shared" si="40"/>
        <v>2535144.7200000002</v>
      </c>
      <c r="E64" s="89"/>
      <c r="F64" s="89" cm="1">
        <f t="array" ref="F64">IF(A64&lt;2021,0,(-(SUMPRODUCT(('Project Operational Timelines'!$AO$20:$AO$49=$A64)*('Project Operational Timelines'!$AP$18:$AY$18=$A$4)*('Project Operational Timelines'!$AP$19:$AY$19="Non-Carve Out")*('Project Operational Timelines'!$AP$17:$AY$17=$G64)*'Project Operational Timelines'!$AP36:$AY36))*1000*('Program Inputs'!$D$14-'Program Inputs'!$D$6)*$F$4*12)+(-(SUMPRODUCT(('Project Operational Timelines'!$AO$20:$AO$49=$A64)*('Project Operational Timelines'!$AP$18:$AY$18=$A$4)*('Project Operational Timelines'!$AP$19:$AY$19="Carve Out")*('Project Operational Timelines'!$AP$17:$AY$17=$G64)*'Project Operational Timelines'!$AP36:$AY36))*1000*('Program Inputs'!$D$14-'Program Inputs'!$D$7)*$F$4*12))</f>
        <v>-36118.5</v>
      </c>
      <c r="G64" s="79">
        <v>1</v>
      </c>
      <c r="H64" s="328">
        <f t="shared" si="27"/>
        <v>1752524.91</v>
      </c>
      <c r="I64" s="69"/>
      <c r="J64" s="69"/>
      <c r="K64" s="104"/>
      <c r="L64" s="75"/>
      <c r="M64">
        <v>19</v>
      </c>
      <c r="N64" s="52">
        <v>2037</v>
      </c>
      <c r="O64" s="18">
        <f t="shared" si="14"/>
        <v>42.631298388409846</v>
      </c>
      <c r="P64" s="18">
        <f t="shared" si="15"/>
        <v>44.290645137476695</v>
      </c>
      <c r="Q64" s="18">
        <f t="shared" si="16"/>
        <v>48.492432414746737</v>
      </c>
      <c r="R64" s="18">
        <f t="shared" si="17"/>
        <v>49.586449702263586</v>
      </c>
      <c r="S64" s="18">
        <f t="shared" si="18"/>
        <v>49.946520487449781</v>
      </c>
      <c r="T64" s="18">
        <f t="shared" si="19"/>
        <v>50.175811154983911</v>
      </c>
      <c r="U64" s="18">
        <f t="shared" si="20"/>
        <v>50.044631542831361</v>
      </c>
      <c r="V64" s="18">
        <f t="shared" si="21"/>
        <v>49.486624016485976</v>
      </c>
      <c r="W64" s="18">
        <f t="shared" si="22"/>
        <v>49.332254547570123</v>
      </c>
      <c r="X64" s="18">
        <f t="shared" si="23"/>
        <v>48.020982562829339</v>
      </c>
      <c r="Y64" s="18">
        <f t="shared" si="24"/>
        <v>47.913210132448377</v>
      </c>
      <c r="Z64" s="18">
        <f t="shared" si="25"/>
        <v>45.774736845143082</v>
      </c>
      <c r="AA64" s="13"/>
      <c r="AB64" s="52">
        <v>2037</v>
      </c>
      <c r="AC64" s="14">
        <f>SUMIFS('Bill Credit Rates'!$K:$K,'Bill Credit Rates'!$A:$A,$A$4,'Bill Credit Rates'!$B:$B,$G64,'Bill Credit Rates'!$C:$C,$M64)</f>
        <v>106.72299999999998</v>
      </c>
      <c r="AD64" s="14">
        <f>SUMIFS('Bill Credit Rates'!$K:$K,'Bill Credit Rates'!$A:$A,$A$4,'Bill Credit Rates'!$B:$B,$G64,'Bill Credit Rates'!$C:$C,$M64)</f>
        <v>106.72299999999998</v>
      </c>
      <c r="AE64" s="14">
        <f>SUMIFS('Bill Credit Rates'!$K:$K,'Bill Credit Rates'!$A:$A,$A$4,'Bill Credit Rates'!$B:$B,$G64,'Bill Credit Rates'!$C:$C,$M64)</f>
        <v>106.72299999999998</v>
      </c>
      <c r="AF64" s="14">
        <f>SUMIFS('Bill Credit Rates'!$K:$K,'Bill Credit Rates'!$A:$A,$A$4,'Bill Credit Rates'!$B:$B,$G64,'Bill Credit Rates'!$C:$C,$M64)</f>
        <v>106.72299999999998</v>
      </c>
      <c r="AG64" s="14">
        <f>SUMIFS('Bill Credit Rates'!$K:$K,'Bill Credit Rates'!$A:$A,$A$4,'Bill Credit Rates'!$B:$B,$G64,'Bill Credit Rates'!$C:$C,$M64)</f>
        <v>106.72299999999998</v>
      </c>
      <c r="AH64" s="14">
        <f>SUMIFS('Bill Credit Rates'!$K:$K,'Bill Credit Rates'!$A:$A,$A$4,'Bill Credit Rates'!$B:$B,$G64,'Bill Credit Rates'!$C:$C,$M64)</f>
        <v>106.72299999999998</v>
      </c>
      <c r="AI64" s="14">
        <f>SUMIFS('Bill Credit Rates'!$K:$K,'Bill Credit Rates'!$A:$A,$A$4,'Bill Credit Rates'!$B:$B,$G64,'Bill Credit Rates'!$C:$C,$M64)</f>
        <v>106.72299999999998</v>
      </c>
      <c r="AJ64" s="14">
        <f>SUMIFS('Bill Credit Rates'!$K:$K,'Bill Credit Rates'!$A:$A,$A$4,'Bill Credit Rates'!$B:$B,$G64,'Bill Credit Rates'!$C:$C,$M64)</f>
        <v>106.72299999999998</v>
      </c>
      <c r="AK64" s="14">
        <f>SUMIFS('Bill Credit Rates'!$K:$K,'Bill Credit Rates'!$A:$A,$A$4,'Bill Credit Rates'!$B:$B,$G64,'Bill Credit Rates'!$C:$C,$M64)</f>
        <v>106.72299999999998</v>
      </c>
      <c r="AL64" s="14">
        <f>SUMIFS('Bill Credit Rates'!$K:$K,'Bill Credit Rates'!$A:$A,$A$4,'Bill Credit Rates'!$B:$B,$G64,'Bill Credit Rates'!$C:$C,$M64)</f>
        <v>106.72299999999998</v>
      </c>
      <c r="AM64" s="14">
        <f>SUMIFS('Bill Credit Rates'!$K:$K,'Bill Credit Rates'!$A:$A,$A$4,'Bill Credit Rates'!$B:$B,$G64,'Bill Credit Rates'!$C:$C,$M64)</f>
        <v>106.72299999999998</v>
      </c>
      <c r="AN64" s="14">
        <f>SUMIFS('Bill Credit Rates'!$K:$K,'Bill Credit Rates'!$A:$A,$A$4,'Bill Credit Rates'!$B:$B,$G64,'Bill Credit Rates'!$C:$C,$M64)</f>
        <v>106.72299999999998</v>
      </c>
      <c r="AP64" s="52">
        <v>2037</v>
      </c>
      <c r="AQ64" s="281">
        <v>70.602310439127052</v>
      </c>
      <c r="AR64" s="281">
        <v>68.942963690060196</v>
      </c>
      <c r="AS64" s="281">
        <v>64.741176412790153</v>
      </c>
      <c r="AT64" s="281">
        <v>63.647159125273312</v>
      </c>
      <c r="AU64" s="281">
        <v>63.287088340087116</v>
      </c>
      <c r="AV64" s="281">
        <v>63.057797672552987</v>
      </c>
      <c r="AW64" s="281">
        <v>63.188977284705537</v>
      </c>
      <c r="AX64" s="281">
        <v>63.746984811050915</v>
      </c>
      <c r="AY64" s="281">
        <v>63.901354279966775</v>
      </c>
      <c r="AZ64" s="281">
        <v>65.212626264707552</v>
      </c>
      <c r="BA64" s="281">
        <v>65.320398695088514</v>
      </c>
      <c r="BB64" s="283">
        <v>67.458871982393816</v>
      </c>
      <c r="BD64" s="52">
        <v>2037</v>
      </c>
      <c r="BE64" s="281">
        <v>25.028048646368674</v>
      </c>
      <c r="BF64" s="281">
        <v>23.368701897301818</v>
      </c>
      <c r="BG64" s="281">
        <v>19.166914620031783</v>
      </c>
      <c r="BH64" s="281">
        <v>18.072897332514941</v>
      </c>
      <c r="BI64" s="281">
        <v>17.712826547328746</v>
      </c>
      <c r="BJ64" s="281">
        <v>17.483535879794616</v>
      </c>
      <c r="BK64" s="281">
        <v>17.614715491947166</v>
      </c>
      <c r="BL64" s="281">
        <v>18.172723018292544</v>
      </c>
      <c r="BM64" s="281">
        <v>18.327092487208404</v>
      </c>
      <c r="BN64" s="281">
        <v>19.638364471949181</v>
      </c>
      <c r="BO64" s="281">
        <v>19.746136902330143</v>
      </c>
      <c r="BP64" s="281">
        <v>21.884610189635445</v>
      </c>
      <c r="BR64" s="52">
        <v>2037</v>
      </c>
      <c r="BS64" s="280">
        <f t="shared" si="28"/>
        <v>64.091701611590139</v>
      </c>
      <c r="BT64" s="280">
        <f t="shared" si="29"/>
        <v>62.43235486252329</v>
      </c>
      <c r="BU64" s="280">
        <f t="shared" si="30"/>
        <v>58.230567585253247</v>
      </c>
      <c r="BV64" s="280">
        <f t="shared" si="31"/>
        <v>57.136550297736399</v>
      </c>
      <c r="BW64" s="280">
        <f t="shared" si="32"/>
        <v>56.776479512550203</v>
      </c>
      <c r="BX64" s="280">
        <f t="shared" si="33"/>
        <v>56.547188845016073</v>
      </c>
      <c r="BY64" s="280">
        <f t="shared" si="34"/>
        <v>56.678368457168624</v>
      </c>
      <c r="BZ64" s="280">
        <f t="shared" si="35"/>
        <v>57.236375983514009</v>
      </c>
      <c r="CA64" s="280">
        <f t="shared" si="36"/>
        <v>57.390745452429861</v>
      </c>
      <c r="CB64" s="280">
        <f t="shared" si="37"/>
        <v>58.702017437170646</v>
      </c>
      <c r="CC64" s="280">
        <f t="shared" si="38"/>
        <v>58.809789867551608</v>
      </c>
      <c r="CD64" s="280">
        <f t="shared" si="39"/>
        <v>60.948263154856903</v>
      </c>
    </row>
    <row r="65" spans="1:82">
      <c r="A65" s="48">
        <v>2038</v>
      </c>
      <c r="B65" s="31" cm="1">
        <f t="array" ref="B65">IF(A65&lt;2021,0,SUMPRODUCT(('Project Operational Timelines'!$AO$20:$AO$49=$A65)*('Project Operational Timelines'!$AP$18:$AY$18=$A$4)*('Project Operational Timelines'!$AP$17:$AY$17=$G65)*'Project Operational Timelines'!$AP37:$AY37))</f>
        <v>32.21</v>
      </c>
      <c r="C65" s="84">
        <f t="shared" si="13"/>
        <v>4403.6201321416665</v>
      </c>
      <c r="D65" s="89">
        <f t="shared" si="40"/>
        <v>2530372.36</v>
      </c>
      <c r="E65" s="89"/>
      <c r="F65" s="89" cm="1">
        <f t="array" ref="F65">IF(A65&lt;2021,0,(-(SUMPRODUCT(('Project Operational Timelines'!$AO$20:$AO$49=$A65)*('Project Operational Timelines'!$AP$18:$AY$18=$A$4)*('Project Operational Timelines'!$AP$19:$AY$19="Non-Carve Out")*('Project Operational Timelines'!$AP$17:$AY$17=$G65)*'Project Operational Timelines'!$AP37:$AY37))*1000*('Program Inputs'!$D$14-'Program Inputs'!$D$6)*$F$4*12)+(-(SUMPRODUCT(('Project Operational Timelines'!$AO$20:$AO$49=$A65)*('Project Operational Timelines'!$AP$18:$AY$18=$A$4)*('Project Operational Timelines'!$AP$19:$AY$19="Carve Out")*('Project Operational Timelines'!$AP$17:$AY$17=$G65)*'Project Operational Timelines'!$AP37:$AY37))*1000*('Program Inputs'!$D$14-'Program Inputs'!$D$7)*$F$4*12))</f>
        <v>-36118.5</v>
      </c>
      <c r="G65" s="79">
        <v>1</v>
      </c>
      <c r="H65" s="328">
        <f t="shared" si="27"/>
        <v>1700247.5</v>
      </c>
      <c r="I65" s="69"/>
      <c r="J65" s="69"/>
      <c r="K65" s="104"/>
      <c r="L65" s="75"/>
      <c r="M65">
        <v>20</v>
      </c>
      <c r="N65" s="52">
        <v>2038</v>
      </c>
      <c r="O65" s="18">
        <f t="shared" si="14"/>
        <v>43.213972204857747</v>
      </c>
      <c r="P65" s="18">
        <f t="shared" si="15"/>
        <v>43.28446422353295</v>
      </c>
      <c r="Q65" s="18">
        <f t="shared" si="16"/>
        <v>48.046504139423604</v>
      </c>
      <c r="R65" s="18">
        <f t="shared" si="17"/>
        <v>49.516814886440756</v>
      </c>
      <c r="S65" s="18">
        <f t="shared" si="18"/>
        <v>49.355686846747119</v>
      </c>
      <c r="T65" s="18">
        <f t="shared" si="19"/>
        <v>49.863572761234288</v>
      </c>
      <c r="U65" s="18">
        <f t="shared" si="20"/>
        <v>48.909879500865145</v>
      </c>
      <c r="V65" s="18">
        <f t="shared" si="21"/>
        <v>49.217103911810746</v>
      </c>
      <c r="W65" s="18">
        <f t="shared" si="22"/>
        <v>48.638428638402694</v>
      </c>
      <c r="X65" s="18">
        <f t="shared" si="23"/>
        <v>47.315497941225075</v>
      </c>
      <c r="Y65" s="18">
        <f t="shared" si="24"/>
        <v>49.492460162553854</v>
      </c>
      <c r="Z65" s="18">
        <f t="shared" si="25"/>
        <v>47.757475033189564</v>
      </c>
      <c r="AA65" s="13"/>
      <c r="AB65" s="52">
        <v>2038</v>
      </c>
      <c r="AC65" s="14">
        <f>SUMIFS('Bill Credit Rates'!$K:$K,'Bill Credit Rates'!$A:$A,$A$4,'Bill Credit Rates'!$B:$B,$G65,'Bill Credit Rates'!$C:$C,$M65)</f>
        <v>106.72299999999998</v>
      </c>
      <c r="AD65" s="14">
        <f>SUMIFS('Bill Credit Rates'!$K:$K,'Bill Credit Rates'!$A:$A,$A$4,'Bill Credit Rates'!$B:$B,$G65,'Bill Credit Rates'!$C:$C,$M65)</f>
        <v>106.72299999999998</v>
      </c>
      <c r="AE65" s="14">
        <f>SUMIFS('Bill Credit Rates'!$K:$K,'Bill Credit Rates'!$A:$A,$A$4,'Bill Credit Rates'!$B:$B,$G65,'Bill Credit Rates'!$C:$C,$M65)</f>
        <v>106.72299999999998</v>
      </c>
      <c r="AF65" s="14">
        <f>SUMIFS('Bill Credit Rates'!$K:$K,'Bill Credit Rates'!$A:$A,$A$4,'Bill Credit Rates'!$B:$B,$G65,'Bill Credit Rates'!$C:$C,$M65)</f>
        <v>106.72299999999998</v>
      </c>
      <c r="AG65" s="14">
        <f>SUMIFS('Bill Credit Rates'!$K:$K,'Bill Credit Rates'!$A:$A,$A$4,'Bill Credit Rates'!$B:$B,$G65,'Bill Credit Rates'!$C:$C,$M65)</f>
        <v>106.72299999999998</v>
      </c>
      <c r="AH65" s="14">
        <f>SUMIFS('Bill Credit Rates'!$K:$K,'Bill Credit Rates'!$A:$A,$A$4,'Bill Credit Rates'!$B:$B,$G65,'Bill Credit Rates'!$C:$C,$M65)</f>
        <v>106.72299999999998</v>
      </c>
      <c r="AI65" s="14">
        <f>SUMIFS('Bill Credit Rates'!$K:$K,'Bill Credit Rates'!$A:$A,$A$4,'Bill Credit Rates'!$B:$B,$G65,'Bill Credit Rates'!$C:$C,$M65)</f>
        <v>106.72299999999998</v>
      </c>
      <c r="AJ65" s="14">
        <f>SUMIFS('Bill Credit Rates'!$K:$K,'Bill Credit Rates'!$A:$A,$A$4,'Bill Credit Rates'!$B:$B,$G65,'Bill Credit Rates'!$C:$C,$M65)</f>
        <v>106.72299999999998</v>
      </c>
      <c r="AK65" s="14">
        <f>SUMIFS('Bill Credit Rates'!$K:$K,'Bill Credit Rates'!$A:$A,$A$4,'Bill Credit Rates'!$B:$B,$G65,'Bill Credit Rates'!$C:$C,$M65)</f>
        <v>106.72299999999998</v>
      </c>
      <c r="AL65" s="14">
        <f>SUMIFS('Bill Credit Rates'!$K:$K,'Bill Credit Rates'!$A:$A,$A$4,'Bill Credit Rates'!$B:$B,$G65,'Bill Credit Rates'!$C:$C,$M65)</f>
        <v>106.72299999999998</v>
      </c>
      <c r="AM65" s="14">
        <f>SUMIFS('Bill Credit Rates'!$K:$K,'Bill Credit Rates'!$A:$A,$A$4,'Bill Credit Rates'!$B:$B,$G65,'Bill Credit Rates'!$C:$C,$M65)</f>
        <v>106.72299999999998</v>
      </c>
      <c r="AN65" s="14">
        <f>SUMIFS('Bill Credit Rates'!$K:$K,'Bill Credit Rates'!$A:$A,$A$4,'Bill Credit Rates'!$B:$B,$G65,'Bill Credit Rates'!$C:$C,$M65)</f>
        <v>106.72299999999998</v>
      </c>
      <c r="AP65" s="52">
        <v>2038</v>
      </c>
      <c r="AQ65" s="281">
        <v>70.158523873056879</v>
      </c>
      <c r="AR65" s="281">
        <v>70.088031854381683</v>
      </c>
      <c r="AS65" s="281">
        <v>65.325991938491029</v>
      </c>
      <c r="AT65" s="281">
        <v>63.855681191473877</v>
      </c>
      <c r="AU65" s="281">
        <v>64.016809231167514</v>
      </c>
      <c r="AV65" s="281">
        <v>63.508923316680345</v>
      </c>
      <c r="AW65" s="281">
        <v>64.462616577049488</v>
      </c>
      <c r="AX65" s="281">
        <v>64.15539216610388</v>
      </c>
      <c r="AY65" s="281">
        <v>64.734067439511932</v>
      </c>
      <c r="AZ65" s="281">
        <v>66.056998136689558</v>
      </c>
      <c r="BA65" s="281">
        <v>63.880035915360779</v>
      </c>
      <c r="BB65" s="283">
        <v>65.615021044725069</v>
      </c>
      <c r="BD65" s="52">
        <v>2038</v>
      </c>
      <c r="BE65" s="281">
        <v>23.612051327654363</v>
      </c>
      <c r="BF65" s="281">
        <v>23.541559308979153</v>
      </c>
      <c r="BG65" s="281">
        <v>18.779519393088499</v>
      </c>
      <c r="BH65" s="281">
        <v>17.309208646071355</v>
      </c>
      <c r="BI65" s="281">
        <v>17.470336685764984</v>
      </c>
      <c r="BJ65" s="281">
        <v>16.962450771277823</v>
      </c>
      <c r="BK65" s="281">
        <v>17.916144031646965</v>
      </c>
      <c r="BL65" s="281">
        <v>17.608919620701357</v>
      </c>
      <c r="BM65" s="281">
        <v>18.187594894109409</v>
      </c>
      <c r="BN65" s="281">
        <v>19.510525591287035</v>
      </c>
      <c r="BO65" s="281">
        <v>17.333563369958256</v>
      </c>
      <c r="BP65" s="281">
        <v>19.068548499322546</v>
      </c>
      <c r="BR65" s="52">
        <v>2038</v>
      </c>
      <c r="BS65" s="280">
        <f t="shared" si="28"/>
        <v>63.509027795142238</v>
      </c>
      <c r="BT65" s="280">
        <f t="shared" si="29"/>
        <v>63.438535776467035</v>
      </c>
      <c r="BU65" s="280">
        <f t="shared" si="30"/>
        <v>58.676495860576381</v>
      </c>
      <c r="BV65" s="280">
        <f t="shared" si="31"/>
        <v>57.206185113559229</v>
      </c>
      <c r="BW65" s="280">
        <f t="shared" si="32"/>
        <v>57.367313153252866</v>
      </c>
      <c r="BX65" s="280">
        <f t="shared" si="33"/>
        <v>56.859427238765697</v>
      </c>
      <c r="BY65" s="280">
        <f t="shared" si="34"/>
        <v>57.81312049913484</v>
      </c>
      <c r="BZ65" s="280">
        <f t="shared" si="35"/>
        <v>57.505896088189239</v>
      </c>
      <c r="CA65" s="280">
        <f t="shared" si="36"/>
        <v>58.084571361597291</v>
      </c>
      <c r="CB65" s="280">
        <f t="shared" si="37"/>
        <v>59.407502058774909</v>
      </c>
      <c r="CC65" s="280">
        <f t="shared" si="38"/>
        <v>57.23053983744613</v>
      </c>
      <c r="CD65" s="280">
        <f t="shared" si="39"/>
        <v>58.96552496681042</v>
      </c>
    </row>
    <row r="66" spans="1:82">
      <c r="A66" s="48">
        <v>2039</v>
      </c>
      <c r="B66" s="31" cm="1">
        <f t="array" ref="B66">IF(A66&lt;2021,0,SUMPRODUCT(('Project Operational Timelines'!$AO$20:$AO$49=$A66)*('Project Operational Timelines'!$AP$18:$AY$18=$A$4)*('Project Operational Timelines'!$AP$17:$AY$17=$G66)*'Project Operational Timelines'!$AP38:$AY38))</f>
        <v>32.21</v>
      </c>
      <c r="C66" s="84">
        <f t="shared" si="13"/>
        <v>4403.6201321416665</v>
      </c>
      <c r="D66" s="89">
        <f t="shared" si="40"/>
        <v>2496124.08</v>
      </c>
      <c r="E66" s="89"/>
      <c r="F66" s="89" cm="1">
        <f t="array" ref="F66">IF(A66&lt;2021,0,(-(SUMPRODUCT(('Project Operational Timelines'!$AO$20:$AO$49=$A66)*('Project Operational Timelines'!$AP$18:$AY$18=$A$4)*('Project Operational Timelines'!$AP$19:$AY$19="Non-Carve Out")*('Project Operational Timelines'!$AP$17:$AY$17=$G66)*'Project Operational Timelines'!$AP38:$AY38))*1000*('Program Inputs'!$D$14-'Program Inputs'!$D$6)*$F$4*12)+(-(SUMPRODUCT(('Project Operational Timelines'!$AO$20:$AO$49=$A66)*('Project Operational Timelines'!$AP$18:$AY$18=$A$4)*('Project Operational Timelines'!$AP$19:$AY$19="Carve Out")*('Project Operational Timelines'!$AP$17:$AY$17=$G66)*'Project Operational Timelines'!$AP38:$AY38))*1000*('Program Inputs'!$D$14-'Program Inputs'!$D$7)*$F$4*12))</f>
        <v>-36118.5</v>
      </c>
      <c r="G66" s="79">
        <v>1</v>
      </c>
      <c r="H66" s="328">
        <f t="shared" si="27"/>
        <v>1630272.28</v>
      </c>
      <c r="I66" s="69"/>
      <c r="J66" s="69"/>
      <c r="K66" s="104"/>
      <c r="L66" s="75"/>
      <c r="M66">
        <v>21</v>
      </c>
      <c r="N66" s="52">
        <v>2039</v>
      </c>
      <c r="O66" s="18">
        <f t="shared" si="14"/>
        <v>43.725559212669417</v>
      </c>
      <c r="P66" s="18">
        <f t="shared" si="15"/>
        <v>44.484345484432446</v>
      </c>
      <c r="Q66" s="18">
        <f t="shared" si="16"/>
        <v>46.122314397978592</v>
      </c>
      <c r="R66" s="18">
        <f t="shared" si="17"/>
        <v>48.299653739773632</v>
      </c>
      <c r="S66" s="18">
        <f t="shared" si="18"/>
        <v>48.439392786795324</v>
      </c>
      <c r="T66" s="18">
        <f t="shared" si="19"/>
        <v>48.584399694754879</v>
      </c>
      <c r="U66" s="18">
        <f t="shared" si="20"/>
        <v>48.575575148107909</v>
      </c>
      <c r="V66" s="18">
        <f t="shared" si="21"/>
        <v>48.333053641318038</v>
      </c>
      <c r="W66" s="18">
        <f t="shared" si="22"/>
        <v>47.97619524389291</v>
      </c>
      <c r="X66" s="18">
        <f t="shared" si="23"/>
        <v>48.016407861768613</v>
      </c>
      <c r="Y66" s="18">
        <f t="shared" si="24"/>
        <v>47.957927248904078</v>
      </c>
      <c r="Z66" s="18">
        <f t="shared" si="25"/>
        <v>46.319736042501127</v>
      </c>
      <c r="AA66" s="13"/>
      <c r="AB66" s="52">
        <v>2039</v>
      </c>
      <c r="AC66" s="14">
        <f>SUMIFS('Bill Credit Rates'!$K:$K,'Bill Credit Rates'!$A:$A,$A$4,'Bill Credit Rates'!$B:$B,$G66,'Bill Credit Rates'!$C:$C,$M66)</f>
        <v>106.72299999999998</v>
      </c>
      <c r="AD66" s="14">
        <f>SUMIFS('Bill Credit Rates'!$K:$K,'Bill Credit Rates'!$A:$A,$A$4,'Bill Credit Rates'!$B:$B,$G66,'Bill Credit Rates'!$C:$C,$M66)</f>
        <v>106.72299999999998</v>
      </c>
      <c r="AE66" s="14">
        <f>SUMIFS('Bill Credit Rates'!$K:$K,'Bill Credit Rates'!$A:$A,$A$4,'Bill Credit Rates'!$B:$B,$G66,'Bill Credit Rates'!$C:$C,$M66)</f>
        <v>106.72299999999998</v>
      </c>
      <c r="AF66" s="14">
        <f>SUMIFS('Bill Credit Rates'!$K:$K,'Bill Credit Rates'!$A:$A,$A$4,'Bill Credit Rates'!$B:$B,$G66,'Bill Credit Rates'!$C:$C,$M66)</f>
        <v>106.72299999999998</v>
      </c>
      <c r="AG66" s="14">
        <f>SUMIFS('Bill Credit Rates'!$K:$K,'Bill Credit Rates'!$A:$A,$A$4,'Bill Credit Rates'!$B:$B,$G66,'Bill Credit Rates'!$C:$C,$M66)</f>
        <v>106.72299999999998</v>
      </c>
      <c r="AH66" s="14">
        <f>SUMIFS('Bill Credit Rates'!$K:$K,'Bill Credit Rates'!$A:$A,$A$4,'Bill Credit Rates'!$B:$B,$G66,'Bill Credit Rates'!$C:$C,$M66)</f>
        <v>106.72299999999998</v>
      </c>
      <c r="AI66" s="14">
        <f>SUMIFS('Bill Credit Rates'!$K:$K,'Bill Credit Rates'!$A:$A,$A$4,'Bill Credit Rates'!$B:$B,$G66,'Bill Credit Rates'!$C:$C,$M66)</f>
        <v>106.72299999999998</v>
      </c>
      <c r="AJ66" s="14">
        <f>SUMIFS('Bill Credit Rates'!$K:$K,'Bill Credit Rates'!$A:$A,$A$4,'Bill Credit Rates'!$B:$B,$G66,'Bill Credit Rates'!$C:$C,$M66)</f>
        <v>106.72299999999998</v>
      </c>
      <c r="AK66" s="14">
        <f>SUMIFS('Bill Credit Rates'!$K:$K,'Bill Credit Rates'!$A:$A,$A$4,'Bill Credit Rates'!$B:$B,$G66,'Bill Credit Rates'!$C:$C,$M66)</f>
        <v>106.72299999999998</v>
      </c>
      <c r="AL66" s="14">
        <f>SUMIFS('Bill Credit Rates'!$K:$K,'Bill Credit Rates'!$A:$A,$A$4,'Bill Credit Rates'!$B:$B,$G66,'Bill Credit Rates'!$C:$C,$M66)</f>
        <v>106.72299999999998</v>
      </c>
      <c r="AM66" s="14">
        <f>SUMIFS('Bill Credit Rates'!$K:$K,'Bill Credit Rates'!$A:$A,$A$4,'Bill Credit Rates'!$B:$B,$G66,'Bill Credit Rates'!$C:$C,$M66)</f>
        <v>106.72299999999998</v>
      </c>
      <c r="AN66" s="14">
        <f>SUMIFS('Bill Credit Rates'!$K:$K,'Bill Credit Rates'!$A:$A,$A$4,'Bill Credit Rates'!$B:$B,$G66,'Bill Credit Rates'!$C:$C,$M66)</f>
        <v>106.72299999999998</v>
      </c>
      <c r="AP66" s="52">
        <v>2039</v>
      </c>
      <c r="AQ66" s="282">
        <v>69.788786921226617</v>
      </c>
      <c r="AR66" s="282">
        <v>69.030000649463588</v>
      </c>
      <c r="AS66" s="282">
        <v>67.392031735917442</v>
      </c>
      <c r="AT66" s="282">
        <v>65.214692394122395</v>
      </c>
      <c r="AU66" s="282">
        <v>65.074953347100703</v>
      </c>
      <c r="AV66" s="282">
        <v>64.929946439141148</v>
      </c>
      <c r="AW66" s="282">
        <v>64.938770985788125</v>
      </c>
      <c r="AX66" s="282">
        <v>65.181292492577995</v>
      </c>
      <c r="AY66" s="282">
        <v>65.538150890003124</v>
      </c>
      <c r="AZ66" s="282">
        <v>65.497938272127413</v>
      </c>
      <c r="BA66" s="282">
        <v>65.556418884991956</v>
      </c>
      <c r="BB66" s="284">
        <v>67.194610091394907</v>
      </c>
      <c r="BD66" s="52">
        <v>2039</v>
      </c>
      <c r="BE66" s="281">
        <v>22.249363983954293</v>
      </c>
      <c r="BF66" s="281">
        <v>21.490577712191257</v>
      </c>
      <c r="BG66" s="281">
        <v>19.852608798645107</v>
      </c>
      <c r="BH66" s="281">
        <v>17.675269456850071</v>
      </c>
      <c r="BI66" s="281">
        <v>17.535530409828372</v>
      </c>
      <c r="BJ66" s="281">
        <v>17.39052350186882</v>
      </c>
      <c r="BK66" s="281">
        <v>17.39934804851579</v>
      </c>
      <c r="BL66" s="281">
        <v>17.641869555305675</v>
      </c>
      <c r="BM66" s="281">
        <v>17.998727952730793</v>
      </c>
      <c r="BN66" s="281">
        <v>17.958515334855093</v>
      </c>
      <c r="BO66" s="281">
        <v>18.016995947719622</v>
      </c>
      <c r="BP66" s="281">
        <v>19.655187154122572</v>
      </c>
      <c r="BR66" s="52">
        <v>2039</v>
      </c>
      <c r="BS66" s="280">
        <f t="shared" si="28"/>
        <v>62.997440787330568</v>
      </c>
      <c r="BT66" s="280">
        <f t="shared" si="29"/>
        <v>62.238654515567539</v>
      </c>
      <c r="BU66" s="280">
        <f t="shared" si="30"/>
        <v>60.600685602021393</v>
      </c>
      <c r="BV66" s="280">
        <f t="shared" si="31"/>
        <v>58.423346260226353</v>
      </c>
      <c r="BW66" s="280">
        <f t="shared" si="32"/>
        <v>58.283607213204661</v>
      </c>
      <c r="BX66" s="280">
        <f t="shared" si="33"/>
        <v>58.138600305245106</v>
      </c>
      <c r="BY66" s="280">
        <f t="shared" si="34"/>
        <v>58.147424851892076</v>
      </c>
      <c r="BZ66" s="280">
        <f t="shared" si="35"/>
        <v>58.389946358681946</v>
      </c>
      <c r="CA66" s="280">
        <f t="shared" si="36"/>
        <v>58.746804756107075</v>
      </c>
      <c r="CB66" s="280">
        <f t="shared" si="37"/>
        <v>58.706592138231372</v>
      </c>
      <c r="CC66" s="280">
        <f t="shared" si="38"/>
        <v>58.765072751095907</v>
      </c>
      <c r="CD66" s="280">
        <f t="shared" si="39"/>
        <v>60.403263957498858</v>
      </c>
    </row>
    <row r="67" spans="1:82">
      <c r="A67" s="48">
        <v>2040</v>
      </c>
      <c r="B67" s="31" cm="1">
        <f t="array" ref="B67">IF(A67&lt;2021,0,SUMPRODUCT(('Project Operational Timelines'!$AO$20:$AO$49=$A67)*('Project Operational Timelines'!$AP$18:$AY$18=$A$4)*('Project Operational Timelines'!$AP$17:$AY$17=$G67)*'Project Operational Timelines'!$AP39:$AY39))</f>
        <v>32.21</v>
      </c>
      <c r="C67" s="84">
        <f t="shared" si="13"/>
        <v>4403.6201321416665</v>
      </c>
      <c r="D67" s="89">
        <f t="shared" si="40"/>
        <v>2383787.1800000002</v>
      </c>
      <c r="E67" s="89"/>
      <c r="F67" s="89" cm="1">
        <f t="array" ref="F67">IF(A67&lt;2021,0,(-(SUMPRODUCT(('Project Operational Timelines'!$AO$20:$AO$49=$A67)*('Project Operational Timelines'!$AP$18:$AY$18=$A$4)*('Project Operational Timelines'!$AP$19:$AY$19="Non-Carve Out")*('Project Operational Timelines'!$AP$17:$AY$17=$G67)*'Project Operational Timelines'!$AP39:$AY39))*1000*('Program Inputs'!$D$14-'Program Inputs'!$D$6)*$F$4*12)+(-(SUMPRODUCT(('Project Operational Timelines'!$AO$20:$AO$49=$A67)*('Project Operational Timelines'!$AP$18:$AY$18=$A$4)*('Project Operational Timelines'!$AP$19:$AY$19="Carve Out")*('Project Operational Timelines'!$AP$17:$AY$17=$G67)*'Project Operational Timelines'!$AP39:$AY39))*1000*('Program Inputs'!$D$14-'Program Inputs'!$D$7)*$F$4*12))</f>
        <v>-36118.5</v>
      </c>
      <c r="G67" s="79">
        <v>1</v>
      </c>
      <c r="H67" s="328">
        <f t="shared" si="27"/>
        <v>1513309.36</v>
      </c>
      <c r="I67" s="69"/>
      <c r="J67" s="69"/>
      <c r="K67" s="104"/>
      <c r="L67" s="75"/>
      <c r="M67">
        <v>22</v>
      </c>
      <c r="N67" s="52">
        <v>2040</v>
      </c>
      <c r="O67" s="18">
        <f t="shared" ref="O67:O71" si="41">(AC67-BS67)</f>
        <v>42.570178430180292</v>
      </c>
      <c r="P67" s="18">
        <f t="shared" ref="P67:P71" si="42">(AD67-BT67)</f>
        <v>41.353611781249583</v>
      </c>
      <c r="Q67" s="18">
        <f t="shared" ref="Q67:Q71" si="43">(AE67-BU67)</f>
        <v>44.24710819665188</v>
      </c>
      <c r="R67" s="18">
        <f t="shared" ref="R67:R71" si="44">(AF67-BV67)</f>
        <v>46.235236986364562</v>
      </c>
      <c r="S67" s="18">
        <f t="shared" ref="S67:S71" si="45">(AG67-BW67)</f>
        <v>46.353586270716356</v>
      </c>
      <c r="T67" s="18">
        <f t="shared" ref="T67:T71" si="46">(AH67-BX67)</f>
        <v>46.257014214598371</v>
      </c>
      <c r="U67" s="18">
        <f t="shared" ref="U67:U71" si="47">(AI67-BY67)</f>
        <v>46.534717070668471</v>
      </c>
      <c r="V67" s="18">
        <f t="shared" ref="V67:V71" si="48">(AJ67-BZ67)</f>
        <v>46.36503963369946</v>
      </c>
      <c r="W67" s="18">
        <f t="shared" ref="W67:W71" si="49">(AK67-CA67)</f>
        <v>45.727334173189853</v>
      </c>
      <c r="X67" s="18">
        <f t="shared" ref="X67:X71" si="50">(AL67-CB67)</f>
        <v>45.191841858039538</v>
      </c>
      <c r="Y67" s="18">
        <f t="shared" ref="Y67:Y71" si="51">(AM67-CC67)</f>
        <v>46.348461934686895</v>
      </c>
      <c r="Z67" s="18">
        <f t="shared" ref="Z67:Z71" si="52">(AN67-CD67)</f>
        <v>44.140303467026449</v>
      </c>
      <c r="AA67" s="13"/>
      <c r="AB67" s="52">
        <v>2040</v>
      </c>
      <c r="AC67" s="14">
        <f>SUMIFS('Bill Credit Rates'!$K:$K,'Bill Credit Rates'!$A:$A,$A$4,'Bill Credit Rates'!$B:$B,$G67,'Bill Credit Rates'!$C:$C,$M67)</f>
        <v>106.72299999999998</v>
      </c>
      <c r="AD67" s="14">
        <f>SUMIFS('Bill Credit Rates'!$K:$K,'Bill Credit Rates'!$A:$A,$A$4,'Bill Credit Rates'!$B:$B,$G67,'Bill Credit Rates'!$C:$C,$M67)</f>
        <v>106.72299999999998</v>
      </c>
      <c r="AE67" s="14">
        <f>SUMIFS('Bill Credit Rates'!$K:$K,'Bill Credit Rates'!$A:$A,$A$4,'Bill Credit Rates'!$B:$B,$G67,'Bill Credit Rates'!$C:$C,$M67)</f>
        <v>106.72299999999998</v>
      </c>
      <c r="AF67" s="14">
        <f>SUMIFS('Bill Credit Rates'!$K:$K,'Bill Credit Rates'!$A:$A,$A$4,'Bill Credit Rates'!$B:$B,$G67,'Bill Credit Rates'!$C:$C,$M67)</f>
        <v>106.72299999999998</v>
      </c>
      <c r="AG67" s="14">
        <f>SUMIFS('Bill Credit Rates'!$K:$K,'Bill Credit Rates'!$A:$A,$A$4,'Bill Credit Rates'!$B:$B,$G67,'Bill Credit Rates'!$C:$C,$M67)</f>
        <v>106.72299999999998</v>
      </c>
      <c r="AH67" s="14">
        <f>SUMIFS('Bill Credit Rates'!$K:$K,'Bill Credit Rates'!$A:$A,$A$4,'Bill Credit Rates'!$B:$B,$G67,'Bill Credit Rates'!$C:$C,$M67)</f>
        <v>106.72299999999998</v>
      </c>
      <c r="AI67" s="14">
        <f>SUMIFS('Bill Credit Rates'!$K:$K,'Bill Credit Rates'!$A:$A,$A$4,'Bill Credit Rates'!$B:$B,$G67,'Bill Credit Rates'!$C:$C,$M67)</f>
        <v>106.72299999999998</v>
      </c>
      <c r="AJ67" s="14">
        <f>SUMIFS('Bill Credit Rates'!$K:$K,'Bill Credit Rates'!$A:$A,$A$4,'Bill Credit Rates'!$B:$B,$G67,'Bill Credit Rates'!$C:$C,$M67)</f>
        <v>106.72299999999998</v>
      </c>
      <c r="AK67" s="14">
        <f>SUMIFS('Bill Credit Rates'!$K:$K,'Bill Credit Rates'!$A:$A,$A$4,'Bill Credit Rates'!$B:$B,$G67,'Bill Credit Rates'!$C:$C,$M67)</f>
        <v>106.72299999999998</v>
      </c>
      <c r="AL67" s="14">
        <f>SUMIFS('Bill Credit Rates'!$K:$K,'Bill Credit Rates'!$A:$A,$A$4,'Bill Credit Rates'!$B:$B,$G67,'Bill Credit Rates'!$C:$C,$M67)</f>
        <v>106.72299999999998</v>
      </c>
      <c r="AM67" s="14">
        <f>SUMIFS('Bill Credit Rates'!$K:$K,'Bill Credit Rates'!$A:$A,$A$4,'Bill Credit Rates'!$B:$B,$G67,'Bill Credit Rates'!$C:$C,$M67)</f>
        <v>106.72299999999998</v>
      </c>
      <c r="AN67" s="14">
        <f>SUMIFS('Bill Credit Rates'!$K:$K,'Bill Credit Rates'!$A:$A,$A$4,'Bill Credit Rates'!$B:$B,$G67,'Bill Credit Rates'!$C:$C,$M67)</f>
        <v>106.72299999999998</v>
      </c>
      <c r="AP67" s="135">
        <v>2040</v>
      </c>
      <c r="AQ67" s="285">
        <v>71.089043769209155</v>
      </c>
      <c r="AR67" s="285">
        <v>72.305610418139878</v>
      </c>
      <c r="AS67" s="285">
        <v>69.412114002737567</v>
      </c>
      <c r="AT67" s="285">
        <v>67.423985213024892</v>
      </c>
      <c r="AU67" s="285">
        <v>67.305635928673098</v>
      </c>
      <c r="AV67" s="285">
        <v>67.402207984791076</v>
      </c>
      <c r="AW67" s="285">
        <v>67.124505128720983</v>
      </c>
      <c r="AX67" s="285">
        <v>67.294182565689994</v>
      </c>
      <c r="AY67" s="285">
        <v>67.931888026199601</v>
      </c>
      <c r="AZ67" s="285">
        <v>68.467380341349909</v>
      </c>
      <c r="BA67" s="285">
        <v>67.310760264702552</v>
      </c>
      <c r="BB67" s="285">
        <v>69.518918732363005</v>
      </c>
      <c r="BD67" s="135">
        <v>2040</v>
      </c>
      <c r="BE67" s="281">
        <v>22.53548837348287</v>
      </c>
      <c r="BF67" s="281">
        <v>23.7520550224136</v>
      </c>
      <c r="BG67" s="281">
        <v>20.85855860701129</v>
      </c>
      <c r="BH67" s="281">
        <v>18.870429817298614</v>
      </c>
      <c r="BI67" s="281">
        <v>18.75208053294682</v>
      </c>
      <c r="BJ67" s="281">
        <v>18.848652589064798</v>
      </c>
      <c r="BK67" s="281">
        <v>18.570949732994698</v>
      </c>
      <c r="BL67" s="281">
        <v>18.740627169963723</v>
      </c>
      <c r="BM67" s="281">
        <v>19.378332630473317</v>
      </c>
      <c r="BN67" s="281">
        <v>19.913824945623631</v>
      </c>
      <c r="BO67" s="281">
        <v>18.757204868976274</v>
      </c>
      <c r="BP67" s="281">
        <v>20.965363336636727</v>
      </c>
      <c r="BR67" s="137">
        <v>2040</v>
      </c>
      <c r="BS67" s="280">
        <f t="shared" si="28"/>
        <v>64.152821569819693</v>
      </c>
      <c r="BT67" s="280">
        <f t="shared" si="29"/>
        <v>65.369388218750402</v>
      </c>
      <c r="BU67" s="280">
        <f t="shared" si="30"/>
        <v>62.475891803348105</v>
      </c>
      <c r="BV67" s="280">
        <f t="shared" si="31"/>
        <v>60.487763013635423</v>
      </c>
      <c r="BW67" s="280">
        <f t="shared" si="32"/>
        <v>60.369413729283629</v>
      </c>
      <c r="BX67" s="280">
        <f t="shared" si="33"/>
        <v>60.465985785401614</v>
      </c>
      <c r="BY67" s="280">
        <f t="shared" si="34"/>
        <v>60.188282929331514</v>
      </c>
      <c r="BZ67" s="280">
        <f t="shared" si="35"/>
        <v>60.357960366300524</v>
      </c>
      <c r="CA67" s="280">
        <f t="shared" si="36"/>
        <v>60.995665826810132</v>
      </c>
      <c r="CB67" s="280">
        <f t="shared" si="37"/>
        <v>61.531158141960447</v>
      </c>
      <c r="CC67" s="280">
        <f t="shared" si="38"/>
        <v>60.374538065313089</v>
      </c>
      <c r="CD67" s="280">
        <f t="shared" si="39"/>
        <v>62.582696532973536</v>
      </c>
    </row>
    <row r="68" spans="1:82">
      <c r="A68" s="48">
        <v>2041</v>
      </c>
      <c r="B68" s="31" cm="1">
        <f t="array" ref="B68">IF(A68&lt;2021,0,SUMPRODUCT(('Project Operational Timelines'!$AO$20:$AO$49=$A68)*('Project Operational Timelines'!$AP$18:$AY$18=$A$4)*('Project Operational Timelines'!$AP$17:$AY$17=$G68)*'Project Operational Timelines'!$AP40:$AY40))</f>
        <v>29.11</v>
      </c>
      <c r="C68" s="84">
        <f t="shared" si="13"/>
        <v>3979.8007465583328</v>
      </c>
      <c r="D68" s="89">
        <f t="shared" si="40"/>
        <v>2048862.92</v>
      </c>
      <c r="E68" s="89"/>
      <c r="F68" s="89" cm="1">
        <f t="array" ref="F68">IF(A68&lt;2021,0,(-(SUMPRODUCT(('Project Operational Timelines'!$AO$20:$AO$49=$A68)*('Project Operational Timelines'!$AP$18:$AY$18=$A$4)*('Project Operational Timelines'!$AP$19:$AY$19="Non-Carve Out")*('Project Operational Timelines'!$AP$17:$AY$17=$G68)*'Project Operational Timelines'!$AP40:$AY40))*1000*('Program Inputs'!$D$14-'Program Inputs'!$D$6)*$F$4*12)+(-(SUMPRODUCT(('Project Operational Timelines'!$AO$20:$AO$49=$A68)*('Project Operational Timelines'!$AP$18:$AY$18=$A$4)*('Project Operational Timelines'!$AP$19:$AY$19="Carve Out")*('Project Operational Timelines'!$AP$17:$AY$17=$G68)*'Project Operational Timelines'!$AP40:$AY40))*1000*('Program Inputs'!$D$14-'Program Inputs'!$D$7)*$F$4*12))</f>
        <v>-32640.3</v>
      </c>
      <c r="G68" s="79">
        <v>1</v>
      </c>
      <c r="H68" s="328">
        <f t="shared" si="27"/>
        <v>1264268.76</v>
      </c>
      <c r="I68" s="69"/>
      <c r="J68" s="69"/>
      <c r="K68" s="104"/>
      <c r="L68" s="75"/>
      <c r="M68">
        <v>23</v>
      </c>
      <c r="N68" s="52">
        <v>2041</v>
      </c>
      <c r="O68" s="18">
        <f t="shared" si="41"/>
        <v>38.637920511693338</v>
      </c>
      <c r="P68" s="18">
        <f t="shared" si="42"/>
        <v>39.216203231848752</v>
      </c>
      <c r="Q68" s="18">
        <f t="shared" si="43"/>
        <v>42.919624246140586</v>
      </c>
      <c r="R68" s="18">
        <f t="shared" si="44"/>
        <v>44.92601807473072</v>
      </c>
      <c r="S68" s="18">
        <f t="shared" si="45"/>
        <v>45.34774971170733</v>
      </c>
      <c r="T68" s="18">
        <f t="shared" si="46"/>
        <v>45.516128352057237</v>
      </c>
      <c r="U68" s="18">
        <f t="shared" si="47"/>
        <v>44.396117905763717</v>
      </c>
      <c r="V68" s="18">
        <f t="shared" si="48"/>
        <v>43.648296196280135</v>
      </c>
      <c r="W68" s="18">
        <f t="shared" si="49"/>
        <v>42.983563476043919</v>
      </c>
      <c r="X68" s="18">
        <f t="shared" si="50"/>
        <v>44.610286317516227</v>
      </c>
      <c r="Y68" s="18">
        <f t="shared" si="51"/>
        <v>42.355725051871033</v>
      </c>
      <c r="Z68" s="18">
        <f t="shared" si="52"/>
        <v>40.257818900692371</v>
      </c>
      <c r="AA68" s="13"/>
      <c r="AB68" s="52">
        <v>2041</v>
      </c>
      <c r="AC68" s="14">
        <f>SUMIFS('Bill Credit Rates'!$K:$K,'Bill Credit Rates'!$A:$A,$A$4,'Bill Credit Rates'!$B:$B,$G68,'Bill Credit Rates'!$C:$C,$M68)</f>
        <v>106.72299999999998</v>
      </c>
      <c r="AD68" s="14">
        <f>SUMIFS('Bill Credit Rates'!$K:$K,'Bill Credit Rates'!$A:$A,$A$4,'Bill Credit Rates'!$B:$B,$G68,'Bill Credit Rates'!$C:$C,$M68)</f>
        <v>106.72299999999998</v>
      </c>
      <c r="AE68" s="14">
        <f>SUMIFS('Bill Credit Rates'!$K:$K,'Bill Credit Rates'!$A:$A,$A$4,'Bill Credit Rates'!$B:$B,$G68,'Bill Credit Rates'!$C:$C,$M68)</f>
        <v>106.72299999999998</v>
      </c>
      <c r="AF68" s="14">
        <f>SUMIFS('Bill Credit Rates'!$K:$K,'Bill Credit Rates'!$A:$A,$A$4,'Bill Credit Rates'!$B:$B,$G68,'Bill Credit Rates'!$C:$C,$M68)</f>
        <v>106.72299999999998</v>
      </c>
      <c r="AG68" s="14">
        <f>SUMIFS('Bill Credit Rates'!$K:$K,'Bill Credit Rates'!$A:$A,$A$4,'Bill Credit Rates'!$B:$B,$G68,'Bill Credit Rates'!$C:$C,$M68)</f>
        <v>106.72299999999998</v>
      </c>
      <c r="AH68" s="14">
        <f>SUMIFS('Bill Credit Rates'!$K:$K,'Bill Credit Rates'!$A:$A,$A$4,'Bill Credit Rates'!$B:$B,$G68,'Bill Credit Rates'!$C:$C,$M68)</f>
        <v>106.72299999999998</v>
      </c>
      <c r="AI68" s="14">
        <f>SUMIFS('Bill Credit Rates'!$K:$K,'Bill Credit Rates'!$A:$A,$A$4,'Bill Credit Rates'!$B:$B,$G68,'Bill Credit Rates'!$C:$C,$M68)</f>
        <v>106.72299999999998</v>
      </c>
      <c r="AJ68" s="14">
        <f>SUMIFS('Bill Credit Rates'!$K:$K,'Bill Credit Rates'!$A:$A,$A$4,'Bill Credit Rates'!$B:$B,$G68,'Bill Credit Rates'!$C:$C,$M68)</f>
        <v>106.72299999999998</v>
      </c>
      <c r="AK68" s="14">
        <f>SUMIFS('Bill Credit Rates'!$K:$K,'Bill Credit Rates'!$A:$A,$A$4,'Bill Credit Rates'!$B:$B,$G68,'Bill Credit Rates'!$C:$C,$M68)</f>
        <v>106.72299999999998</v>
      </c>
      <c r="AL68" s="14">
        <f>SUMIFS('Bill Credit Rates'!$K:$K,'Bill Credit Rates'!$A:$A,$A$4,'Bill Credit Rates'!$B:$B,$G68,'Bill Credit Rates'!$C:$C,$M68)</f>
        <v>106.72299999999998</v>
      </c>
      <c r="AM68" s="14">
        <f>SUMIFS('Bill Credit Rates'!$K:$K,'Bill Credit Rates'!$A:$A,$A$4,'Bill Credit Rates'!$B:$B,$G68,'Bill Credit Rates'!$C:$C,$M68)</f>
        <v>106.72299999999998</v>
      </c>
      <c r="AN68" s="14">
        <f>SUMIFS('Bill Credit Rates'!$K:$K,'Bill Credit Rates'!$A:$A,$A$4,'Bill Credit Rates'!$B:$B,$G68,'Bill Credit Rates'!$C:$C,$M68)</f>
        <v>106.72299999999998</v>
      </c>
      <c r="AP68" s="52">
        <v>2041</v>
      </c>
      <c r="AQ68" s="285">
        <v>75.169268314904258</v>
      </c>
      <c r="AR68" s="285">
        <v>74.590985594748844</v>
      </c>
      <c r="AS68" s="285">
        <v>70.88756458045701</v>
      </c>
      <c r="AT68" s="285">
        <v>68.881170751866875</v>
      </c>
      <c r="AU68" s="285">
        <v>68.459439114890273</v>
      </c>
      <c r="AV68" s="285">
        <v>68.291060474540359</v>
      </c>
      <c r="AW68" s="285">
        <v>69.411070920833879</v>
      </c>
      <c r="AX68" s="285">
        <v>70.158892630317467</v>
      </c>
      <c r="AY68" s="285">
        <v>70.823625350553684</v>
      </c>
      <c r="AZ68" s="285">
        <v>69.196902509081369</v>
      </c>
      <c r="BA68" s="285">
        <v>71.451463774726562</v>
      </c>
      <c r="BB68" s="285">
        <v>73.549369925905225</v>
      </c>
      <c r="BD68" s="52">
        <v>2041</v>
      </c>
      <c r="BE68" s="281">
        <v>25.579946528720964</v>
      </c>
      <c r="BF68" s="281">
        <v>25.001663808565546</v>
      </c>
      <c r="BG68" s="281">
        <v>21.298242794273722</v>
      </c>
      <c r="BH68" s="281">
        <v>19.291848965683592</v>
      </c>
      <c r="BI68" s="281">
        <v>18.870117328706975</v>
      </c>
      <c r="BJ68" s="281">
        <v>18.701738688357061</v>
      </c>
      <c r="BK68" s="281">
        <v>19.821749134650595</v>
      </c>
      <c r="BL68" s="281">
        <v>20.569570844134169</v>
      </c>
      <c r="BM68" s="281">
        <v>21.234303564370393</v>
      </c>
      <c r="BN68" s="281">
        <v>19.607580722898078</v>
      </c>
      <c r="BO68" s="281">
        <v>21.862141988543264</v>
      </c>
      <c r="BP68" s="281">
        <v>23.960048139721934</v>
      </c>
      <c r="BR68" s="63">
        <v>2041</v>
      </c>
      <c r="BS68" s="280">
        <f t="shared" si="28"/>
        <v>68.085079488306647</v>
      </c>
      <c r="BT68" s="280">
        <f t="shared" si="29"/>
        <v>67.506796768151233</v>
      </c>
      <c r="BU68" s="280">
        <f t="shared" si="30"/>
        <v>63.803375753859399</v>
      </c>
      <c r="BV68" s="280">
        <f t="shared" si="31"/>
        <v>61.796981925269264</v>
      </c>
      <c r="BW68" s="280">
        <f t="shared" si="32"/>
        <v>61.375250288292655</v>
      </c>
      <c r="BX68" s="280">
        <f t="shared" si="33"/>
        <v>61.206871647942748</v>
      </c>
      <c r="BY68" s="280">
        <f t="shared" si="34"/>
        <v>62.326882094236268</v>
      </c>
      <c r="BZ68" s="280">
        <f t="shared" si="35"/>
        <v>63.074703803719849</v>
      </c>
      <c r="CA68" s="280">
        <f t="shared" si="36"/>
        <v>63.739436523956066</v>
      </c>
      <c r="CB68" s="280">
        <f t="shared" si="37"/>
        <v>62.112713682483758</v>
      </c>
      <c r="CC68" s="280">
        <f t="shared" si="38"/>
        <v>64.367274948128951</v>
      </c>
      <c r="CD68" s="280">
        <f t="shared" si="39"/>
        <v>66.465181099307614</v>
      </c>
    </row>
    <row r="69" spans="1:82">
      <c r="A69" s="48">
        <v>2042</v>
      </c>
      <c r="B69" s="31" cm="1">
        <f t="array" ref="B69">IF(A69&lt;2021,0,SUMPRODUCT(('Project Operational Timelines'!$AO$20:$AO$49=$A69)*('Project Operational Timelines'!$AP$18:$AY$18=$A$4)*('Project Operational Timelines'!$AP$17:$AY$17=$G69)*'Project Operational Timelines'!$AP41:$AY41))</f>
        <v>8.36</v>
      </c>
      <c r="C69" s="84">
        <f t="shared" si="13"/>
        <v>1142.9451817666666</v>
      </c>
      <c r="D69" s="89">
        <f t="shared" si="40"/>
        <v>551328.1</v>
      </c>
      <c r="E69" s="89"/>
      <c r="F69" s="89" cm="1">
        <f t="array" ref="F69">IF(A69&lt;2021,0,(-(SUMPRODUCT(('Project Operational Timelines'!$AO$20:$AO$49=$A69)*('Project Operational Timelines'!$AP$18:$AY$18=$A$4)*('Project Operational Timelines'!$AP$19:$AY$19="Non-Carve Out")*('Project Operational Timelines'!$AP$17:$AY$17=$G69)*'Project Operational Timelines'!$AP41:$AY41))*1000*('Program Inputs'!$D$14-'Program Inputs'!$D$6)*$F$4*12)+(-(SUMPRODUCT(('Project Operational Timelines'!$AO$20:$AO$49=$A69)*('Project Operational Timelines'!$AP$18:$AY$18=$A$4)*('Project Operational Timelines'!$AP$19:$AY$19="Carve Out")*('Project Operational Timelines'!$AP$17:$AY$17=$G69)*'Project Operational Timelines'!$AP41:$AY41))*1000*('Program Inputs'!$D$14-'Program Inputs'!$D$7)*$F$4*12))</f>
        <v>-9369.3599999999988</v>
      </c>
      <c r="G69" s="79">
        <v>1</v>
      </c>
      <c r="H69" s="328">
        <f t="shared" si="27"/>
        <v>330676.17</v>
      </c>
      <c r="I69" s="69"/>
      <c r="J69" s="69"/>
      <c r="K69" s="104"/>
      <c r="L69" s="75"/>
      <c r="M69">
        <v>24</v>
      </c>
      <c r="N69" s="52">
        <v>2042</v>
      </c>
      <c r="O69" s="18">
        <f t="shared" si="41"/>
        <v>37.306375424864598</v>
      </c>
      <c r="P69" s="18">
        <f t="shared" si="42"/>
        <v>35.179585509346367</v>
      </c>
      <c r="Q69" s="18">
        <f t="shared" si="43"/>
        <v>39.629994325392843</v>
      </c>
      <c r="R69" s="18">
        <f t="shared" si="44"/>
        <v>41.907704662010715</v>
      </c>
      <c r="S69" s="18">
        <f t="shared" si="45"/>
        <v>42.046893766269719</v>
      </c>
      <c r="T69" s="18">
        <f t="shared" si="46"/>
        <v>42.21905288231828</v>
      </c>
      <c r="U69" s="18">
        <f t="shared" si="47"/>
        <v>41.279983945123419</v>
      </c>
      <c r="V69" s="18">
        <f t="shared" si="48"/>
        <v>41.167552554395243</v>
      </c>
      <c r="W69" s="18">
        <f t="shared" si="49"/>
        <v>40.963907653486459</v>
      </c>
      <c r="X69" s="18">
        <f t="shared" si="50"/>
        <v>42.416924188505192</v>
      </c>
      <c r="Y69" s="18">
        <f t="shared" si="51"/>
        <v>41.088300920578263</v>
      </c>
      <c r="Z69" s="18">
        <f t="shared" si="52"/>
        <v>37.168652935349144</v>
      </c>
      <c r="AA69" s="13"/>
      <c r="AB69" s="52">
        <v>2042</v>
      </c>
      <c r="AC69" s="14">
        <f>SUMIFS('Bill Credit Rates'!$K:$K,'Bill Credit Rates'!$A:$A,$A$4,'Bill Credit Rates'!$B:$B,$G69,'Bill Credit Rates'!$C:$C,$M69)</f>
        <v>106.72299999999998</v>
      </c>
      <c r="AD69" s="14">
        <f>SUMIFS('Bill Credit Rates'!$K:$K,'Bill Credit Rates'!$A:$A,$A$4,'Bill Credit Rates'!$B:$B,$G69,'Bill Credit Rates'!$C:$C,$M69)</f>
        <v>106.72299999999998</v>
      </c>
      <c r="AE69" s="14">
        <f>SUMIFS('Bill Credit Rates'!$K:$K,'Bill Credit Rates'!$A:$A,$A$4,'Bill Credit Rates'!$B:$B,$G69,'Bill Credit Rates'!$C:$C,$M69)</f>
        <v>106.72299999999998</v>
      </c>
      <c r="AF69" s="14">
        <f>SUMIFS('Bill Credit Rates'!$K:$K,'Bill Credit Rates'!$A:$A,$A$4,'Bill Credit Rates'!$B:$B,$G69,'Bill Credit Rates'!$C:$C,$M69)</f>
        <v>106.72299999999998</v>
      </c>
      <c r="AG69" s="14">
        <f>SUMIFS('Bill Credit Rates'!$K:$K,'Bill Credit Rates'!$A:$A,$A$4,'Bill Credit Rates'!$B:$B,$G69,'Bill Credit Rates'!$C:$C,$M69)</f>
        <v>106.72299999999998</v>
      </c>
      <c r="AH69" s="14">
        <f>SUMIFS('Bill Credit Rates'!$K:$K,'Bill Credit Rates'!$A:$A,$A$4,'Bill Credit Rates'!$B:$B,$G69,'Bill Credit Rates'!$C:$C,$M69)</f>
        <v>106.72299999999998</v>
      </c>
      <c r="AI69" s="14">
        <f>SUMIFS('Bill Credit Rates'!$K:$K,'Bill Credit Rates'!$A:$A,$A$4,'Bill Credit Rates'!$B:$B,$G69,'Bill Credit Rates'!$C:$C,$M69)</f>
        <v>106.72299999999998</v>
      </c>
      <c r="AJ69" s="14">
        <f>SUMIFS('Bill Credit Rates'!$K:$K,'Bill Credit Rates'!$A:$A,$A$4,'Bill Credit Rates'!$B:$B,$G69,'Bill Credit Rates'!$C:$C,$M69)</f>
        <v>106.72299999999998</v>
      </c>
      <c r="AK69" s="14">
        <f>SUMIFS('Bill Credit Rates'!$K:$K,'Bill Credit Rates'!$A:$A,$A$4,'Bill Credit Rates'!$B:$B,$G69,'Bill Credit Rates'!$C:$C,$M69)</f>
        <v>106.72299999999998</v>
      </c>
      <c r="AL69" s="14">
        <f>SUMIFS('Bill Credit Rates'!$K:$K,'Bill Credit Rates'!$A:$A,$A$4,'Bill Credit Rates'!$B:$B,$G69,'Bill Credit Rates'!$C:$C,$M69)</f>
        <v>106.72299999999998</v>
      </c>
      <c r="AM69" s="14">
        <f>SUMIFS('Bill Credit Rates'!$K:$K,'Bill Credit Rates'!$A:$A,$A$4,'Bill Credit Rates'!$B:$B,$G69,'Bill Credit Rates'!$C:$C,$M69)</f>
        <v>106.72299999999998</v>
      </c>
      <c r="AN69" s="14">
        <f>SUMIFS('Bill Credit Rates'!$K:$K,'Bill Credit Rates'!$A:$A,$A$4,'Bill Credit Rates'!$B:$B,$G69,'Bill Credit Rates'!$C:$C,$M69)</f>
        <v>106.72299999999998</v>
      </c>
      <c r="AP69" s="135">
        <v>2042</v>
      </c>
      <c r="AQ69" s="285">
        <v>76.651936519915338</v>
      </c>
      <c r="AR69" s="285">
        <v>78.778726435433569</v>
      </c>
      <c r="AS69" s="285">
        <v>74.328317619387093</v>
      </c>
      <c r="AT69" s="285">
        <v>72.050607282769221</v>
      </c>
      <c r="AU69" s="285">
        <v>71.911418178510218</v>
      </c>
      <c r="AV69" s="285">
        <v>71.739259062461656</v>
      </c>
      <c r="AW69" s="285">
        <v>72.678327999656517</v>
      </c>
      <c r="AX69" s="285">
        <v>72.790759390384693</v>
      </c>
      <c r="AY69" s="285">
        <v>72.994404291293478</v>
      </c>
      <c r="AZ69" s="285">
        <v>71.541387756274744</v>
      </c>
      <c r="BA69" s="285">
        <v>72.870011024201673</v>
      </c>
      <c r="BB69" s="285">
        <v>76.789659009430792</v>
      </c>
      <c r="BD69" s="135">
        <v>2042</v>
      </c>
      <c r="BE69" s="281">
        <v>26.004752906455682</v>
      </c>
      <c r="BF69" s="281">
        <v>28.131542821973916</v>
      </c>
      <c r="BG69" s="281">
        <v>23.681134005927447</v>
      </c>
      <c r="BH69" s="281">
        <v>21.403423669309571</v>
      </c>
      <c r="BI69" s="281">
        <v>21.264234565050565</v>
      </c>
      <c r="BJ69" s="281">
        <v>21.092075449001996</v>
      </c>
      <c r="BK69" s="281">
        <v>22.031144386196868</v>
      </c>
      <c r="BL69" s="281">
        <v>22.143575776925033</v>
      </c>
      <c r="BM69" s="281">
        <v>22.347220677833821</v>
      </c>
      <c r="BN69" s="281">
        <v>20.894204142815095</v>
      </c>
      <c r="BO69" s="281">
        <v>22.222827410742024</v>
      </c>
      <c r="BP69" s="281">
        <v>26.142475395971136</v>
      </c>
      <c r="BR69" s="137">
        <v>2042</v>
      </c>
      <c r="BS69" s="280">
        <f t="shared" si="28"/>
        <v>69.416624575135387</v>
      </c>
      <c r="BT69" s="280">
        <f t="shared" si="29"/>
        <v>71.543414490653618</v>
      </c>
      <c r="BU69" s="280">
        <f t="shared" si="30"/>
        <v>67.093005674607141</v>
      </c>
      <c r="BV69" s="280">
        <f t="shared" si="31"/>
        <v>64.815295337989269</v>
      </c>
      <c r="BW69" s="280">
        <f t="shared" si="32"/>
        <v>64.676106233730266</v>
      </c>
      <c r="BX69" s="280">
        <f t="shared" si="33"/>
        <v>64.503947117681705</v>
      </c>
      <c r="BY69" s="280">
        <f t="shared" si="34"/>
        <v>65.443016054876566</v>
      </c>
      <c r="BZ69" s="280">
        <f t="shared" si="35"/>
        <v>65.555447445604742</v>
      </c>
      <c r="CA69" s="280">
        <f t="shared" si="36"/>
        <v>65.759092346513526</v>
      </c>
      <c r="CB69" s="280">
        <f t="shared" si="37"/>
        <v>64.306075811494793</v>
      </c>
      <c r="CC69" s="280">
        <f t="shared" si="38"/>
        <v>65.634699079421722</v>
      </c>
      <c r="CD69" s="280">
        <f t="shared" si="39"/>
        <v>69.554347064650841</v>
      </c>
    </row>
    <row r="70" spans="1:82">
      <c r="A70" s="48">
        <v>2043</v>
      </c>
      <c r="B70" s="31" cm="1">
        <f t="array" ref="B70">IF(A70&lt;2021,0,SUMPRODUCT(('Project Operational Timelines'!$AO$20:$AO$49=$A70)*('Project Operational Timelines'!$AP$18:$AY$18=$A$4)*('Project Operational Timelines'!$AP$17:$AY$17=$G70)*'Project Operational Timelines'!$AP42:$AY42))</f>
        <v>7.52</v>
      </c>
      <c r="C70" s="84">
        <f t="shared" si="13"/>
        <v>1028.1037998666666</v>
      </c>
      <c r="D70" s="89">
        <f t="shared" si="40"/>
        <v>475522.79</v>
      </c>
      <c r="E70" s="89"/>
      <c r="F70" s="89" cm="1">
        <f t="array" ref="F70">IF(A70&lt;2021,0,(-(SUMPRODUCT(('Project Operational Timelines'!$AO$20:$AO$49=$A70)*('Project Operational Timelines'!$AP$18:$AY$18=$A$4)*('Project Operational Timelines'!$AP$19:$AY$19="Non-Carve Out")*('Project Operational Timelines'!$AP$17:$AY$17=$G70)*'Project Operational Timelines'!$AP42:$AY42))*1000*('Program Inputs'!$D$14-'Program Inputs'!$D$6)*$F$4*12)+(-(SUMPRODUCT(('Project Operational Timelines'!$AO$20:$AO$49=$A70)*('Project Operational Timelines'!$AP$18:$AY$18=$A$4)*('Project Operational Timelines'!$AP$19:$AY$19="Carve Out")*('Project Operational Timelines'!$AP$17:$AY$17=$G70)*'Project Operational Timelines'!$AP42:$AY42))*1000*('Program Inputs'!$D$14-'Program Inputs'!$D$7)*$F$4*12))</f>
        <v>-8437.44</v>
      </c>
      <c r="G70" s="79">
        <v>1</v>
      </c>
      <c r="H70" s="328">
        <f t="shared" si="27"/>
        <v>277223.71000000002</v>
      </c>
      <c r="I70" s="69"/>
      <c r="J70" s="69"/>
      <c r="K70" s="104"/>
      <c r="L70" s="75"/>
      <c r="M70">
        <v>25</v>
      </c>
      <c r="N70" s="52">
        <v>2043</v>
      </c>
      <c r="O70" s="18">
        <f t="shared" si="41"/>
        <v>35.726600559487522</v>
      </c>
      <c r="P70" s="18">
        <f t="shared" si="42"/>
        <v>32.54089160513395</v>
      </c>
      <c r="Q70" s="18">
        <f t="shared" si="43"/>
        <v>38.491859014577685</v>
      </c>
      <c r="R70" s="18">
        <f t="shared" si="44"/>
        <v>40.442292708690502</v>
      </c>
      <c r="S70" s="18">
        <f t="shared" si="45"/>
        <v>40.582908979849165</v>
      </c>
      <c r="T70" s="18">
        <f t="shared" si="46"/>
        <v>40.626882998625675</v>
      </c>
      <c r="U70" s="18">
        <f t="shared" si="47"/>
        <v>39.522885897448162</v>
      </c>
      <c r="V70" s="18">
        <f t="shared" si="48"/>
        <v>39.4054243001233</v>
      </c>
      <c r="W70" s="18">
        <f t="shared" si="49"/>
        <v>39.190819107519957</v>
      </c>
      <c r="X70" s="18">
        <f t="shared" si="50"/>
        <v>40.248202531476139</v>
      </c>
      <c r="Y70" s="18">
        <f t="shared" si="51"/>
        <v>39.541031947521716</v>
      </c>
      <c r="Z70" s="18">
        <f t="shared" si="52"/>
        <v>36.204305058210593</v>
      </c>
      <c r="AA70" s="13"/>
      <c r="AB70" s="52">
        <v>2043</v>
      </c>
      <c r="AC70" s="14">
        <f>SUMIFS('Bill Credit Rates'!$K:$K,'Bill Credit Rates'!$A:$A,$A$4,'Bill Credit Rates'!$B:$B,$G70,'Bill Credit Rates'!$C:$C,$M70)</f>
        <v>106.72299999999998</v>
      </c>
      <c r="AD70" s="14">
        <f>SUMIFS('Bill Credit Rates'!$K:$K,'Bill Credit Rates'!$A:$A,$A$4,'Bill Credit Rates'!$B:$B,$G70,'Bill Credit Rates'!$C:$C,$M70)</f>
        <v>106.72299999999998</v>
      </c>
      <c r="AE70" s="14">
        <f>SUMIFS('Bill Credit Rates'!$K:$K,'Bill Credit Rates'!$A:$A,$A$4,'Bill Credit Rates'!$B:$B,$G70,'Bill Credit Rates'!$C:$C,$M70)</f>
        <v>106.72299999999998</v>
      </c>
      <c r="AF70" s="14">
        <f>SUMIFS('Bill Credit Rates'!$K:$K,'Bill Credit Rates'!$A:$A,$A$4,'Bill Credit Rates'!$B:$B,$G70,'Bill Credit Rates'!$C:$C,$M70)</f>
        <v>106.72299999999998</v>
      </c>
      <c r="AG70" s="14">
        <f>SUMIFS('Bill Credit Rates'!$K:$K,'Bill Credit Rates'!$A:$A,$A$4,'Bill Credit Rates'!$B:$B,$G70,'Bill Credit Rates'!$C:$C,$M70)</f>
        <v>106.72299999999998</v>
      </c>
      <c r="AH70" s="14">
        <f>SUMIFS('Bill Credit Rates'!$K:$K,'Bill Credit Rates'!$A:$A,$A$4,'Bill Credit Rates'!$B:$B,$G70,'Bill Credit Rates'!$C:$C,$M70)</f>
        <v>106.72299999999998</v>
      </c>
      <c r="AI70" s="14">
        <f>SUMIFS('Bill Credit Rates'!$K:$K,'Bill Credit Rates'!$A:$A,$A$4,'Bill Credit Rates'!$B:$B,$G70,'Bill Credit Rates'!$C:$C,$M70)</f>
        <v>106.72299999999998</v>
      </c>
      <c r="AJ70" s="14">
        <f>SUMIFS('Bill Credit Rates'!$K:$K,'Bill Credit Rates'!$A:$A,$A$4,'Bill Credit Rates'!$B:$B,$G70,'Bill Credit Rates'!$C:$C,$M70)</f>
        <v>106.72299999999998</v>
      </c>
      <c r="AK70" s="14">
        <f>SUMIFS('Bill Credit Rates'!$K:$K,'Bill Credit Rates'!$A:$A,$A$4,'Bill Credit Rates'!$B:$B,$G70,'Bill Credit Rates'!$C:$C,$M70)</f>
        <v>106.72299999999998</v>
      </c>
      <c r="AL70" s="14">
        <f>SUMIFS('Bill Credit Rates'!$K:$K,'Bill Credit Rates'!$A:$A,$A$4,'Bill Credit Rates'!$B:$B,$G70,'Bill Credit Rates'!$C:$C,$M70)</f>
        <v>106.72299999999998</v>
      </c>
      <c r="AM70" s="14">
        <f>SUMIFS('Bill Credit Rates'!$K:$K,'Bill Credit Rates'!$A:$A,$A$4,'Bill Credit Rates'!$B:$B,$G70,'Bill Credit Rates'!$C:$C,$M70)</f>
        <v>106.72299999999998</v>
      </c>
      <c r="AN70" s="14">
        <f>SUMIFS('Bill Credit Rates'!$K:$K,'Bill Credit Rates'!$A:$A,$A$4,'Bill Credit Rates'!$B:$B,$G70,'Bill Credit Rates'!$C:$C,$M70)</f>
        <v>106.72299999999998</v>
      </c>
      <c r="AP70" s="52">
        <v>2043</v>
      </c>
      <c r="AQ70" s="285">
        <v>78.386058330141168</v>
      </c>
      <c r="AR70" s="285">
        <v>81.57176728449474</v>
      </c>
      <c r="AS70" s="285">
        <v>75.620799875051006</v>
      </c>
      <c r="AT70" s="285">
        <v>73.670366180938188</v>
      </c>
      <c r="AU70" s="285">
        <v>73.529749909779525</v>
      </c>
      <c r="AV70" s="285">
        <v>73.485775891003016</v>
      </c>
      <c r="AW70" s="285">
        <v>74.589772992180528</v>
      </c>
      <c r="AX70" s="285">
        <v>74.70723458950539</v>
      </c>
      <c r="AY70" s="285">
        <v>74.921839782108748</v>
      </c>
      <c r="AZ70" s="285">
        <v>73.864456358152552</v>
      </c>
      <c r="BA70" s="285">
        <v>74.571626942106988</v>
      </c>
      <c r="BB70" s="285">
        <v>77.908353831418097</v>
      </c>
      <c r="BD70" s="52">
        <v>2043</v>
      </c>
      <c r="BE70" s="281">
        <v>26.658446102740207</v>
      </c>
      <c r="BF70" s="281">
        <v>29.844155057093786</v>
      </c>
      <c r="BG70" s="281">
        <v>23.893187647650045</v>
      </c>
      <c r="BH70" s="281">
        <v>21.942753953537228</v>
      </c>
      <c r="BI70" s="281">
        <v>21.802137682378572</v>
      </c>
      <c r="BJ70" s="281">
        <v>21.758163663602062</v>
      </c>
      <c r="BK70" s="281">
        <v>22.862160764779567</v>
      </c>
      <c r="BL70" s="281">
        <v>22.979622362104422</v>
      </c>
      <c r="BM70" s="281">
        <v>23.194227554707794</v>
      </c>
      <c r="BN70" s="281">
        <v>22.136844130751598</v>
      </c>
      <c r="BO70" s="281">
        <v>22.844014714706027</v>
      </c>
      <c r="BP70" s="281">
        <v>26.180741604017136</v>
      </c>
      <c r="BR70" s="138">
        <v>2043</v>
      </c>
      <c r="BS70" s="280">
        <f t="shared" si="28"/>
        <v>70.996399440512462</v>
      </c>
      <c r="BT70" s="280">
        <f t="shared" si="29"/>
        <v>74.182108394866034</v>
      </c>
      <c r="BU70" s="280">
        <f t="shared" si="30"/>
        <v>68.2311409854223</v>
      </c>
      <c r="BV70" s="280">
        <f t="shared" si="31"/>
        <v>66.280707291309483</v>
      </c>
      <c r="BW70" s="280">
        <f t="shared" si="32"/>
        <v>66.14009102015082</v>
      </c>
      <c r="BX70" s="280">
        <f t="shared" si="33"/>
        <v>66.09611700137431</v>
      </c>
      <c r="BY70" s="280">
        <f t="shared" si="34"/>
        <v>67.200114102551822</v>
      </c>
      <c r="BZ70" s="280">
        <f t="shared" si="35"/>
        <v>67.317575699876684</v>
      </c>
      <c r="CA70" s="280">
        <f t="shared" si="36"/>
        <v>67.532180892480028</v>
      </c>
      <c r="CB70" s="280">
        <f t="shared" si="37"/>
        <v>66.474797468523846</v>
      </c>
      <c r="CC70" s="280">
        <f t="shared" si="38"/>
        <v>67.181968052478268</v>
      </c>
      <c r="CD70" s="280">
        <f t="shared" si="39"/>
        <v>70.518694941789391</v>
      </c>
    </row>
    <row r="71" spans="1:82">
      <c r="A71" s="48">
        <v>2044</v>
      </c>
      <c r="B71" s="31" cm="1">
        <f t="array" ref="B71">IF(A71&lt;2021,0,SUMPRODUCT(('Project Operational Timelines'!$AO$20:$AO$49=$A71)*('Project Operational Timelines'!$AP$18:$AY$18=$A$4)*('Project Operational Timelines'!$AP$17:$AY$17=$G71)*'Project Operational Timelines'!$AP43:$AY43))</f>
        <v>0.65</v>
      </c>
      <c r="C71" s="84">
        <f t="shared" si="13"/>
        <v>88.86535504166666</v>
      </c>
      <c r="D71" s="89">
        <f t="shared" si="40"/>
        <v>35949.5</v>
      </c>
      <c r="E71" s="89"/>
      <c r="F71" s="89" cm="1">
        <f t="array" ref="F71">IF(A71&lt;2021,0,(-(SUMPRODUCT(('Project Operational Timelines'!$AO$20:$AO$49=$A71)*('Project Operational Timelines'!$AP$18:$AY$18=$A$4)*('Project Operational Timelines'!$AP$19:$AY$19="Non-Carve Out")*('Project Operational Timelines'!$AP$17:$AY$17=$G71)*'Project Operational Timelines'!$AP43:$AY43))*1000*('Program Inputs'!$D$14-'Program Inputs'!$D$6)*$F$4*12)+(-(SUMPRODUCT(('Project Operational Timelines'!$AO$20:$AO$49=$A71)*('Project Operational Timelines'!$AP$18:$AY$18=$A$4)*('Project Operational Timelines'!$AP$19:$AY$19="Carve Out")*('Project Operational Timelines'!$AP$17:$AY$17=$G71)*'Project Operational Timelines'!$AP43:$AY43))*1000*('Program Inputs'!$D$14-'Program Inputs'!$D$7)*$F$4*12))</f>
        <v>-729.3</v>
      </c>
      <c r="G71" s="79">
        <v>1</v>
      </c>
      <c r="H71" s="328">
        <f t="shared" si="27"/>
        <v>20371.27</v>
      </c>
      <c r="I71" s="69"/>
      <c r="J71" s="69"/>
      <c r="K71" s="104"/>
      <c r="L71" s="75"/>
      <c r="M71">
        <v>26</v>
      </c>
      <c r="N71" s="52">
        <v>2044</v>
      </c>
      <c r="O71" s="18">
        <f t="shared" si="41"/>
        <v>32.923989354273075</v>
      </c>
      <c r="P71" s="18">
        <f t="shared" si="42"/>
        <v>26.983292026168201</v>
      </c>
      <c r="Q71" s="18">
        <f t="shared" si="43"/>
        <v>33.725323897506925</v>
      </c>
      <c r="R71" s="18">
        <f t="shared" si="44"/>
        <v>35.947608524168018</v>
      </c>
      <c r="S71" s="18">
        <f t="shared" si="45"/>
        <v>36.076963957937096</v>
      </c>
      <c r="T71" s="18">
        <f t="shared" si="46"/>
        <v>36.117865835877694</v>
      </c>
      <c r="U71" s="18">
        <f t="shared" si="47"/>
        <v>33.225201256462057</v>
      </c>
      <c r="V71" s="18">
        <f t="shared" si="48"/>
        <v>32.937917079849342</v>
      </c>
      <c r="W71" s="18">
        <f t="shared" si="49"/>
        <v>32.699825399231955</v>
      </c>
      <c r="X71" s="18">
        <f t="shared" si="50"/>
        <v>36.48441883258451</v>
      </c>
      <c r="Y71" s="18">
        <f t="shared" si="51"/>
        <v>34.952388247532369</v>
      </c>
      <c r="Z71" s="18">
        <f t="shared" si="52"/>
        <v>32.464188536330042</v>
      </c>
      <c r="AA71" s="13"/>
      <c r="AB71" s="52">
        <v>2044</v>
      </c>
      <c r="AC71" s="14">
        <f>SUMIFS('Bill Credit Rates'!$K:$K,'Bill Credit Rates'!$A:$A,$A$4,'Bill Credit Rates'!$B:$B,$G71,'Bill Credit Rates'!$C:$C,$M71)</f>
        <v>106.72299999999998</v>
      </c>
      <c r="AD71" s="14">
        <f>SUMIFS('Bill Credit Rates'!$K:$K,'Bill Credit Rates'!$A:$A,$A$4,'Bill Credit Rates'!$B:$B,$G71,'Bill Credit Rates'!$C:$C,$M71)</f>
        <v>106.72299999999998</v>
      </c>
      <c r="AE71" s="14">
        <f>SUMIFS('Bill Credit Rates'!$K:$K,'Bill Credit Rates'!$A:$A,$A$4,'Bill Credit Rates'!$B:$B,$G71,'Bill Credit Rates'!$C:$C,$M71)</f>
        <v>106.72299999999998</v>
      </c>
      <c r="AF71" s="14">
        <f>SUMIFS('Bill Credit Rates'!$K:$K,'Bill Credit Rates'!$A:$A,$A$4,'Bill Credit Rates'!$B:$B,$G71,'Bill Credit Rates'!$C:$C,$M71)</f>
        <v>106.72299999999998</v>
      </c>
      <c r="AG71" s="14">
        <f>SUMIFS('Bill Credit Rates'!$K:$K,'Bill Credit Rates'!$A:$A,$A$4,'Bill Credit Rates'!$B:$B,$G71,'Bill Credit Rates'!$C:$C,$M71)</f>
        <v>106.72299999999998</v>
      </c>
      <c r="AH71" s="14">
        <f>SUMIFS('Bill Credit Rates'!$K:$K,'Bill Credit Rates'!$A:$A,$A$4,'Bill Credit Rates'!$B:$B,$G71,'Bill Credit Rates'!$C:$C,$M71)</f>
        <v>106.72299999999998</v>
      </c>
      <c r="AI71" s="14">
        <f>SUMIFS('Bill Credit Rates'!$K:$K,'Bill Credit Rates'!$A:$A,$A$4,'Bill Credit Rates'!$B:$B,$G71,'Bill Credit Rates'!$C:$C,$M71)</f>
        <v>106.72299999999998</v>
      </c>
      <c r="AJ71" s="14">
        <f>SUMIFS('Bill Credit Rates'!$K:$K,'Bill Credit Rates'!$A:$A,$A$4,'Bill Credit Rates'!$B:$B,$G71,'Bill Credit Rates'!$C:$C,$M71)</f>
        <v>106.72299999999998</v>
      </c>
      <c r="AK71" s="14">
        <f>SUMIFS('Bill Credit Rates'!$K:$K,'Bill Credit Rates'!$A:$A,$A$4,'Bill Credit Rates'!$B:$B,$G71,'Bill Credit Rates'!$C:$C,$M71)</f>
        <v>106.72299999999998</v>
      </c>
      <c r="AL71" s="14">
        <f>SUMIFS('Bill Credit Rates'!$K:$K,'Bill Credit Rates'!$A:$A,$A$4,'Bill Credit Rates'!$B:$B,$G71,'Bill Credit Rates'!$C:$C,$M71)</f>
        <v>106.72299999999998</v>
      </c>
      <c r="AM71" s="14">
        <f>SUMIFS('Bill Credit Rates'!$K:$K,'Bill Credit Rates'!$A:$A,$A$4,'Bill Credit Rates'!$B:$B,$G71,'Bill Credit Rates'!$C:$C,$M71)</f>
        <v>106.72299999999998</v>
      </c>
      <c r="AN71" s="14">
        <f>SUMIFS('Bill Credit Rates'!$K:$K,'Bill Credit Rates'!$A:$A,$A$4,'Bill Credit Rates'!$B:$B,$G71,'Bill Credit Rates'!$C:$C,$M71)</f>
        <v>106.72299999999998</v>
      </c>
      <c r="AP71" s="135">
        <v>2044</v>
      </c>
      <c r="AQ71" s="285">
        <v>81.322273096726889</v>
      </c>
      <c r="AR71" s="285">
        <v>87.262970424831764</v>
      </c>
      <c r="AS71" s="285">
        <v>80.520938553493039</v>
      </c>
      <c r="AT71" s="285">
        <v>78.298653926831946</v>
      </c>
      <c r="AU71" s="285">
        <v>78.169298493062882</v>
      </c>
      <c r="AV71" s="285">
        <v>78.12839661512227</v>
      </c>
      <c r="AW71" s="285">
        <v>81.021061194537907</v>
      </c>
      <c r="AX71" s="285">
        <v>81.308345371150622</v>
      </c>
      <c r="AY71" s="285">
        <v>81.546437051768009</v>
      </c>
      <c r="AZ71" s="285">
        <v>77.761843618415455</v>
      </c>
      <c r="BA71" s="285">
        <v>79.293874203467595</v>
      </c>
      <c r="BB71" s="285">
        <v>81.782073914669922</v>
      </c>
      <c r="BD71" s="135">
        <v>2044</v>
      </c>
      <c r="BE71" s="281">
        <v>28.659435939727032</v>
      </c>
      <c r="BF71" s="281">
        <v>34.600133267831907</v>
      </c>
      <c r="BG71" s="281">
        <v>27.858101396493183</v>
      </c>
      <c r="BH71" s="281">
        <v>25.635816769832097</v>
      </c>
      <c r="BI71" s="281">
        <v>25.506461336063019</v>
      </c>
      <c r="BJ71" s="281">
        <v>25.46555945812241</v>
      </c>
      <c r="BK71" s="281">
        <v>28.358224037538051</v>
      </c>
      <c r="BL71" s="281">
        <v>28.645508214150766</v>
      </c>
      <c r="BM71" s="281">
        <v>28.883599894768153</v>
      </c>
      <c r="BN71" s="281">
        <v>25.099006461415602</v>
      </c>
      <c r="BO71" s="281">
        <v>26.631037046467732</v>
      </c>
      <c r="BP71" s="281">
        <v>29.119236757670066</v>
      </c>
      <c r="BR71" s="51">
        <v>2044</v>
      </c>
      <c r="BS71" s="280">
        <f t="shared" si="28"/>
        <v>73.799010645726909</v>
      </c>
      <c r="BT71" s="280">
        <f t="shared" si="29"/>
        <v>79.739707973831784</v>
      </c>
      <c r="BU71" s="280">
        <f t="shared" si="30"/>
        <v>72.99767610249306</v>
      </c>
      <c r="BV71" s="280">
        <f t="shared" si="31"/>
        <v>70.775391475831967</v>
      </c>
      <c r="BW71" s="280">
        <f t="shared" si="32"/>
        <v>70.646036042062889</v>
      </c>
      <c r="BX71" s="280">
        <f t="shared" si="33"/>
        <v>70.60513416412229</v>
      </c>
      <c r="BY71" s="280">
        <f t="shared" si="34"/>
        <v>73.497798743537928</v>
      </c>
      <c r="BZ71" s="280">
        <f t="shared" si="35"/>
        <v>73.785082920150643</v>
      </c>
      <c r="CA71" s="280">
        <f t="shared" si="36"/>
        <v>74.02317460076803</v>
      </c>
      <c r="CB71" s="280">
        <f t="shared" si="37"/>
        <v>70.238581167415475</v>
      </c>
      <c r="CC71" s="280">
        <f t="shared" si="38"/>
        <v>71.770611752467616</v>
      </c>
      <c r="CD71" s="280">
        <f t="shared" si="39"/>
        <v>74.258811463669943</v>
      </c>
    </row>
    <row r="72" spans="1:82">
      <c r="A72" s="48">
        <v>2045</v>
      </c>
      <c r="B72" s="31" cm="1">
        <f t="array" ref="B72">IF(A72&lt;2021,0,SUMPRODUCT(('Project Operational Timelines'!$AO$20:$AO$49=$A72)*('Project Operational Timelines'!$AP$18:$AY$18=$A$4)*('Project Operational Timelines'!$AP$17:$AY$17=$G72)*'Project Operational Timelines'!$AP44:$AY44))</f>
        <v>0</v>
      </c>
      <c r="C72" s="84">
        <f t="shared" si="13"/>
        <v>0</v>
      </c>
      <c r="D72" s="89">
        <f t="shared" si="40"/>
        <v>0</v>
      </c>
      <c r="E72" s="89"/>
      <c r="F72" s="89" cm="1">
        <f t="array" ref="F72">IF(A72&lt;2021,0,(-(SUMPRODUCT(('Project Operational Timelines'!$AO$20:$AO$49=$A72)*('Project Operational Timelines'!$AP$18:$AY$18=$A$4)*('Project Operational Timelines'!$AP$19:$AY$19="Non-Carve Out")*('Project Operational Timelines'!$AP$17:$AY$17=$G72)*'Project Operational Timelines'!$AP44:$AY44))*1000*('Program Inputs'!$D$14-'Program Inputs'!$D$6)*$F$4*12)+(-(SUMPRODUCT(('Project Operational Timelines'!$AO$20:$AO$49=$A72)*('Project Operational Timelines'!$AP$18:$AY$18=$A$4)*('Project Operational Timelines'!$AP$19:$AY$19="Carve Out")*('Project Operational Timelines'!$AP$17:$AY$17=$G72)*'Project Operational Timelines'!$AP44:$AY44))*1000*('Program Inputs'!$D$14-'Program Inputs'!$D$7)*$F$4*12))</f>
        <v>0</v>
      </c>
      <c r="G72" s="79">
        <v>1</v>
      </c>
      <c r="H72" s="328">
        <f t="shared" si="27"/>
        <v>0</v>
      </c>
      <c r="I72" s="69"/>
      <c r="J72" s="69"/>
      <c r="K72" s="104"/>
      <c r="L72" s="75"/>
      <c r="M72">
        <v>27</v>
      </c>
      <c r="N72" s="52">
        <v>2045</v>
      </c>
      <c r="O72" s="18">
        <f t="shared" ref="O72:O77" si="53">(AC72-BS72)</f>
        <v>28.421964448770723</v>
      </c>
      <c r="P72" s="18">
        <f t="shared" ref="P72:P77" si="54">(AD72-BT72)</f>
        <v>21.478452537656082</v>
      </c>
      <c r="Q72" s="18">
        <f t="shared" ref="Q72:Q77" si="55">(AE72-BU72)</f>
        <v>27.361270085998711</v>
      </c>
      <c r="R72" s="18">
        <f t="shared" ref="R72:R77" si="56">(AF72-BV72)</f>
        <v>29.798514894875808</v>
      </c>
      <c r="S72" s="18">
        <f t="shared" ref="S72:S77" si="57">(AG72-BW72)</f>
        <v>29.914766835454373</v>
      </c>
      <c r="T72" s="18">
        <f t="shared" ref="T72:T77" si="58">(AH72-BX72)</f>
        <v>29.83903203519273</v>
      </c>
      <c r="U72" s="18">
        <f t="shared" ref="U72:U77" si="59">(AI72-BY72)</f>
        <v>28.565082478592487</v>
      </c>
      <c r="V72" s="18">
        <f t="shared" ref="V72:V77" si="60">(AJ72-BZ72)</f>
        <v>28.054274125475331</v>
      </c>
      <c r="W72" s="18">
        <f t="shared" ref="W72:W77" si="61">(AK72-CA72)</f>
        <v>27.791852064745669</v>
      </c>
      <c r="X72" s="18">
        <f t="shared" ref="X72:X77" si="62">(AL72-CB72)</f>
        <v>32.009004139781112</v>
      </c>
      <c r="Y72" s="18">
        <f t="shared" ref="Y72:Y77" si="63">(AM72-CC72)</f>
        <v>28.375436101135051</v>
      </c>
      <c r="Z72" s="18">
        <f t="shared" ref="Z72:Z77" si="64">(AN72-CD72)</f>
        <v>25.881214664808027</v>
      </c>
      <c r="AA72" s="13"/>
      <c r="AB72" s="52">
        <v>2045</v>
      </c>
      <c r="AC72" s="14">
        <f>SUMIFS('Bill Credit Rates'!$K:$K,'Bill Credit Rates'!$A:$A,$A$4,'Bill Credit Rates'!$B:$B,$G72,'Bill Credit Rates'!$C:$C,$M72)</f>
        <v>106.72299999999998</v>
      </c>
      <c r="AD72" s="14">
        <f>SUMIFS('Bill Credit Rates'!$K:$K,'Bill Credit Rates'!$A:$A,$A$4,'Bill Credit Rates'!$B:$B,$G72,'Bill Credit Rates'!$C:$C,$M72)</f>
        <v>106.72299999999998</v>
      </c>
      <c r="AE72" s="14">
        <f>SUMIFS('Bill Credit Rates'!$K:$K,'Bill Credit Rates'!$A:$A,$A$4,'Bill Credit Rates'!$B:$B,$G72,'Bill Credit Rates'!$C:$C,$M72)</f>
        <v>106.72299999999998</v>
      </c>
      <c r="AF72" s="14">
        <f>SUMIFS('Bill Credit Rates'!$K:$K,'Bill Credit Rates'!$A:$A,$A$4,'Bill Credit Rates'!$B:$B,$G72,'Bill Credit Rates'!$C:$C,$M72)</f>
        <v>106.72299999999998</v>
      </c>
      <c r="AG72" s="14">
        <f>SUMIFS('Bill Credit Rates'!$K:$K,'Bill Credit Rates'!$A:$A,$A$4,'Bill Credit Rates'!$B:$B,$G72,'Bill Credit Rates'!$C:$C,$M72)</f>
        <v>106.72299999999998</v>
      </c>
      <c r="AH72" s="14">
        <f>SUMIFS('Bill Credit Rates'!$K:$K,'Bill Credit Rates'!$A:$A,$A$4,'Bill Credit Rates'!$B:$B,$G72,'Bill Credit Rates'!$C:$C,$M72)</f>
        <v>106.72299999999998</v>
      </c>
      <c r="AI72" s="14">
        <f>SUMIFS('Bill Credit Rates'!$K:$K,'Bill Credit Rates'!$A:$A,$A$4,'Bill Credit Rates'!$B:$B,$G72,'Bill Credit Rates'!$C:$C,$M72)</f>
        <v>106.72299999999998</v>
      </c>
      <c r="AJ72" s="14">
        <f>SUMIFS('Bill Credit Rates'!$K:$K,'Bill Credit Rates'!$A:$A,$A$4,'Bill Credit Rates'!$B:$B,$G72,'Bill Credit Rates'!$C:$C,$M72)</f>
        <v>106.72299999999998</v>
      </c>
      <c r="AK72" s="14">
        <f>SUMIFS('Bill Credit Rates'!$K:$K,'Bill Credit Rates'!$A:$A,$A$4,'Bill Credit Rates'!$B:$B,$G72,'Bill Credit Rates'!$C:$C,$M72)</f>
        <v>106.72299999999998</v>
      </c>
      <c r="AL72" s="14">
        <f>SUMIFS('Bill Credit Rates'!$K:$K,'Bill Credit Rates'!$A:$A,$A$4,'Bill Credit Rates'!$B:$B,$G72,'Bill Credit Rates'!$C:$C,$M72)</f>
        <v>106.72299999999998</v>
      </c>
      <c r="AM72" s="14">
        <f>SUMIFS('Bill Credit Rates'!$K:$K,'Bill Credit Rates'!$A:$A,$A$4,'Bill Credit Rates'!$B:$B,$G72,'Bill Credit Rates'!$C:$C,$M72)</f>
        <v>106.72299999999998</v>
      </c>
      <c r="AN72" s="14">
        <f>SUMIFS('Bill Credit Rates'!$K:$K,'Bill Credit Rates'!$A:$A,$A$4,'Bill Credit Rates'!$B:$B,$G72,'Bill Credit Rates'!$C:$C,$M72)</f>
        <v>106.72299999999998</v>
      </c>
      <c r="AP72" s="52">
        <v>2045</v>
      </c>
      <c r="AQ72" s="286">
        <v>86.034042458498988</v>
      </c>
      <c r="AR72" s="286">
        <v>92.977554369613614</v>
      </c>
      <c r="AS72" s="286">
        <v>87.094736821270999</v>
      </c>
      <c r="AT72" s="286">
        <v>84.657492012393902</v>
      </c>
      <c r="AU72" s="286">
        <v>84.541240071815324</v>
      </c>
      <c r="AV72" s="286">
        <v>84.61697487207698</v>
      </c>
      <c r="AW72" s="286">
        <v>85.890924428677209</v>
      </c>
      <c r="AX72" s="286">
        <v>86.401732781794379</v>
      </c>
      <c r="AY72" s="286">
        <v>86.664154842524027</v>
      </c>
      <c r="AZ72" s="286">
        <v>82.447002767488584</v>
      </c>
      <c r="BA72" s="286">
        <v>86.080570806134645</v>
      </c>
      <c r="BB72" s="286">
        <v>88.574792242461683</v>
      </c>
      <c r="BD72" s="135">
        <v>2045</v>
      </c>
      <c r="BE72" s="281">
        <v>31.902994107610972</v>
      </c>
      <c r="BF72" s="281">
        <v>38.846506018725599</v>
      </c>
      <c r="BG72" s="281">
        <v>32.963688470382984</v>
      </c>
      <c r="BH72" s="281">
        <v>30.52644366150588</v>
      </c>
      <c r="BI72" s="281">
        <v>30.410191720927308</v>
      </c>
      <c r="BJ72" s="281">
        <v>30.485926521188958</v>
      </c>
      <c r="BK72" s="281">
        <v>31.759876077789187</v>
      </c>
      <c r="BL72" s="281">
        <v>32.270684430906364</v>
      </c>
      <c r="BM72" s="281">
        <v>32.533106491636012</v>
      </c>
      <c r="BN72" s="281">
        <v>28.315954416600569</v>
      </c>
      <c r="BO72" s="281">
        <v>31.94952245524663</v>
      </c>
      <c r="BP72" s="281">
        <v>34.443743891573675</v>
      </c>
      <c r="BR72" s="137">
        <v>2045</v>
      </c>
      <c r="BS72" s="280">
        <f t="shared" si="28"/>
        <v>78.301035551229262</v>
      </c>
      <c r="BT72" s="280">
        <f t="shared" si="29"/>
        <v>85.244547462343903</v>
      </c>
      <c r="BU72" s="280">
        <f t="shared" si="30"/>
        <v>79.361729914001273</v>
      </c>
      <c r="BV72" s="280">
        <f t="shared" si="31"/>
        <v>76.924485105124177</v>
      </c>
      <c r="BW72" s="280">
        <f t="shared" si="32"/>
        <v>76.808233164545612</v>
      </c>
      <c r="BX72" s="280">
        <f t="shared" si="33"/>
        <v>76.883967964807255</v>
      </c>
      <c r="BY72" s="280">
        <f t="shared" si="34"/>
        <v>78.157917521407498</v>
      </c>
      <c r="BZ72" s="280">
        <f t="shared" si="35"/>
        <v>78.668725874524654</v>
      </c>
      <c r="CA72" s="280">
        <f t="shared" si="36"/>
        <v>78.931147935254316</v>
      </c>
      <c r="CB72" s="280">
        <f t="shared" si="37"/>
        <v>74.713995860218873</v>
      </c>
      <c r="CC72" s="280">
        <f t="shared" si="38"/>
        <v>78.347563898864934</v>
      </c>
      <c r="CD72" s="280">
        <f t="shared" si="39"/>
        <v>80.841785335191958</v>
      </c>
    </row>
    <row r="73" spans="1:82">
      <c r="A73" s="48">
        <v>2046</v>
      </c>
      <c r="B73" s="31" cm="1">
        <f t="array" ref="B73">IF(A73&lt;2021,0,SUMPRODUCT(('Project Operational Timelines'!$AO$20:$AO$49=$A73)*('Project Operational Timelines'!$AP$18:$AY$18=$A$4)*('Project Operational Timelines'!$AP$17:$AY$17=$G73)*'Project Operational Timelines'!$AP45:$AY45))</f>
        <v>0</v>
      </c>
      <c r="C73" s="84">
        <f t="shared" si="13"/>
        <v>0</v>
      </c>
      <c r="D73" s="89">
        <f t="shared" si="40"/>
        <v>0</v>
      </c>
      <c r="E73" s="89"/>
      <c r="F73" s="89" cm="1">
        <f t="array" ref="F73">IF(A73&lt;2021,0,(-(SUMPRODUCT(('Project Operational Timelines'!$AO$20:$AO$49=$A73)*('Project Operational Timelines'!$AP$18:$AY$18=$A$4)*('Project Operational Timelines'!$AP$19:$AY$19="Non-Carve Out")*('Project Operational Timelines'!$AP$17:$AY$17=$G73)*'Project Operational Timelines'!$AP45:$AY45))*1000*('Program Inputs'!$D$14-'Program Inputs'!$D$6)*$F$4*12)+(-(SUMPRODUCT(('Project Operational Timelines'!$AO$20:$AO$49=$A73)*('Project Operational Timelines'!$AP$18:$AY$18=$A$4)*('Project Operational Timelines'!$AP$19:$AY$19="Carve Out")*('Project Operational Timelines'!$AP$17:$AY$17=$G73)*'Project Operational Timelines'!$AP45:$AY45))*1000*('Program Inputs'!$D$14-'Program Inputs'!$D$7)*$F$4*12))</f>
        <v>0</v>
      </c>
      <c r="G73" s="79">
        <v>1</v>
      </c>
      <c r="H73" s="328">
        <f t="shared" si="27"/>
        <v>0</v>
      </c>
      <c r="I73" s="69"/>
      <c r="J73" s="69"/>
      <c r="K73" s="104"/>
      <c r="L73" s="75"/>
      <c r="M73">
        <v>28</v>
      </c>
      <c r="N73" s="52">
        <v>2046</v>
      </c>
      <c r="O73" s="18">
        <f t="shared" si="53"/>
        <v>21.333836044342718</v>
      </c>
      <c r="P73" s="18">
        <f t="shared" si="54"/>
        <v>17.741255009595804</v>
      </c>
      <c r="Q73" s="18">
        <f t="shared" si="55"/>
        <v>24.220768287318066</v>
      </c>
      <c r="R73" s="18">
        <f t="shared" si="56"/>
        <v>26.601932857342931</v>
      </c>
      <c r="S73" s="18">
        <f t="shared" si="57"/>
        <v>26.715661307543442</v>
      </c>
      <c r="T73" s="18">
        <f t="shared" si="58"/>
        <v>26.694538476945041</v>
      </c>
      <c r="U73" s="18">
        <f t="shared" si="59"/>
        <v>24.754910342640883</v>
      </c>
      <c r="V73" s="18">
        <f t="shared" si="60"/>
        <v>24.377281213707931</v>
      </c>
      <c r="W73" s="18">
        <f t="shared" si="61"/>
        <v>24.094467487292746</v>
      </c>
      <c r="X73" s="18">
        <f t="shared" si="62"/>
        <v>27.58051389343531</v>
      </c>
      <c r="Y73" s="18">
        <f t="shared" si="63"/>
        <v>25.855539388996391</v>
      </c>
      <c r="Z73" s="18">
        <f t="shared" si="64"/>
        <v>23.105308999740657</v>
      </c>
      <c r="AA73" s="13"/>
      <c r="AB73" s="52">
        <v>2046</v>
      </c>
      <c r="AC73" s="14">
        <f>SUMIFS('Bill Credit Rates'!$K:$K,'Bill Credit Rates'!$A:$A,$A$4,'Bill Credit Rates'!$B:$B,$G73,'Bill Credit Rates'!$C:$C,$M73)</f>
        <v>106.72299999999998</v>
      </c>
      <c r="AD73" s="14">
        <f>SUMIFS('Bill Credit Rates'!$K:$K,'Bill Credit Rates'!$A:$A,$A$4,'Bill Credit Rates'!$B:$B,$G73,'Bill Credit Rates'!$C:$C,$M73)</f>
        <v>106.72299999999998</v>
      </c>
      <c r="AE73" s="14">
        <f>SUMIFS('Bill Credit Rates'!$K:$K,'Bill Credit Rates'!$A:$A,$A$4,'Bill Credit Rates'!$B:$B,$G73,'Bill Credit Rates'!$C:$C,$M73)</f>
        <v>106.72299999999998</v>
      </c>
      <c r="AF73" s="14">
        <f>SUMIFS('Bill Credit Rates'!$K:$K,'Bill Credit Rates'!$A:$A,$A$4,'Bill Credit Rates'!$B:$B,$G73,'Bill Credit Rates'!$C:$C,$M73)</f>
        <v>106.72299999999998</v>
      </c>
      <c r="AG73" s="14">
        <f>SUMIFS('Bill Credit Rates'!$K:$K,'Bill Credit Rates'!$A:$A,$A$4,'Bill Credit Rates'!$B:$B,$G73,'Bill Credit Rates'!$C:$C,$M73)</f>
        <v>106.72299999999998</v>
      </c>
      <c r="AH73" s="14">
        <f>SUMIFS('Bill Credit Rates'!$K:$K,'Bill Credit Rates'!$A:$A,$A$4,'Bill Credit Rates'!$B:$B,$G73,'Bill Credit Rates'!$C:$C,$M73)</f>
        <v>106.72299999999998</v>
      </c>
      <c r="AI73" s="14">
        <f>SUMIFS('Bill Credit Rates'!$K:$K,'Bill Credit Rates'!$A:$A,$A$4,'Bill Credit Rates'!$B:$B,$G73,'Bill Credit Rates'!$C:$C,$M73)</f>
        <v>106.72299999999998</v>
      </c>
      <c r="AJ73" s="14">
        <f>SUMIFS('Bill Credit Rates'!$K:$K,'Bill Credit Rates'!$A:$A,$A$4,'Bill Credit Rates'!$B:$B,$G73,'Bill Credit Rates'!$C:$C,$M73)</f>
        <v>106.72299999999998</v>
      </c>
      <c r="AK73" s="14">
        <f>SUMIFS('Bill Credit Rates'!$K:$K,'Bill Credit Rates'!$A:$A,$A$4,'Bill Credit Rates'!$B:$B,$G73,'Bill Credit Rates'!$C:$C,$M73)</f>
        <v>106.72299999999998</v>
      </c>
      <c r="AL73" s="14">
        <f>SUMIFS('Bill Credit Rates'!$K:$K,'Bill Credit Rates'!$A:$A,$A$4,'Bill Credit Rates'!$B:$B,$G73,'Bill Credit Rates'!$C:$C,$M73)</f>
        <v>106.72299999999998</v>
      </c>
      <c r="AM73" s="14">
        <f>SUMIFS('Bill Credit Rates'!$K:$K,'Bill Credit Rates'!$A:$A,$A$4,'Bill Credit Rates'!$B:$B,$G73,'Bill Credit Rates'!$C:$C,$M73)</f>
        <v>106.72299999999998</v>
      </c>
      <c r="AN73" s="14">
        <f>SUMIFS('Bill Credit Rates'!$K:$K,'Bill Credit Rates'!$A:$A,$A$4,'Bill Credit Rates'!$B:$B,$G73,'Bill Credit Rates'!$C:$C,$M73)</f>
        <v>106.72299999999998</v>
      </c>
      <c r="AP73" s="135">
        <v>2046</v>
      </c>
      <c r="AQ73" s="287">
        <v>93.261901727794253</v>
      </c>
      <c r="AR73" s="287">
        <v>96.854482762541181</v>
      </c>
      <c r="AS73" s="287">
        <v>90.374969484818934</v>
      </c>
      <c r="AT73" s="287">
        <v>87.993804914794055</v>
      </c>
      <c r="AU73" s="287">
        <v>87.880076464593529</v>
      </c>
      <c r="AV73" s="287">
        <v>87.901199295191958</v>
      </c>
      <c r="AW73" s="287">
        <v>89.840827429496102</v>
      </c>
      <c r="AX73" s="287">
        <v>90.21845655842904</v>
      </c>
      <c r="AY73" s="287">
        <v>90.501270284844225</v>
      </c>
      <c r="AZ73" s="287">
        <v>87.015223878701676</v>
      </c>
      <c r="BA73" s="287">
        <v>88.74019838314058</v>
      </c>
      <c r="BB73" s="287">
        <v>91.490428772396314</v>
      </c>
      <c r="BD73" s="52">
        <v>2046</v>
      </c>
      <c r="BE73" s="281">
        <v>38.152737322835293</v>
      </c>
      <c r="BF73" s="281">
        <v>41.745318357582214</v>
      </c>
      <c r="BG73" s="281">
        <v>35.265805079859966</v>
      </c>
      <c r="BH73" s="281">
        <v>32.884640509835094</v>
      </c>
      <c r="BI73" s="281">
        <v>32.770912059634568</v>
      </c>
      <c r="BJ73" s="281">
        <v>32.792034890232998</v>
      </c>
      <c r="BK73" s="281">
        <v>34.731663024537148</v>
      </c>
      <c r="BL73" s="281">
        <v>35.109292153470072</v>
      </c>
      <c r="BM73" s="281">
        <v>35.392105879885264</v>
      </c>
      <c r="BN73" s="281">
        <v>31.906059473742715</v>
      </c>
      <c r="BO73" s="281">
        <v>33.631033978181627</v>
      </c>
      <c r="BP73" s="281">
        <v>36.381264367437346</v>
      </c>
      <c r="BR73" s="138">
        <v>2046</v>
      </c>
      <c r="BS73" s="280">
        <f t="shared" si="28"/>
        <v>85.389163955657267</v>
      </c>
      <c r="BT73" s="280">
        <f t="shared" si="29"/>
        <v>88.981744990404181</v>
      </c>
      <c r="BU73" s="280">
        <f t="shared" si="30"/>
        <v>82.502231712681919</v>
      </c>
      <c r="BV73" s="280">
        <f t="shared" si="31"/>
        <v>80.121067142657054</v>
      </c>
      <c r="BW73" s="280">
        <f t="shared" si="32"/>
        <v>80.007338692456543</v>
      </c>
      <c r="BX73" s="280">
        <f t="shared" si="33"/>
        <v>80.028461523054943</v>
      </c>
      <c r="BY73" s="280">
        <f t="shared" si="34"/>
        <v>81.968089657359101</v>
      </c>
      <c r="BZ73" s="280">
        <f t="shared" si="35"/>
        <v>82.345718786292053</v>
      </c>
      <c r="CA73" s="280">
        <f t="shared" si="36"/>
        <v>82.628532512707238</v>
      </c>
      <c r="CB73" s="280">
        <f t="shared" si="37"/>
        <v>79.142486106564675</v>
      </c>
      <c r="CC73" s="280">
        <f t="shared" si="38"/>
        <v>80.867460611003594</v>
      </c>
      <c r="CD73" s="280">
        <f t="shared" si="39"/>
        <v>83.617691000259327</v>
      </c>
    </row>
    <row r="74" spans="1:82">
      <c r="A74" s="48">
        <v>2047</v>
      </c>
      <c r="B74" s="31" cm="1">
        <f t="array" ref="B74">IF(A74&lt;2021,0,SUMPRODUCT(('Project Operational Timelines'!$AO$20:$AO$49=$A74)*('Project Operational Timelines'!$AP$18:$AY$18=$A$4)*('Project Operational Timelines'!$AP$17:$AY$17=$G74)*'Project Operational Timelines'!$AP46:$AY46))</f>
        <v>0</v>
      </c>
      <c r="C74" s="84">
        <f t="shared" si="13"/>
        <v>0</v>
      </c>
      <c r="D74" s="89">
        <f t="shared" si="40"/>
        <v>0</v>
      </c>
      <c r="E74" s="89"/>
      <c r="F74" s="89" cm="1">
        <f t="array" ref="F74">IF(A74&lt;2021,0,(-(SUMPRODUCT(('Project Operational Timelines'!$AO$20:$AO$49=$A74)*('Project Operational Timelines'!$AP$18:$AY$18=$A$4)*('Project Operational Timelines'!$AP$19:$AY$19="Non-Carve Out")*('Project Operational Timelines'!$AP$17:$AY$17=$G74)*'Project Operational Timelines'!$AP46:$AY46))*1000*('Program Inputs'!$D$14-'Program Inputs'!$D$6)*$F$4*12)+(-(SUMPRODUCT(('Project Operational Timelines'!$AO$20:$AO$49=$A74)*('Project Operational Timelines'!$AP$18:$AY$18=$A$4)*('Project Operational Timelines'!$AP$19:$AY$19="Carve Out")*('Project Operational Timelines'!$AP$17:$AY$17=$G74)*'Project Operational Timelines'!$AP46:$AY46))*1000*('Program Inputs'!$D$14-'Program Inputs'!$D$7)*$F$4*12))</f>
        <v>0</v>
      </c>
      <c r="G74" s="79">
        <v>1</v>
      </c>
      <c r="H74" s="328">
        <f t="shared" si="27"/>
        <v>0</v>
      </c>
      <c r="I74" s="69"/>
      <c r="J74" s="69"/>
      <c r="K74" s="104"/>
      <c r="L74" s="75"/>
      <c r="M74">
        <v>29</v>
      </c>
      <c r="N74" s="52">
        <v>2047</v>
      </c>
      <c r="O74" s="18">
        <f t="shared" si="53"/>
        <v>18.380275811436704</v>
      </c>
      <c r="P74" s="18">
        <f t="shared" si="54"/>
        <v>14.262586437733376</v>
      </c>
      <c r="Q74" s="18">
        <f t="shared" si="55"/>
        <v>19.995694698635802</v>
      </c>
      <c r="R74" s="18">
        <f t="shared" si="56"/>
        <v>22.504542584414182</v>
      </c>
      <c r="S74" s="18">
        <f t="shared" si="57"/>
        <v>22.615703840635163</v>
      </c>
      <c r="T74" s="18">
        <f t="shared" si="58"/>
        <v>22.572328298787582</v>
      </c>
      <c r="U74" s="18">
        <f t="shared" si="59"/>
        <v>21.193089381330466</v>
      </c>
      <c r="V74" s="18">
        <f t="shared" si="60"/>
        <v>20.761987381976496</v>
      </c>
      <c r="W74" s="18">
        <f t="shared" si="61"/>
        <v>20.459927539406891</v>
      </c>
      <c r="X74" s="18">
        <f t="shared" si="62"/>
        <v>23.369435295605925</v>
      </c>
      <c r="Y74" s="18">
        <f t="shared" si="63"/>
        <v>20.935043569611139</v>
      </c>
      <c r="Z74" s="18">
        <f t="shared" si="64"/>
        <v>18.078344308365132</v>
      </c>
      <c r="AA74" s="13"/>
      <c r="AB74" s="52">
        <v>2047</v>
      </c>
      <c r="AC74" s="14">
        <f>SUMIFS('Bill Credit Rates'!$K:$K,'Bill Credit Rates'!$A:$A,$A$4,'Bill Credit Rates'!$B:$B,$G74,'Bill Credit Rates'!$C:$C,$M74)</f>
        <v>106.72299999999998</v>
      </c>
      <c r="AD74" s="14">
        <f>SUMIFS('Bill Credit Rates'!$K:$K,'Bill Credit Rates'!$A:$A,$A$4,'Bill Credit Rates'!$B:$B,$G74,'Bill Credit Rates'!$C:$C,$M74)</f>
        <v>106.72299999999998</v>
      </c>
      <c r="AE74" s="14">
        <f>SUMIFS('Bill Credit Rates'!$K:$K,'Bill Credit Rates'!$A:$A,$A$4,'Bill Credit Rates'!$B:$B,$G74,'Bill Credit Rates'!$C:$C,$M74)</f>
        <v>106.72299999999998</v>
      </c>
      <c r="AF74" s="14">
        <f>SUMIFS('Bill Credit Rates'!$K:$K,'Bill Credit Rates'!$A:$A,$A$4,'Bill Credit Rates'!$B:$B,$G74,'Bill Credit Rates'!$C:$C,$M74)</f>
        <v>106.72299999999998</v>
      </c>
      <c r="AG74" s="14">
        <f>SUMIFS('Bill Credit Rates'!$K:$K,'Bill Credit Rates'!$A:$A,$A$4,'Bill Credit Rates'!$B:$B,$G74,'Bill Credit Rates'!$C:$C,$M74)</f>
        <v>106.72299999999998</v>
      </c>
      <c r="AH74" s="14">
        <f>SUMIFS('Bill Credit Rates'!$K:$K,'Bill Credit Rates'!$A:$A,$A$4,'Bill Credit Rates'!$B:$B,$G74,'Bill Credit Rates'!$C:$C,$M74)</f>
        <v>106.72299999999998</v>
      </c>
      <c r="AI74" s="14">
        <f>SUMIFS('Bill Credit Rates'!$K:$K,'Bill Credit Rates'!$A:$A,$A$4,'Bill Credit Rates'!$B:$B,$G74,'Bill Credit Rates'!$C:$C,$M74)</f>
        <v>106.72299999999998</v>
      </c>
      <c r="AJ74" s="14">
        <f>SUMIFS('Bill Credit Rates'!$K:$K,'Bill Credit Rates'!$A:$A,$A$4,'Bill Credit Rates'!$B:$B,$G74,'Bill Credit Rates'!$C:$C,$M74)</f>
        <v>106.72299999999998</v>
      </c>
      <c r="AK74" s="14">
        <f>SUMIFS('Bill Credit Rates'!$K:$K,'Bill Credit Rates'!$A:$A,$A$4,'Bill Credit Rates'!$B:$B,$G74,'Bill Credit Rates'!$C:$C,$M74)</f>
        <v>106.72299999999998</v>
      </c>
      <c r="AL74" s="14">
        <f>SUMIFS('Bill Credit Rates'!$K:$K,'Bill Credit Rates'!$A:$A,$A$4,'Bill Credit Rates'!$B:$B,$G74,'Bill Credit Rates'!$C:$C,$M74)</f>
        <v>106.72299999999998</v>
      </c>
      <c r="AM74" s="14">
        <f>SUMIFS('Bill Credit Rates'!$K:$K,'Bill Credit Rates'!$A:$A,$A$4,'Bill Credit Rates'!$B:$B,$G74,'Bill Credit Rates'!$C:$C,$M74)</f>
        <v>106.72299999999998</v>
      </c>
      <c r="AN74" s="14">
        <f>SUMIFS('Bill Credit Rates'!$K:$K,'Bill Credit Rates'!$A:$A,$A$4,'Bill Credit Rates'!$B:$B,$G74,'Bill Credit Rates'!$C:$C,$M74)</f>
        <v>106.72299999999998</v>
      </c>
      <c r="AP74" s="52">
        <v>2047</v>
      </c>
      <c r="AQ74" s="286">
        <v>96.383406761421895</v>
      </c>
      <c r="AR74" s="286">
        <v>100.50109613512521</v>
      </c>
      <c r="AS74" s="286">
        <v>94.767987874222797</v>
      </c>
      <c r="AT74" s="286">
        <v>92.259139988444417</v>
      </c>
      <c r="AU74" s="286">
        <v>92.147978732223436</v>
      </c>
      <c r="AV74" s="286">
        <v>92.191354274071017</v>
      </c>
      <c r="AW74" s="286">
        <v>93.570593191528133</v>
      </c>
      <c r="AX74" s="286">
        <v>94.001695190882089</v>
      </c>
      <c r="AY74" s="286">
        <v>94.303755033451694</v>
      </c>
      <c r="AZ74" s="286">
        <v>91.394247277252674</v>
      </c>
      <c r="BA74" s="286">
        <v>93.828639003247446</v>
      </c>
      <c r="BB74" s="286">
        <v>96.685338264493453</v>
      </c>
      <c r="BD74" s="135">
        <v>2047</v>
      </c>
      <c r="BE74" s="281">
        <v>40.098628751411638</v>
      </c>
      <c r="BF74" s="281">
        <v>44.216318125114952</v>
      </c>
      <c r="BG74" s="281">
        <v>38.48320986421254</v>
      </c>
      <c r="BH74" s="281">
        <v>35.97436197843416</v>
      </c>
      <c r="BI74" s="281">
        <v>35.863200722213193</v>
      </c>
      <c r="BJ74" s="281">
        <v>35.906576264060774</v>
      </c>
      <c r="BK74" s="281">
        <v>37.285815181517876</v>
      </c>
      <c r="BL74" s="281">
        <v>37.716917180871832</v>
      </c>
      <c r="BM74" s="281">
        <v>38.018977023441451</v>
      </c>
      <c r="BN74" s="281">
        <v>35.109469267242432</v>
      </c>
      <c r="BO74" s="281">
        <v>37.543860993237189</v>
      </c>
      <c r="BP74" s="281">
        <v>40.40056025448321</v>
      </c>
      <c r="BR74" s="51">
        <v>2047</v>
      </c>
      <c r="BS74" s="280">
        <f t="shared" si="28"/>
        <v>88.342724188563281</v>
      </c>
      <c r="BT74" s="280">
        <f t="shared" si="29"/>
        <v>92.460413562266609</v>
      </c>
      <c r="BU74" s="280">
        <f t="shared" si="30"/>
        <v>86.727305301364183</v>
      </c>
      <c r="BV74" s="280">
        <f t="shared" si="31"/>
        <v>84.218457415585803</v>
      </c>
      <c r="BW74" s="280">
        <f t="shared" si="32"/>
        <v>84.107296159364822</v>
      </c>
      <c r="BX74" s="280">
        <f t="shared" si="33"/>
        <v>84.150671701212403</v>
      </c>
      <c r="BY74" s="280">
        <f t="shared" si="34"/>
        <v>85.529910618669518</v>
      </c>
      <c r="BZ74" s="280">
        <f t="shared" si="35"/>
        <v>85.961012618023489</v>
      </c>
      <c r="CA74" s="280">
        <f t="shared" si="36"/>
        <v>86.263072460593094</v>
      </c>
      <c r="CB74" s="280">
        <f t="shared" si="37"/>
        <v>83.35356470439406</v>
      </c>
      <c r="CC74" s="280">
        <f t="shared" si="38"/>
        <v>85.787956430388846</v>
      </c>
      <c r="CD74" s="280">
        <f t="shared" si="39"/>
        <v>88.644655691634853</v>
      </c>
    </row>
    <row r="75" spans="1:82">
      <c r="A75" s="48">
        <v>2048</v>
      </c>
      <c r="B75" s="31" cm="1">
        <f t="array" ref="B75">IF(A75&lt;2021,0,SUMPRODUCT(('Project Operational Timelines'!$AO$20:$AO$49=$A75)*('Project Operational Timelines'!$AP$18:$AY$18=$A$4)*('Project Operational Timelines'!$AP$17:$AY$17=$G75)*'Project Operational Timelines'!$AP47:$AY47))</f>
        <v>0</v>
      </c>
      <c r="C75" s="84">
        <f t="shared" si="13"/>
        <v>0</v>
      </c>
      <c r="D75" s="89">
        <f t="shared" si="40"/>
        <v>0</v>
      </c>
      <c r="E75" s="89"/>
      <c r="F75" s="89" cm="1">
        <f t="array" ref="F75">IF(A75&lt;2021,0,(-(SUMPRODUCT(('Project Operational Timelines'!$AO$20:$AO$49=$A75)*('Project Operational Timelines'!$AP$18:$AY$18=$A$4)*('Project Operational Timelines'!$AP$19:$AY$19="Non-Carve Out")*('Project Operational Timelines'!$AP$17:$AY$17=$G75)*'Project Operational Timelines'!$AP47:$AY47))*1000*('Program Inputs'!$D$14-'Program Inputs'!$D$6)*$F$4*12)+(-(SUMPRODUCT(('Project Operational Timelines'!$AO$20:$AO$49=$A75)*('Project Operational Timelines'!$AP$18:$AY$18=$A$4)*('Project Operational Timelines'!$AP$19:$AY$19="Carve Out")*('Project Operational Timelines'!$AP$17:$AY$17=$G75)*'Project Operational Timelines'!$AP47:$AY47))*1000*('Program Inputs'!$D$14-'Program Inputs'!$D$7)*$F$4*12))</f>
        <v>0</v>
      </c>
      <c r="G75" s="79">
        <v>1</v>
      </c>
      <c r="H75" s="328">
        <f t="shared" si="27"/>
        <v>0</v>
      </c>
      <c r="I75" s="69"/>
      <c r="J75" s="69"/>
      <c r="K75" s="104"/>
      <c r="L75" s="75"/>
      <c r="M75">
        <v>30</v>
      </c>
      <c r="N75" s="52">
        <v>2048</v>
      </c>
      <c r="O75" s="18">
        <f t="shared" si="53"/>
        <v>12.627839785908662</v>
      </c>
      <c r="P75" s="18">
        <f t="shared" si="54"/>
        <v>8.8608818453418507</v>
      </c>
      <c r="Q75" s="18">
        <f t="shared" si="55"/>
        <v>14.942844669108496</v>
      </c>
      <c r="R75" s="18">
        <f t="shared" si="56"/>
        <v>17.628815633609406</v>
      </c>
      <c r="S75" s="18">
        <f t="shared" si="57"/>
        <v>17.735038878208826</v>
      </c>
      <c r="T75" s="18">
        <f t="shared" si="58"/>
        <v>17.800864293699377</v>
      </c>
      <c r="U75" s="18">
        <f t="shared" si="59"/>
        <v>16.576247724676037</v>
      </c>
      <c r="V75" s="18">
        <f t="shared" si="60"/>
        <v>16.152773452814699</v>
      </c>
      <c r="W75" s="18">
        <f t="shared" si="61"/>
        <v>15.823986608151102</v>
      </c>
      <c r="X75" s="18">
        <f t="shared" si="62"/>
        <v>17.526752216320119</v>
      </c>
      <c r="Y75" s="18">
        <f t="shared" si="63"/>
        <v>17.108773024979527</v>
      </c>
      <c r="Z75" s="18">
        <f t="shared" si="64"/>
        <v>14.073569151026931</v>
      </c>
      <c r="AA75" s="13"/>
      <c r="AB75" s="52">
        <v>2048</v>
      </c>
      <c r="AC75" s="14">
        <f>SUMIFS('Bill Credit Rates'!$K:$K,'Bill Credit Rates'!$A:$A,$A$4,'Bill Credit Rates'!$B:$B,$G75,'Bill Credit Rates'!$C:$C,$M75)</f>
        <v>106.72299999999998</v>
      </c>
      <c r="AD75" s="14">
        <f>SUMIFS('Bill Credit Rates'!$K:$K,'Bill Credit Rates'!$A:$A,$A$4,'Bill Credit Rates'!$B:$B,$G75,'Bill Credit Rates'!$C:$C,$M75)</f>
        <v>106.72299999999998</v>
      </c>
      <c r="AE75" s="14">
        <f>SUMIFS('Bill Credit Rates'!$K:$K,'Bill Credit Rates'!$A:$A,$A$4,'Bill Credit Rates'!$B:$B,$G75,'Bill Credit Rates'!$C:$C,$M75)</f>
        <v>106.72299999999998</v>
      </c>
      <c r="AF75" s="14">
        <f>SUMIFS('Bill Credit Rates'!$K:$K,'Bill Credit Rates'!$A:$A,$A$4,'Bill Credit Rates'!$B:$B,$G75,'Bill Credit Rates'!$C:$C,$M75)</f>
        <v>106.72299999999998</v>
      </c>
      <c r="AG75" s="14">
        <f>SUMIFS('Bill Credit Rates'!$K:$K,'Bill Credit Rates'!$A:$A,$A$4,'Bill Credit Rates'!$B:$B,$G75,'Bill Credit Rates'!$C:$C,$M75)</f>
        <v>106.72299999999998</v>
      </c>
      <c r="AH75" s="14">
        <f>SUMIFS('Bill Credit Rates'!$K:$K,'Bill Credit Rates'!$A:$A,$A$4,'Bill Credit Rates'!$B:$B,$G75,'Bill Credit Rates'!$C:$C,$M75)</f>
        <v>106.72299999999998</v>
      </c>
      <c r="AI75" s="14">
        <f>SUMIFS('Bill Credit Rates'!$K:$K,'Bill Credit Rates'!$A:$A,$A$4,'Bill Credit Rates'!$B:$B,$G75,'Bill Credit Rates'!$C:$C,$M75)</f>
        <v>106.72299999999998</v>
      </c>
      <c r="AJ75" s="14">
        <f>SUMIFS('Bill Credit Rates'!$K:$K,'Bill Credit Rates'!$A:$A,$A$4,'Bill Credit Rates'!$B:$B,$G75,'Bill Credit Rates'!$C:$C,$M75)</f>
        <v>106.72299999999998</v>
      </c>
      <c r="AK75" s="14">
        <f>SUMIFS('Bill Credit Rates'!$K:$K,'Bill Credit Rates'!$A:$A,$A$4,'Bill Credit Rates'!$B:$B,$G75,'Bill Credit Rates'!$C:$C,$M75)</f>
        <v>106.72299999999998</v>
      </c>
      <c r="AL75" s="14">
        <f>SUMIFS('Bill Credit Rates'!$K:$K,'Bill Credit Rates'!$A:$A,$A$4,'Bill Credit Rates'!$B:$B,$G75,'Bill Credit Rates'!$C:$C,$M75)</f>
        <v>106.72299999999998</v>
      </c>
      <c r="AM75" s="14">
        <f>SUMIFS('Bill Credit Rates'!$K:$K,'Bill Credit Rates'!$A:$A,$A$4,'Bill Credit Rates'!$B:$B,$G75,'Bill Credit Rates'!$C:$C,$M75)</f>
        <v>106.72299999999998</v>
      </c>
      <c r="AN75" s="14">
        <f>SUMIFS('Bill Credit Rates'!$K:$K,'Bill Credit Rates'!$A:$A,$A$4,'Bill Credit Rates'!$B:$B,$G75,'Bill Credit Rates'!$C:$C,$M75)</f>
        <v>106.72299999999998</v>
      </c>
      <c r="AP75" s="135">
        <v>2048</v>
      </c>
      <c r="AQ75" s="286">
        <v>102.28121672688883</v>
      </c>
      <c r="AR75" s="286">
        <v>106.04817466745563</v>
      </c>
      <c r="AS75" s="286">
        <v>99.966211843688995</v>
      </c>
      <c r="AT75" s="286">
        <v>97.280240879188085</v>
      </c>
      <c r="AU75" s="286">
        <v>97.174017634588665</v>
      </c>
      <c r="AV75" s="286">
        <v>97.1081922190981</v>
      </c>
      <c r="AW75" s="286">
        <v>98.332808788121469</v>
      </c>
      <c r="AX75" s="286">
        <v>98.756283059982792</v>
      </c>
      <c r="AY75" s="286">
        <v>99.085069904646389</v>
      </c>
      <c r="AZ75" s="286">
        <v>97.382304296477372</v>
      </c>
      <c r="BA75" s="286">
        <v>97.800283487817964</v>
      </c>
      <c r="BB75" s="286">
        <v>100.83548736177056</v>
      </c>
      <c r="BD75" s="52">
        <v>2048</v>
      </c>
      <c r="BE75" s="281">
        <v>44.978821137306305</v>
      </c>
      <c r="BF75" s="281">
        <v>48.745779077873109</v>
      </c>
      <c r="BG75" s="281">
        <v>42.663816254106472</v>
      </c>
      <c r="BH75" s="281">
        <v>39.977845289605568</v>
      </c>
      <c r="BI75" s="281">
        <v>39.871622045006156</v>
      </c>
      <c r="BJ75" s="281">
        <v>39.805796629515584</v>
      </c>
      <c r="BK75" s="281">
        <v>41.030413198538945</v>
      </c>
      <c r="BL75" s="281">
        <v>41.453887470400275</v>
      </c>
      <c r="BM75" s="281">
        <v>41.782674315063872</v>
      </c>
      <c r="BN75" s="281">
        <v>40.079908706894862</v>
      </c>
      <c r="BO75" s="281">
        <v>40.497887898235447</v>
      </c>
      <c r="BP75" s="281">
        <v>43.533091772188044</v>
      </c>
      <c r="BR75" s="137">
        <v>2048</v>
      </c>
      <c r="BS75" s="280">
        <f t="shared" si="28"/>
        <v>94.095160214091322</v>
      </c>
      <c r="BT75" s="280">
        <f t="shared" si="29"/>
        <v>97.862118154658134</v>
      </c>
      <c r="BU75" s="280">
        <f t="shared" si="30"/>
        <v>91.780155330891489</v>
      </c>
      <c r="BV75" s="280">
        <f t="shared" si="31"/>
        <v>89.094184366390579</v>
      </c>
      <c r="BW75" s="280">
        <f t="shared" si="32"/>
        <v>88.987961121791159</v>
      </c>
      <c r="BX75" s="280">
        <f t="shared" si="33"/>
        <v>88.922135706300608</v>
      </c>
      <c r="BY75" s="280">
        <f t="shared" si="34"/>
        <v>90.146752275323948</v>
      </c>
      <c r="BZ75" s="280">
        <f t="shared" si="35"/>
        <v>90.570226547185285</v>
      </c>
      <c r="CA75" s="280">
        <f t="shared" si="36"/>
        <v>90.899013391848882</v>
      </c>
      <c r="CB75" s="280">
        <f t="shared" si="37"/>
        <v>89.196247783679866</v>
      </c>
      <c r="CC75" s="280">
        <f t="shared" si="38"/>
        <v>89.614226975020458</v>
      </c>
      <c r="CD75" s="280">
        <f t="shared" si="39"/>
        <v>92.649430848973054</v>
      </c>
    </row>
    <row r="76" spans="1:82">
      <c r="A76" s="48">
        <v>2049</v>
      </c>
      <c r="B76" s="31" cm="1">
        <f t="array" ref="B76">IF(A76&lt;2021,0,SUMPRODUCT(('Project Operational Timelines'!$AO$20:$AO$49=$A76)*('Project Operational Timelines'!$AP$18:$AY$18=$A$4)*('Project Operational Timelines'!$AP$17:$AY$17=$G76)*'Project Operational Timelines'!$AP48:$AY48))</f>
        <v>0</v>
      </c>
      <c r="C76" s="84">
        <f t="shared" si="13"/>
        <v>0</v>
      </c>
      <c r="D76" s="89">
        <f t="shared" si="40"/>
        <v>0</v>
      </c>
      <c r="E76" s="89"/>
      <c r="F76" s="89" cm="1">
        <f t="array" ref="F76">IF(A76&lt;2021,0,(-(SUMPRODUCT(('Project Operational Timelines'!$AO$20:$AO$49=$A76)*('Project Operational Timelines'!$AP$18:$AY$18=$A$4)*('Project Operational Timelines'!$AP$19:$AY$19="Non-Carve Out")*('Project Operational Timelines'!$AP$17:$AY$17=$G76)*'Project Operational Timelines'!$AP48:$AY48))*1000*('Program Inputs'!$D$14-'Program Inputs'!$D$6)*$F$4*12)+(-(SUMPRODUCT(('Project Operational Timelines'!$AO$20:$AO$49=$A76)*('Project Operational Timelines'!$AP$18:$AY$18=$A$4)*('Project Operational Timelines'!$AP$19:$AY$19="Carve Out")*('Project Operational Timelines'!$AP$17:$AY$17=$G76)*'Project Operational Timelines'!$AP48:$AY48))*1000*('Program Inputs'!$D$14-'Program Inputs'!$D$7)*$F$4*12))</f>
        <v>0</v>
      </c>
      <c r="G76" s="79">
        <v>1</v>
      </c>
      <c r="H76" s="328">
        <f t="shared" si="27"/>
        <v>0</v>
      </c>
      <c r="I76" s="69"/>
      <c r="J76" s="69"/>
      <c r="K76" s="104"/>
      <c r="L76" s="75"/>
      <c r="M76">
        <v>31</v>
      </c>
      <c r="N76" s="52">
        <v>2049</v>
      </c>
      <c r="O76" s="18">
        <f t="shared" si="53"/>
        <v>8.6240475392020386</v>
      </c>
      <c r="P76" s="18">
        <f t="shared" si="54"/>
        <v>3.8825442009449205</v>
      </c>
      <c r="Q76" s="18">
        <f t="shared" si="55"/>
        <v>11.258030536032891</v>
      </c>
      <c r="R76" s="18">
        <f t="shared" si="56"/>
        <v>13.721740644462002</v>
      </c>
      <c r="S76" s="18">
        <f t="shared" si="57"/>
        <v>13.803842694012147</v>
      </c>
      <c r="T76" s="18">
        <f t="shared" si="58"/>
        <v>13.855456302071445</v>
      </c>
      <c r="U76" s="18">
        <f t="shared" si="59"/>
        <v>12.710417044864485</v>
      </c>
      <c r="V76" s="18">
        <f t="shared" si="60"/>
        <v>11.658207786972852</v>
      </c>
      <c r="W76" s="18">
        <f t="shared" si="61"/>
        <v>11.307512040337599</v>
      </c>
      <c r="X76" s="18">
        <f t="shared" si="62"/>
        <v>13.498874793113671</v>
      </c>
      <c r="Y76" s="18">
        <f t="shared" si="63"/>
        <v>11.954827088832218</v>
      </c>
      <c r="Z76" s="18">
        <f t="shared" si="64"/>
        <v>9.1649147389486956</v>
      </c>
      <c r="AA76" s="13"/>
      <c r="AB76" s="52">
        <v>2049</v>
      </c>
      <c r="AC76" s="14">
        <f>SUMIFS('Bill Credit Rates'!$K:$K,'Bill Credit Rates'!$A:$A,$A$4,'Bill Credit Rates'!$B:$B,$G76,'Bill Credit Rates'!$C:$C,$M76)</f>
        <v>106.72299999999998</v>
      </c>
      <c r="AD76" s="14">
        <f>SUMIFS('Bill Credit Rates'!$K:$K,'Bill Credit Rates'!$A:$A,$A$4,'Bill Credit Rates'!$B:$B,$G76,'Bill Credit Rates'!$C:$C,$M76)</f>
        <v>106.72299999999998</v>
      </c>
      <c r="AE76" s="14">
        <f>SUMIFS('Bill Credit Rates'!$K:$K,'Bill Credit Rates'!$A:$A,$A$4,'Bill Credit Rates'!$B:$B,$G76,'Bill Credit Rates'!$C:$C,$M76)</f>
        <v>106.72299999999998</v>
      </c>
      <c r="AF76" s="14">
        <f>SUMIFS('Bill Credit Rates'!$K:$K,'Bill Credit Rates'!$A:$A,$A$4,'Bill Credit Rates'!$B:$B,$G76,'Bill Credit Rates'!$C:$C,$M76)</f>
        <v>106.72299999999998</v>
      </c>
      <c r="AG76" s="14">
        <f>SUMIFS('Bill Credit Rates'!$K:$K,'Bill Credit Rates'!$A:$A,$A$4,'Bill Credit Rates'!$B:$B,$G76,'Bill Credit Rates'!$C:$C,$M76)</f>
        <v>106.72299999999998</v>
      </c>
      <c r="AH76" s="14">
        <f>SUMIFS('Bill Credit Rates'!$K:$K,'Bill Credit Rates'!$A:$A,$A$4,'Bill Credit Rates'!$B:$B,$G76,'Bill Credit Rates'!$C:$C,$M76)</f>
        <v>106.72299999999998</v>
      </c>
      <c r="AI76" s="14">
        <f>SUMIFS('Bill Credit Rates'!$K:$K,'Bill Credit Rates'!$A:$A,$A$4,'Bill Credit Rates'!$B:$B,$G76,'Bill Credit Rates'!$C:$C,$M76)</f>
        <v>106.72299999999998</v>
      </c>
      <c r="AJ76" s="14">
        <f>SUMIFS('Bill Credit Rates'!$K:$K,'Bill Credit Rates'!$A:$A,$A$4,'Bill Credit Rates'!$B:$B,$G76,'Bill Credit Rates'!$C:$C,$M76)</f>
        <v>106.72299999999998</v>
      </c>
      <c r="AK76" s="14">
        <f>SUMIFS('Bill Credit Rates'!$K:$K,'Bill Credit Rates'!$A:$A,$A$4,'Bill Credit Rates'!$B:$B,$G76,'Bill Credit Rates'!$C:$C,$M76)</f>
        <v>106.72299999999998</v>
      </c>
      <c r="AL76" s="14">
        <f>SUMIFS('Bill Credit Rates'!$K:$K,'Bill Credit Rates'!$A:$A,$A$4,'Bill Credit Rates'!$B:$B,$G76,'Bill Credit Rates'!$C:$C,$M76)</f>
        <v>106.72299999999998</v>
      </c>
      <c r="AM76" s="14">
        <f>SUMIFS('Bill Credit Rates'!$K:$K,'Bill Credit Rates'!$A:$A,$A$4,'Bill Credit Rates'!$B:$B,$G76,'Bill Credit Rates'!$C:$C,$M76)</f>
        <v>106.72299999999998</v>
      </c>
      <c r="AN76" s="14">
        <f>SUMIFS('Bill Credit Rates'!$K:$K,'Bill Credit Rates'!$A:$A,$A$4,'Bill Credit Rates'!$B:$B,$G76,'Bill Credit Rates'!$C:$C,$M76)</f>
        <v>106.72299999999998</v>
      </c>
      <c r="AP76" s="52">
        <v>2049</v>
      </c>
      <c r="AQ76" s="286">
        <v>106.48634908553535</v>
      </c>
      <c r="AR76" s="286">
        <v>111.22785242379246</v>
      </c>
      <c r="AS76" s="286">
        <v>103.85236608870449</v>
      </c>
      <c r="AT76" s="286">
        <v>101.38865598027537</v>
      </c>
      <c r="AU76" s="286">
        <v>101.30655393072524</v>
      </c>
      <c r="AV76" s="286">
        <v>101.25494032266593</v>
      </c>
      <c r="AW76" s="286">
        <v>102.39997957987291</v>
      </c>
      <c r="AX76" s="286">
        <v>103.45218883776454</v>
      </c>
      <c r="AY76" s="286">
        <v>103.80288458439978</v>
      </c>
      <c r="AZ76" s="286">
        <v>101.6115218316237</v>
      </c>
      <c r="BA76" s="286">
        <v>103.15556953590516</v>
      </c>
      <c r="BB76" s="286">
        <v>105.94548188578869</v>
      </c>
      <c r="BD76" s="52">
        <v>2049</v>
      </c>
      <c r="BE76" s="281">
        <v>47.774572712373562</v>
      </c>
      <c r="BF76" s="281">
        <v>52.516076050630659</v>
      </c>
      <c r="BG76" s="281">
        <v>45.140589715542696</v>
      </c>
      <c r="BH76" s="281">
        <v>42.676879607113577</v>
      </c>
      <c r="BI76" s="281">
        <v>42.594777557563447</v>
      </c>
      <c r="BJ76" s="281">
        <v>42.543163949504134</v>
      </c>
      <c r="BK76" s="281">
        <v>43.688203206711108</v>
      </c>
      <c r="BL76" s="281">
        <v>44.740412464602748</v>
      </c>
      <c r="BM76" s="281">
        <v>45.091108211237973</v>
      </c>
      <c r="BN76" s="281">
        <v>42.899745458461908</v>
      </c>
      <c r="BO76" s="281">
        <v>44.443793162743361</v>
      </c>
      <c r="BP76" s="281">
        <v>47.233705512626898</v>
      </c>
      <c r="BR76" s="138">
        <v>2049</v>
      </c>
      <c r="BS76" s="280">
        <f t="shared" si="28"/>
        <v>98.098952460797946</v>
      </c>
      <c r="BT76" s="280">
        <f t="shared" si="29"/>
        <v>102.84045579905506</v>
      </c>
      <c r="BU76" s="280">
        <f t="shared" si="30"/>
        <v>95.464969463967094</v>
      </c>
      <c r="BV76" s="280">
        <f t="shared" si="31"/>
        <v>93.001259355537982</v>
      </c>
      <c r="BW76" s="280">
        <f t="shared" si="32"/>
        <v>92.919157305987838</v>
      </c>
      <c r="BX76" s="280">
        <f t="shared" si="33"/>
        <v>92.867543697928539</v>
      </c>
      <c r="BY76" s="280">
        <f t="shared" si="34"/>
        <v>94.0125829551355</v>
      </c>
      <c r="BZ76" s="280">
        <f t="shared" si="35"/>
        <v>95.064792213027133</v>
      </c>
      <c r="CA76" s="280">
        <f t="shared" si="36"/>
        <v>95.415487959662386</v>
      </c>
      <c r="CB76" s="280">
        <f t="shared" si="37"/>
        <v>93.224125206886313</v>
      </c>
      <c r="CC76" s="280">
        <f t="shared" si="38"/>
        <v>94.768172911167767</v>
      </c>
      <c r="CD76" s="280">
        <f t="shared" si="39"/>
        <v>97.558085261051289</v>
      </c>
    </row>
    <row r="77" spans="1:82">
      <c r="A77" s="48">
        <v>2050</v>
      </c>
      <c r="B77" s="31" cm="1">
        <f t="array" ref="B77">IF(A77&lt;2021,0,SUMPRODUCT(('Project Operational Timelines'!$AO$20:$AO$49=$A77)*('Project Operational Timelines'!$AP$18:$AY$18=$A$4)*('Project Operational Timelines'!$AP$17:$AY$17=$G77)*'Project Operational Timelines'!$AP49:$AY49))</f>
        <v>0</v>
      </c>
      <c r="C77" s="84">
        <f t="shared" si="13"/>
        <v>0</v>
      </c>
      <c r="D77" s="89">
        <f t="shared" si="40"/>
        <v>0</v>
      </c>
      <c r="E77" s="89"/>
      <c r="F77" s="89" cm="1">
        <f t="array" ref="F77">IF(A77&lt;2021,0,(-(SUMPRODUCT(('Project Operational Timelines'!$AO$20:$AO$49=$A77)*('Project Operational Timelines'!$AP$18:$AY$18=$A$4)*('Project Operational Timelines'!$AP$19:$AY$19="Non-Carve Out")*('Project Operational Timelines'!$AP$17:$AY$17=$G77)*'Project Operational Timelines'!$AP49:$AY49))*1000*('Program Inputs'!$D$14-'Program Inputs'!$D$6)*$F$4*12)+(-(SUMPRODUCT(('Project Operational Timelines'!$AO$20:$AO$49=$A77)*('Project Operational Timelines'!$AP$18:$AY$18=$A$4)*('Project Operational Timelines'!$AP$19:$AY$19="Carve Out")*('Project Operational Timelines'!$AP$17:$AY$17=$G77)*'Project Operational Timelines'!$AP49:$AY49))*1000*('Program Inputs'!$D$14-'Program Inputs'!$D$7)*$F$4*12))</f>
        <v>0</v>
      </c>
      <c r="G77" s="79">
        <v>1</v>
      </c>
      <c r="H77" s="328">
        <f t="shared" si="27"/>
        <v>0</v>
      </c>
      <c r="I77" s="69"/>
      <c r="J77" s="69"/>
      <c r="K77" s="104"/>
      <c r="L77" s="75"/>
      <c r="M77">
        <v>32</v>
      </c>
      <c r="N77" s="52">
        <v>2050</v>
      </c>
      <c r="O77" s="18">
        <f t="shared" si="53"/>
        <v>3.153144987618461</v>
      </c>
      <c r="P77" s="18">
        <f t="shared" si="54"/>
        <v>-1.4487464627661524</v>
      </c>
      <c r="Q77" s="18">
        <f t="shared" si="55"/>
        <v>5.3403768342067508</v>
      </c>
      <c r="R77" s="18">
        <f t="shared" si="56"/>
        <v>7.8570191560234264</v>
      </c>
      <c r="S77" s="18">
        <f t="shared" si="57"/>
        <v>7.667210134192004</v>
      </c>
      <c r="T77" s="18">
        <f t="shared" si="58"/>
        <v>7.9203263062925515</v>
      </c>
      <c r="U77" s="18">
        <f t="shared" si="59"/>
        <v>6.5482784177543891</v>
      </c>
      <c r="V77" s="18">
        <f t="shared" si="60"/>
        <v>6.3021007196025494</v>
      </c>
      <c r="W77" s="18">
        <f t="shared" si="61"/>
        <v>5.7427890496937266</v>
      </c>
      <c r="X77" s="18">
        <f t="shared" si="62"/>
        <v>9.1374470658739</v>
      </c>
      <c r="Y77" s="18">
        <f t="shared" si="63"/>
        <v>7.3685859248546279</v>
      </c>
      <c r="Z77" s="18">
        <f t="shared" si="64"/>
        <v>4.002500929866045</v>
      </c>
      <c r="AA77" s="13"/>
      <c r="AB77" s="52">
        <v>2050</v>
      </c>
      <c r="AC77" s="14">
        <f>SUMIFS('Bill Credit Rates'!$K:$K,'Bill Credit Rates'!$A:$A,$A$4,'Bill Credit Rates'!$B:$B,$G77,'Bill Credit Rates'!$C:$C,$M77)</f>
        <v>106.72299999999998</v>
      </c>
      <c r="AD77" s="14">
        <f>SUMIFS('Bill Credit Rates'!$K:$K,'Bill Credit Rates'!$A:$A,$A$4,'Bill Credit Rates'!$B:$B,$G77,'Bill Credit Rates'!$C:$C,$M77)</f>
        <v>106.72299999999998</v>
      </c>
      <c r="AE77" s="14">
        <f>SUMIFS('Bill Credit Rates'!$K:$K,'Bill Credit Rates'!$A:$A,$A$4,'Bill Credit Rates'!$B:$B,$G77,'Bill Credit Rates'!$C:$C,$M77)</f>
        <v>106.72299999999998</v>
      </c>
      <c r="AF77" s="14">
        <f>SUMIFS('Bill Credit Rates'!$K:$K,'Bill Credit Rates'!$A:$A,$A$4,'Bill Credit Rates'!$B:$B,$G77,'Bill Credit Rates'!$C:$C,$M77)</f>
        <v>106.72299999999998</v>
      </c>
      <c r="AG77" s="14">
        <f>SUMIFS('Bill Credit Rates'!$K:$K,'Bill Credit Rates'!$A:$A,$A$4,'Bill Credit Rates'!$B:$B,$G77,'Bill Credit Rates'!$C:$C,$M77)</f>
        <v>106.72299999999998</v>
      </c>
      <c r="AH77" s="14">
        <f>SUMIFS('Bill Credit Rates'!$K:$K,'Bill Credit Rates'!$A:$A,$A$4,'Bill Credit Rates'!$B:$B,$G77,'Bill Credit Rates'!$C:$C,$M77)</f>
        <v>106.72299999999998</v>
      </c>
      <c r="AI77" s="14">
        <f>SUMIFS('Bill Credit Rates'!$K:$K,'Bill Credit Rates'!$A:$A,$A$4,'Bill Credit Rates'!$B:$B,$G77,'Bill Credit Rates'!$C:$C,$M77)</f>
        <v>106.72299999999998</v>
      </c>
      <c r="AJ77" s="14">
        <f>SUMIFS('Bill Credit Rates'!$K:$K,'Bill Credit Rates'!$A:$A,$A$4,'Bill Credit Rates'!$B:$B,$G77,'Bill Credit Rates'!$C:$C,$M77)</f>
        <v>106.72299999999998</v>
      </c>
      <c r="AK77" s="14">
        <f>SUMIFS('Bill Credit Rates'!$K:$K,'Bill Credit Rates'!$A:$A,$A$4,'Bill Credit Rates'!$B:$B,$G77,'Bill Credit Rates'!$C:$C,$M77)</f>
        <v>106.72299999999998</v>
      </c>
      <c r="AL77" s="14">
        <f>SUMIFS('Bill Credit Rates'!$K:$K,'Bill Credit Rates'!$A:$A,$A$4,'Bill Credit Rates'!$B:$B,$G77,'Bill Credit Rates'!$C:$C,$M77)</f>
        <v>106.72299999999998</v>
      </c>
      <c r="AM77" s="14">
        <f>SUMIFS('Bill Credit Rates'!$K:$K,'Bill Credit Rates'!$A:$A,$A$4,'Bill Credit Rates'!$B:$B,$G77,'Bill Credit Rates'!$C:$C,$M77)</f>
        <v>106.72299999999998</v>
      </c>
      <c r="AN77" s="14">
        <f>SUMIFS('Bill Credit Rates'!$K:$K,'Bill Credit Rates'!$A:$A,$A$4,'Bill Credit Rates'!$B:$B,$G77,'Bill Credit Rates'!$C:$C,$M77)</f>
        <v>106.72299999999998</v>
      </c>
      <c r="AP77" s="52">
        <v>2050</v>
      </c>
      <c r="AQ77" s="286">
        <v>112.13617537311583</v>
      </c>
      <c r="AR77" s="286">
        <v>116.73806682350043</v>
      </c>
      <c r="AS77" s="286">
        <v>109.94894352652751</v>
      </c>
      <c r="AT77" s="286">
        <v>107.43230120471087</v>
      </c>
      <c r="AU77" s="286">
        <v>107.62211022654228</v>
      </c>
      <c r="AV77" s="286">
        <v>107.36899405444173</v>
      </c>
      <c r="AW77" s="286">
        <v>108.74104194297989</v>
      </c>
      <c r="AX77" s="286">
        <v>108.98721964113173</v>
      </c>
      <c r="AY77" s="286">
        <v>109.54653131104055</v>
      </c>
      <c r="AZ77" s="286">
        <v>106.15187329486038</v>
      </c>
      <c r="BA77" s="286">
        <v>107.92073443587965</v>
      </c>
      <c r="BB77" s="286">
        <v>111.28681943086825</v>
      </c>
      <c r="BD77" s="52">
        <v>2050</v>
      </c>
      <c r="BE77" s="281">
        <v>52.171932847975746</v>
      </c>
      <c r="BF77" s="281">
        <v>56.773824298360346</v>
      </c>
      <c r="BG77" s="281">
        <v>49.984701001387428</v>
      </c>
      <c r="BH77" s="281">
        <v>47.468058679570781</v>
      </c>
      <c r="BI77" s="281">
        <v>47.657867701402189</v>
      </c>
      <c r="BJ77" s="281">
        <v>47.404751529301642</v>
      </c>
      <c r="BK77" s="281">
        <v>48.776799417839804</v>
      </c>
      <c r="BL77" s="281">
        <v>49.022977115991644</v>
      </c>
      <c r="BM77" s="281">
        <v>49.582288785900467</v>
      </c>
      <c r="BN77" s="281">
        <v>46.187630769720293</v>
      </c>
      <c r="BO77" s="281">
        <v>47.956491910739565</v>
      </c>
      <c r="BP77" s="281">
        <v>51.322576905728162</v>
      </c>
      <c r="BR77" s="51">
        <v>2050</v>
      </c>
      <c r="BS77" s="280">
        <f t="shared" si="28"/>
        <v>103.56985501238152</v>
      </c>
      <c r="BT77" s="280">
        <f t="shared" si="29"/>
        <v>108.17174646276614</v>
      </c>
      <c r="BU77" s="280">
        <f t="shared" si="30"/>
        <v>101.38262316579323</v>
      </c>
      <c r="BV77" s="280">
        <f t="shared" si="31"/>
        <v>98.865980843976558</v>
      </c>
      <c r="BW77" s="280">
        <f t="shared" si="32"/>
        <v>99.055789865807981</v>
      </c>
      <c r="BX77" s="280">
        <f t="shared" si="33"/>
        <v>98.802673693707433</v>
      </c>
      <c r="BY77" s="280">
        <f t="shared" si="34"/>
        <v>100.1747215822456</v>
      </c>
      <c r="BZ77" s="280">
        <f t="shared" si="35"/>
        <v>100.42089928039744</v>
      </c>
      <c r="CA77" s="280">
        <f t="shared" si="36"/>
        <v>100.98021095030626</v>
      </c>
      <c r="CB77" s="280">
        <f t="shared" si="37"/>
        <v>97.585552934126085</v>
      </c>
      <c r="CC77" s="280">
        <f t="shared" si="38"/>
        <v>99.354414075145357</v>
      </c>
      <c r="CD77" s="280">
        <f t="shared" si="39"/>
        <v>102.72049907013394</v>
      </c>
    </row>
    <row r="78" spans="1:82">
      <c r="A78" s="4" t="s">
        <v>10</v>
      </c>
      <c r="B78" s="4"/>
      <c r="C78" s="322"/>
      <c r="D78" s="327">
        <f>SUM(D45:D77)</f>
        <v>53559105.189999998</v>
      </c>
      <c r="E78" s="327"/>
      <c r="F78" s="327">
        <f>SUM(F45:F77)</f>
        <v>-702925.74</v>
      </c>
      <c r="G78" s="5"/>
      <c r="H78" s="327">
        <f>SUM(H45:H77)</f>
        <v>43862656.009999998</v>
      </c>
      <c r="I78" s="105"/>
      <c r="J78" s="105"/>
      <c r="K78" s="104"/>
      <c r="L78" s="73"/>
      <c r="M78" s="10"/>
      <c r="N78" s="16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6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7"/>
    </row>
    <row r="79" spans="1:82">
      <c r="AA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</row>
    <row r="80" spans="1:82" s="9" customFormat="1">
      <c r="A80" s="101" t="str">
        <f>CONCATENATE(A4," Costs - Tier 2")</f>
        <v>PGE Costs - Tier 2</v>
      </c>
      <c r="B80" s="102"/>
      <c r="C80" s="102"/>
      <c r="D80" s="102"/>
      <c r="E80" s="102"/>
      <c r="F80" s="102"/>
      <c r="G80" s="5"/>
      <c r="H80" s="5"/>
      <c r="I80" s="5"/>
      <c r="J80" s="5"/>
      <c r="K80" s="5"/>
      <c r="L80" s="71"/>
      <c r="M80"/>
      <c r="N80" s="365" t="s">
        <v>68</v>
      </c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/>
      <c r="AB80" s="376" t="s">
        <v>69</v>
      </c>
      <c r="AC80" s="377"/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8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</row>
    <row r="81" spans="1:40" ht="45">
      <c r="A81" s="48"/>
      <c r="B81" s="1" t="s">
        <v>18</v>
      </c>
      <c r="C81" s="1" t="s">
        <v>19</v>
      </c>
      <c r="D81" s="1" t="s">
        <v>20</v>
      </c>
      <c r="E81" s="1" t="s">
        <v>53</v>
      </c>
      <c r="F81" s="1" t="s">
        <v>54</v>
      </c>
      <c r="G81" s="72"/>
      <c r="H81" s="1" t="s">
        <v>5</v>
      </c>
      <c r="I81" s="72"/>
      <c r="J81" s="103"/>
      <c r="K81" s="72"/>
      <c r="L81" s="72"/>
      <c r="N81" s="142" t="s">
        <v>55</v>
      </c>
      <c r="O81" s="142" t="s">
        <v>56</v>
      </c>
      <c r="P81" s="12" t="s">
        <v>57</v>
      </c>
      <c r="Q81" s="12" t="s">
        <v>58</v>
      </c>
      <c r="R81" s="12" t="s">
        <v>59</v>
      </c>
      <c r="S81" s="12" t="s">
        <v>60</v>
      </c>
      <c r="T81" s="12" t="s">
        <v>61</v>
      </c>
      <c r="U81" s="12" t="s">
        <v>62</v>
      </c>
      <c r="V81" s="12" t="s">
        <v>63</v>
      </c>
      <c r="W81" s="142" t="s">
        <v>64</v>
      </c>
      <c r="X81" s="142" t="s">
        <v>65</v>
      </c>
      <c r="Y81" s="12" t="s">
        <v>66</v>
      </c>
      <c r="Z81" s="142" t="s">
        <v>67</v>
      </c>
      <c r="AB81" s="49" t="s">
        <v>55</v>
      </c>
      <c r="AC81" s="49" t="s">
        <v>56</v>
      </c>
      <c r="AD81" s="50" t="s">
        <v>57</v>
      </c>
      <c r="AE81" s="50" t="s">
        <v>58</v>
      </c>
      <c r="AF81" s="50" t="s">
        <v>59</v>
      </c>
      <c r="AG81" s="50" t="s">
        <v>60</v>
      </c>
      <c r="AH81" s="50" t="s">
        <v>61</v>
      </c>
      <c r="AI81" s="50" t="s">
        <v>62</v>
      </c>
      <c r="AJ81" s="50" t="s">
        <v>63</v>
      </c>
      <c r="AK81" s="49" t="s">
        <v>64</v>
      </c>
      <c r="AL81" s="49" t="s">
        <v>65</v>
      </c>
      <c r="AM81" s="50" t="s">
        <v>66</v>
      </c>
      <c r="AN81" s="49" t="s">
        <v>67</v>
      </c>
    </row>
    <row r="82" spans="1:40">
      <c r="A82" s="48">
        <v>2018</v>
      </c>
      <c r="B82" s="31" cm="1">
        <f t="array" ref="B82">IF(A45&lt;2021,0,SUMPRODUCT(('Project Operational Timelines'!$AO$20:$AO$49=$A45)*('Project Operational Timelines'!$AP$18:$AY$18=$A$4)*('Project Operational Timelines'!$AP$17:$AY$17=$G82)*'Project Operational Timelines'!$AP17:$AY17))</f>
        <v>0</v>
      </c>
      <c r="C82" s="84">
        <f t="shared" ref="C82:C114" si="65">INDEX($K$3:$K$4,MATCH(G82,$J$3:$J$4,0))/12*B82</f>
        <v>0</v>
      </c>
      <c r="D82" s="89">
        <f>ROUND(C82*SUM(O82:Z82),2)</f>
        <v>0</v>
      </c>
      <c r="E82" s="89"/>
      <c r="F82" s="89" cm="1">
        <f t="array" ref="F82">IF(A82&lt;2021,0,(-(SUMPRODUCT(('Project Operational Timelines'!$AO$20:$AO$49=$A82)*('Project Operational Timelines'!$AP$18:$AY$18=$A$4)*('Project Operational Timelines'!$AP$19:$AY$19="Non-Carve Out")*('Project Operational Timelines'!$AP$17:$AY$17=$G82)*'Project Operational Timelines'!$AP17:$AY17))*1000*('Program Inputs'!$D$14-'Program Inputs'!$D$6)*$F$4*12)+(-(SUMPRODUCT(('Project Operational Timelines'!$AO$20:$AO$49=$A82)*('Project Operational Timelines'!$AP$18:$AY$18=$A$4)*('Project Operational Timelines'!$AP$19:$AY$19="Carve Out")*('Project Operational Timelines'!$AP$17:$AY$17=$G82)*'Project Operational Timelines'!$AP17:$AY17))*1000*('Program Inputs'!$D$14-'Program Inputs'!$D$7)*$F$4*12))</f>
        <v>0</v>
      </c>
      <c r="G82" s="79">
        <v>2</v>
      </c>
      <c r="H82" s="328">
        <f>ROUND(SUM(D82)*(1-$C$4)^(A82-$A$88),2)</f>
        <v>0</v>
      </c>
      <c r="I82" s="69"/>
      <c r="J82" s="69"/>
      <c r="K82" s="104"/>
      <c r="L82" s="75">
        <f>IF(AND(A82&gt;=('Program Inputs'!$D$4-1),A82&lt;('Program Inputs'!$D$4+19)),1,0)</f>
        <v>0</v>
      </c>
      <c r="M82">
        <v>0</v>
      </c>
      <c r="N82" s="51">
        <v>2018</v>
      </c>
      <c r="O82" s="18">
        <f t="shared" ref="O82:O103" si="66">(AC82-BS45)</f>
        <v>70.313414285714288</v>
      </c>
      <c r="P82" s="18">
        <f t="shared" ref="P82:Z82" si="67">(AD82-BT45)</f>
        <v>72.863414285714285</v>
      </c>
      <c r="Q82" s="18">
        <f t="shared" si="67"/>
        <v>76.941985714285707</v>
      </c>
      <c r="R82" s="18">
        <f t="shared" si="67"/>
        <v>81.379128571428566</v>
      </c>
      <c r="S82" s="18">
        <f t="shared" si="67"/>
        <v>82.261985714285714</v>
      </c>
      <c r="T82" s="18">
        <f t="shared" si="67"/>
        <v>81.99341428571428</v>
      </c>
      <c r="U82" s="18">
        <f t="shared" si="67"/>
        <v>73.1477</v>
      </c>
      <c r="V82" s="18">
        <f t="shared" si="67"/>
        <v>69.559128571428573</v>
      </c>
      <c r="W82" s="18">
        <f t="shared" si="67"/>
        <v>71.517700000000005</v>
      </c>
      <c r="X82" s="18">
        <f t="shared" si="67"/>
        <v>76.483414285714275</v>
      </c>
      <c r="Y82" s="18">
        <f t="shared" si="67"/>
        <v>74.566271428571426</v>
      </c>
      <c r="Z82" s="18">
        <f t="shared" si="67"/>
        <v>70.091985714285713</v>
      </c>
      <c r="AB82" s="52">
        <v>2018</v>
      </c>
      <c r="AC82" s="14">
        <f>SUMIFS('Bill Credit Rates'!$K:$K,'Bill Credit Rates'!$A:$A,$A$4,'Bill Credit Rates'!$B:$B,$G82,'Bill Credit Rates'!$C:$C,$M82)</f>
        <v>101.6677</v>
      </c>
      <c r="AD82" s="14">
        <f>SUMIFS('Bill Credit Rates'!$K:$K,'Bill Credit Rates'!$A:$A,$A$4,'Bill Credit Rates'!$B:$B,$G82,'Bill Credit Rates'!$C:$C,$M82)</f>
        <v>101.6677</v>
      </c>
      <c r="AE82" s="14">
        <f>SUMIFS('Bill Credit Rates'!$K:$K,'Bill Credit Rates'!$A:$A,$A$4,'Bill Credit Rates'!$B:$B,$G82,'Bill Credit Rates'!$C:$C,$M82)</f>
        <v>101.6677</v>
      </c>
      <c r="AF82" s="14">
        <f>SUMIFS('Bill Credit Rates'!$K:$K,'Bill Credit Rates'!$A:$A,$A$4,'Bill Credit Rates'!$B:$B,$G82,'Bill Credit Rates'!$C:$C,$M82)</f>
        <v>101.6677</v>
      </c>
      <c r="AG82" s="14">
        <f>SUMIFS('Bill Credit Rates'!$K:$K,'Bill Credit Rates'!$A:$A,$A$4,'Bill Credit Rates'!$B:$B,$G82,'Bill Credit Rates'!$C:$C,$M82)</f>
        <v>101.6677</v>
      </c>
      <c r="AH82" s="14">
        <f>SUMIFS('Bill Credit Rates'!$K:$K,'Bill Credit Rates'!$A:$A,$A$4,'Bill Credit Rates'!$B:$B,$G82,'Bill Credit Rates'!$C:$C,$M82)</f>
        <v>101.6677</v>
      </c>
      <c r="AI82" s="14">
        <f>SUMIFS('Bill Credit Rates'!$K:$K,'Bill Credit Rates'!$A:$A,$A$4,'Bill Credit Rates'!$B:$B,$G82,'Bill Credit Rates'!$C:$C,$M82)</f>
        <v>101.6677</v>
      </c>
      <c r="AJ82" s="14">
        <f>SUMIFS('Bill Credit Rates'!$K:$K,'Bill Credit Rates'!$A:$A,$A$4,'Bill Credit Rates'!$B:$B,$G82,'Bill Credit Rates'!$C:$C,$M82)</f>
        <v>101.6677</v>
      </c>
      <c r="AK82" s="14">
        <f>SUMIFS('Bill Credit Rates'!$K:$K,'Bill Credit Rates'!$A:$A,$A$4,'Bill Credit Rates'!$B:$B,$G82,'Bill Credit Rates'!$C:$C,$M82)</f>
        <v>101.6677</v>
      </c>
      <c r="AL82" s="14">
        <f>SUMIFS('Bill Credit Rates'!$K:$K,'Bill Credit Rates'!$A:$A,$A$4,'Bill Credit Rates'!$B:$B,$G82,'Bill Credit Rates'!$C:$C,$M82)</f>
        <v>101.6677</v>
      </c>
      <c r="AM82" s="14">
        <f>SUMIFS('Bill Credit Rates'!$K:$K,'Bill Credit Rates'!$A:$A,$A$4,'Bill Credit Rates'!$B:$B,$G82,'Bill Credit Rates'!$C:$C,$M82)</f>
        <v>101.6677</v>
      </c>
      <c r="AN82" s="14">
        <f>SUMIFS('Bill Credit Rates'!$K:$K,'Bill Credit Rates'!$A:$A,$A$4,'Bill Credit Rates'!$B:$B,$G82,'Bill Credit Rates'!$C:$C,$M82)</f>
        <v>101.6677</v>
      </c>
    </row>
    <row r="83" spans="1:40">
      <c r="A83" s="48">
        <v>2019</v>
      </c>
      <c r="B83" s="31" cm="1">
        <f t="array" ref="B83">IF(A46&lt;2021,0,SUMPRODUCT(('Project Operational Timelines'!$AO$20:$AO$49=$A46)*('Project Operational Timelines'!$AP$18:$AY$18=$A$4)*('Project Operational Timelines'!$AP$17:$AY$17=$G83)*'Project Operational Timelines'!$AP18:$AY18))</f>
        <v>0</v>
      </c>
      <c r="C83" s="84">
        <f t="shared" si="65"/>
        <v>0</v>
      </c>
      <c r="D83" s="89">
        <f t="shared" ref="D83:D114" si="68">ROUND(C83*SUM(O83:Z83),2)</f>
        <v>0</v>
      </c>
      <c r="E83" s="89"/>
      <c r="F83" s="89" cm="1">
        <f t="array" ref="F83">IF(A83&lt;2021,0,(-(SUMPRODUCT(('Project Operational Timelines'!$AO$20:$AO$49=$A83)*('Project Operational Timelines'!$AP$18:$AY$18=$A$4)*('Project Operational Timelines'!$AP$19:$AY$19="Non-Carve Out")*('Project Operational Timelines'!$AP$17:$AY$17=$G83)*'Project Operational Timelines'!$AP18:$AY18))*1000*('Program Inputs'!$D$14-'Program Inputs'!$D$6)*$F$4*12)+(-(SUMPRODUCT(('Project Operational Timelines'!$AO$20:$AO$49=$A83)*('Project Operational Timelines'!$AP$18:$AY$18=$A$4)*('Project Operational Timelines'!$AP$19:$AY$19="Carve Out")*('Project Operational Timelines'!$AP$17:$AY$17=$G83)*'Project Operational Timelines'!$AP18:$AY18))*1000*('Program Inputs'!$D$14-'Program Inputs'!$D$7)*$F$4*12))</f>
        <v>0</v>
      </c>
      <c r="G83" s="79">
        <v>2</v>
      </c>
      <c r="H83" s="328">
        <f t="shared" ref="H83:H114" si="69">ROUND(SUM(D83)*(1-$C$4)^(A83-$A$88),2)</f>
        <v>0</v>
      </c>
      <c r="I83" s="69"/>
      <c r="J83" s="69"/>
      <c r="K83" s="104"/>
      <c r="L83" s="75">
        <f>IF(AND(A83&gt;=('Program Inputs'!$D$4-1),A83&lt;('Program Inputs'!$D$4+19)),1,0)</f>
        <v>1</v>
      </c>
      <c r="M83">
        <v>1</v>
      </c>
      <c r="N83" s="51">
        <v>2019</v>
      </c>
      <c r="O83" s="18">
        <f t="shared" si="66"/>
        <v>71.453414285714288</v>
      </c>
      <c r="P83" s="18">
        <f t="shared" ref="P83:P103" si="70">(AD83-BT46)</f>
        <v>72.874842857142852</v>
      </c>
      <c r="Q83" s="18">
        <f t="shared" ref="Q83:Q103" si="71">(AE83-BU46)</f>
        <v>78.434842857142854</v>
      </c>
      <c r="R83" s="18">
        <f t="shared" ref="R83:R103" si="72">(AF83-BV46)</f>
        <v>83.244842857142856</v>
      </c>
      <c r="S83" s="18">
        <f t="shared" ref="S83:S103" si="73">(AG83-BW46)</f>
        <v>84.21912857142857</v>
      </c>
      <c r="T83" s="18">
        <f t="shared" ref="T83:T103" si="74">(AH83-BX46)</f>
        <v>83.489128571428566</v>
      </c>
      <c r="U83" s="18">
        <f t="shared" ref="U83:U103" si="75">(AI83-BY46)</f>
        <v>73.097700000000003</v>
      </c>
      <c r="V83" s="18">
        <f t="shared" ref="V83:V103" si="76">(AJ83-BZ46)</f>
        <v>68.541985714285715</v>
      </c>
      <c r="W83" s="18">
        <f t="shared" ref="W83:W103" si="77">(AK83-CA46)</f>
        <v>71.080557142857145</v>
      </c>
      <c r="X83" s="18">
        <f t="shared" ref="X83:X103" si="78">(AL83-CB46)</f>
        <v>75.269128571428567</v>
      </c>
      <c r="Y83" s="18">
        <f t="shared" ref="Y83:Y103" si="79">(AM83-CC46)</f>
        <v>73.317700000000002</v>
      </c>
      <c r="Z83" s="18">
        <f t="shared" ref="Z83:Z103" si="80">(AN83-CD46)</f>
        <v>68.036271428571425</v>
      </c>
      <c r="AB83" s="52">
        <v>2019</v>
      </c>
      <c r="AC83" s="14">
        <f>SUMIFS('Bill Credit Rates'!$K:$K,'Bill Credit Rates'!$A:$A,$A$4,'Bill Credit Rates'!$B:$B,$G83,'Bill Credit Rates'!$C:$C,$M83)</f>
        <v>101.6677</v>
      </c>
      <c r="AD83" s="14">
        <f>SUMIFS('Bill Credit Rates'!$K:$K,'Bill Credit Rates'!$A:$A,$A$4,'Bill Credit Rates'!$B:$B,$G83,'Bill Credit Rates'!$C:$C,$M83)</f>
        <v>101.6677</v>
      </c>
      <c r="AE83" s="14">
        <f>SUMIFS('Bill Credit Rates'!$K:$K,'Bill Credit Rates'!$A:$A,$A$4,'Bill Credit Rates'!$B:$B,$G83,'Bill Credit Rates'!$C:$C,$M83)</f>
        <v>101.6677</v>
      </c>
      <c r="AF83" s="14">
        <f>SUMIFS('Bill Credit Rates'!$K:$K,'Bill Credit Rates'!$A:$A,$A$4,'Bill Credit Rates'!$B:$B,$G83,'Bill Credit Rates'!$C:$C,$M83)</f>
        <v>101.6677</v>
      </c>
      <c r="AG83" s="14">
        <f>SUMIFS('Bill Credit Rates'!$K:$K,'Bill Credit Rates'!$A:$A,$A$4,'Bill Credit Rates'!$B:$B,$G83,'Bill Credit Rates'!$C:$C,$M83)</f>
        <v>101.6677</v>
      </c>
      <c r="AH83" s="14">
        <f>SUMIFS('Bill Credit Rates'!$K:$K,'Bill Credit Rates'!$A:$A,$A$4,'Bill Credit Rates'!$B:$B,$G83,'Bill Credit Rates'!$C:$C,$M83)</f>
        <v>101.6677</v>
      </c>
      <c r="AI83" s="14">
        <f>SUMIFS('Bill Credit Rates'!$K:$K,'Bill Credit Rates'!$A:$A,$A$4,'Bill Credit Rates'!$B:$B,$G83,'Bill Credit Rates'!$C:$C,$M83)</f>
        <v>101.6677</v>
      </c>
      <c r="AJ83" s="14">
        <f>SUMIFS('Bill Credit Rates'!$K:$K,'Bill Credit Rates'!$A:$A,$A$4,'Bill Credit Rates'!$B:$B,$G83,'Bill Credit Rates'!$C:$C,$M83)</f>
        <v>101.6677</v>
      </c>
      <c r="AK83" s="14">
        <f>SUMIFS('Bill Credit Rates'!$K:$K,'Bill Credit Rates'!$A:$A,$A$4,'Bill Credit Rates'!$B:$B,$G83,'Bill Credit Rates'!$C:$C,$M83)</f>
        <v>101.6677</v>
      </c>
      <c r="AL83" s="14">
        <f>SUMIFS('Bill Credit Rates'!$K:$K,'Bill Credit Rates'!$A:$A,$A$4,'Bill Credit Rates'!$B:$B,$G83,'Bill Credit Rates'!$C:$C,$M83)</f>
        <v>101.6677</v>
      </c>
      <c r="AM83" s="14">
        <f>SUMIFS('Bill Credit Rates'!$K:$K,'Bill Credit Rates'!$A:$A,$A$4,'Bill Credit Rates'!$B:$B,$G83,'Bill Credit Rates'!$C:$C,$M83)</f>
        <v>101.6677</v>
      </c>
      <c r="AN83" s="14">
        <f>SUMIFS('Bill Credit Rates'!$K:$K,'Bill Credit Rates'!$A:$A,$A$4,'Bill Credit Rates'!$B:$B,$G83,'Bill Credit Rates'!$C:$C,$M83)</f>
        <v>101.6677</v>
      </c>
    </row>
    <row r="84" spans="1:40">
      <c r="A84" s="48">
        <v>2020</v>
      </c>
      <c r="B84" s="31" cm="1">
        <f t="array" ref="B84">IF(A47&lt;2021,0,SUMPRODUCT(('Project Operational Timelines'!$AO$20:$AO$49=$A47)*('Project Operational Timelines'!$AP$18:$AY$18=$A$4)*('Project Operational Timelines'!$AP$17:$AY$17=$G84)*'Project Operational Timelines'!$AP19:$AY19))</f>
        <v>0</v>
      </c>
      <c r="C84" s="84">
        <f t="shared" si="65"/>
        <v>0</v>
      </c>
      <c r="D84" s="89">
        <f t="shared" si="68"/>
        <v>0</v>
      </c>
      <c r="E84" s="89"/>
      <c r="F84" s="89" cm="1">
        <f t="array" ref="F84">IF(A84&lt;2021,0,(-(SUMPRODUCT(('Project Operational Timelines'!$AO$20:$AO$49=$A84)*('Project Operational Timelines'!$AP$18:$AY$18=$A$4)*('Project Operational Timelines'!$AP$19:$AY$19="Non-Carve Out")*('Project Operational Timelines'!$AP$17:$AY$17=$G84)*'Project Operational Timelines'!$AP19:$AY19))*1000*('Program Inputs'!$D$14-'Program Inputs'!$D$6)*$F$4*12)+(-(SUMPRODUCT(('Project Operational Timelines'!$AO$20:$AO$49=$A84)*('Project Operational Timelines'!$AP$18:$AY$18=$A$4)*('Project Operational Timelines'!$AP$19:$AY$19="Carve Out")*('Project Operational Timelines'!$AP$17:$AY$17=$G84)*'Project Operational Timelines'!$AP19:$AY19))*1000*('Program Inputs'!$D$14-'Program Inputs'!$D$7)*$F$4*12))</f>
        <v>0</v>
      </c>
      <c r="G84" s="79">
        <v>2</v>
      </c>
      <c r="H84" s="328">
        <f t="shared" si="69"/>
        <v>0</v>
      </c>
      <c r="I84" s="69"/>
      <c r="J84" s="69"/>
      <c r="K84" s="104"/>
      <c r="L84" s="75">
        <f>IF(AND(A84&gt;=('Program Inputs'!$D$4-1),A84&lt;('Program Inputs'!$D$4+19)),1,0)</f>
        <v>1</v>
      </c>
      <c r="M84">
        <v>2</v>
      </c>
      <c r="N84" s="51">
        <v>2020</v>
      </c>
      <c r="O84" s="18">
        <f t="shared" si="66"/>
        <v>69.754842857142847</v>
      </c>
      <c r="P84" s="18">
        <f t="shared" si="70"/>
        <v>71.251985714285723</v>
      </c>
      <c r="Q84" s="18">
        <f t="shared" si="71"/>
        <v>77.139128571428571</v>
      </c>
      <c r="R84" s="18">
        <f t="shared" si="72"/>
        <v>82.233414285714275</v>
      </c>
      <c r="S84" s="18">
        <f t="shared" si="73"/>
        <v>83.277699999999996</v>
      </c>
      <c r="T84" s="18">
        <f t="shared" si="74"/>
        <v>82.501985714285709</v>
      </c>
      <c r="U84" s="18">
        <f t="shared" si="75"/>
        <v>71.513414285714276</v>
      </c>
      <c r="V84" s="18">
        <f t="shared" si="76"/>
        <v>66.691985714285721</v>
      </c>
      <c r="W84" s="18">
        <f t="shared" si="77"/>
        <v>69.370557142857137</v>
      </c>
      <c r="X84" s="18">
        <f t="shared" si="78"/>
        <v>73.789128571428563</v>
      </c>
      <c r="Y84" s="18">
        <f t="shared" si="79"/>
        <v>71.72484285714286</v>
      </c>
      <c r="Z84" s="18">
        <f t="shared" si="80"/>
        <v>66.14198571428571</v>
      </c>
      <c r="AB84" s="52">
        <v>2020</v>
      </c>
      <c r="AC84" s="14">
        <f>SUMIFS('Bill Credit Rates'!$K:$K,'Bill Credit Rates'!$A:$A,$A$4,'Bill Credit Rates'!$B:$B,$G84,'Bill Credit Rates'!$C:$C,$M84)</f>
        <v>101.6677</v>
      </c>
      <c r="AD84" s="14">
        <f>SUMIFS('Bill Credit Rates'!$K:$K,'Bill Credit Rates'!$A:$A,$A$4,'Bill Credit Rates'!$B:$B,$G84,'Bill Credit Rates'!$C:$C,$M84)</f>
        <v>101.6677</v>
      </c>
      <c r="AE84" s="14">
        <f>SUMIFS('Bill Credit Rates'!$K:$K,'Bill Credit Rates'!$A:$A,$A$4,'Bill Credit Rates'!$B:$B,$G84,'Bill Credit Rates'!$C:$C,$M84)</f>
        <v>101.6677</v>
      </c>
      <c r="AF84" s="14">
        <f>SUMIFS('Bill Credit Rates'!$K:$K,'Bill Credit Rates'!$A:$A,$A$4,'Bill Credit Rates'!$B:$B,$G84,'Bill Credit Rates'!$C:$C,$M84)</f>
        <v>101.6677</v>
      </c>
      <c r="AG84" s="14">
        <f>SUMIFS('Bill Credit Rates'!$K:$K,'Bill Credit Rates'!$A:$A,$A$4,'Bill Credit Rates'!$B:$B,$G84,'Bill Credit Rates'!$C:$C,$M84)</f>
        <v>101.6677</v>
      </c>
      <c r="AH84" s="14">
        <f>SUMIFS('Bill Credit Rates'!$K:$K,'Bill Credit Rates'!$A:$A,$A$4,'Bill Credit Rates'!$B:$B,$G84,'Bill Credit Rates'!$C:$C,$M84)</f>
        <v>101.6677</v>
      </c>
      <c r="AI84" s="14">
        <f>SUMIFS('Bill Credit Rates'!$K:$K,'Bill Credit Rates'!$A:$A,$A$4,'Bill Credit Rates'!$B:$B,$G84,'Bill Credit Rates'!$C:$C,$M84)</f>
        <v>101.6677</v>
      </c>
      <c r="AJ84" s="14">
        <f>SUMIFS('Bill Credit Rates'!$K:$K,'Bill Credit Rates'!$A:$A,$A$4,'Bill Credit Rates'!$B:$B,$G84,'Bill Credit Rates'!$C:$C,$M84)</f>
        <v>101.6677</v>
      </c>
      <c r="AK84" s="14">
        <f>SUMIFS('Bill Credit Rates'!$K:$K,'Bill Credit Rates'!$A:$A,$A$4,'Bill Credit Rates'!$B:$B,$G84,'Bill Credit Rates'!$C:$C,$M84)</f>
        <v>101.6677</v>
      </c>
      <c r="AL84" s="14">
        <f>SUMIFS('Bill Credit Rates'!$K:$K,'Bill Credit Rates'!$A:$A,$A$4,'Bill Credit Rates'!$B:$B,$G84,'Bill Credit Rates'!$C:$C,$M84)</f>
        <v>101.6677</v>
      </c>
      <c r="AM84" s="14">
        <f>SUMIFS('Bill Credit Rates'!$K:$K,'Bill Credit Rates'!$A:$A,$A$4,'Bill Credit Rates'!$B:$B,$G84,'Bill Credit Rates'!$C:$C,$M84)</f>
        <v>101.6677</v>
      </c>
      <c r="AN84" s="14">
        <f>SUMIFS('Bill Credit Rates'!$K:$K,'Bill Credit Rates'!$A:$A,$A$4,'Bill Credit Rates'!$B:$B,$G84,'Bill Credit Rates'!$C:$C,$M84)</f>
        <v>101.6677</v>
      </c>
    </row>
    <row r="85" spans="1:40">
      <c r="A85" s="48">
        <v>2021</v>
      </c>
      <c r="B85" s="31" cm="1">
        <f t="array" ref="B85">IF(A48&lt;2021,0,SUMPRODUCT(('Project Operational Timelines'!$AO$20:$AO$49=$A48)*('Project Operational Timelines'!$AP$18:$AY$18=$A$4)*('Project Operational Timelines'!$AP$17:$AY$17=$G85)*'Project Operational Timelines'!$AP20:$AY20))</f>
        <v>0</v>
      </c>
      <c r="C85" s="84">
        <f t="shared" si="65"/>
        <v>0</v>
      </c>
      <c r="D85" s="89">
        <f t="shared" si="68"/>
        <v>0</v>
      </c>
      <c r="E85" s="89"/>
      <c r="F85" s="89" cm="1">
        <f t="array" ref="F85">IF(A85&lt;2021,0,(-(SUMPRODUCT(('Project Operational Timelines'!$AO$20:$AO$49=$A85)*('Project Operational Timelines'!$AP$18:$AY$18=$A$4)*('Project Operational Timelines'!$AP$19:$AY$19="Non-Carve Out")*('Project Operational Timelines'!$AP$17:$AY$17=$G85)*'Project Operational Timelines'!$AP20:$AY20))*1000*('Program Inputs'!$D$14-'Program Inputs'!$D$6)*$F$4*12)+(-(SUMPRODUCT(('Project Operational Timelines'!$AO$20:$AO$49=$A85)*('Project Operational Timelines'!$AP$18:$AY$18=$A$4)*('Project Operational Timelines'!$AP$19:$AY$19="Carve Out")*('Project Operational Timelines'!$AP$17:$AY$17=$G85)*'Project Operational Timelines'!$AP20:$AY20))*1000*('Program Inputs'!$D$14-'Program Inputs'!$D$7)*$F$4*12))</f>
        <v>0</v>
      </c>
      <c r="G85" s="79">
        <v>2</v>
      </c>
      <c r="H85" s="328">
        <f t="shared" si="69"/>
        <v>0</v>
      </c>
      <c r="I85" s="69"/>
      <c r="J85" s="69"/>
      <c r="K85" s="104"/>
      <c r="L85" s="75">
        <f>IF(AND(A85&gt;=('Program Inputs'!$D$4-1),A85&lt;('Program Inputs'!$D$4+19)),1,0)</f>
        <v>1</v>
      </c>
      <c r="M85">
        <v>3</v>
      </c>
      <c r="N85" s="51">
        <v>2021</v>
      </c>
      <c r="O85" s="18">
        <f t="shared" si="66"/>
        <v>68.56484285714285</v>
      </c>
      <c r="P85" s="18">
        <f t="shared" si="70"/>
        <v>68.794842857142854</v>
      </c>
      <c r="Q85" s="18">
        <f t="shared" si="71"/>
        <v>69.234842857142851</v>
      </c>
      <c r="R85" s="18">
        <f t="shared" si="72"/>
        <v>71.484842857142851</v>
      </c>
      <c r="S85" s="18">
        <f t="shared" si="73"/>
        <v>71.56484285714285</v>
      </c>
      <c r="T85" s="18">
        <f t="shared" si="74"/>
        <v>71.384842857142843</v>
      </c>
      <c r="U85" s="18">
        <f t="shared" si="75"/>
        <v>71.174842857142849</v>
      </c>
      <c r="V85" s="18">
        <f t="shared" si="76"/>
        <v>71.004842857142847</v>
      </c>
      <c r="W85" s="18">
        <f t="shared" si="77"/>
        <v>70.97484285714286</v>
      </c>
      <c r="X85" s="18">
        <f t="shared" si="78"/>
        <v>70.766271428571429</v>
      </c>
      <c r="Y85" s="18">
        <f t="shared" si="79"/>
        <v>70.124842857142852</v>
      </c>
      <c r="Z85" s="18">
        <f t="shared" si="80"/>
        <v>69.136271428571433</v>
      </c>
      <c r="AB85" s="52">
        <v>2021</v>
      </c>
      <c r="AC85" s="14">
        <f>SUMIFS('Bill Credit Rates'!$K:$K,'Bill Credit Rates'!$A:$A,$A$4,'Bill Credit Rates'!$B:$B,$G85,'Bill Credit Rates'!$C:$C,$M85)</f>
        <v>101.6677</v>
      </c>
      <c r="AD85" s="14">
        <f>SUMIFS('Bill Credit Rates'!$K:$K,'Bill Credit Rates'!$A:$A,$A$4,'Bill Credit Rates'!$B:$B,$G85,'Bill Credit Rates'!$C:$C,$M85)</f>
        <v>101.6677</v>
      </c>
      <c r="AE85" s="14">
        <f>SUMIFS('Bill Credit Rates'!$K:$K,'Bill Credit Rates'!$A:$A,$A$4,'Bill Credit Rates'!$B:$B,$G85,'Bill Credit Rates'!$C:$C,$M85)</f>
        <v>101.6677</v>
      </c>
      <c r="AF85" s="14">
        <f>SUMIFS('Bill Credit Rates'!$K:$K,'Bill Credit Rates'!$A:$A,$A$4,'Bill Credit Rates'!$B:$B,$G85,'Bill Credit Rates'!$C:$C,$M85)</f>
        <v>101.6677</v>
      </c>
      <c r="AG85" s="14">
        <f>SUMIFS('Bill Credit Rates'!$K:$K,'Bill Credit Rates'!$A:$A,$A$4,'Bill Credit Rates'!$B:$B,$G85,'Bill Credit Rates'!$C:$C,$M85)</f>
        <v>101.6677</v>
      </c>
      <c r="AH85" s="14">
        <f>SUMIFS('Bill Credit Rates'!$K:$K,'Bill Credit Rates'!$A:$A,$A$4,'Bill Credit Rates'!$B:$B,$G85,'Bill Credit Rates'!$C:$C,$M85)</f>
        <v>101.6677</v>
      </c>
      <c r="AI85" s="14">
        <f>SUMIFS('Bill Credit Rates'!$K:$K,'Bill Credit Rates'!$A:$A,$A$4,'Bill Credit Rates'!$B:$B,$G85,'Bill Credit Rates'!$C:$C,$M85)</f>
        <v>101.6677</v>
      </c>
      <c r="AJ85" s="14">
        <f>SUMIFS('Bill Credit Rates'!$K:$K,'Bill Credit Rates'!$A:$A,$A$4,'Bill Credit Rates'!$B:$B,$G85,'Bill Credit Rates'!$C:$C,$M85)</f>
        <v>101.6677</v>
      </c>
      <c r="AK85" s="14">
        <f>SUMIFS('Bill Credit Rates'!$K:$K,'Bill Credit Rates'!$A:$A,$A$4,'Bill Credit Rates'!$B:$B,$G85,'Bill Credit Rates'!$C:$C,$M85)</f>
        <v>101.6677</v>
      </c>
      <c r="AL85" s="14">
        <f>SUMIFS('Bill Credit Rates'!$K:$K,'Bill Credit Rates'!$A:$A,$A$4,'Bill Credit Rates'!$B:$B,$G85,'Bill Credit Rates'!$C:$C,$M85)</f>
        <v>101.6677</v>
      </c>
      <c r="AM85" s="14">
        <f>SUMIFS('Bill Credit Rates'!$K:$K,'Bill Credit Rates'!$A:$A,$A$4,'Bill Credit Rates'!$B:$B,$G85,'Bill Credit Rates'!$C:$C,$M85)</f>
        <v>101.6677</v>
      </c>
      <c r="AN85" s="14">
        <f>SUMIFS('Bill Credit Rates'!$K:$K,'Bill Credit Rates'!$A:$A,$A$4,'Bill Credit Rates'!$B:$B,$G85,'Bill Credit Rates'!$C:$C,$M85)</f>
        <v>101.6677</v>
      </c>
    </row>
    <row r="86" spans="1:40">
      <c r="A86" s="48">
        <v>2022</v>
      </c>
      <c r="B86" s="31" cm="1">
        <f t="array" ref="B86">IF(A49&lt;2021,0,SUMPRODUCT(('Project Operational Timelines'!$AO$20:$AO$49=$A49)*('Project Operational Timelines'!$AP$18:$AY$18=$A$4)*('Project Operational Timelines'!$AP$17:$AY$17=$G86)*'Project Operational Timelines'!$AP21:$AY21))</f>
        <v>0</v>
      </c>
      <c r="C86" s="84">
        <f t="shared" si="65"/>
        <v>0</v>
      </c>
      <c r="D86" s="89">
        <f t="shared" si="68"/>
        <v>0</v>
      </c>
      <c r="E86" s="89"/>
      <c r="F86" s="89" cm="1">
        <f t="array" ref="F86">IF(A86&lt;2021,0,(-(SUMPRODUCT(('Project Operational Timelines'!$AO$20:$AO$49=$A86)*('Project Operational Timelines'!$AP$18:$AY$18=$A$4)*('Project Operational Timelines'!$AP$19:$AY$19="Non-Carve Out")*('Project Operational Timelines'!$AP$17:$AY$17=$G86)*'Project Operational Timelines'!$AP21:$AY21))*1000*('Program Inputs'!$D$14-'Program Inputs'!$D$6)*$F$4*12)+(-(SUMPRODUCT(('Project Operational Timelines'!$AO$20:$AO$49=$A86)*('Project Operational Timelines'!$AP$18:$AY$18=$A$4)*('Project Operational Timelines'!$AP$19:$AY$19="Carve Out")*('Project Operational Timelines'!$AP$17:$AY$17=$G86)*'Project Operational Timelines'!$AP21:$AY21))*1000*('Program Inputs'!$D$14-'Program Inputs'!$D$7)*$F$4*12))</f>
        <v>0</v>
      </c>
      <c r="G86" s="79">
        <v>2</v>
      </c>
      <c r="H86" s="328">
        <f t="shared" si="69"/>
        <v>0</v>
      </c>
      <c r="I86" s="69"/>
      <c r="J86" s="69"/>
      <c r="K86" s="104"/>
      <c r="L86" s="75">
        <f>IF(AND(A86&gt;=('Program Inputs'!$D$4-1),A86&lt;('Program Inputs'!$D$4+19)),1,0)</f>
        <v>1</v>
      </c>
      <c r="M86">
        <v>4</v>
      </c>
      <c r="N86" s="51">
        <v>2022</v>
      </c>
      <c r="O86" s="18">
        <f t="shared" si="66"/>
        <v>67.977699999999999</v>
      </c>
      <c r="P86" s="18">
        <f t="shared" si="70"/>
        <v>67.8977</v>
      </c>
      <c r="Q86" s="18">
        <f t="shared" si="71"/>
        <v>67.816271428571426</v>
      </c>
      <c r="R86" s="18">
        <f t="shared" si="72"/>
        <v>68.367699999999999</v>
      </c>
      <c r="S86" s="18">
        <f t="shared" si="73"/>
        <v>68.467699999999994</v>
      </c>
      <c r="T86" s="18">
        <f t="shared" si="74"/>
        <v>68.377700000000004</v>
      </c>
      <c r="U86" s="18">
        <f t="shared" si="75"/>
        <v>68.307699999999997</v>
      </c>
      <c r="V86" s="18">
        <f t="shared" si="76"/>
        <v>68.226271428571422</v>
      </c>
      <c r="W86" s="18">
        <f t="shared" si="77"/>
        <v>68.136271428571433</v>
      </c>
      <c r="X86" s="18">
        <f t="shared" si="78"/>
        <v>67.77627142857142</v>
      </c>
      <c r="Y86" s="18">
        <f t="shared" si="79"/>
        <v>67.247699999999995</v>
      </c>
      <c r="Z86" s="18">
        <f t="shared" si="80"/>
        <v>67.1477</v>
      </c>
      <c r="AB86" s="52">
        <v>2022</v>
      </c>
      <c r="AC86" s="14">
        <f>SUMIFS('Bill Credit Rates'!$K:$K,'Bill Credit Rates'!$A:$A,$A$4,'Bill Credit Rates'!$B:$B,$G86,'Bill Credit Rates'!$C:$C,$M86)</f>
        <v>101.6677</v>
      </c>
      <c r="AD86" s="14">
        <f>SUMIFS('Bill Credit Rates'!$K:$K,'Bill Credit Rates'!$A:$A,$A$4,'Bill Credit Rates'!$B:$B,$G86,'Bill Credit Rates'!$C:$C,$M86)</f>
        <v>101.6677</v>
      </c>
      <c r="AE86" s="14">
        <f>SUMIFS('Bill Credit Rates'!$K:$K,'Bill Credit Rates'!$A:$A,$A$4,'Bill Credit Rates'!$B:$B,$G86,'Bill Credit Rates'!$C:$C,$M86)</f>
        <v>101.6677</v>
      </c>
      <c r="AF86" s="14">
        <f>SUMIFS('Bill Credit Rates'!$K:$K,'Bill Credit Rates'!$A:$A,$A$4,'Bill Credit Rates'!$B:$B,$G86,'Bill Credit Rates'!$C:$C,$M86)</f>
        <v>101.6677</v>
      </c>
      <c r="AG86" s="14">
        <f>SUMIFS('Bill Credit Rates'!$K:$K,'Bill Credit Rates'!$A:$A,$A$4,'Bill Credit Rates'!$B:$B,$G86,'Bill Credit Rates'!$C:$C,$M86)</f>
        <v>101.6677</v>
      </c>
      <c r="AH86" s="14">
        <f>SUMIFS('Bill Credit Rates'!$K:$K,'Bill Credit Rates'!$A:$A,$A$4,'Bill Credit Rates'!$B:$B,$G86,'Bill Credit Rates'!$C:$C,$M86)</f>
        <v>101.6677</v>
      </c>
      <c r="AI86" s="14">
        <f>SUMIFS('Bill Credit Rates'!$K:$K,'Bill Credit Rates'!$A:$A,$A$4,'Bill Credit Rates'!$B:$B,$G86,'Bill Credit Rates'!$C:$C,$M86)</f>
        <v>101.6677</v>
      </c>
      <c r="AJ86" s="14">
        <f>SUMIFS('Bill Credit Rates'!$K:$K,'Bill Credit Rates'!$A:$A,$A$4,'Bill Credit Rates'!$B:$B,$G86,'Bill Credit Rates'!$C:$C,$M86)</f>
        <v>101.6677</v>
      </c>
      <c r="AK86" s="14">
        <f>SUMIFS('Bill Credit Rates'!$K:$K,'Bill Credit Rates'!$A:$A,$A$4,'Bill Credit Rates'!$B:$B,$G86,'Bill Credit Rates'!$C:$C,$M86)</f>
        <v>101.6677</v>
      </c>
      <c r="AL86" s="14">
        <f>SUMIFS('Bill Credit Rates'!$K:$K,'Bill Credit Rates'!$A:$A,$A$4,'Bill Credit Rates'!$B:$B,$G86,'Bill Credit Rates'!$C:$C,$M86)</f>
        <v>101.6677</v>
      </c>
      <c r="AM86" s="14">
        <f>SUMIFS('Bill Credit Rates'!$K:$K,'Bill Credit Rates'!$A:$A,$A$4,'Bill Credit Rates'!$B:$B,$G86,'Bill Credit Rates'!$C:$C,$M86)</f>
        <v>101.6677</v>
      </c>
      <c r="AN86" s="14">
        <f>SUMIFS('Bill Credit Rates'!$K:$K,'Bill Credit Rates'!$A:$A,$A$4,'Bill Credit Rates'!$B:$B,$G86,'Bill Credit Rates'!$C:$C,$M86)</f>
        <v>101.6677</v>
      </c>
    </row>
    <row r="87" spans="1:40">
      <c r="A87" s="48">
        <v>2023</v>
      </c>
      <c r="B87" s="31" cm="1">
        <f t="array" ref="B87">IF(A50&lt;2021,0,SUMPRODUCT(('Project Operational Timelines'!$AO$20:$AO$49=$A50)*('Project Operational Timelines'!$AP$18:$AY$18=$A$4)*('Project Operational Timelines'!$AP$17:$AY$17=$G87)*'Project Operational Timelines'!$AP22:$AY22))</f>
        <v>1.83</v>
      </c>
      <c r="C87" s="84">
        <f t="shared" si="65"/>
        <v>268.37192017500001</v>
      </c>
      <c r="D87" s="89">
        <f t="shared" si="68"/>
        <v>217701.33</v>
      </c>
      <c r="E87" s="89"/>
      <c r="F87" s="89" cm="1">
        <f t="array" ref="F87">IF(A87&lt;2021,0,(-(SUMPRODUCT(('Project Operational Timelines'!$AO$20:$AO$49=$A87)*('Project Operational Timelines'!$AP$18:$AY$18=$A$4)*('Project Operational Timelines'!$AP$19:$AY$19="Non-Carve Out")*('Project Operational Timelines'!$AP$17:$AY$17=$G87)*'Project Operational Timelines'!$AP22:$AY22))*1000*('Program Inputs'!$D$14-'Program Inputs'!$D$6)*$F$4*12)+(-(SUMPRODUCT(('Project Operational Timelines'!$AO$20:$AO$49=$A87)*('Project Operational Timelines'!$AP$18:$AY$18=$A$4)*('Project Operational Timelines'!$AP$19:$AY$19="Carve Out")*('Project Operational Timelines'!$AP$17:$AY$17=$G87)*'Project Operational Timelines'!$AP22:$AY22))*1000*('Program Inputs'!$D$14-'Program Inputs'!$D$7)*$F$4*12))</f>
        <v>-2053.2599999999998</v>
      </c>
      <c r="G87" s="79">
        <v>2</v>
      </c>
      <c r="H87" s="328">
        <f t="shared" si="69"/>
        <v>223972.56</v>
      </c>
      <c r="I87" s="69"/>
      <c r="J87" s="69"/>
      <c r="K87" s="104"/>
      <c r="L87" s="75">
        <f>IF(AND(A87&gt;=('Program Inputs'!$D$4-1),A87&lt;('Program Inputs'!$D$4+19)),1,0)</f>
        <v>1</v>
      </c>
      <c r="M87">
        <v>5</v>
      </c>
      <c r="N87" s="51">
        <v>2023</v>
      </c>
      <c r="O87" s="18">
        <f t="shared" si="66"/>
        <v>67.569625428571428</v>
      </c>
      <c r="P87" s="18">
        <f t="shared" si="70"/>
        <v>67.478196857142862</v>
      </c>
      <c r="Q87" s="18">
        <f t="shared" si="71"/>
        <v>67.388196857142859</v>
      </c>
      <c r="R87" s="18">
        <f t="shared" si="72"/>
        <v>67.928196857142865</v>
      </c>
      <c r="S87" s="18">
        <f t="shared" si="73"/>
        <v>68.088196857142862</v>
      </c>
      <c r="T87" s="18">
        <f t="shared" si="74"/>
        <v>67.989625428571429</v>
      </c>
      <c r="U87" s="18">
        <f t="shared" si="75"/>
        <v>67.908196857142855</v>
      </c>
      <c r="V87" s="18">
        <f t="shared" si="76"/>
        <v>67.818196857142851</v>
      </c>
      <c r="W87" s="18">
        <f t="shared" si="77"/>
        <v>67.718196857142857</v>
      </c>
      <c r="X87" s="18">
        <f t="shared" si="78"/>
        <v>67.598196857142852</v>
      </c>
      <c r="Y87" s="18">
        <f t="shared" si="79"/>
        <v>66.899625428571426</v>
      </c>
      <c r="Z87" s="18">
        <f t="shared" si="80"/>
        <v>66.80819685714286</v>
      </c>
      <c r="AB87" s="52">
        <v>2023</v>
      </c>
      <c r="AC87" s="14">
        <f>SUMIFS('Bill Credit Rates'!$K:$K,'Bill Credit Rates'!$A:$A,$A$4,'Bill Credit Rates'!$B:$B,$G87,'Bill Credit Rates'!$C:$C,$M87)</f>
        <v>103.701054</v>
      </c>
      <c r="AD87" s="14">
        <f>SUMIFS('Bill Credit Rates'!$K:$K,'Bill Credit Rates'!$A:$A,$A$4,'Bill Credit Rates'!$B:$B,$G87,'Bill Credit Rates'!$C:$C,$M87)</f>
        <v>103.701054</v>
      </c>
      <c r="AE87" s="14">
        <f>SUMIFS('Bill Credit Rates'!$K:$K,'Bill Credit Rates'!$A:$A,$A$4,'Bill Credit Rates'!$B:$B,$G87,'Bill Credit Rates'!$C:$C,$M87)</f>
        <v>103.701054</v>
      </c>
      <c r="AF87" s="14">
        <f>SUMIFS('Bill Credit Rates'!$K:$K,'Bill Credit Rates'!$A:$A,$A$4,'Bill Credit Rates'!$B:$B,$G87,'Bill Credit Rates'!$C:$C,$M87)</f>
        <v>103.701054</v>
      </c>
      <c r="AG87" s="14">
        <f>SUMIFS('Bill Credit Rates'!$K:$K,'Bill Credit Rates'!$A:$A,$A$4,'Bill Credit Rates'!$B:$B,$G87,'Bill Credit Rates'!$C:$C,$M87)</f>
        <v>103.701054</v>
      </c>
      <c r="AH87" s="14">
        <f>SUMIFS('Bill Credit Rates'!$K:$K,'Bill Credit Rates'!$A:$A,$A$4,'Bill Credit Rates'!$B:$B,$G87,'Bill Credit Rates'!$C:$C,$M87)</f>
        <v>103.701054</v>
      </c>
      <c r="AI87" s="14">
        <f>SUMIFS('Bill Credit Rates'!$K:$K,'Bill Credit Rates'!$A:$A,$A$4,'Bill Credit Rates'!$B:$B,$G87,'Bill Credit Rates'!$C:$C,$M87)</f>
        <v>103.701054</v>
      </c>
      <c r="AJ87" s="14">
        <f>SUMIFS('Bill Credit Rates'!$K:$K,'Bill Credit Rates'!$A:$A,$A$4,'Bill Credit Rates'!$B:$B,$G87,'Bill Credit Rates'!$C:$C,$M87)</f>
        <v>103.701054</v>
      </c>
      <c r="AK87" s="14">
        <f>SUMIFS('Bill Credit Rates'!$K:$K,'Bill Credit Rates'!$A:$A,$A$4,'Bill Credit Rates'!$B:$B,$G87,'Bill Credit Rates'!$C:$C,$M87)</f>
        <v>103.701054</v>
      </c>
      <c r="AL87" s="14">
        <f>SUMIFS('Bill Credit Rates'!$K:$K,'Bill Credit Rates'!$A:$A,$A$4,'Bill Credit Rates'!$B:$B,$G87,'Bill Credit Rates'!$C:$C,$M87)</f>
        <v>103.701054</v>
      </c>
      <c r="AM87" s="14">
        <f>SUMIFS('Bill Credit Rates'!$K:$K,'Bill Credit Rates'!$A:$A,$A$4,'Bill Credit Rates'!$B:$B,$G87,'Bill Credit Rates'!$C:$C,$M87)</f>
        <v>103.701054</v>
      </c>
      <c r="AN87" s="14">
        <f>SUMIFS('Bill Credit Rates'!$K:$K,'Bill Credit Rates'!$A:$A,$A$4,'Bill Credit Rates'!$B:$B,$G87,'Bill Credit Rates'!$C:$C,$M87)</f>
        <v>103.701054</v>
      </c>
    </row>
    <row r="88" spans="1:40">
      <c r="A88" s="48">
        <v>2024</v>
      </c>
      <c r="B88" s="31" cm="1">
        <f t="array" ref="B88">IF(A51&lt;2021,0,SUMPRODUCT(('Project Operational Timelines'!$AO$20:$AO$49=$A51)*('Project Operational Timelines'!$AP$18:$AY$18=$A$4)*('Project Operational Timelines'!$AP$17:$AY$17=$G88)*'Project Operational Timelines'!$AP23:$AY23))</f>
        <v>5.52</v>
      </c>
      <c r="C88" s="84">
        <f t="shared" si="65"/>
        <v>809.51530019999984</v>
      </c>
      <c r="D88" s="89">
        <f t="shared" si="68"/>
        <v>662187.71</v>
      </c>
      <c r="E88" s="89"/>
      <c r="F88" s="89" cm="1">
        <f t="array" ref="F88">IF(A88&lt;2021,0,(-(SUMPRODUCT(('Project Operational Timelines'!$AO$20:$AO$49=$A88)*('Project Operational Timelines'!$AP$18:$AY$18=$A$4)*('Project Operational Timelines'!$AP$19:$AY$19="Non-Carve Out")*('Project Operational Timelines'!$AP$17:$AY$17=$G88)*'Project Operational Timelines'!$AP23:$AY23))*1000*('Program Inputs'!$D$14-'Program Inputs'!$D$6)*$F$4*12)+(-(SUMPRODUCT(('Project Operational Timelines'!$AO$20:$AO$49=$A88)*('Project Operational Timelines'!$AP$18:$AY$18=$A$4)*('Project Operational Timelines'!$AP$19:$AY$19="Carve Out")*('Project Operational Timelines'!$AP$17:$AY$17=$G88)*'Project Operational Timelines'!$AP23:$AY23))*1000*('Program Inputs'!$D$14-'Program Inputs'!$D$7)*$F$4*12))</f>
        <v>-6098.4000000000005</v>
      </c>
      <c r="G88" s="79">
        <v>2</v>
      </c>
      <c r="H88" s="328">
        <f t="shared" si="69"/>
        <v>662187.71</v>
      </c>
      <c r="I88" s="69"/>
      <c r="J88" s="69"/>
      <c r="K88" s="104"/>
      <c r="L88" s="75">
        <f>IF(AND(A88&gt;=('Program Inputs'!$D$4-1),A88&lt;('Program Inputs'!$D$4+19)),1,0)</f>
        <v>1</v>
      </c>
      <c r="M88">
        <v>6</v>
      </c>
      <c r="N88" s="51">
        <v>2024</v>
      </c>
      <c r="O88" s="18">
        <f t="shared" si="66"/>
        <v>68.095075079999987</v>
      </c>
      <c r="P88" s="18">
        <f t="shared" si="70"/>
        <v>67.985075080000001</v>
      </c>
      <c r="Q88" s="18">
        <f t="shared" si="71"/>
        <v>67.876503651428564</v>
      </c>
      <c r="R88" s="18">
        <f t="shared" si="72"/>
        <v>68.375075079999988</v>
      </c>
      <c r="S88" s="18">
        <f t="shared" si="73"/>
        <v>68.615075079999997</v>
      </c>
      <c r="T88" s="18">
        <f t="shared" si="74"/>
        <v>68.506503651428574</v>
      </c>
      <c r="U88" s="18">
        <f t="shared" si="75"/>
        <v>68.41507507999998</v>
      </c>
      <c r="V88" s="18">
        <f t="shared" si="76"/>
        <v>68.325075079999991</v>
      </c>
      <c r="W88" s="18">
        <f t="shared" si="77"/>
        <v>68.215075079999991</v>
      </c>
      <c r="X88" s="18">
        <f t="shared" si="78"/>
        <v>67.915075079999994</v>
      </c>
      <c r="Y88" s="18">
        <f t="shared" si="79"/>
        <v>67.886503651428569</v>
      </c>
      <c r="Z88" s="18">
        <f t="shared" si="80"/>
        <v>67.795075080000004</v>
      </c>
      <c r="AB88" s="52">
        <v>2024</v>
      </c>
      <c r="AC88" s="14">
        <f>SUMIFS('Bill Credit Rates'!$K:$K,'Bill Credit Rates'!$A:$A,$A$4,'Bill Credit Rates'!$B:$B,$G88,'Bill Credit Rates'!$C:$C,$M88)</f>
        <v>105.77507507999999</v>
      </c>
      <c r="AD88" s="14">
        <f>SUMIFS('Bill Credit Rates'!$K:$K,'Bill Credit Rates'!$A:$A,$A$4,'Bill Credit Rates'!$B:$B,$G88,'Bill Credit Rates'!$C:$C,$M88)</f>
        <v>105.77507507999999</v>
      </c>
      <c r="AE88" s="14">
        <f>SUMIFS('Bill Credit Rates'!$K:$K,'Bill Credit Rates'!$A:$A,$A$4,'Bill Credit Rates'!$B:$B,$G88,'Bill Credit Rates'!$C:$C,$M88)</f>
        <v>105.77507507999999</v>
      </c>
      <c r="AF88" s="14">
        <f>SUMIFS('Bill Credit Rates'!$K:$K,'Bill Credit Rates'!$A:$A,$A$4,'Bill Credit Rates'!$B:$B,$G88,'Bill Credit Rates'!$C:$C,$M88)</f>
        <v>105.77507507999999</v>
      </c>
      <c r="AG88" s="14">
        <f>SUMIFS('Bill Credit Rates'!$K:$K,'Bill Credit Rates'!$A:$A,$A$4,'Bill Credit Rates'!$B:$B,$G88,'Bill Credit Rates'!$C:$C,$M88)</f>
        <v>105.77507507999999</v>
      </c>
      <c r="AH88" s="14">
        <f>SUMIFS('Bill Credit Rates'!$K:$K,'Bill Credit Rates'!$A:$A,$A$4,'Bill Credit Rates'!$B:$B,$G88,'Bill Credit Rates'!$C:$C,$M88)</f>
        <v>105.77507507999999</v>
      </c>
      <c r="AI88" s="14">
        <f>SUMIFS('Bill Credit Rates'!$K:$K,'Bill Credit Rates'!$A:$A,$A$4,'Bill Credit Rates'!$B:$B,$G88,'Bill Credit Rates'!$C:$C,$M88)</f>
        <v>105.77507507999999</v>
      </c>
      <c r="AJ88" s="14">
        <f>SUMIFS('Bill Credit Rates'!$K:$K,'Bill Credit Rates'!$A:$A,$A$4,'Bill Credit Rates'!$B:$B,$G88,'Bill Credit Rates'!$C:$C,$M88)</f>
        <v>105.77507507999999</v>
      </c>
      <c r="AK88" s="14">
        <f>SUMIFS('Bill Credit Rates'!$K:$K,'Bill Credit Rates'!$A:$A,$A$4,'Bill Credit Rates'!$B:$B,$G88,'Bill Credit Rates'!$C:$C,$M88)</f>
        <v>105.77507507999999</v>
      </c>
      <c r="AL88" s="14">
        <f>SUMIFS('Bill Credit Rates'!$K:$K,'Bill Credit Rates'!$A:$A,$A$4,'Bill Credit Rates'!$B:$B,$G88,'Bill Credit Rates'!$C:$C,$M88)</f>
        <v>105.77507507999999</v>
      </c>
      <c r="AM88" s="14">
        <f>SUMIFS('Bill Credit Rates'!$K:$K,'Bill Credit Rates'!$A:$A,$A$4,'Bill Credit Rates'!$B:$B,$G88,'Bill Credit Rates'!$C:$C,$M88)</f>
        <v>105.77507507999999</v>
      </c>
      <c r="AN88" s="14">
        <f>SUMIFS('Bill Credit Rates'!$K:$K,'Bill Credit Rates'!$A:$A,$A$4,'Bill Credit Rates'!$B:$B,$G88,'Bill Credit Rates'!$C:$C,$M88)</f>
        <v>105.77507507999999</v>
      </c>
    </row>
    <row r="89" spans="1:40">
      <c r="A89" s="48">
        <v>2025</v>
      </c>
      <c r="B89" s="31" cm="1">
        <f t="array" ref="B89">IF(A52&lt;2021,0,SUMPRODUCT(('Project Operational Timelines'!$AO$20:$AO$49=$A52)*('Project Operational Timelines'!$AP$18:$AY$18=$A$4)*('Project Operational Timelines'!$AP$17:$AY$17=$G89)*'Project Operational Timelines'!$AP24:$AY24))</f>
        <v>22.78</v>
      </c>
      <c r="C89" s="84">
        <f t="shared" si="65"/>
        <v>3340.7171265500001</v>
      </c>
      <c r="D89" s="89">
        <f t="shared" si="68"/>
        <v>1482572.94</v>
      </c>
      <c r="E89" s="89"/>
      <c r="F89" s="89" cm="1">
        <f t="array" ref="F89">IF(A89&lt;2021,0,(-(SUMPRODUCT(('Project Operational Timelines'!$AO$20:$AO$49=$A89)*('Project Operational Timelines'!$AP$18:$AY$18=$A$4)*('Project Operational Timelines'!$AP$19:$AY$19="Non-Carve Out")*('Project Operational Timelines'!$AP$17:$AY$17=$G89)*'Project Operational Timelines'!$AP24:$AY24))*1000*('Program Inputs'!$D$14-'Program Inputs'!$D$6)*$F$4*12)+(-(SUMPRODUCT(('Project Operational Timelines'!$AO$20:$AO$49=$A89)*('Project Operational Timelines'!$AP$18:$AY$18=$A$4)*('Project Operational Timelines'!$AP$19:$AY$19="Carve Out")*('Project Operational Timelines'!$AP$17:$AY$17=$G89)*'Project Operational Timelines'!$AP24:$AY24))*1000*('Program Inputs'!$D$14-'Program Inputs'!$D$7)*$F$4*12))</f>
        <v>-25400.760000000002</v>
      </c>
      <c r="G89" s="79">
        <v>2</v>
      </c>
      <c r="H89" s="328">
        <f t="shared" si="69"/>
        <v>1441060.9</v>
      </c>
      <c r="I89" s="69"/>
      <c r="J89" s="69"/>
      <c r="K89" s="104"/>
      <c r="L89" s="75">
        <f>IF(AND(A89&gt;=('Program Inputs'!$D$4-1),A89&lt;('Program Inputs'!$D$4+19)),1,0)</f>
        <v>1</v>
      </c>
      <c r="M89">
        <v>7</v>
      </c>
      <c r="N89" s="51">
        <v>2025</v>
      </c>
      <c r="O89" s="18">
        <f>(AC89-BS52)</f>
        <v>-28.257009123143277</v>
      </c>
      <c r="P89" s="18">
        <f t="shared" si="70"/>
        <v>-7.6758085528669113</v>
      </c>
      <c r="Q89" s="18">
        <f t="shared" si="71"/>
        <v>27.953686840073189</v>
      </c>
      <c r="R89" s="18">
        <f t="shared" si="72"/>
        <v>44.082312598041177</v>
      </c>
      <c r="S89" s="18">
        <f t="shared" si="73"/>
        <v>86.511821117546887</v>
      </c>
      <c r="T89" s="18">
        <f t="shared" si="74"/>
        <v>80.094389038408281</v>
      </c>
      <c r="U89" s="18">
        <f t="shared" si="75"/>
        <v>47.132124268287264</v>
      </c>
      <c r="V89" s="18">
        <f t="shared" si="76"/>
        <v>24.962813449444795</v>
      </c>
      <c r="W89" s="18">
        <f t="shared" si="77"/>
        <v>44.215109686860622</v>
      </c>
      <c r="X89" s="18">
        <f t="shared" si="78"/>
        <v>48.298930100857923</v>
      </c>
      <c r="Y89" s="18">
        <f t="shared" si="79"/>
        <v>48.153079371786596</v>
      </c>
      <c r="Z89" s="18">
        <f t="shared" si="80"/>
        <v>28.317380218085447</v>
      </c>
      <c r="AB89" s="52">
        <v>2025</v>
      </c>
      <c r="AC89" s="14">
        <f>SUMIFS('Bill Credit Rates'!$K:$K,'Bill Credit Rates'!$A:$A,$A$4,'Bill Credit Rates'!$B:$B,$G89,'Bill Credit Rates'!$C:$C,$M89)</f>
        <v>107.8905765816</v>
      </c>
      <c r="AD89" s="14">
        <f>SUMIFS('Bill Credit Rates'!$K:$K,'Bill Credit Rates'!$A:$A,$A$4,'Bill Credit Rates'!$B:$B,$G89,'Bill Credit Rates'!$C:$C,$M89)</f>
        <v>107.8905765816</v>
      </c>
      <c r="AE89" s="14">
        <f>SUMIFS('Bill Credit Rates'!$K:$K,'Bill Credit Rates'!$A:$A,$A$4,'Bill Credit Rates'!$B:$B,$G89,'Bill Credit Rates'!$C:$C,$M89)</f>
        <v>107.8905765816</v>
      </c>
      <c r="AF89" s="14">
        <f>SUMIFS('Bill Credit Rates'!$K:$K,'Bill Credit Rates'!$A:$A,$A$4,'Bill Credit Rates'!$B:$B,$G89,'Bill Credit Rates'!$C:$C,$M89)</f>
        <v>107.8905765816</v>
      </c>
      <c r="AG89" s="14">
        <f>SUMIFS('Bill Credit Rates'!$K:$K,'Bill Credit Rates'!$A:$A,$A$4,'Bill Credit Rates'!$B:$B,$G89,'Bill Credit Rates'!$C:$C,$M89)</f>
        <v>107.8905765816</v>
      </c>
      <c r="AH89" s="14">
        <f>SUMIFS('Bill Credit Rates'!$K:$K,'Bill Credit Rates'!$A:$A,$A$4,'Bill Credit Rates'!$B:$B,$G89,'Bill Credit Rates'!$C:$C,$M89)</f>
        <v>107.8905765816</v>
      </c>
      <c r="AI89" s="14">
        <f>SUMIFS('Bill Credit Rates'!$K:$K,'Bill Credit Rates'!$A:$A,$A$4,'Bill Credit Rates'!$B:$B,$G89,'Bill Credit Rates'!$C:$C,$M89)</f>
        <v>107.8905765816</v>
      </c>
      <c r="AJ89" s="14">
        <f>SUMIFS('Bill Credit Rates'!$K:$K,'Bill Credit Rates'!$A:$A,$A$4,'Bill Credit Rates'!$B:$B,$G89,'Bill Credit Rates'!$C:$C,$M89)</f>
        <v>107.8905765816</v>
      </c>
      <c r="AK89" s="14">
        <f>SUMIFS('Bill Credit Rates'!$K:$K,'Bill Credit Rates'!$A:$A,$A$4,'Bill Credit Rates'!$B:$B,$G89,'Bill Credit Rates'!$C:$C,$M89)</f>
        <v>107.8905765816</v>
      </c>
      <c r="AL89" s="14">
        <f>SUMIFS('Bill Credit Rates'!$K:$K,'Bill Credit Rates'!$A:$A,$A$4,'Bill Credit Rates'!$B:$B,$G89,'Bill Credit Rates'!$C:$C,$M89)</f>
        <v>107.8905765816</v>
      </c>
      <c r="AM89" s="14">
        <f>SUMIFS('Bill Credit Rates'!$K:$K,'Bill Credit Rates'!$A:$A,$A$4,'Bill Credit Rates'!$B:$B,$G89,'Bill Credit Rates'!$C:$C,$M89)</f>
        <v>107.8905765816</v>
      </c>
      <c r="AN89" s="14">
        <f>SUMIFS('Bill Credit Rates'!$K:$K,'Bill Credit Rates'!$A:$A,$A$4,'Bill Credit Rates'!$B:$B,$G89,'Bill Credit Rates'!$C:$C,$M89)</f>
        <v>107.8905765816</v>
      </c>
    </row>
    <row r="90" spans="1:40">
      <c r="A90" s="48">
        <v>2026</v>
      </c>
      <c r="B90" s="31" cm="1">
        <f t="array" ref="B90">IF(A53&lt;2021,0,SUMPRODUCT(('Project Operational Timelines'!$AO$20:$AO$49=$A53)*('Project Operational Timelines'!$AP$18:$AY$18=$A$4)*('Project Operational Timelines'!$AP$17:$AY$17=$G90)*'Project Operational Timelines'!$AP25:$AY25))</f>
        <v>33.19</v>
      </c>
      <c r="C90" s="84">
        <f t="shared" si="65"/>
        <v>4867.3573937749998</v>
      </c>
      <c r="D90" s="89">
        <f t="shared" si="68"/>
        <v>3689292.05</v>
      </c>
      <c r="E90" s="89"/>
      <c r="F90" s="89" cm="1">
        <f t="array" ref="F90">IF(A90&lt;2021,0,(-(SUMPRODUCT(('Project Operational Timelines'!$AO$20:$AO$49=$A90)*('Project Operational Timelines'!$AP$18:$AY$18=$A$4)*('Project Operational Timelines'!$AP$19:$AY$19="Non-Carve Out")*('Project Operational Timelines'!$AP$17:$AY$17=$G90)*'Project Operational Timelines'!$AP25:$AY25))*1000*('Program Inputs'!$D$14-'Program Inputs'!$D$6)*$F$4*12)+(-(SUMPRODUCT(('Project Operational Timelines'!$AO$20:$AO$49=$A90)*('Project Operational Timelines'!$AP$18:$AY$18=$A$4)*('Project Operational Timelines'!$AP$19:$AY$19="Carve Out")*('Project Operational Timelines'!$AP$17:$AY$17=$G90)*'Project Operational Timelines'!$AP25:$AY25))*1000*('Program Inputs'!$D$14-'Program Inputs'!$D$7)*$F$4*12))</f>
        <v>-36109.260000000009</v>
      </c>
      <c r="G90" s="79">
        <v>2</v>
      </c>
      <c r="H90" s="328">
        <f t="shared" si="69"/>
        <v>3485584.1</v>
      </c>
      <c r="I90" s="69"/>
      <c r="J90" s="69"/>
      <c r="K90" s="69"/>
      <c r="L90" s="75">
        <f>IF(AND(A90&gt;=('Program Inputs'!$D$4-1),A90&lt;('Program Inputs'!$D$4+19)),1,0)</f>
        <v>1</v>
      </c>
      <c r="M90">
        <v>8</v>
      </c>
      <c r="N90" s="51">
        <v>2026</v>
      </c>
      <c r="O90" s="18">
        <f t="shared" si="66"/>
        <v>60.389945226311937</v>
      </c>
      <c r="P90" s="18">
        <f t="shared" si="70"/>
        <v>60.664583170108358</v>
      </c>
      <c r="Q90" s="18">
        <f t="shared" si="71"/>
        <v>62.801400342573203</v>
      </c>
      <c r="R90" s="18">
        <f t="shared" si="72"/>
        <v>64.666258965815246</v>
      </c>
      <c r="S90" s="18">
        <f t="shared" si="73"/>
        <v>65.031996325114875</v>
      </c>
      <c r="T90" s="18">
        <f t="shared" si="74"/>
        <v>65.029316930541242</v>
      </c>
      <c r="U90" s="18">
        <f t="shared" si="75"/>
        <v>65.151229383641123</v>
      </c>
      <c r="V90" s="18">
        <f t="shared" si="76"/>
        <v>65.003192833448395</v>
      </c>
      <c r="W90" s="18">
        <f t="shared" si="77"/>
        <v>64.84443870496122</v>
      </c>
      <c r="X90" s="18">
        <f t="shared" si="78"/>
        <v>63.94081288500665</v>
      </c>
      <c r="Y90" s="18">
        <f t="shared" si="79"/>
        <v>61.09261645324473</v>
      </c>
      <c r="Z90" s="18">
        <f t="shared" si="80"/>
        <v>59.350340131745959</v>
      </c>
      <c r="AB90" s="52">
        <v>2026</v>
      </c>
      <c r="AC90" s="14">
        <f>SUMIFS('Bill Credit Rates'!$K:$K,'Bill Credit Rates'!$A:$A,$A$4,'Bill Credit Rates'!$B:$B,$G90,'Bill Credit Rates'!$C:$C,$M90)</f>
        <v>110.04838811323201</v>
      </c>
      <c r="AD90" s="14">
        <f>SUMIFS('Bill Credit Rates'!$K:$K,'Bill Credit Rates'!$A:$A,$A$4,'Bill Credit Rates'!$B:$B,$G90,'Bill Credit Rates'!$C:$C,$M90)</f>
        <v>110.04838811323201</v>
      </c>
      <c r="AE90" s="14">
        <f>SUMIFS('Bill Credit Rates'!$K:$K,'Bill Credit Rates'!$A:$A,$A$4,'Bill Credit Rates'!$B:$B,$G90,'Bill Credit Rates'!$C:$C,$M90)</f>
        <v>110.04838811323201</v>
      </c>
      <c r="AF90" s="14">
        <f>SUMIFS('Bill Credit Rates'!$K:$K,'Bill Credit Rates'!$A:$A,$A$4,'Bill Credit Rates'!$B:$B,$G90,'Bill Credit Rates'!$C:$C,$M90)</f>
        <v>110.04838811323201</v>
      </c>
      <c r="AG90" s="14">
        <f>SUMIFS('Bill Credit Rates'!$K:$K,'Bill Credit Rates'!$A:$A,$A$4,'Bill Credit Rates'!$B:$B,$G90,'Bill Credit Rates'!$C:$C,$M90)</f>
        <v>110.04838811323201</v>
      </c>
      <c r="AH90" s="14">
        <f>SUMIFS('Bill Credit Rates'!$K:$K,'Bill Credit Rates'!$A:$A,$A$4,'Bill Credit Rates'!$B:$B,$G90,'Bill Credit Rates'!$C:$C,$M90)</f>
        <v>110.04838811323201</v>
      </c>
      <c r="AI90" s="14">
        <f>SUMIFS('Bill Credit Rates'!$K:$K,'Bill Credit Rates'!$A:$A,$A$4,'Bill Credit Rates'!$B:$B,$G90,'Bill Credit Rates'!$C:$C,$M90)</f>
        <v>110.04838811323201</v>
      </c>
      <c r="AJ90" s="14">
        <f>SUMIFS('Bill Credit Rates'!$K:$K,'Bill Credit Rates'!$A:$A,$A$4,'Bill Credit Rates'!$B:$B,$G90,'Bill Credit Rates'!$C:$C,$M90)</f>
        <v>110.04838811323201</v>
      </c>
      <c r="AK90" s="14">
        <f>SUMIFS('Bill Credit Rates'!$K:$K,'Bill Credit Rates'!$A:$A,$A$4,'Bill Credit Rates'!$B:$B,$G90,'Bill Credit Rates'!$C:$C,$M90)</f>
        <v>110.04838811323201</v>
      </c>
      <c r="AL90" s="14">
        <f>SUMIFS('Bill Credit Rates'!$K:$K,'Bill Credit Rates'!$A:$A,$A$4,'Bill Credit Rates'!$B:$B,$G90,'Bill Credit Rates'!$C:$C,$M90)</f>
        <v>110.04838811323201</v>
      </c>
      <c r="AM90" s="14">
        <f>SUMIFS('Bill Credit Rates'!$K:$K,'Bill Credit Rates'!$A:$A,$A$4,'Bill Credit Rates'!$B:$B,$G90,'Bill Credit Rates'!$C:$C,$M90)</f>
        <v>110.04838811323201</v>
      </c>
      <c r="AN90" s="14">
        <f>SUMIFS('Bill Credit Rates'!$K:$K,'Bill Credit Rates'!$A:$A,$A$4,'Bill Credit Rates'!$B:$B,$G90,'Bill Credit Rates'!$C:$C,$M90)</f>
        <v>110.04838811323201</v>
      </c>
    </row>
    <row r="91" spans="1:40">
      <c r="A91" s="48">
        <v>2027</v>
      </c>
      <c r="B91" s="31" cm="1">
        <f t="array" ref="B91">IF(A54&lt;2021,0,SUMPRODUCT(('Project Operational Timelines'!$AO$20:$AO$49=$A54)*('Project Operational Timelines'!$AP$18:$AY$18=$A$4)*('Project Operational Timelines'!$AP$17:$AY$17=$G91)*'Project Operational Timelines'!$AP26:$AY26))</f>
        <v>47.28</v>
      </c>
      <c r="C91" s="84">
        <f t="shared" si="65"/>
        <v>6933.6745277999999</v>
      </c>
      <c r="D91" s="89">
        <f t="shared" si="68"/>
        <v>5323275.17</v>
      </c>
      <c r="E91" s="89"/>
      <c r="F91" s="89" cm="1">
        <f t="array" ref="F91">IF(A91&lt;2021,0,(-(SUMPRODUCT(('Project Operational Timelines'!$AO$20:$AO$49=$A91)*('Project Operational Timelines'!$AP$18:$AY$18=$A$4)*('Project Operational Timelines'!$AP$19:$AY$19="Non-Carve Out")*('Project Operational Timelines'!$AP$17:$AY$17=$G91)*'Project Operational Timelines'!$AP26:$AY26))*1000*('Program Inputs'!$D$14-'Program Inputs'!$D$6)*$F$4*12)+(-(SUMPRODUCT(('Project Operational Timelines'!$AO$20:$AO$49=$A91)*('Project Operational Timelines'!$AP$18:$AY$18=$A$4)*('Project Operational Timelines'!$AP$19:$AY$19="Carve Out")*('Project Operational Timelines'!$AP$17:$AY$17=$G91)*'Project Operational Timelines'!$AP26:$AY26))*1000*('Program Inputs'!$D$14-'Program Inputs'!$D$7)*$F$4*12))</f>
        <v>-47768.159999999996</v>
      </c>
      <c r="G91" s="79">
        <v>2</v>
      </c>
      <c r="H91" s="328">
        <f t="shared" si="69"/>
        <v>4888523.54</v>
      </c>
      <c r="I91" s="69"/>
      <c r="J91" s="69"/>
      <c r="K91" s="69"/>
      <c r="L91" s="75">
        <f>IF(AND(A91&gt;=('Program Inputs'!$D$4-1),A91&lt;('Program Inputs'!$D$4+19)),1,0)</f>
        <v>1</v>
      </c>
      <c r="M91">
        <v>9</v>
      </c>
      <c r="N91" s="51">
        <v>2027</v>
      </c>
      <c r="O91" s="18">
        <f>(AC91-BS54)</f>
        <v>60.381939504067638</v>
      </c>
      <c r="P91" s="18">
        <f t="shared" si="70"/>
        <v>60.49045498429939</v>
      </c>
      <c r="Q91" s="18">
        <f t="shared" si="71"/>
        <v>62.776648404243744</v>
      </c>
      <c r="R91" s="18">
        <f t="shared" si="72"/>
        <v>65.644940295307833</v>
      </c>
      <c r="S91" s="18">
        <f t="shared" si="73"/>
        <v>66.111824799761763</v>
      </c>
      <c r="T91" s="18">
        <f t="shared" si="74"/>
        <v>66.162733296660605</v>
      </c>
      <c r="U91" s="18">
        <f t="shared" si="75"/>
        <v>66.326846214295045</v>
      </c>
      <c r="V91" s="18">
        <f t="shared" si="76"/>
        <v>66.162733296660605</v>
      </c>
      <c r="W91" s="18">
        <f t="shared" si="77"/>
        <v>65.980534465654188</v>
      </c>
      <c r="X91" s="18">
        <f t="shared" si="78"/>
        <v>64.869925414887206</v>
      </c>
      <c r="Y91" s="18">
        <f t="shared" si="79"/>
        <v>62.323830721301363</v>
      </c>
      <c r="Z91" s="18">
        <f t="shared" si="80"/>
        <v>60.509880594958155</v>
      </c>
      <c r="AB91" s="52">
        <v>2027</v>
      </c>
      <c r="AC91" s="14">
        <f>SUMIFS('Bill Credit Rates'!$K:$K,'Bill Credit Rates'!$A:$A,$A$4,'Bill Credit Rates'!$B:$B,$G91,'Bill Credit Rates'!$C:$C,$M91)</f>
        <v>112.24935587549665</v>
      </c>
      <c r="AD91" s="14">
        <f>SUMIFS('Bill Credit Rates'!$K:$K,'Bill Credit Rates'!$A:$A,$A$4,'Bill Credit Rates'!$B:$B,$G91,'Bill Credit Rates'!$C:$C,$M91)</f>
        <v>112.24935587549665</v>
      </c>
      <c r="AE91" s="14">
        <f>SUMIFS('Bill Credit Rates'!$K:$K,'Bill Credit Rates'!$A:$A,$A$4,'Bill Credit Rates'!$B:$B,$G91,'Bill Credit Rates'!$C:$C,$M91)</f>
        <v>112.24935587549665</v>
      </c>
      <c r="AF91" s="14">
        <f>SUMIFS('Bill Credit Rates'!$K:$K,'Bill Credit Rates'!$A:$A,$A$4,'Bill Credit Rates'!$B:$B,$G91,'Bill Credit Rates'!$C:$C,$M91)</f>
        <v>112.24935587549665</v>
      </c>
      <c r="AG91" s="14">
        <f>SUMIFS('Bill Credit Rates'!$K:$K,'Bill Credit Rates'!$A:$A,$A$4,'Bill Credit Rates'!$B:$B,$G91,'Bill Credit Rates'!$C:$C,$M91)</f>
        <v>112.24935587549665</v>
      </c>
      <c r="AH91" s="14">
        <f>SUMIFS('Bill Credit Rates'!$K:$K,'Bill Credit Rates'!$A:$A,$A$4,'Bill Credit Rates'!$B:$B,$G91,'Bill Credit Rates'!$C:$C,$M91)</f>
        <v>112.24935587549665</v>
      </c>
      <c r="AI91" s="14">
        <f>SUMIFS('Bill Credit Rates'!$K:$K,'Bill Credit Rates'!$A:$A,$A$4,'Bill Credit Rates'!$B:$B,$G91,'Bill Credit Rates'!$C:$C,$M91)</f>
        <v>112.24935587549665</v>
      </c>
      <c r="AJ91" s="14">
        <f>SUMIFS('Bill Credit Rates'!$K:$K,'Bill Credit Rates'!$A:$A,$A$4,'Bill Credit Rates'!$B:$B,$G91,'Bill Credit Rates'!$C:$C,$M91)</f>
        <v>112.24935587549665</v>
      </c>
      <c r="AK91" s="14">
        <f>SUMIFS('Bill Credit Rates'!$K:$K,'Bill Credit Rates'!$A:$A,$A$4,'Bill Credit Rates'!$B:$B,$G91,'Bill Credit Rates'!$C:$C,$M91)</f>
        <v>112.24935587549665</v>
      </c>
      <c r="AL91" s="14">
        <f>SUMIFS('Bill Credit Rates'!$K:$K,'Bill Credit Rates'!$A:$A,$A$4,'Bill Credit Rates'!$B:$B,$G91,'Bill Credit Rates'!$C:$C,$M91)</f>
        <v>112.24935587549665</v>
      </c>
      <c r="AM91" s="14">
        <f>SUMIFS('Bill Credit Rates'!$K:$K,'Bill Credit Rates'!$A:$A,$A$4,'Bill Credit Rates'!$B:$B,$G91,'Bill Credit Rates'!$C:$C,$M91)</f>
        <v>112.24935587549665</v>
      </c>
      <c r="AN91" s="14">
        <f>SUMIFS('Bill Credit Rates'!$K:$K,'Bill Credit Rates'!$A:$A,$A$4,'Bill Credit Rates'!$B:$B,$G91,'Bill Credit Rates'!$C:$C,$M91)</f>
        <v>112.24935587549665</v>
      </c>
    </row>
    <row r="92" spans="1:40">
      <c r="A92" s="48">
        <v>2028</v>
      </c>
      <c r="B92" s="31" cm="1">
        <f t="array" ref="B92">IF(A55&lt;2021,0,SUMPRODUCT(('Project Operational Timelines'!$AO$20:$AO$49=$A55)*('Project Operational Timelines'!$AP$18:$AY$18=$A$4)*('Project Operational Timelines'!$AP$17:$AY$17=$G92)*'Project Operational Timelines'!$AP27:$AY27))</f>
        <v>65.28</v>
      </c>
      <c r="C92" s="84">
        <f t="shared" si="65"/>
        <v>9573.3983327999995</v>
      </c>
      <c r="D92" s="89">
        <f t="shared" si="68"/>
        <v>7497950.0800000001</v>
      </c>
      <c r="E92" s="89"/>
      <c r="F92" s="89" cm="1">
        <f t="array" ref="F92">IF(A92&lt;2021,0,(-(SUMPRODUCT(('Project Operational Timelines'!$AO$20:$AO$49=$A92)*('Project Operational Timelines'!$AP$18:$AY$18=$A$4)*('Project Operational Timelines'!$AP$19:$AY$19="Non-Carve Out")*('Project Operational Timelines'!$AP$17:$AY$17=$G92)*'Project Operational Timelines'!$AP27:$AY27))*1000*('Program Inputs'!$D$14-'Program Inputs'!$D$6)*$F$4*12)+(-(SUMPRODUCT(('Project Operational Timelines'!$AO$20:$AO$49=$A92)*('Project Operational Timelines'!$AP$18:$AY$18=$A$4)*('Project Operational Timelines'!$AP$19:$AY$19="Carve Out")*('Project Operational Timelines'!$AP$17:$AY$17=$G92)*'Project Operational Timelines'!$AP27:$AY27))*1000*('Program Inputs'!$D$14-'Program Inputs'!$D$7)*$F$4*12))</f>
        <v>-58666.079999999994</v>
      </c>
      <c r="G92" s="79">
        <v>2</v>
      </c>
      <c r="H92" s="328">
        <f t="shared" si="69"/>
        <v>6692796.2599999998</v>
      </c>
      <c r="I92" s="69"/>
      <c r="J92" s="69"/>
      <c r="K92" s="69"/>
      <c r="L92" s="75">
        <f>IF(AND(A92&gt;=('Program Inputs'!$D$4-1),A92&lt;('Program Inputs'!$D$4+19)),1,0)</f>
        <v>1</v>
      </c>
      <c r="M92">
        <v>10</v>
      </c>
      <c r="N92" s="51">
        <v>2028</v>
      </c>
      <c r="O92" s="18">
        <f t="shared" si="66"/>
        <v>61.640500160541002</v>
      </c>
      <c r="P92" s="18">
        <f t="shared" si="70"/>
        <v>61.721551846393112</v>
      </c>
      <c r="Q92" s="18">
        <f t="shared" si="71"/>
        <v>64.516160386682543</v>
      </c>
      <c r="R92" s="18">
        <f t="shared" si="72"/>
        <v>66.813071384921415</v>
      </c>
      <c r="S92" s="18">
        <f t="shared" si="73"/>
        <v>67.329524688987362</v>
      </c>
      <c r="T92" s="18">
        <f t="shared" si="74"/>
        <v>67.361677423870844</v>
      </c>
      <c r="U92" s="18">
        <f t="shared" si="75"/>
        <v>67.399858796544976</v>
      </c>
      <c r="V92" s="18">
        <f t="shared" si="76"/>
        <v>67.221009208755603</v>
      </c>
      <c r="W92" s="18">
        <f t="shared" si="77"/>
        <v>67.097757058368913</v>
      </c>
      <c r="X92" s="18">
        <f t="shared" si="78"/>
        <v>66.12714637407376</v>
      </c>
      <c r="Y92" s="18">
        <f t="shared" si="79"/>
        <v>63.921334791338097</v>
      </c>
      <c r="Z92" s="18">
        <f t="shared" si="80"/>
        <v>62.057146016739466</v>
      </c>
      <c r="AB92" s="52">
        <v>2028</v>
      </c>
      <c r="AC92" s="14">
        <f>SUMIFS('Bill Credit Rates'!$K:$K,'Bill Credit Rates'!$A:$A,$A$4,'Bill Credit Rates'!$B:$B,$G92,'Bill Credit Rates'!$C:$C,$M92)</f>
        <v>114.49434299300657</v>
      </c>
      <c r="AD92" s="14">
        <f>SUMIFS('Bill Credit Rates'!$K:$K,'Bill Credit Rates'!$A:$A,$A$4,'Bill Credit Rates'!$B:$B,$G92,'Bill Credit Rates'!$C:$C,$M92)</f>
        <v>114.49434299300657</v>
      </c>
      <c r="AE92" s="14">
        <f>SUMIFS('Bill Credit Rates'!$K:$K,'Bill Credit Rates'!$A:$A,$A$4,'Bill Credit Rates'!$B:$B,$G92,'Bill Credit Rates'!$C:$C,$M92)</f>
        <v>114.49434299300657</v>
      </c>
      <c r="AF92" s="14">
        <f>SUMIFS('Bill Credit Rates'!$K:$K,'Bill Credit Rates'!$A:$A,$A$4,'Bill Credit Rates'!$B:$B,$G92,'Bill Credit Rates'!$C:$C,$M92)</f>
        <v>114.49434299300657</v>
      </c>
      <c r="AG92" s="14">
        <f>SUMIFS('Bill Credit Rates'!$K:$K,'Bill Credit Rates'!$A:$A,$A$4,'Bill Credit Rates'!$B:$B,$G92,'Bill Credit Rates'!$C:$C,$M92)</f>
        <v>114.49434299300657</v>
      </c>
      <c r="AH92" s="14">
        <f>SUMIFS('Bill Credit Rates'!$K:$K,'Bill Credit Rates'!$A:$A,$A$4,'Bill Credit Rates'!$B:$B,$G92,'Bill Credit Rates'!$C:$C,$M92)</f>
        <v>114.49434299300657</v>
      </c>
      <c r="AI92" s="14">
        <f>SUMIFS('Bill Credit Rates'!$K:$K,'Bill Credit Rates'!$A:$A,$A$4,'Bill Credit Rates'!$B:$B,$G92,'Bill Credit Rates'!$C:$C,$M92)</f>
        <v>114.49434299300657</v>
      </c>
      <c r="AJ92" s="14">
        <f>SUMIFS('Bill Credit Rates'!$K:$K,'Bill Credit Rates'!$A:$A,$A$4,'Bill Credit Rates'!$B:$B,$G92,'Bill Credit Rates'!$C:$C,$M92)</f>
        <v>114.49434299300657</v>
      </c>
      <c r="AK92" s="14">
        <f>SUMIFS('Bill Credit Rates'!$K:$K,'Bill Credit Rates'!$A:$A,$A$4,'Bill Credit Rates'!$B:$B,$G92,'Bill Credit Rates'!$C:$C,$M92)</f>
        <v>114.49434299300657</v>
      </c>
      <c r="AL92" s="14">
        <f>SUMIFS('Bill Credit Rates'!$K:$K,'Bill Credit Rates'!$A:$A,$A$4,'Bill Credit Rates'!$B:$B,$G92,'Bill Credit Rates'!$C:$C,$M92)</f>
        <v>114.49434299300657</v>
      </c>
      <c r="AM92" s="14">
        <f>SUMIFS('Bill Credit Rates'!$K:$K,'Bill Credit Rates'!$A:$A,$A$4,'Bill Credit Rates'!$B:$B,$G92,'Bill Credit Rates'!$C:$C,$M92)</f>
        <v>114.49434299300657</v>
      </c>
      <c r="AN92" s="14">
        <f>SUMIFS('Bill Credit Rates'!$K:$K,'Bill Credit Rates'!$A:$A,$A$4,'Bill Credit Rates'!$B:$B,$G92,'Bill Credit Rates'!$C:$C,$M92)</f>
        <v>114.49434299300657</v>
      </c>
    </row>
    <row r="93" spans="1:40">
      <c r="A93" s="48">
        <v>2029</v>
      </c>
      <c r="B93" s="31" cm="1">
        <f t="array" ref="B93">IF(A56&lt;2021,0,SUMPRODUCT(('Project Operational Timelines'!$AO$20:$AO$49=$A56)*('Project Operational Timelines'!$AP$18:$AY$18=$A$4)*('Project Operational Timelines'!$AP$17:$AY$17=$G93)*'Project Operational Timelines'!$AP28:$AY28))</f>
        <v>80.94</v>
      </c>
      <c r="C93" s="84">
        <f t="shared" si="65"/>
        <v>11869.95804315</v>
      </c>
      <c r="D93" s="89">
        <f t="shared" si="68"/>
        <v>9409291.0500000007</v>
      </c>
      <c r="E93" s="89"/>
      <c r="F93" s="89" cm="1">
        <f t="array" ref="F93">IF(A93&lt;2021,0,(-(SUMPRODUCT(('Project Operational Timelines'!$AO$20:$AO$49=$A93)*('Project Operational Timelines'!$AP$18:$AY$18=$A$4)*('Project Operational Timelines'!$AP$19:$AY$19="Non-Carve Out")*('Project Operational Timelines'!$AP$17:$AY$17=$G93)*'Project Operational Timelines'!$AP28:$AY28))*1000*('Program Inputs'!$D$14-'Program Inputs'!$D$6)*$F$4*12)+(-(SUMPRODUCT(('Project Operational Timelines'!$AO$20:$AO$49=$A93)*('Project Operational Timelines'!$AP$18:$AY$18=$A$4)*('Project Operational Timelines'!$AP$19:$AY$19="Carve Out")*('Project Operational Timelines'!$AP$17:$AY$17=$G93)*'Project Operational Timelines'!$AP28:$AY28))*1000*('Program Inputs'!$D$14-'Program Inputs'!$D$7)*$F$4*12))</f>
        <v>-67978.679999999993</v>
      </c>
      <c r="G93" s="79">
        <v>2</v>
      </c>
      <c r="H93" s="328">
        <f t="shared" si="69"/>
        <v>8163722.3700000001</v>
      </c>
      <c r="I93" s="69"/>
      <c r="J93" s="69"/>
      <c r="K93" s="69"/>
      <c r="L93" s="75">
        <f>IF(AND(A93&gt;=('Program Inputs'!$D$4-1),A93&lt;('Program Inputs'!$D$4+19)),1,0)</f>
        <v>1</v>
      </c>
      <c r="M93">
        <v>11</v>
      </c>
      <c r="N93" s="51">
        <v>2029</v>
      </c>
      <c r="O93" s="18">
        <f t="shared" si="66"/>
        <v>64.099547894395926</v>
      </c>
      <c r="P93" s="18">
        <f t="shared" si="70"/>
        <v>64.530527951680625</v>
      </c>
      <c r="Q93" s="18">
        <f t="shared" si="71"/>
        <v>66.111758318626755</v>
      </c>
      <c r="R93" s="18">
        <f t="shared" si="72"/>
        <v>67.197774524115388</v>
      </c>
      <c r="S93" s="18">
        <f t="shared" si="73"/>
        <v>67.32802474925893</v>
      </c>
      <c r="T93" s="18">
        <f t="shared" si="74"/>
        <v>67.340036514200875</v>
      </c>
      <c r="U93" s="18">
        <f t="shared" si="75"/>
        <v>66.942924179858551</v>
      </c>
      <c r="V93" s="18">
        <f t="shared" si="76"/>
        <v>66.636168090384189</v>
      </c>
      <c r="W93" s="18">
        <f t="shared" si="77"/>
        <v>66.369335759830221</v>
      </c>
      <c r="X93" s="18">
        <f t="shared" si="78"/>
        <v>65.929520848816708</v>
      </c>
      <c r="Y93" s="18">
        <f t="shared" si="79"/>
        <v>65.264316077055454</v>
      </c>
      <c r="Z93" s="18">
        <f t="shared" si="80"/>
        <v>64.947985369623041</v>
      </c>
      <c r="AB93" s="52">
        <v>2029</v>
      </c>
      <c r="AC93" s="14">
        <f>SUMIFS('Bill Credit Rates'!$K:$K,'Bill Credit Rates'!$A:$A,$A$4,'Bill Credit Rates'!$B:$B,$G93,'Bill Credit Rates'!$C:$C,$M93)</f>
        <v>116.78422985286672</v>
      </c>
      <c r="AD93" s="14">
        <f>SUMIFS('Bill Credit Rates'!$K:$K,'Bill Credit Rates'!$A:$A,$A$4,'Bill Credit Rates'!$B:$B,$G93,'Bill Credit Rates'!$C:$C,$M93)</f>
        <v>116.78422985286672</v>
      </c>
      <c r="AE93" s="14">
        <f>SUMIFS('Bill Credit Rates'!$K:$K,'Bill Credit Rates'!$A:$A,$A$4,'Bill Credit Rates'!$B:$B,$G93,'Bill Credit Rates'!$C:$C,$M93)</f>
        <v>116.78422985286672</v>
      </c>
      <c r="AF93" s="14">
        <f>SUMIFS('Bill Credit Rates'!$K:$K,'Bill Credit Rates'!$A:$A,$A$4,'Bill Credit Rates'!$B:$B,$G93,'Bill Credit Rates'!$C:$C,$M93)</f>
        <v>116.78422985286672</v>
      </c>
      <c r="AG93" s="14">
        <f>SUMIFS('Bill Credit Rates'!$K:$K,'Bill Credit Rates'!$A:$A,$A$4,'Bill Credit Rates'!$B:$B,$G93,'Bill Credit Rates'!$C:$C,$M93)</f>
        <v>116.78422985286672</v>
      </c>
      <c r="AH93" s="14">
        <f>SUMIFS('Bill Credit Rates'!$K:$K,'Bill Credit Rates'!$A:$A,$A$4,'Bill Credit Rates'!$B:$B,$G93,'Bill Credit Rates'!$C:$C,$M93)</f>
        <v>116.78422985286672</v>
      </c>
      <c r="AI93" s="14">
        <f>SUMIFS('Bill Credit Rates'!$K:$K,'Bill Credit Rates'!$A:$A,$A$4,'Bill Credit Rates'!$B:$B,$G93,'Bill Credit Rates'!$C:$C,$M93)</f>
        <v>116.78422985286672</v>
      </c>
      <c r="AJ93" s="14">
        <f>SUMIFS('Bill Credit Rates'!$K:$K,'Bill Credit Rates'!$A:$A,$A$4,'Bill Credit Rates'!$B:$B,$G93,'Bill Credit Rates'!$C:$C,$M93)</f>
        <v>116.78422985286672</v>
      </c>
      <c r="AK93" s="14">
        <f>SUMIFS('Bill Credit Rates'!$K:$K,'Bill Credit Rates'!$A:$A,$A$4,'Bill Credit Rates'!$B:$B,$G93,'Bill Credit Rates'!$C:$C,$M93)</f>
        <v>116.78422985286672</v>
      </c>
      <c r="AL93" s="14">
        <f>SUMIFS('Bill Credit Rates'!$K:$K,'Bill Credit Rates'!$A:$A,$A$4,'Bill Credit Rates'!$B:$B,$G93,'Bill Credit Rates'!$C:$C,$M93)</f>
        <v>116.78422985286672</v>
      </c>
      <c r="AM93" s="14">
        <f>SUMIFS('Bill Credit Rates'!$K:$K,'Bill Credit Rates'!$A:$A,$A$4,'Bill Credit Rates'!$B:$B,$G93,'Bill Credit Rates'!$C:$C,$M93)</f>
        <v>116.78422985286672</v>
      </c>
      <c r="AN93" s="14">
        <f>SUMIFS('Bill Credit Rates'!$K:$K,'Bill Credit Rates'!$A:$A,$A$4,'Bill Credit Rates'!$B:$B,$G93,'Bill Credit Rates'!$C:$C,$M93)</f>
        <v>116.78422985286672</v>
      </c>
    </row>
    <row r="94" spans="1:40">
      <c r="A94" s="48">
        <v>2030</v>
      </c>
      <c r="B94" s="31" cm="1">
        <f t="array" ref="B94">IF(A57&lt;2021,0,SUMPRODUCT(('Project Operational Timelines'!$AO$20:$AO$49=$A57)*('Project Operational Timelines'!$AP$18:$AY$18=$A$4)*('Project Operational Timelines'!$AP$17:$AY$17=$G94)*'Project Operational Timelines'!$AP29:$AY29))</f>
        <v>80.94</v>
      </c>
      <c r="C94" s="84">
        <f t="shared" si="65"/>
        <v>11869.95804315</v>
      </c>
      <c r="D94" s="89">
        <f t="shared" si="68"/>
        <v>9552405.4100000001</v>
      </c>
      <c r="E94" s="89"/>
      <c r="F94" s="89" cm="1">
        <f t="array" ref="F94">IF(A94&lt;2021,0,(-(SUMPRODUCT(('Project Operational Timelines'!$AO$20:$AO$49=$A94)*('Project Operational Timelines'!$AP$18:$AY$18=$A$4)*('Project Operational Timelines'!$AP$19:$AY$19="Non-Carve Out")*('Project Operational Timelines'!$AP$17:$AY$17=$G94)*'Project Operational Timelines'!$AP29:$AY29))*1000*('Program Inputs'!$D$14-'Program Inputs'!$D$6)*$F$4*12)+(-(SUMPRODUCT(('Project Operational Timelines'!$AO$20:$AO$49=$A94)*('Project Operational Timelines'!$AP$18:$AY$18=$A$4)*('Project Operational Timelines'!$AP$19:$AY$19="Carve Out")*('Project Operational Timelines'!$AP$17:$AY$17=$G94)*'Project Operational Timelines'!$AP29:$AY29))*1000*('Program Inputs'!$D$14-'Program Inputs'!$D$7)*$F$4*12))</f>
        <v>-67978.679999999993</v>
      </c>
      <c r="G94" s="79">
        <v>2</v>
      </c>
      <c r="H94" s="328">
        <f t="shared" si="69"/>
        <v>8055830.79</v>
      </c>
      <c r="I94" s="69"/>
      <c r="J94" s="69"/>
      <c r="K94" s="104"/>
      <c r="L94" s="75">
        <f>IF(AND(A94&gt;=('Program Inputs'!$D$4-1),A94&lt;('Program Inputs'!$D$4+19)),1,0)</f>
        <v>1</v>
      </c>
      <c r="M94">
        <v>12</v>
      </c>
      <c r="N94" s="15">
        <v>2030</v>
      </c>
      <c r="O94" s="18">
        <f t="shared" si="66"/>
        <v>65.805579260169225</v>
      </c>
      <c r="P94" s="18">
        <f t="shared" si="70"/>
        <v>65.760819632661253</v>
      </c>
      <c r="Q94" s="18">
        <f t="shared" si="71"/>
        <v>67.202630388845193</v>
      </c>
      <c r="R94" s="18">
        <f t="shared" si="72"/>
        <v>68.056223433308816</v>
      </c>
      <c r="S94" s="18">
        <f t="shared" si="73"/>
        <v>67.960691500734356</v>
      </c>
      <c r="T94" s="18">
        <f t="shared" si="74"/>
        <v>68.084184854046327</v>
      </c>
      <c r="U94" s="18">
        <f t="shared" si="75"/>
        <v>67.802001752893204</v>
      </c>
      <c r="V94" s="18">
        <f t="shared" si="76"/>
        <v>67.949474104144173</v>
      </c>
      <c r="W94" s="18">
        <f t="shared" si="77"/>
        <v>67.618466085143325</v>
      </c>
      <c r="X94" s="18">
        <f t="shared" si="78"/>
        <v>67.234344753036311</v>
      </c>
      <c r="Y94" s="18">
        <f t="shared" si="79"/>
        <v>65.956203765199916</v>
      </c>
      <c r="Z94" s="18">
        <f t="shared" si="80"/>
        <v>65.324155498597321</v>
      </c>
      <c r="AB94" s="52">
        <v>2030</v>
      </c>
      <c r="AC94" s="14">
        <f>SUMIFS('Bill Credit Rates'!$K:$K,'Bill Credit Rates'!$A:$A,$A$4,'Bill Credit Rates'!$B:$B,$G94,'Bill Credit Rates'!$C:$C,$M94)</f>
        <v>119.11991444992405</v>
      </c>
      <c r="AD94" s="14">
        <f>SUMIFS('Bill Credit Rates'!$K:$K,'Bill Credit Rates'!$A:$A,$A$4,'Bill Credit Rates'!$B:$B,$G94,'Bill Credit Rates'!$C:$C,$M94)</f>
        <v>119.11991444992405</v>
      </c>
      <c r="AE94" s="14">
        <f>SUMIFS('Bill Credit Rates'!$K:$K,'Bill Credit Rates'!$A:$A,$A$4,'Bill Credit Rates'!$B:$B,$G94,'Bill Credit Rates'!$C:$C,$M94)</f>
        <v>119.11991444992405</v>
      </c>
      <c r="AF94" s="14">
        <f>SUMIFS('Bill Credit Rates'!$K:$K,'Bill Credit Rates'!$A:$A,$A$4,'Bill Credit Rates'!$B:$B,$G94,'Bill Credit Rates'!$C:$C,$M94)</f>
        <v>119.11991444992405</v>
      </c>
      <c r="AG94" s="14">
        <f>SUMIFS('Bill Credit Rates'!$K:$K,'Bill Credit Rates'!$A:$A,$A$4,'Bill Credit Rates'!$B:$B,$G94,'Bill Credit Rates'!$C:$C,$M94)</f>
        <v>119.11991444992405</v>
      </c>
      <c r="AH94" s="14">
        <f>SUMIFS('Bill Credit Rates'!$K:$K,'Bill Credit Rates'!$A:$A,$A$4,'Bill Credit Rates'!$B:$B,$G94,'Bill Credit Rates'!$C:$C,$M94)</f>
        <v>119.11991444992405</v>
      </c>
      <c r="AI94" s="14">
        <f>SUMIFS('Bill Credit Rates'!$K:$K,'Bill Credit Rates'!$A:$A,$A$4,'Bill Credit Rates'!$B:$B,$G94,'Bill Credit Rates'!$C:$C,$M94)</f>
        <v>119.11991444992405</v>
      </c>
      <c r="AJ94" s="14">
        <f>SUMIFS('Bill Credit Rates'!$K:$K,'Bill Credit Rates'!$A:$A,$A$4,'Bill Credit Rates'!$B:$B,$G94,'Bill Credit Rates'!$C:$C,$M94)</f>
        <v>119.11991444992405</v>
      </c>
      <c r="AK94" s="14">
        <f>SUMIFS('Bill Credit Rates'!$K:$K,'Bill Credit Rates'!$A:$A,$A$4,'Bill Credit Rates'!$B:$B,$G94,'Bill Credit Rates'!$C:$C,$M94)</f>
        <v>119.11991444992405</v>
      </c>
      <c r="AL94" s="14">
        <f>SUMIFS('Bill Credit Rates'!$K:$K,'Bill Credit Rates'!$A:$A,$A$4,'Bill Credit Rates'!$B:$B,$G94,'Bill Credit Rates'!$C:$C,$M94)</f>
        <v>119.11991444992405</v>
      </c>
      <c r="AM94" s="14">
        <f>SUMIFS('Bill Credit Rates'!$K:$K,'Bill Credit Rates'!$A:$A,$A$4,'Bill Credit Rates'!$B:$B,$G94,'Bill Credit Rates'!$C:$C,$M94)</f>
        <v>119.11991444992405</v>
      </c>
      <c r="AN94" s="14">
        <f>SUMIFS('Bill Credit Rates'!$K:$K,'Bill Credit Rates'!$A:$A,$A$4,'Bill Credit Rates'!$B:$B,$G94,'Bill Credit Rates'!$C:$C,$M94)</f>
        <v>119.11991444992405</v>
      </c>
    </row>
    <row r="95" spans="1:40">
      <c r="A95" s="48">
        <v>2031</v>
      </c>
      <c r="B95" s="31" cm="1">
        <f t="array" ref="B95">IF(A58&lt;2021,0,SUMPRODUCT(('Project Operational Timelines'!$AO$20:$AO$49=$A58)*('Project Operational Timelines'!$AP$18:$AY$18=$A$4)*('Project Operational Timelines'!$AP$17:$AY$17=$G95)*'Project Operational Timelines'!$AP30:$AY30))</f>
        <v>80.94</v>
      </c>
      <c r="C95" s="84">
        <f t="shared" si="65"/>
        <v>11869.95804315</v>
      </c>
      <c r="D95" s="89">
        <f t="shared" si="68"/>
        <v>9827420.9299999997</v>
      </c>
      <c r="E95" s="89"/>
      <c r="F95" s="89" cm="1">
        <f t="array" ref="F95">IF(A95&lt;2021,0,(-(SUMPRODUCT(('Project Operational Timelines'!$AO$20:$AO$49=$A95)*('Project Operational Timelines'!$AP$18:$AY$18=$A$4)*('Project Operational Timelines'!$AP$19:$AY$19="Non-Carve Out")*('Project Operational Timelines'!$AP$17:$AY$17=$G95)*'Project Operational Timelines'!$AP30:$AY30))*1000*('Program Inputs'!$D$14-'Program Inputs'!$D$6)*$F$4*12)+(-(SUMPRODUCT(('Project Operational Timelines'!$AO$20:$AO$49=$A95)*('Project Operational Timelines'!$AP$18:$AY$18=$A$4)*('Project Operational Timelines'!$AP$19:$AY$19="Carve Out")*('Project Operational Timelines'!$AP$17:$AY$17=$G95)*'Project Operational Timelines'!$AP30:$AY30))*1000*('Program Inputs'!$D$14-'Program Inputs'!$D$7)*$F$4*12))</f>
        <v>-67978.679999999993</v>
      </c>
      <c r="G95" s="79">
        <v>2</v>
      </c>
      <c r="H95" s="328">
        <f t="shared" si="69"/>
        <v>8055702.3799999999</v>
      </c>
      <c r="I95" s="69"/>
      <c r="J95" s="69"/>
      <c r="K95" s="309"/>
      <c r="L95" s="75">
        <f>IF(AND(A95&gt;=('Program Inputs'!$D$4-1),A95&lt;('Program Inputs'!$D$4+19)),1,0)</f>
        <v>1</v>
      </c>
      <c r="M95">
        <v>13</v>
      </c>
      <c r="N95" s="52">
        <v>2031</v>
      </c>
      <c r="O95" s="18">
        <f t="shared" si="66"/>
        <v>66.870696867190304</v>
      </c>
      <c r="P95" s="18">
        <f t="shared" si="70"/>
        <v>66.874256783496008</v>
      </c>
      <c r="Q95" s="18">
        <f t="shared" si="71"/>
        <v>69.59793073420812</v>
      </c>
      <c r="R95" s="18">
        <f t="shared" si="72"/>
        <v>70.216264123635767</v>
      </c>
      <c r="S95" s="18">
        <f t="shared" si="73"/>
        <v>70.363920141692404</v>
      </c>
      <c r="T95" s="18">
        <f t="shared" si="74"/>
        <v>70.479310532291947</v>
      </c>
      <c r="U95" s="18">
        <f t="shared" si="75"/>
        <v>69.960276966838819</v>
      </c>
      <c r="V95" s="18">
        <f t="shared" si="76"/>
        <v>69.856935769001794</v>
      </c>
      <c r="W95" s="18">
        <f t="shared" si="77"/>
        <v>69.900767537434305</v>
      </c>
      <c r="X95" s="18">
        <f t="shared" si="78"/>
        <v>69.58697199498485</v>
      </c>
      <c r="Y95" s="18">
        <f t="shared" si="79"/>
        <v>67.532326363662719</v>
      </c>
      <c r="Z95" s="18">
        <f t="shared" si="80"/>
        <v>66.684155977385728</v>
      </c>
      <c r="AB95" s="52">
        <v>2031</v>
      </c>
      <c r="AC95" s="14">
        <f>SUMIFS('Bill Credit Rates'!$K:$K,'Bill Credit Rates'!$A:$A,$A$4,'Bill Credit Rates'!$B:$B,$G95,'Bill Credit Rates'!$C:$C,$M95)</f>
        <v>121.50231273892254</v>
      </c>
      <c r="AD95" s="14">
        <f>SUMIFS('Bill Credit Rates'!$K:$K,'Bill Credit Rates'!$A:$A,$A$4,'Bill Credit Rates'!$B:$B,$G95,'Bill Credit Rates'!$C:$C,$M95)</f>
        <v>121.50231273892254</v>
      </c>
      <c r="AE95" s="14">
        <f>SUMIFS('Bill Credit Rates'!$K:$K,'Bill Credit Rates'!$A:$A,$A$4,'Bill Credit Rates'!$B:$B,$G95,'Bill Credit Rates'!$C:$C,$M95)</f>
        <v>121.50231273892254</v>
      </c>
      <c r="AF95" s="14">
        <f>SUMIFS('Bill Credit Rates'!$K:$K,'Bill Credit Rates'!$A:$A,$A$4,'Bill Credit Rates'!$B:$B,$G95,'Bill Credit Rates'!$C:$C,$M95)</f>
        <v>121.50231273892254</v>
      </c>
      <c r="AG95" s="14">
        <f>SUMIFS('Bill Credit Rates'!$K:$K,'Bill Credit Rates'!$A:$A,$A$4,'Bill Credit Rates'!$B:$B,$G95,'Bill Credit Rates'!$C:$C,$M95)</f>
        <v>121.50231273892254</v>
      </c>
      <c r="AH95" s="14">
        <f>SUMIFS('Bill Credit Rates'!$K:$K,'Bill Credit Rates'!$A:$A,$A$4,'Bill Credit Rates'!$B:$B,$G95,'Bill Credit Rates'!$C:$C,$M95)</f>
        <v>121.50231273892254</v>
      </c>
      <c r="AI95" s="14">
        <f>SUMIFS('Bill Credit Rates'!$K:$K,'Bill Credit Rates'!$A:$A,$A$4,'Bill Credit Rates'!$B:$B,$G95,'Bill Credit Rates'!$C:$C,$M95)</f>
        <v>121.50231273892254</v>
      </c>
      <c r="AJ95" s="14">
        <f>SUMIFS('Bill Credit Rates'!$K:$K,'Bill Credit Rates'!$A:$A,$A$4,'Bill Credit Rates'!$B:$B,$G95,'Bill Credit Rates'!$C:$C,$M95)</f>
        <v>121.50231273892254</v>
      </c>
      <c r="AK95" s="14">
        <f>SUMIFS('Bill Credit Rates'!$K:$K,'Bill Credit Rates'!$A:$A,$A$4,'Bill Credit Rates'!$B:$B,$G95,'Bill Credit Rates'!$C:$C,$M95)</f>
        <v>121.50231273892254</v>
      </c>
      <c r="AL95" s="14">
        <f>SUMIFS('Bill Credit Rates'!$K:$K,'Bill Credit Rates'!$A:$A,$A$4,'Bill Credit Rates'!$B:$B,$G95,'Bill Credit Rates'!$C:$C,$M95)</f>
        <v>121.50231273892254</v>
      </c>
      <c r="AM95" s="14">
        <f>SUMIFS('Bill Credit Rates'!$K:$K,'Bill Credit Rates'!$A:$A,$A$4,'Bill Credit Rates'!$B:$B,$G95,'Bill Credit Rates'!$C:$C,$M95)</f>
        <v>121.50231273892254</v>
      </c>
      <c r="AN95" s="14">
        <f>SUMIFS('Bill Credit Rates'!$K:$K,'Bill Credit Rates'!$A:$A,$A$4,'Bill Credit Rates'!$B:$B,$G95,'Bill Credit Rates'!$C:$C,$M95)</f>
        <v>121.50231273892254</v>
      </c>
    </row>
    <row r="96" spans="1:40">
      <c r="A96" s="48">
        <v>2032</v>
      </c>
      <c r="B96" s="31" cm="1">
        <f t="array" ref="B96">IF(A59&lt;2021,0,SUMPRODUCT(('Project Operational Timelines'!$AO$20:$AO$49=$A59)*('Project Operational Timelines'!$AP$18:$AY$18=$A$4)*('Project Operational Timelines'!$AP$17:$AY$17=$G96)*'Project Operational Timelines'!$AP31:$AY31))</f>
        <v>80.94</v>
      </c>
      <c r="C96" s="84">
        <f t="shared" si="65"/>
        <v>11869.95804315</v>
      </c>
      <c r="D96" s="89">
        <f t="shared" si="68"/>
        <v>9976040.5399999991</v>
      </c>
      <c r="E96" s="89"/>
      <c r="F96" s="89" cm="1">
        <f t="array" ref="F96">IF(A96&lt;2021,0,(-(SUMPRODUCT(('Project Operational Timelines'!$AO$20:$AO$49=$A96)*('Project Operational Timelines'!$AP$18:$AY$18=$A$4)*('Project Operational Timelines'!$AP$19:$AY$19="Non-Carve Out")*('Project Operational Timelines'!$AP$17:$AY$17=$G96)*'Project Operational Timelines'!$AP31:$AY31))*1000*('Program Inputs'!$D$14-'Program Inputs'!$D$6)*$F$4*12)+(-(SUMPRODUCT(('Project Operational Timelines'!$AO$20:$AO$49=$A96)*('Project Operational Timelines'!$AP$18:$AY$18=$A$4)*('Project Operational Timelines'!$AP$19:$AY$19="Carve Out")*('Project Operational Timelines'!$AP$17:$AY$17=$G96)*'Project Operational Timelines'!$AP31:$AY31))*1000*('Program Inputs'!$D$14-'Program Inputs'!$D$7)*$F$4*12))</f>
        <v>-67978.679999999993</v>
      </c>
      <c r="G96" s="79">
        <v>2</v>
      </c>
      <c r="H96" s="328">
        <f t="shared" si="69"/>
        <v>7948557.5800000001</v>
      </c>
      <c r="I96" s="69"/>
      <c r="J96" s="69"/>
      <c r="K96" s="104"/>
      <c r="L96" s="75">
        <f>IF(AND(A96&gt;=('Program Inputs'!$D$4-1),A96&lt;('Program Inputs'!$D$4+19)),1,0)</f>
        <v>1</v>
      </c>
      <c r="M96">
        <v>14</v>
      </c>
      <c r="N96" s="52">
        <v>2032</v>
      </c>
      <c r="O96" s="18">
        <f t="shared" si="66"/>
        <v>69.03404301567619</v>
      </c>
      <c r="P96" s="18">
        <f t="shared" si="70"/>
        <v>68.586241413674145</v>
      </c>
      <c r="Q96" s="18">
        <f t="shared" si="71"/>
        <v>70.731315693759072</v>
      </c>
      <c r="R96" s="18">
        <f t="shared" si="72"/>
        <v>72.015192562153374</v>
      </c>
      <c r="S96" s="18">
        <f t="shared" si="73"/>
        <v>72.104761175796256</v>
      </c>
      <c r="T96" s="18">
        <f t="shared" si="74"/>
        <v>71.853495066891327</v>
      </c>
      <c r="U96" s="18">
        <f t="shared" si="75"/>
        <v>70.836135899294334</v>
      </c>
      <c r="V96" s="18">
        <f t="shared" si="76"/>
        <v>70.726577381564965</v>
      </c>
      <c r="W96" s="18">
        <f t="shared" si="77"/>
        <v>70.174263380912024</v>
      </c>
      <c r="X96" s="18">
        <f t="shared" si="78"/>
        <v>69.370137831175597</v>
      </c>
      <c r="Y96" s="18">
        <f t="shared" si="79"/>
        <v>67.832526019384119</v>
      </c>
      <c r="Z96" s="18">
        <f t="shared" si="80"/>
        <v>67.179776067730273</v>
      </c>
      <c r="AB96" s="52">
        <v>2032</v>
      </c>
      <c r="AC96" s="14">
        <f>SUMIFS('Bill Credit Rates'!$K:$K,'Bill Credit Rates'!$A:$A,$A$4,'Bill Credit Rates'!$B:$B,$G96,'Bill Credit Rates'!$C:$C,$M96)</f>
        <v>123.93235899370099</v>
      </c>
      <c r="AD96" s="14">
        <f>SUMIFS('Bill Credit Rates'!$K:$K,'Bill Credit Rates'!$A:$A,$A$4,'Bill Credit Rates'!$B:$B,$G96,'Bill Credit Rates'!$C:$C,$M96)</f>
        <v>123.93235899370099</v>
      </c>
      <c r="AE96" s="14">
        <f>SUMIFS('Bill Credit Rates'!$K:$K,'Bill Credit Rates'!$A:$A,$A$4,'Bill Credit Rates'!$B:$B,$G96,'Bill Credit Rates'!$C:$C,$M96)</f>
        <v>123.93235899370099</v>
      </c>
      <c r="AF96" s="14">
        <f>SUMIFS('Bill Credit Rates'!$K:$K,'Bill Credit Rates'!$A:$A,$A$4,'Bill Credit Rates'!$B:$B,$G96,'Bill Credit Rates'!$C:$C,$M96)</f>
        <v>123.93235899370099</v>
      </c>
      <c r="AG96" s="14">
        <f>SUMIFS('Bill Credit Rates'!$K:$K,'Bill Credit Rates'!$A:$A,$A$4,'Bill Credit Rates'!$B:$B,$G96,'Bill Credit Rates'!$C:$C,$M96)</f>
        <v>123.93235899370099</v>
      </c>
      <c r="AH96" s="14">
        <f>SUMIFS('Bill Credit Rates'!$K:$K,'Bill Credit Rates'!$A:$A,$A$4,'Bill Credit Rates'!$B:$B,$G96,'Bill Credit Rates'!$C:$C,$M96)</f>
        <v>123.93235899370099</v>
      </c>
      <c r="AI96" s="14">
        <f>SUMIFS('Bill Credit Rates'!$K:$K,'Bill Credit Rates'!$A:$A,$A$4,'Bill Credit Rates'!$B:$B,$G96,'Bill Credit Rates'!$C:$C,$M96)</f>
        <v>123.93235899370099</v>
      </c>
      <c r="AJ96" s="14">
        <f>SUMIFS('Bill Credit Rates'!$K:$K,'Bill Credit Rates'!$A:$A,$A$4,'Bill Credit Rates'!$B:$B,$G96,'Bill Credit Rates'!$C:$C,$M96)</f>
        <v>123.93235899370099</v>
      </c>
      <c r="AK96" s="14">
        <f>SUMIFS('Bill Credit Rates'!$K:$K,'Bill Credit Rates'!$A:$A,$A$4,'Bill Credit Rates'!$B:$B,$G96,'Bill Credit Rates'!$C:$C,$M96)</f>
        <v>123.93235899370099</v>
      </c>
      <c r="AL96" s="14">
        <f>SUMIFS('Bill Credit Rates'!$K:$K,'Bill Credit Rates'!$A:$A,$A$4,'Bill Credit Rates'!$B:$B,$G96,'Bill Credit Rates'!$C:$C,$M96)</f>
        <v>123.93235899370099</v>
      </c>
      <c r="AM96" s="14">
        <f>SUMIFS('Bill Credit Rates'!$K:$K,'Bill Credit Rates'!$A:$A,$A$4,'Bill Credit Rates'!$B:$B,$G96,'Bill Credit Rates'!$C:$C,$M96)</f>
        <v>123.93235899370099</v>
      </c>
      <c r="AN96" s="14">
        <f>SUMIFS('Bill Credit Rates'!$K:$K,'Bill Credit Rates'!$A:$A,$A$4,'Bill Credit Rates'!$B:$B,$G96,'Bill Credit Rates'!$C:$C,$M96)</f>
        <v>123.93235899370099</v>
      </c>
    </row>
    <row r="97" spans="1:40">
      <c r="A97" s="48">
        <v>2033</v>
      </c>
      <c r="B97" s="31" cm="1">
        <f t="array" ref="B97">IF(A60&lt;2021,0,SUMPRODUCT(('Project Operational Timelines'!$AO$20:$AO$49=$A60)*('Project Operational Timelines'!$AP$18:$AY$18=$A$4)*('Project Operational Timelines'!$AP$17:$AY$17=$G97)*'Project Operational Timelines'!$AP32:$AY32))</f>
        <v>80.94</v>
      </c>
      <c r="C97" s="84">
        <f t="shared" si="65"/>
        <v>11869.95804315</v>
      </c>
      <c r="D97" s="89">
        <f t="shared" si="68"/>
        <v>9897140.2300000004</v>
      </c>
      <c r="E97" s="89"/>
      <c r="F97" s="89" cm="1">
        <f t="array" ref="F97">IF(A97&lt;2021,0,(-(SUMPRODUCT(('Project Operational Timelines'!$AO$20:$AO$49=$A97)*('Project Operational Timelines'!$AP$18:$AY$18=$A$4)*('Project Operational Timelines'!$AP$19:$AY$19="Non-Carve Out")*('Project Operational Timelines'!$AP$17:$AY$17=$G97)*'Project Operational Timelines'!$AP32:$AY32))*1000*('Program Inputs'!$D$14-'Program Inputs'!$D$6)*$F$4*12)+(-(SUMPRODUCT(('Project Operational Timelines'!$AO$20:$AO$49=$A97)*('Project Operational Timelines'!$AP$18:$AY$18=$A$4)*('Project Operational Timelines'!$AP$19:$AY$19="Carve Out")*('Project Operational Timelines'!$AP$17:$AY$17=$G97)*'Project Operational Timelines'!$AP32:$AY32))*1000*('Program Inputs'!$D$14-'Program Inputs'!$D$7)*$F$4*12))</f>
        <v>-67978.679999999993</v>
      </c>
      <c r="G97" s="79">
        <v>2</v>
      </c>
      <c r="H97" s="328">
        <f t="shared" si="69"/>
        <v>7664893.2000000002</v>
      </c>
      <c r="I97" s="69"/>
      <c r="J97" s="69"/>
      <c r="K97" s="104"/>
      <c r="L97" s="75">
        <f>IF(AND(A97&gt;=('Program Inputs'!$D$4-1),A97&lt;('Program Inputs'!$D$4+19)),1,0)</f>
        <v>1</v>
      </c>
      <c r="M97">
        <v>15</v>
      </c>
      <c r="N97" s="52">
        <v>2033</v>
      </c>
      <c r="O97" s="18">
        <f t="shared" si="66"/>
        <v>68.594533457588881</v>
      </c>
      <c r="P97" s="18">
        <f t="shared" si="70"/>
        <v>69.149908379468087</v>
      </c>
      <c r="Q97" s="18">
        <f t="shared" si="71"/>
        <v>69.559692690874442</v>
      </c>
      <c r="R97" s="18">
        <f t="shared" si="72"/>
        <v>70.604873151840124</v>
      </c>
      <c r="S97" s="18">
        <f t="shared" si="73"/>
        <v>70.891871027975156</v>
      </c>
      <c r="T97" s="18">
        <f t="shared" si="74"/>
        <v>70.671982171452939</v>
      </c>
      <c r="U97" s="18">
        <f t="shared" si="75"/>
        <v>70.403241356594805</v>
      </c>
      <c r="V97" s="18">
        <f t="shared" si="76"/>
        <v>70.417906995610565</v>
      </c>
      <c r="W97" s="18">
        <f t="shared" si="77"/>
        <v>69.528099024230613</v>
      </c>
      <c r="X97" s="18">
        <f t="shared" si="78"/>
        <v>69.104357466293592</v>
      </c>
      <c r="Y97" s="18">
        <f t="shared" si="79"/>
        <v>68.069624199004494</v>
      </c>
      <c r="Z97" s="18">
        <f t="shared" si="80"/>
        <v>66.801316060019431</v>
      </c>
      <c r="AB97" s="52">
        <v>2033</v>
      </c>
      <c r="AC97" s="14">
        <f>SUMIFS('Bill Credit Rates'!$K:$K,'Bill Credit Rates'!$A:$A,$A$4,'Bill Credit Rates'!$B:$B,$G97,'Bill Credit Rates'!$C:$C,$M97)</f>
        <v>126.411006173575</v>
      </c>
      <c r="AD97" s="14">
        <f>SUMIFS('Bill Credit Rates'!$K:$K,'Bill Credit Rates'!$A:$A,$A$4,'Bill Credit Rates'!$B:$B,$G97,'Bill Credit Rates'!$C:$C,$M97)</f>
        <v>126.411006173575</v>
      </c>
      <c r="AE97" s="14">
        <f>SUMIFS('Bill Credit Rates'!$K:$K,'Bill Credit Rates'!$A:$A,$A$4,'Bill Credit Rates'!$B:$B,$G97,'Bill Credit Rates'!$C:$C,$M97)</f>
        <v>126.411006173575</v>
      </c>
      <c r="AF97" s="14">
        <f>SUMIFS('Bill Credit Rates'!$K:$K,'Bill Credit Rates'!$A:$A,$A$4,'Bill Credit Rates'!$B:$B,$G97,'Bill Credit Rates'!$C:$C,$M97)</f>
        <v>126.411006173575</v>
      </c>
      <c r="AG97" s="14">
        <f>SUMIFS('Bill Credit Rates'!$K:$K,'Bill Credit Rates'!$A:$A,$A$4,'Bill Credit Rates'!$B:$B,$G97,'Bill Credit Rates'!$C:$C,$M97)</f>
        <v>126.411006173575</v>
      </c>
      <c r="AH97" s="14">
        <f>SUMIFS('Bill Credit Rates'!$K:$K,'Bill Credit Rates'!$A:$A,$A$4,'Bill Credit Rates'!$B:$B,$G97,'Bill Credit Rates'!$C:$C,$M97)</f>
        <v>126.411006173575</v>
      </c>
      <c r="AI97" s="14">
        <f>SUMIFS('Bill Credit Rates'!$K:$K,'Bill Credit Rates'!$A:$A,$A$4,'Bill Credit Rates'!$B:$B,$G97,'Bill Credit Rates'!$C:$C,$M97)</f>
        <v>126.411006173575</v>
      </c>
      <c r="AJ97" s="14">
        <f>SUMIFS('Bill Credit Rates'!$K:$K,'Bill Credit Rates'!$A:$A,$A$4,'Bill Credit Rates'!$B:$B,$G97,'Bill Credit Rates'!$C:$C,$M97)</f>
        <v>126.411006173575</v>
      </c>
      <c r="AK97" s="14">
        <f>SUMIFS('Bill Credit Rates'!$K:$K,'Bill Credit Rates'!$A:$A,$A$4,'Bill Credit Rates'!$B:$B,$G97,'Bill Credit Rates'!$C:$C,$M97)</f>
        <v>126.411006173575</v>
      </c>
      <c r="AL97" s="14">
        <f>SUMIFS('Bill Credit Rates'!$K:$K,'Bill Credit Rates'!$A:$A,$A$4,'Bill Credit Rates'!$B:$B,$G97,'Bill Credit Rates'!$C:$C,$M97)</f>
        <v>126.411006173575</v>
      </c>
      <c r="AM97" s="14">
        <f>SUMIFS('Bill Credit Rates'!$K:$K,'Bill Credit Rates'!$A:$A,$A$4,'Bill Credit Rates'!$B:$B,$G97,'Bill Credit Rates'!$C:$C,$M97)</f>
        <v>126.411006173575</v>
      </c>
      <c r="AN97" s="14">
        <f>SUMIFS('Bill Credit Rates'!$K:$K,'Bill Credit Rates'!$A:$A,$A$4,'Bill Credit Rates'!$B:$B,$G97,'Bill Credit Rates'!$C:$C,$M97)</f>
        <v>126.411006173575</v>
      </c>
    </row>
    <row r="98" spans="1:40">
      <c r="A98" s="48">
        <v>2034</v>
      </c>
      <c r="B98" s="31" cm="1">
        <f t="array" ref="B98">IF(A61&lt;2021,0,SUMPRODUCT(('Project Operational Timelines'!$AO$20:$AO$49=$A61)*('Project Operational Timelines'!$AP$18:$AY$18=$A$4)*('Project Operational Timelines'!$AP$17:$AY$17=$G98)*'Project Operational Timelines'!$AP33:$AY33))</f>
        <v>80.94</v>
      </c>
      <c r="C98" s="84">
        <f t="shared" si="65"/>
        <v>11869.95804315</v>
      </c>
      <c r="D98" s="89">
        <f t="shared" si="68"/>
        <v>10005013.880000001</v>
      </c>
      <c r="E98" s="89"/>
      <c r="F98" s="89" cm="1">
        <f t="array" ref="F98">IF(A98&lt;2021,0,(-(SUMPRODUCT(('Project Operational Timelines'!$AO$20:$AO$49=$A98)*('Project Operational Timelines'!$AP$18:$AY$18=$A$4)*('Project Operational Timelines'!$AP$19:$AY$19="Non-Carve Out")*('Project Operational Timelines'!$AP$17:$AY$17=$G98)*'Project Operational Timelines'!$AP33:$AY33))*1000*('Program Inputs'!$D$14-'Program Inputs'!$D$6)*$F$4*12)+(-(SUMPRODUCT(('Project Operational Timelines'!$AO$20:$AO$49=$A98)*('Project Operational Timelines'!$AP$18:$AY$18=$A$4)*('Project Operational Timelines'!$AP$19:$AY$19="Carve Out")*('Project Operational Timelines'!$AP$17:$AY$17=$G98)*'Project Operational Timelines'!$AP33:$AY33))*1000*('Program Inputs'!$D$14-'Program Inputs'!$D$7)*$F$4*12))</f>
        <v>-67978.679999999993</v>
      </c>
      <c r="G98" s="79">
        <v>2</v>
      </c>
      <c r="H98" s="328">
        <f t="shared" si="69"/>
        <v>7531480.2999999998</v>
      </c>
      <c r="I98" s="69"/>
      <c r="J98" s="69"/>
      <c r="K98" s="104"/>
      <c r="L98" s="75">
        <f>IF(AND(A98&gt;=('Program Inputs'!$D$4-1),A98&lt;('Program Inputs'!$D$4+19)),1,0)</f>
        <v>1</v>
      </c>
      <c r="M98">
        <v>16</v>
      </c>
      <c r="N98" s="52">
        <v>2034</v>
      </c>
      <c r="O98" s="18">
        <f t="shared" si="66"/>
        <v>67.125265328005838</v>
      </c>
      <c r="P98" s="18">
        <f t="shared" si="70"/>
        <v>68.777003753661987</v>
      </c>
      <c r="Q98" s="18">
        <f t="shared" si="71"/>
        <v>69.93936101970823</v>
      </c>
      <c r="R98" s="18">
        <f t="shared" si="72"/>
        <v>71.305440092183247</v>
      </c>
      <c r="S98" s="18">
        <f t="shared" si="73"/>
        <v>71.361736243256601</v>
      </c>
      <c r="T98" s="18">
        <f t="shared" si="74"/>
        <v>71.649922227583687</v>
      </c>
      <c r="U98" s="18">
        <f t="shared" si="75"/>
        <v>71.622333586169987</v>
      </c>
      <c r="V98" s="18">
        <f t="shared" si="76"/>
        <v>71.114420073915909</v>
      </c>
      <c r="W98" s="18">
        <f t="shared" si="77"/>
        <v>71.264223922832599</v>
      </c>
      <c r="X98" s="18">
        <f t="shared" si="78"/>
        <v>70.524090183991092</v>
      </c>
      <c r="Y98" s="18">
        <f t="shared" si="79"/>
        <v>69.796656637207974</v>
      </c>
      <c r="Z98" s="18">
        <f t="shared" si="80"/>
        <v>68.404909035301927</v>
      </c>
      <c r="AB98" s="52">
        <v>2034</v>
      </c>
      <c r="AC98" s="14">
        <f>SUMIFS('Bill Credit Rates'!$K:$K,'Bill Credit Rates'!$A:$A,$A$4,'Bill Credit Rates'!$B:$B,$G98,'Bill Credit Rates'!$C:$C,$M98)</f>
        <v>128.9392262970465</v>
      </c>
      <c r="AD98" s="14">
        <f>SUMIFS('Bill Credit Rates'!$K:$K,'Bill Credit Rates'!$A:$A,$A$4,'Bill Credit Rates'!$B:$B,$G98,'Bill Credit Rates'!$C:$C,$M98)</f>
        <v>128.9392262970465</v>
      </c>
      <c r="AE98" s="14">
        <f>SUMIFS('Bill Credit Rates'!$K:$K,'Bill Credit Rates'!$A:$A,$A$4,'Bill Credit Rates'!$B:$B,$G98,'Bill Credit Rates'!$C:$C,$M98)</f>
        <v>128.9392262970465</v>
      </c>
      <c r="AF98" s="14">
        <f>SUMIFS('Bill Credit Rates'!$K:$K,'Bill Credit Rates'!$A:$A,$A$4,'Bill Credit Rates'!$B:$B,$G98,'Bill Credit Rates'!$C:$C,$M98)</f>
        <v>128.9392262970465</v>
      </c>
      <c r="AG98" s="14">
        <f>SUMIFS('Bill Credit Rates'!$K:$K,'Bill Credit Rates'!$A:$A,$A$4,'Bill Credit Rates'!$B:$B,$G98,'Bill Credit Rates'!$C:$C,$M98)</f>
        <v>128.9392262970465</v>
      </c>
      <c r="AH98" s="14">
        <f>SUMIFS('Bill Credit Rates'!$K:$K,'Bill Credit Rates'!$A:$A,$A$4,'Bill Credit Rates'!$B:$B,$G98,'Bill Credit Rates'!$C:$C,$M98)</f>
        <v>128.9392262970465</v>
      </c>
      <c r="AI98" s="14">
        <f>SUMIFS('Bill Credit Rates'!$K:$K,'Bill Credit Rates'!$A:$A,$A$4,'Bill Credit Rates'!$B:$B,$G98,'Bill Credit Rates'!$C:$C,$M98)</f>
        <v>128.9392262970465</v>
      </c>
      <c r="AJ98" s="14">
        <f>SUMIFS('Bill Credit Rates'!$K:$K,'Bill Credit Rates'!$A:$A,$A$4,'Bill Credit Rates'!$B:$B,$G98,'Bill Credit Rates'!$C:$C,$M98)</f>
        <v>128.9392262970465</v>
      </c>
      <c r="AK98" s="14">
        <f>SUMIFS('Bill Credit Rates'!$K:$K,'Bill Credit Rates'!$A:$A,$A$4,'Bill Credit Rates'!$B:$B,$G98,'Bill Credit Rates'!$C:$C,$M98)</f>
        <v>128.9392262970465</v>
      </c>
      <c r="AL98" s="14">
        <f>SUMIFS('Bill Credit Rates'!$K:$K,'Bill Credit Rates'!$A:$A,$A$4,'Bill Credit Rates'!$B:$B,$G98,'Bill Credit Rates'!$C:$C,$M98)</f>
        <v>128.9392262970465</v>
      </c>
      <c r="AM98" s="14">
        <f>SUMIFS('Bill Credit Rates'!$K:$K,'Bill Credit Rates'!$A:$A,$A$4,'Bill Credit Rates'!$B:$B,$G98,'Bill Credit Rates'!$C:$C,$M98)</f>
        <v>128.9392262970465</v>
      </c>
      <c r="AN98" s="14">
        <f>SUMIFS('Bill Credit Rates'!$K:$K,'Bill Credit Rates'!$A:$A,$A$4,'Bill Credit Rates'!$B:$B,$G98,'Bill Credit Rates'!$C:$C,$M98)</f>
        <v>128.9392262970465</v>
      </c>
    </row>
    <row r="99" spans="1:40">
      <c r="A99" s="48">
        <v>2035</v>
      </c>
      <c r="B99" s="31" cm="1">
        <f t="array" ref="B99">IF(A62&lt;2021,0,SUMPRODUCT(('Project Operational Timelines'!$AO$20:$AO$49=$A62)*('Project Operational Timelines'!$AP$18:$AY$18=$A$4)*('Project Operational Timelines'!$AP$17:$AY$17=$G99)*'Project Operational Timelines'!$AP34:$AY34))</f>
        <v>80.94</v>
      </c>
      <c r="C99" s="84">
        <f t="shared" si="65"/>
        <v>11869.95804315</v>
      </c>
      <c r="D99" s="89">
        <f t="shared" si="68"/>
        <v>10293993.75</v>
      </c>
      <c r="E99" s="89"/>
      <c r="F99" s="89" cm="1">
        <f t="array" ref="F99">IF(A99&lt;2021,0,(-(SUMPRODUCT(('Project Operational Timelines'!$AO$20:$AO$49=$A99)*('Project Operational Timelines'!$AP$18:$AY$18=$A$4)*('Project Operational Timelines'!$AP$19:$AY$19="Non-Carve Out")*('Project Operational Timelines'!$AP$17:$AY$17=$G99)*'Project Operational Timelines'!$AP34:$AY34))*1000*('Program Inputs'!$D$14-'Program Inputs'!$D$6)*$F$4*12)+(-(SUMPRODUCT(('Project Operational Timelines'!$AO$20:$AO$49=$A99)*('Project Operational Timelines'!$AP$18:$AY$18=$A$4)*('Project Operational Timelines'!$AP$19:$AY$19="Carve Out")*('Project Operational Timelines'!$AP$17:$AY$17=$G99)*'Project Operational Timelines'!$AP34:$AY34))*1000*('Program Inputs'!$D$14-'Program Inputs'!$D$7)*$F$4*12))</f>
        <v>-67978.679999999993</v>
      </c>
      <c r="G99" s="79">
        <v>2</v>
      </c>
      <c r="H99" s="328">
        <f t="shared" si="69"/>
        <v>7532043.4100000001</v>
      </c>
      <c r="I99" s="69"/>
      <c r="J99" s="69"/>
      <c r="K99" s="104"/>
      <c r="L99" s="75">
        <f>IF(AND(A99&gt;=('Program Inputs'!$D$4-1),A99&lt;('Program Inputs'!$D$4+19)),1,0)</f>
        <v>1</v>
      </c>
      <c r="M99">
        <v>17</v>
      </c>
      <c r="N99" s="52">
        <v>2035</v>
      </c>
      <c r="O99" s="18">
        <f t="shared" si="66"/>
        <v>69.168133706482109</v>
      </c>
      <c r="P99" s="18">
        <f t="shared" si="70"/>
        <v>70.054363938867354</v>
      </c>
      <c r="Q99" s="18">
        <f t="shared" si="71"/>
        <v>72.625592274220111</v>
      </c>
      <c r="R99" s="18">
        <f t="shared" si="72"/>
        <v>73.783120929848721</v>
      </c>
      <c r="S99" s="18">
        <f t="shared" si="73"/>
        <v>73.874030626965208</v>
      </c>
      <c r="T99" s="18">
        <f t="shared" si="74"/>
        <v>73.819762639331969</v>
      </c>
      <c r="U99" s="18">
        <f t="shared" si="75"/>
        <v>73.685477831612729</v>
      </c>
      <c r="V99" s="18">
        <f t="shared" si="76"/>
        <v>73.575375466377551</v>
      </c>
      <c r="W99" s="18">
        <f t="shared" si="77"/>
        <v>73.383630812159083</v>
      </c>
      <c r="X99" s="18">
        <f t="shared" si="78"/>
        <v>72.703030378914136</v>
      </c>
      <c r="Y99" s="18">
        <f t="shared" si="79"/>
        <v>71.100086520701481</v>
      </c>
      <c r="Z99" s="18">
        <f t="shared" si="80"/>
        <v>69.458239986445165</v>
      </c>
      <c r="AB99" s="52">
        <v>2035</v>
      </c>
      <c r="AC99" s="14">
        <f>SUMIFS('Bill Credit Rates'!$K:$K,'Bill Credit Rates'!$A:$A,$A$4,'Bill Credit Rates'!$B:$B,$G99,'Bill Credit Rates'!$C:$C,$M99)</f>
        <v>131.51801082298743</v>
      </c>
      <c r="AD99" s="14">
        <f>SUMIFS('Bill Credit Rates'!$K:$K,'Bill Credit Rates'!$A:$A,$A$4,'Bill Credit Rates'!$B:$B,$G99,'Bill Credit Rates'!$C:$C,$M99)</f>
        <v>131.51801082298743</v>
      </c>
      <c r="AE99" s="14">
        <f>SUMIFS('Bill Credit Rates'!$K:$K,'Bill Credit Rates'!$A:$A,$A$4,'Bill Credit Rates'!$B:$B,$G99,'Bill Credit Rates'!$C:$C,$M99)</f>
        <v>131.51801082298743</v>
      </c>
      <c r="AF99" s="14">
        <f>SUMIFS('Bill Credit Rates'!$K:$K,'Bill Credit Rates'!$A:$A,$A$4,'Bill Credit Rates'!$B:$B,$G99,'Bill Credit Rates'!$C:$C,$M99)</f>
        <v>131.51801082298743</v>
      </c>
      <c r="AG99" s="14">
        <f>SUMIFS('Bill Credit Rates'!$K:$K,'Bill Credit Rates'!$A:$A,$A$4,'Bill Credit Rates'!$B:$B,$G99,'Bill Credit Rates'!$C:$C,$M99)</f>
        <v>131.51801082298743</v>
      </c>
      <c r="AH99" s="14">
        <f>SUMIFS('Bill Credit Rates'!$K:$K,'Bill Credit Rates'!$A:$A,$A$4,'Bill Credit Rates'!$B:$B,$G99,'Bill Credit Rates'!$C:$C,$M99)</f>
        <v>131.51801082298743</v>
      </c>
      <c r="AI99" s="14">
        <f>SUMIFS('Bill Credit Rates'!$K:$K,'Bill Credit Rates'!$A:$A,$A$4,'Bill Credit Rates'!$B:$B,$G99,'Bill Credit Rates'!$C:$C,$M99)</f>
        <v>131.51801082298743</v>
      </c>
      <c r="AJ99" s="14">
        <f>SUMIFS('Bill Credit Rates'!$K:$K,'Bill Credit Rates'!$A:$A,$A$4,'Bill Credit Rates'!$B:$B,$G99,'Bill Credit Rates'!$C:$C,$M99)</f>
        <v>131.51801082298743</v>
      </c>
      <c r="AK99" s="14">
        <f>SUMIFS('Bill Credit Rates'!$K:$K,'Bill Credit Rates'!$A:$A,$A$4,'Bill Credit Rates'!$B:$B,$G99,'Bill Credit Rates'!$C:$C,$M99)</f>
        <v>131.51801082298743</v>
      </c>
      <c r="AL99" s="14">
        <f>SUMIFS('Bill Credit Rates'!$K:$K,'Bill Credit Rates'!$A:$A,$A$4,'Bill Credit Rates'!$B:$B,$G99,'Bill Credit Rates'!$C:$C,$M99)</f>
        <v>131.51801082298743</v>
      </c>
      <c r="AM99" s="14">
        <f>SUMIFS('Bill Credit Rates'!$K:$K,'Bill Credit Rates'!$A:$A,$A$4,'Bill Credit Rates'!$B:$B,$G99,'Bill Credit Rates'!$C:$C,$M99)</f>
        <v>131.51801082298743</v>
      </c>
      <c r="AN99" s="14">
        <f>SUMIFS('Bill Credit Rates'!$K:$K,'Bill Credit Rates'!$A:$A,$A$4,'Bill Credit Rates'!$B:$B,$G99,'Bill Credit Rates'!$C:$C,$M99)</f>
        <v>131.51801082298743</v>
      </c>
    </row>
    <row r="100" spans="1:40">
      <c r="A100" s="48">
        <v>2036</v>
      </c>
      <c r="B100" s="31" cm="1">
        <f t="array" ref="B100">IF(A63&lt;2021,0,SUMPRODUCT(('Project Operational Timelines'!$AO$20:$AO$49=$A63)*('Project Operational Timelines'!$AP$18:$AY$18=$A$4)*('Project Operational Timelines'!$AP$17:$AY$17=$G100)*'Project Operational Timelines'!$AP35:$AY35))</f>
        <v>80.94</v>
      </c>
      <c r="C100" s="84">
        <f t="shared" si="65"/>
        <v>11869.95804315</v>
      </c>
      <c r="D100" s="89">
        <f t="shared" si="68"/>
        <v>10599917.220000001</v>
      </c>
      <c r="E100" s="89"/>
      <c r="F100" s="89" cm="1">
        <f t="array" ref="F100">IF(A100&lt;2021,0,(-(SUMPRODUCT(('Project Operational Timelines'!$AO$20:$AO$49=$A100)*('Project Operational Timelines'!$AP$18:$AY$18=$A$4)*('Project Operational Timelines'!$AP$19:$AY$19="Non-Carve Out")*('Project Operational Timelines'!$AP$17:$AY$17=$G100)*'Project Operational Timelines'!$AP35:$AY35))*1000*('Program Inputs'!$D$14-'Program Inputs'!$D$6)*$F$4*12)+(-(SUMPRODUCT(('Project Operational Timelines'!$AO$20:$AO$49=$A100)*('Project Operational Timelines'!$AP$18:$AY$18=$A$4)*('Project Operational Timelines'!$AP$19:$AY$19="Carve Out")*('Project Operational Timelines'!$AP$17:$AY$17=$G100)*'Project Operational Timelines'!$AP35:$AY35))*1000*('Program Inputs'!$D$14-'Program Inputs'!$D$7)*$F$4*12))</f>
        <v>-67978.679999999993</v>
      </c>
      <c r="G100" s="79">
        <v>2</v>
      </c>
      <c r="H100" s="328">
        <f t="shared" si="69"/>
        <v>7538720.6900000004</v>
      </c>
      <c r="I100" s="69"/>
      <c r="J100" s="69"/>
      <c r="K100" s="104"/>
      <c r="L100" s="75">
        <f>IF(AND(A100&gt;=('Program Inputs'!$D$4-1),A100&lt;('Program Inputs'!$D$4+19)),1,0)</f>
        <v>1</v>
      </c>
      <c r="M100">
        <v>18</v>
      </c>
      <c r="N100" s="52">
        <v>2036</v>
      </c>
      <c r="O100" s="18">
        <f t="shared" si="66"/>
        <v>70.160493704966768</v>
      </c>
      <c r="P100" s="18">
        <f t="shared" si="70"/>
        <v>71.519189198327297</v>
      </c>
      <c r="Q100" s="18">
        <f t="shared" si="71"/>
        <v>74.671959450027089</v>
      </c>
      <c r="R100" s="18">
        <f t="shared" si="72"/>
        <v>76.205266367508372</v>
      </c>
      <c r="S100" s="18">
        <f t="shared" si="73"/>
        <v>76.337172565133955</v>
      </c>
      <c r="T100" s="18">
        <f t="shared" si="74"/>
        <v>75.98004441799867</v>
      </c>
      <c r="U100" s="18">
        <f t="shared" si="75"/>
        <v>76.067863678976863</v>
      </c>
      <c r="V100" s="18">
        <f t="shared" si="76"/>
        <v>75.980553973534569</v>
      </c>
      <c r="W100" s="18">
        <f t="shared" si="77"/>
        <v>75.809134060262409</v>
      </c>
      <c r="X100" s="18">
        <f t="shared" si="78"/>
        <v>74.140429131984874</v>
      </c>
      <c r="Y100" s="18">
        <f t="shared" si="79"/>
        <v>73.910066901238551</v>
      </c>
      <c r="Z100" s="18">
        <f t="shared" si="80"/>
        <v>72.221591537639114</v>
      </c>
      <c r="AB100" s="52">
        <v>2036</v>
      </c>
      <c r="AC100" s="14">
        <f>SUMIFS('Bill Credit Rates'!$K:$K,'Bill Credit Rates'!$A:$A,$A$4,'Bill Credit Rates'!$B:$B,$G100,'Bill Credit Rates'!$C:$C,$M100)</f>
        <v>134.1483710394472</v>
      </c>
      <c r="AD100" s="14">
        <f>SUMIFS('Bill Credit Rates'!$K:$K,'Bill Credit Rates'!$A:$A,$A$4,'Bill Credit Rates'!$B:$B,$G100,'Bill Credit Rates'!$C:$C,$M100)</f>
        <v>134.1483710394472</v>
      </c>
      <c r="AE100" s="14">
        <f>SUMIFS('Bill Credit Rates'!$K:$K,'Bill Credit Rates'!$A:$A,$A$4,'Bill Credit Rates'!$B:$B,$G100,'Bill Credit Rates'!$C:$C,$M100)</f>
        <v>134.1483710394472</v>
      </c>
      <c r="AF100" s="14">
        <f>SUMIFS('Bill Credit Rates'!$K:$K,'Bill Credit Rates'!$A:$A,$A$4,'Bill Credit Rates'!$B:$B,$G100,'Bill Credit Rates'!$C:$C,$M100)</f>
        <v>134.1483710394472</v>
      </c>
      <c r="AG100" s="14">
        <f>SUMIFS('Bill Credit Rates'!$K:$K,'Bill Credit Rates'!$A:$A,$A$4,'Bill Credit Rates'!$B:$B,$G100,'Bill Credit Rates'!$C:$C,$M100)</f>
        <v>134.1483710394472</v>
      </c>
      <c r="AH100" s="14">
        <f>SUMIFS('Bill Credit Rates'!$K:$K,'Bill Credit Rates'!$A:$A,$A$4,'Bill Credit Rates'!$B:$B,$G100,'Bill Credit Rates'!$C:$C,$M100)</f>
        <v>134.1483710394472</v>
      </c>
      <c r="AI100" s="14">
        <f>SUMIFS('Bill Credit Rates'!$K:$K,'Bill Credit Rates'!$A:$A,$A$4,'Bill Credit Rates'!$B:$B,$G100,'Bill Credit Rates'!$C:$C,$M100)</f>
        <v>134.1483710394472</v>
      </c>
      <c r="AJ100" s="14">
        <f>SUMIFS('Bill Credit Rates'!$K:$K,'Bill Credit Rates'!$A:$A,$A$4,'Bill Credit Rates'!$B:$B,$G100,'Bill Credit Rates'!$C:$C,$M100)</f>
        <v>134.1483710394472</v>
      </c>
      <c r="AK100" s="14">
        <f>SUMIFS('Bill Credit Rates'!$K:$K,'Bill Credit Rates'!$A:$A,$A$4,'Bill Credit Rates'!$B:$B,$G100,'Bill Credit Rates'!$C:$C,$M100)</f>
        <v>134.1483710394472</v>
      </c>
      <c r="AL100" s="14">
        <f>SUMIFS('Bill Credit Rates'!$K:$K,'Bill Credit Rates'!$A:$A,$A$4,'Bill Credit Rates'!$B:$B,$G100,'Bill Credit Rates'!$C:$C,$M100)</f>
        <v>134.1483710394472</v>
      </c>
      <c r="AM100" s="14">
        <f>SUMIFS('Bill Credit Rates'!$K:$K,'Bill Credit Rates'!$A:$A,$A$4,'Bill Credit Rates'!$B:$B,$G100,'Bill Credit Rates'!$C:$C,$M100)</f>
        <v>134.1483710394472</v>
      </c>
      <c r="AN100" s="14">
        <f>SUMIFS('Bill Credit Rates'!$K:$K,'Bill Credit Rates'!$A:$A,$A$4,'Bill Credit Rates'!$B:$B,$G100,'Bill Credit Rates'!$C:$C,$M100)</f>
        <v>134.1483710394472</v>
      </c>
    </row>
    <row r="101" spans="1:40">
      <c r="A101" s="48">
        <v>2037</v>
      </c>
      <c r="B101" s="31" cm="1">
        <f t="array" ref="B101">IF(A64&lt;2021,0,SUMPRODUCT(('Project Operational Timelines'!$AO$20:$AO$49=$A64)*('Project Operational Timelines'!$AP$18:$AY$18=$A$4)*('Project Operational Timelines'!$AP$17:$AY$17=$G101)*'Project Operational Timelines'!$AP36:$AY36))</f>
        <v>80.94</v>
      </c>
      <c r="C101" s="84">
        <f t="shared" si="65"/>
        <v>11869.95804315</v>
      </c>
      <c r="D101" s="89">
        <f t="shared" si="68"/>
        <v>11122099.15</v>
      </c>
      <c r="E101" s="89"/>
      <c r="F101" s="89" cm="1">
        <f t="array" ref="F101">IF(A101&lt;2021,0,(-(SUMPRODUCT(('Project Operational Timelines'!$AO$20:$AO$49=$A101)*('Project Operational Timelines'!$AP$18:$AY$18=$A$4)*('Project Operational Timelines'!$AP$19:$AY$19="Non-Carve Out")*('Project Operational Timelines'!$AP$17:$AY$17=$G101)*'Project Operational Timelines'!$AP36:$AY36))*1000*('Program Inputs'!$D$14-'Program Inputs'!$D$6)*$F$4*12)+(-(SUMPRODUCT(('Project Operational Timelines'!$AO$20:$AO$49=$A101)*('Project Operational Timelines'!$AP$18:$AY$18=$A$4)*('Project Operational Timelines'!$AP$19:$AY$19="Carve Out")*('Project Operational Timelines'!$AP$17:$AY$17=$G101)*'Project Operational Timelines'!$AP36:$AY36))*1000*('Program Inputs'!$D$14-'Program Inputs'!$D$7)*$F$4*12))</f>
        <v>-67978.679999999993</v>
      </c>
      <c r="G101" s="79">
        <v>2</v>
      </c>
      <c r="H101" s="328">
        <f t="shared" si="69"/>
        <v>7688616.6299999999</v>
      </c>
      <c r="I101" s="69"/>
      <c r="J101" s="69"/>
      <c r="K101" s="104"/>
      <c r="L101" s="75">
        <f>IF(AND(A101&gt;=('Program Inputs'!$D$4-1),A101&lt;('Program Inputs'!$D$4+19)),1,0)</f>
        <v>1</v>
      </c>
      <c r="M101">
        <v>19</v>
      </c>
      <c r="N101" s="52">
        <v>2037</v>
      </c>
      <c r="O101" s="18">
        <f t="shared" si="66"/>
        <v>72.739636848646029</v>
      </c>
      <c r="P101" s="18">
        <f t="shared" si="70"/>
        <v>74.398983597712885</v>
      </c>
      <c r="Q101" s="18">
        <f t="shared" si="71"/>
        <v>78.600770874982913</v>
      </c>
      <c r="R101" s="18">
        <f t="shared" si="72"/>
        <v>79.694788162499776</v>
      </c>
      <c r="S101" s="18">
        <f t="shared" si="73"/>
        <v>80.054858947685972</v>
      </c>
      <c r="T101" s="18">
        <f t="shared" si="74"/>
        <v>80.284149615220088</v>
      </c>
      <c r="U101" s="18">
        <f t="shared" si="75"/>
        <v>80.152970003067537</v>
      </c>
      <c r="V101" s="18">
        <f t="shared" si="76"/>
        <v>79.594962476722159</v>
      </c>
      <c r="W101" s="18">
        <f t="shared" si="77"/>
        <v>79.440593007806314</v>
      </c>
      <c r="X101" s="18">
        <f t="shared" si="78"/>
        <v>78.129321023065529</v>
      </c>
      <c r="Y101" s="18">
        <f t="shared" si="79"/>
        <v>78.021548592684553</v>
      </c>
      <c r="Z101" s="18">
        <f t="shared" si="80"/>
        <v>75.883075305379265</v>
      </c>
      <c r="AB101" s="52">
        <v>2037</v>
      </c>
      <c r="AC101" s="14">
        <f>SUMIFS('Bill Credit Rates'!$K:$K,'Bill Credit Rates'!$A:$A,$A$4,'Bill Credit Rates'!$B:$B,$G101,'Bill Credit Rates'!$C:$C,$M101)</f>
        <v>136.83133846023617</v>
      </c>
      <c r="AD101" s="14">
        <f>SUMIFS('Bill Credit Rates'!$K:$K,'Bill Credit Rates'!$A:$A,$A$4,'Bill Credit Rates'!$B:$B,$G101,'Bill Credit Rates'!$C:$C,$M101)</f>
        <v>136.83133846023617</v>
      </c>
      <c r="AE101" s="14">
        <f>SUMIFS('Bill Credit Rates'!$K:$K,'Bill Credit Rates'!$A:$A,$A$4,'Bill Credit Rates'!$B:$B,$G101,'Bill Credit Rates'!$C:$C,$M101)</f>
        <v>136.83133846023617</v>
      </c>
      <c r="AF101" s="14">
        <f>SUMIFS('Bill Credit Rates'!$K:$K,'Bill Credit Rates'!$A:$A,$A$4,'Bill Credit Rates'!$B:$B,$G101,'Bill Credit Rates'!$C:$C,$M101)</f>
        <v>136.83133846023617</v>
      </c>
      <c r="AG101" s="14">
        <f>SUMIFS('Bill Credit Rates'!$K:$K,'Bill Credit Rates'!$A:$A,$A$4,'Bill Credit Rates'!$B:$B,$G101,'Bill Credit Rates'!$C:$C,$M101)</f>
        <v>136.83133846023617</v>
      </c>
      <c r="AH101" s="14">
        <f>SUMIFS('Bill Credit Rates'!$K:$K,'Bill Credit Rates'!$A:$A,$A$4,'Bill Credit Rates'!$B:$B,$G101,'Bill Credit Rates'!$C:$C,$M101)</f>
        <v>136.83133846023617</v>
      </c>
      <c r="AI101" s="14">
        <f>SUMIFS('Bill Credit Rates'!$K:$K,'Bill Credit Rates'!$A:$A,$A$4,'Bill Credit Rates'!$B:$B,$G101,'Bill Credit Rates'!$C:$C,$M101)</f>
        <v>136.83133846023617</v>
      </c>
      <c r="AJ101" s="14">
        <f>SUMIFS('Bill Credit Rates'!$K:$K,'Bill Credit Rates'!$A:$A,$A$4,'Bill Credit Rates'!$B:$B,$G101,'Bill Credit Rates'!$C:$C,$M101)</f>
        <v>136.83133846023617</v>
      </c>
      <c r="AK101" s="14">
        <f>SUMIFS('Bill Credit Rates'!$K:$K,'Bill Credit Rates'!$A:$A,$A$4,'Bill Credit Rates'!$B:$B,$G101,'Bill Credit Rates'!$C:$C,$M101)</f>
        <v>136.83133846023617</v>
      </c>
      <c r="AL101" s="14">
        <f>SUMIFS('Bill Credit Rates'!$K:$K,'Bill Credit Rates'!$A:$A,$A$4,'Bill Credit Rates'!$B:$B,$G101,'Bill Credit Rates'!$C:$C,$M101)</f>
        <v>136.83133846023617</v>
      </c>
      <c r="AM101" s="14">
        <f>SUMIFS('Bill Credit Rates'!$K:$K,'Bill Credit Rates'!$A:$A,$A$4,'Bill Credit Rates'!$B:$B,$G101,'Bill Credit Rates'!$C:$C,$M101)</f>
        <v>136.83133846023617</v>
      </c>
      <c r="AN101" s="14">
        <f>SUMIFS('Bill Credit Rates'!$K:$K,'Bill Credit Rates'!$A:$A,$A$4,'Bill Credit Rates'!$B:$B,$G101,'Bill Credit Rates'!$C:$C,$M101)</f>
        <v>136.83133846023617</v>
      </c>
    </row>
    <row r="102" spans="1:40">
      <c r="A102" s="48">
        <v>2038</v>
      </c>
      <c r="B102" s="31" cm="1">
        <f t="array" ref="B102">IF(A65&lt;2021,0,SUMPRODUCT(('Project Operational Timelines'!$AO$20:$AO$49=$A65)*('Project Operational Timelines'!$AP$18:$AY$18=$A$4)*('Project Operational Timelines'!$AP$17:$AY$17=$G102)*'Project Operational Timelines'!$AP37:$AY37))</f>
        <v>80.94</v>
      </c>
      <c r="C102" s="84">
        <f t="shared" si="65"/>
        <v>11869.95804315</v>
      </c>
      <c r="D102" s="89">
        <f t="shared" si="68"/>
        <v>11499038.98</v>
      </c>
      <c r="E102" s="89"/>
      <c r="F102" s="89" cm="1">
        <f t="array" ref="F102">IF(A102&lt;2021,0,(-(SUMPRODUCT(('Project Operational Timelines'!$AO$20:$AO$49=$A102)*('Project Operational Timelines'!$AP$18:$AY$18=$A$4)*('Project Operational Timelines'!$AP$19:$AY$19="Non-Carve Out")*('Project Operational Timelines'!$AP$17:$AY$17=$G102)*'Project Operational Timelines'!$AP37:$AY37))*1000*('Program Inputs'!$D$14-'Program Inputs'!$D$6)*$F$4*12)+(-(SUMPRODUCT(('Project Operational Timelines'!$AO$20:$AO$49=$A102)*('Project Operational Timelines'!$AP$18:$AY$18=$A$4)*('Project Operational Timelines'!$AP$19:$AY$19="Carve Out")*('Project Operational Timelines'!$AP$17:$AY$17=$G102)*'Project Operational Timelines'!$AP37:$AY37))*1000*('Program Inputs'!$D$14-'Program Inputs'!$D$7)*$F$4*12))</f>
        <v>-67978.679999999993</v>
      </c>
      <c r="G102" s="79">
        <v>2</v>
      </c>
      <c r="H102" s="328">
        <f t="shared" si="69"/>
        <v>7726614.6799999997</v>
      </c>
      <c r="I102" s="69"/>
      <c r="J102" s="69"/>
      <c r="K102" s="104"/>
      <c r="L102" s="75">
        <f>IF(AND(A102&gt;=('Program Inputs'!$D$4-1),A102&lt;('Program Inputs'!$D$4+19)),1,0)</f>
        <v>1</v>
      </c>
      <c r="M102">
        <v>20</v>
      </c>
      <c r="N102" s="52">
        <v>2038</v>
      </c>
      <c r="O102" s="18">
        <f t="shared" si="66"/>
        <v>76.058937434298628</v>
      </c>
      <c r="P102" s="18">
        <f t="shared" si="70"/>
        <v>76.129429452973824</v>
      </c>
      <c r="Q102" s="18">
        <f t="shared" si="71"/>
        <v>80.891469368864477</v>
      </c>
      <c r="R102" s="18">
        <f t="shared" si="72"/>
        <v>82.361780115881629</v>
      </c>
      <c r="S102" s="18">
        <f t="shared" si="73"/>
        <v>82.200652076187993</v>
      </c>
      <c r="T102" s="18">
        <f t="shared" si="74"/>
        <v>82.708537990675154</v>
      </c>
      <c r="U102" s="18">
        <f t="shared" si="75"/>
        <v>81.754844730306019</v>
      </c>
      <c r="V102" s="18">
        <f t="shared" si="76"/>
        <v>82.062069141251612</v>
      </c>
      <c r="W102" s="18">
        <f t="shared" si="77"/>
        <v>81.483393867843574</v>
      </c>
      <c r="X102" s="18">
        <f t="shared" si="78"/>
        <v>80.160463170665949</v>
      </c>
      <c r="Y102" s="18">
        <f t="shared" si="79"/>
        <v>82.337425391994728</v>
      </c>
      <c r="Z102" s="18">
        <f t="shared" si="80"/>
        <v>80.602440262630438</v>
      </c>
      <c r="AB102" s="52">
        <v>2038</v>
      </c>
      <c r="AC102" s="14">
        <f>SUMIFS('Bill Credit Rates'!$K:$K,'Bill Credit Rates'!$A:$A,$A$4,'Bill Credit Rates'!$B:$B,$G102,'Bill Credit Rates'!$C:$C,$M102)</f>
        <v>139.56796522944086</v>
      </c>
      <c r="AD102" s="14">
        <f>SUMIFS('Bill Credit Rates'!$K:$K,'Bill Credit Rates'!$A:$A,$A$4,'Bill Credit Rates'!$B:$B,$G102,'Bill Credit Rates'!$C:$C,$M102)</f>
        <v>139.56796522944086</v>
      </c>
      <c r="AE102" s="14">
        <f>SUMIFS('Bill Credit Rates'!$K:$K,'Bill Credit Rates'!$A:$A,$A$4,'Bill Credit Rates'!$B:$B,$G102,'Bill Credit Rates'!$C:$C,$M102)</f>
        <v>139.56796522944086</v>
      </c>
      <c r="AF102" s="14">
        <f>SUMIFS('Bill Credit Rates'!$K:$K,'Bill Credit Rates'!$A:$A,$A$4,'Bill Credit Rates'!$B:$B,$G102,'Bill Credit Rates'!$C:$C,$M102)</f>
        <v>139.56796522944086</v>
      </c>
      <c r="AG102" s="14">
        <f>SUMIFS('Bill Credit Rates'!$K:$K,'Bill Credit Rates'!$A:$A,$A$4,'Bill Credit Rates'!$B:$B,$G102,'Bill Credit Rates'!$C:$C,$M102)</f>
        <v>139.56796522944086</v>
      </c>
      <c r="AH102" s="14">
        <f>SUMIFS('Bill Credit Rates'!$K:$K,'Bill Credit Rates'!$A:$A,$A$4,'Bill Credit Rates'!$B:$B,$G102,'Bill Credit Rates'!$C:$C,$M102)</f>
        <v>139.56796522944086</v>
      </c>
      <c r="AI102" s="14">
        <f>SUMIFS('Bill Credit Rates'!$K:$K,'Bill Credit Rates'!$A:$A,$A$4,'Bill Credit Rates'!$B:$B,$G102,'Bill Credit Rates'!$C:$C,$M102)</f>
        <v>139.56796522944086</v>
      </c>
      <c r="AJ102" s="14">
        <f>SUMIFS('Bill Credit Rates'!$K:$K,'Bill Credit Rates'!$A:$A,$A$4,'Bill Credit Rates'!$B:$B,$G102,'Bill Credit Rates'!$C:$C,$M102)</f>
        <v>139.56796522944086</v>
      </c>
      <c r="AK102" s="14">
        <f>SUMIFS('Bill Credit Rates'!$K:$K,'Bill Credit Rates'!$A:$A,$A$4,'Bill Credit Rates'!$B:$B,$G102,'Bill Credit Rates'!$C:$C,$M102)</f>
        <v>139.56796522944086</v>
      </c>
      <c r="AL102" s="14">
        <f>SUMIFS('Bill Credit Rates'!$K:$K,'Bill Credit Rates'!$A:$A,$A$4,'Bill Credit Rates'!$B:$B,$G102,'Bill Credit Rates'!$C:$C,$M102)</f>
        <v>139.56796522944086</v>
      </c>
      <c r="AM102" s="14">
        <f>SUMIFS('Bill Credit Rates'!$K:$K,'Bill Credit Rates'!$A:$A,$A$4,'Bill Credit Rates'!$B:$B,$G102,'Bill Credit Rates'!$C:$C,$M102)</f>
        <v>139.56796522944086</v>
      </c>
      <c r="AN102" s="14">
        <f>SUMIFS('Bill Credit Rates'!$K:$K,'Bill Credit Rates'!$A:$A,$A$4,'Bill Credit Rates'!$B:$B,$G102,'Bill Credit Rates'!$C:$C,$M102)</f>
        <v>139.56796522944086</v>
      </c>
    </row>
    <row r="103" spans="1:40">
      <c r="A103" s="48">
        <v>2039</v>
      </c>
      <c r="B103" s="31" cm="1">
        <f t="array" ref="B103">IF(A66&lt;2021,0,SUMPRODUCT(('Project Operational Timelines'!$AO$20:$AO$49=$A66)*('Project Operational Timelines'!$AP$18:$AY$18=$A$4)*('Project Operational Timelines'!$AP$17:$AY$17=$G103)*'Project Operational Timelines'!$AP38:$AY38))</f>
        <v>80.94</v>
      </c>
      <c r="C103" s="84">
        <f t="shared" si="65"/>
        <v>11869.95804315</v>
      </c>
      <c r="D103" s="89">
        <f t="shared" si="68"/>
        <v>11804322.57</v>
      </c>
      <c r="E103" s="89"/>
      <c r="F103" s="89" cm="1">
        <f t="array" ref="F103">IF(A103&lt;2021,0,(-(SUMPRODUCT(('Project Operational Timelines'!$AO$20:$AO$49=$A103)*('Project Operational Timelines'!$AP$18:$AY$18=$A$4)*('Project Operational Timelines'!$AP$19:$AY$19="Non-Carve Out")*('Project Operational Timelines'!$AP$17:$AY$17=$G103)*'Project Operational Timelines'!$AP38:$AY38))*1000*('Program Inputs'!$D$14-'Program Inputs'!$D$6)*$F$4*12)+(-(SUMPRODUCT(('Project Operational Timelines'!$AO$20:$AO$49=$A103)*('Project Operational Timelines'!$AP$18:$AY$18=$A$4)*('Project Operational Timelines'!$AP$19:$AY$19="Carve Out")*('Project Operational Timelines'!$AP$17:$AY$17=$G103)*'Project Operational Timelines'!$AP38:$AY38))*1000*('Program Inputs'!$D$14-'Program Inputs'!$D$7)*$F$4*12))</f>
        <v>-67978.679999999993</v>
      </c>
      <c r="G103" s="79">
        <v>2</v>
      </c>
      <c r="H103" s="328">
        <f t="shared" si="69"/>
        <v>7709656.75</v>
      </c>
      <c r="I103" s="69"/>
      <c r="J103" s="69"/>
      <c r="K103" s="104"/>
      <c r="L103" s="75">
        <f>IF(AND(A103&gt;=('Program Inputs'!$D$4-1),A103&lt;('Program Inputs'!$D$4+19)),1,0)</f>
        <v>0</v>
      </c>
      <c r="M103">
        <v>21</v>
      </c>
      <c r="N103" s="52">
        <v>2039</v>
      </c>
      <c r="O103" s="18">
        <f t="shared" si="66"/>
        <v>79.361883746699135</v>
      </c>
      <c r="P103" s="18">
        <f t="shared" si="70"/>
        <v>80.120670018462164</v>
      </c>
      <c r="Q103" s="18">
        <f t="shared" si="71"/>
        <v>81.758638932008296</v>
      </c>
      <c r="R103" s="18">
        <f t="shared" si="72"/>
        <v>83.935978273803343</v>
      </c>
      <c r="S103" s="18">
        <f t="shared" si="73"/>
        <v>84.075717320825035</v>
      </c>
      <c r="T103" s="18">
        <f t="shared" si="74"/>
        <v>84.22072422878459</v>
      </c>
      <c r="U103" s="18">
        <f t="shared" si="75"/>
        <v>84.211899682137613</v>
      </c>
      <c r="V103" s="18">
        <f t="shared" si="76"/>
        <v>83.969378175347742</v>
      </c>
      <c r="W103" s="18">
        <f t="shared" si="77"/>
        <v>83.612519777922614</v>
      </c>
      <c r="X103" s="18">
        <f t="shared" si="78"/>
        <v>83.652732395798324</v>
      </c>
      <c r="Y103" s="18">
        <f t="shared" si="79"/>
        <v>83.594251782933782</v>
      </c>
      <c r="Z103" s="18">
        <f t="shared" si="80"/>
        <v>81.956060576530831</v>
      </c>
      <c r="AB103" s="52">
        <v>2039</v>
      </c>
      <c r="AC103" s="14">
        <f>SUMIFS('Bill Credit Rates'!$K:$K,'Bill Credit Rates'!$A:$A,$A$4,'Bill Credit Rates'!$B:$B,$G103,'Bill Credit Rates'!$C:$C,$M103)</f>
        <v>142.3593245340297</v>
      </c>
      <c r="AD103" s="14">
        <f>SUMIFS('Bill Credit Rates'!$K:$K,'Bill Credit Rates'!$A:$A,$A$4,'Bill Credit Rates'!$B:$B,$G103,'Bill Credit Rates'!$C:$C,$M103)</f>
        <v>142.3593245340297</v>
      </c>
      <c r="AE103" s="14">
        <f>SUMIFS('Bill Credit Rates'!$K:$K,'Bill Credit Rates'!$A:$A,$A$4,'Bill Credit Rates'!$B:$B,$G103,'Bill Credit Rates'!$C:$C,$M103)</f>
        <v>142.3593245340297</v>
      </c>
      <c r="AF103" s="14">
        <f>SUMIFS('Bill Credit Rates'!$K:$K,'Bill Credit Rates'!$A:$A,$A$4,'Bill Credit Rates'!$B:$B,$G103,'Bill Credit Rates'!$C:$C,$M103)</f>
        <v>142.3593245340297</v>
      </c>
      <c r="AG103" s="14">
        <f>SUMIFS('Bill Credit Rates'!$K:$K,'Bill Credit Rates'!$A:$A,$A$4,'Bill Credit Rates'!$B:$B,$G103,'Bill Credit Rates'!$C:$C,$M103)</f>
        <v>142.3593245340297</v>
      </c>
      <c r="AH103" s="14">
        <f>SUMIFS('Bill Credit Rates'!$K:$K,'Bill Credit Rates'!$A:$A,$A$4,'Bill Credit Rates'!$B:$B,$G103,'Bill Credit Rates'!$C:$C,$M103)</f>
        <v>142.3593245340297</v>
      </c>
      <c r="AI103" s="14">
        <f>SUMIFS('Bill Credit Rates'!$K:$K,'Bill Credit Rates'!$A:$A,$A$4,'Bill Credit Rates'!$B:$B,$G103,'Bill Credit Rates'!$C:$C,$M103)</f>
        <v>142.3593245340297</v>
      </c>
      <c r="AJ103" s="14">
        <f>SUMIFS('Bill Credit Rates'!$K:$K,'Bill Credit Rates'!$A:$A,$A$4,'Bill Credit Rates'!$B:$B,$G103,'Bill Credit Rates'!$C:$C,$M103)</f>
        <v>142.3593245340297</v>
      </c>
      <c r="AK103" s="14">
        <f>SUMIFS('Bill Credit Rates'!$K:$K,'Bill Credit Rates'!$A:$A,$A$4,'Bill Credit Rates'!$B:$B,$G103,'Bill Credit Rates'!$C:$C,$M103)</f>
        <v>142.3593245340297</v>
      </c>
      <c r="AL103" s="14">
        <f>SUMIFS('Bill Credit Rates'!$K:$K,'Bill Credit Rates'!$A:$A,$A$4,'Bill Credit Rates'!$B:$B,$G103,'Bill Credit Rates'!$C:$C,$M103)</f>
        <v>142.3593245340297</v>
      </c>
      <c r="AM103" s="14">
        <f>SUMIFS('Bill Credit Rates'!$K:$K,'Bill Credit Rates'!$A:$A,$A$4,'Bill Credit Rates'!$B:$B,$G103,'Bill Credit Rates'!$C:$C,$M103)</f>
        <v>142.3593245340297</v>
      </c>
      <c r="AN103" s="14">
        <f>SUMIFS('Bill Credit Rates'!$K:$K,'Bill Credit Rates'!$A:$A,$A$4,'Bill Credit Rates'!$B:$B,$G103,'Bill Credit Rates'!$C:$C,$M103)</f>
        <v>142.3593245340297</v>
      </c>
    </row>
    <row r="104" spans="1:40">
      <c r="A104" s="48">
        <v>2040</v>
      </c>
      <c r="B104" s="31" cm="1">
        <f t="array" ref="B104">IF(A67&lt;2021,0,SUMPRODUCT(('Project Operational Timelines'!$AO$20:$AO$49=$A67)*('Project Operational Timelines'!$AP$18:$AY$18=$A$4)*('Project Operational Timelines'!$AP$17:$AY$17=$G104)*'Project Operational Timelines'!$AP39:$AY39))</f>
        <v>80.94</v>
      </c>
      <c r="C104" s="84">
        <f t="shared" si="65"/>
        <v>11869.95804315</v>
      </c>
      <c r="D104" s="89">
        <f t="shared" si="68"/>
        <v>11907070.25</v>
      </c>
      <c r="E104" s="89"/>
      <c r="F104" s="89" cm="1">
        <f t="array" ref="F104">IF(A104&lt;2021,0,(-(SUMPRODUCT(('Project Operational Timelines'!$AO$20:$AO$49=$A104)*('Project Operational Timelines'!$AP$18:$AY$18=$A$4)*('Project Operational Timelines'!$AP$19:$AY$19="Non-Carve Out")*('Project Operational Timelines'!$AP$17:$AY$17=$G104)*'Project Operational Timelines'!$AP39:$AY39))*1000*('Program Inputs'!$D$14-'Program Inputs'!$D$6)*$F$4*12)+(-(SUMPRODUCT(('Project Operational Timelines'!$AO$20:$AO$49=$A104)*('Project Operational Timelines'!$AP$18:$AY$18=$A$4)*('Project Operational Timelines'!$AP$19:$AY$19="Carve Out")*('Project Operational Timelines'!$AP$17:$AY$17=$G104)*'Project Operational Timelines'!$AP39:$AY39))*1000*('Program Inputs'!$D$14-'Program Inputs'!$D$7)*$F$4*12))</f>
        <v>-67978.679999999993</v>
      </c>
      <c r="G104" s="79">
        <v>2</v>
      </c>
      <c r="H104" s="328">
        <f t="shared" si="69"/>
        <v>7559014.0899999999</v>
      </c>
      <c r="I104" s="69"/>
      <c r="J104" s="69"/>
      <c r="K104" s="104"/>
      <c r="L104" s="75">
        <f>IF(AND(A104&gt;=('Program Inputs'!$D$4-1),A104&lt;('Program Inputs'!$D$4+19)),1,0)</f>
        <v>0</v>
      </c>
      <c r="M104">
        <v>22</v>
      </c>
      <c r="N104" s="52">
        <v>2040</v>
      </c>
      <c r="O104" s="18">
        <f t="shared" ref="O104:Z104" si="81">(AC104-BS67)</f>
        <v>81.053689454890602</v>
      </c>
      <c r="P104" s="18">
        <f t="shared" si="81"/>
        <v>79.837122805959893</v>
      </c>
      <c r="Q104" s="18">
        <f t="shared" si="81"/>
        <v>82.73061922136219</v>
      </c>
      <c r="R104" s="18">
        <f t="shared" si="81"/>
        <v>84.718748011074865</v>
      </c>
      <c r="S104" s="18">
        <f t="shared" si="81"/>
        <v>84.837097295426673</v>
      </c>
      <c r="T104" s="18">
        <f t="shared" si="81"/>
        <v>84.740525239308681</v>
      </c>
      <c r="U104" s="18">
        <f t="shared" si="81"/>
        <v>85.018228095378788</v>
      </c>
      <c r="V104" s="18">
        <f t="shared" si="81"/>
        <v>84.848550658409778</v>
      </c>
      <c r="W104" s="18">
        <f t="shared" si="81"/>
        <v>84.21084519790017</v>
      </c>
      <c r="X104" s="18">
        <f t="shared" si="81"/>
        <v>83.675352882749849</v>
      </c>
      <c r="Y104" s="18">
        <f t="shared" si="81"/>
        <v>84.831972959397206</v>
      </c>
      <c r="Z104" s="18">
        <f t="shared" si="81"/>
        <v>82.623814491736766</v>
      </c>
      <c r="AB104" s="52">
        <v>2040</v>
      </c>
      <c r="AC104" s="14">
        <f>SUMIFS('Bill Credit Rates'!$K:$K,'Bill Credit Rates'!$A:$A,$A$4,'Bill Credit Rates'!$B:$B,$G104,'Bill Credit Rates'!$C:$C,$M104)</f>
        <v>145.2065110247103</v>
      </c>
      <c r="AD104" s="14">
        <f>SUMIFS('Bill Credit Rates'!$K:$K,'Bill Credit Rates'!$A:$A,$A$4,'Bill Credit Rates'!$B:$B,$G104,'Bill Credit Rates'!$C:$C,$M104)</f>
        <v>145.2065110247103</v>
      </c>
      <c r="AE104" s="14">
        <f>SUMIFS('Bill Credit Rates'!$K:$K,'Bill Credit Rates'!$A:$A,$A$4,'Bill Credit Rates'!$B:$B,$G104,'Bill Credit Rates'!$C:$C,$M104)</f>
        <v>145.2065110247103</v>
      </c>
      <c r="AF104" s="14">
        <f>SUMIFS('Bill Credit Rates'!$K:$K,'Bill Credit Rates'!$A:$A,$A$4,'Bill Credit Rates'!$B:$B,$G104,'Bill Credit Rates'!$C:$C,$M104)</f>
        <v>145.2065110247103</v>
      </c>
      <c r="AG104" s="14">
        <f>SUMIFS('Bill Credit Rates'!$K:$K,'Bill Credit Rates'!$A:$A,$A$4,'Bill Credit Rates'!$B:$B,$G104,'Bill Credit Rates'!$C:$C,$M104)</f>
        <v>145.2065110247103</v>
      </c>
      <c r="AH104" s="14">
        <f>SUMIFS('Bill Credit Rates'!$K:$K,'Bill Credit Rates'!$A:$A,$A$4,'Bill Credit Rates'!$B:$B,$G104,'Bill Credit Rates'!$C:$C,$M104)</f>
        <v>145.2065110247103</v>
      </c>
      <c r="AI104" s="14">
        <f>SUMIFS('Bill Credit Rates'!$K:$K,'Bill Credit Rates'!$A:$A,$A$4,'Bill Credit Rates'!$B:$B,$G104,'Bill Credit Rates'!$C:$C,$M104)</f>
        <v>145.2065110247103</v>
      </c>
      <c r="AJ104" s="14">
        <f>SUMIFS('Bill Credit Rates'!$K:$K,'Bill Credit Rates'!$A:$A,$A$4,'Bill Credit Rates'!$B:$B,$G104,'Bill Credit Rates'!$C:$C,$M104)</f>
        <v>145.2065110247103</v>
      </c>
      <c r="AK104" s="14">
        <f>SUMIFS('Bill Credit Rates'!$K:$K,'Bill Credit Rates'!$A:$A,$A$4,'Bill Credit Rates'!$B:$B,$G104,'Bill Credit Rates'!$C:$C,$M104)</f>
        <v>145.2065110247103</v>
      </c>
      <c r="AL104" s="14">
        <f>SUMIFS('Bill Credit Rates'!$K:$K,'Bill Credit Rates'!$A:$A,$A$4,'Bill Credit Rates'!$B:$B,$G104,'Bill Credit Rates'!$C:$C,$M104)</f>
        <v>145.2065110247103</v>
      </c>
      <c r="AM104" s="14">
        <f>SUMIFS('Bill Credit Rates'!$K:$K,'Bill Credit Rates'!$A:$A,$A$4,'Bill Credit Rates'!$B:$B,$G104,'Bill Credit Rates'!$C:$C,$M104)</f>
        <v>145.2065110247103</v>
      </c>
      <c r="AN104" s="14">
        <f>SUMIFS('Bill Credit Rates'!$K:$K,'Bill Credit Rates'!$A:$A,$A$4,'Bill Credit Rates'!$B:$B,$G104,'Bill Credit Rates'!$C:$C,$M104)</f>
        <v>145.2065110247103</v>
      </c>
    </row>
    <row r="105" spans="1:40">
      <c r="A105" s="48">
        <v>2041</v>
      </c>
      <c r="B105" s="31" cm="1">
        <f t="array" ref="B105">IF(A68&lt;2021,0,SUMPRODUCT(('Project Operational Timelines'!$AO$20:$AO$49=$A68)*('Project Operational Timelines'!$AP$18:$AY$18=$A$4)*('Project Operational Timelines'!$AP$17:$AY$17=$G105)*'Project Operational Timelines'!$AP40:$AY40))</f>
        <v>80.94</v>
      </c>
      <c r="C105" s="84">
        <f t="shared" si="65"/>
        <v>11869.95804315</v>
      </c>
      <c r="D105" s="89">
        <f t="shared" si="68"/>
        <v>12006072.6</v>
      </c>
      <c r="E105" s="89"/>
      <c r="F105" s="89" cm="1">
        <f t="array" ref="F105">IF(A105&lt;2021,0,(-(SUMPRODUCT(('Project Operational Timelines'!$AO$20:$AO$49=$A105)*('Project Operational Timelines'!$AP$18:$AY$18=$A$4)*('Project Operational Timelines'!$AP$19:$AY$19="Non-Carve Out")*('Project Operational Timelines'!$AP$17:$AY$17=$G105)*'Project Operational Timelines'!$AP40:$AY40))*1000*('Program Inputs'!$D$14-'Program Inputs'!$D$6)*$F$4*12)+(-(SUMPRODUCT(('Project Operational Timelines'!$AO$20:$AO$49=$A105)*('Project Operational Timelines'!$AP$18:$AY$18=$A$4)*('Project Operational Timelines'!$AP$19:$AY$19="Carve Out")*('Project Operational Timelines'!$AP$17:$AY$17=$G105)*'Project Operational Timelines'!$AP40:$AY40))*1000*('Program Inputs'!$D$14-'Program Inputs'!$D$7)*$F$4*12))</f>
        <v>-67978.679999999993</v>
      </c>
      <c r="G105" s="79">
        <v>2</v>
      </c>
      <c r="H105" s="328">
        <f t="shared" si="69"/>
        <v>7408451.96</v>
      </c>
      <c r="I105" s="69"/>
      <c r="J105" s="69"/>
      <c r="K105" s="104"/>
      <c r="L105" s="75">
        <f>IF(AND(A105&gt;=('Program Inputs'!$D$4-1),A105&lt;('Program Inputs'!$D$4+19)),1,0)</f>
        <v>0</v>
      </c>
      <c r="M105">
        <v>23</v>
      </c>
      <c r="N105" s="52">
        <v>2041</v>
      </c>
      <c r="O105" s="18">
        <f t="shared" ref="O105:Z105" si="82">(AC105-BS68)</f>
        <v>80.025561756897829</v>
      </c>
      <c r="P105" s="18">
        <f t="shared" si="82"/>
        <v>80.603844477053244</v>
      </c>
      <c r="Q105" s="18">
        <f t="shared" si="82"/>
        <v>84.307265491345078</v>
      </c>
      <c r="R105" s="18">
        <f t="shared" si="82"/>
        <v>86.313659319935212</v>
      </c>
      <c r="S105" s="18">
        <f t="shared" si="82"/>
        <v>86.735390956911829</v>
      </c>
      <c r="T105" s="18">
        <f t="shared" si="82"/>
        <v>86.903769597261729</v>
      </c>
      <c r="U105" s="18">
        <f t="shared" si="82"/>
        <v>85.783759150968208</v>
      </c>
      <c r="V105" s="18">
        <f t="shared" si="82"/>
        <v>85.035937441484634</v>
      </c>
      <c r="W105" s="18">
        <f t="shared" si="82"/>
        <v>84.371204721248404</v>
      </c>
      <c r="X105" s="18">
        <f t="shared" si="82"/>
        <v>85.997927562720719</v>
      </c>
      <c r="Y105" s="18">
        <f t="shared" si="82"/>
        <v>83.743366297075525</v>
      </c>
      <c r="Z105" s="18">
        <f t="shared" si="82"/>
        <v>81.645460145896863</v>
      </c>
      <c r="AB105" s="52">
        <v>2041</v>
      </c>
      <c r="AC105" s="14">
        <f>SUMIFS('Bill Credit Rates'!$K:$K,'Bill Credit Rates'!$A:$A,$A$4,'Bill Credit Rates'!$B:$B,$G105,'Bill Credit Rates'!$C:$C,$M105)</f>
        <v>148.11064124520448</v>
      </c>
      <c r="AD105" s="14">
        <f>SUMIFS('Bill Credit Rates'!$K:$K,'Bill Credit Rates'!$A:$A,$A$4,'Bill Credit Rates'!$B:$B,$G105,'Bill Credit Rates'!$C:$C,$M105)</f>
        <v>148.11064124520448</v>
      </c>
      <c r="AE105" s="14">
        <f>SUMIFS('Bill Credit Rates'!$K:$K,'Bill Credit Rates'!$A:$A,$A$4,'Bill Credit Rates'!$B:$B,$G105,'Bill Credit Rates'!$C:$C,$M105)</f>
        <v>148.11064124520448</v>
      </c>
      <c r="AF105" s="14">
        <f>SUMIFS('Bill Credit Rates'!$K:$K,'Bill Credit Rates'!$A:$A,$A$4,'Bill Credit Rates'!$B:$B,$G105,'Bill Credit Rates'!$C:$C,$M105)</f>
        <v>148.11064124520448</v>
      </c>
      <c r="AG105" s="14">
        <f>SUMIFS('Bill Credit Rates'!$K:$K,'Bill Credit Rates'!$A:$A,$A$4,'Bill Credit Rates'!$B:$B,$G105,'Bill Credit Rates'!$C:$C,$M105)</f>
        <v>148.11064124520448</v>
      </c>
      <c r="AH105" s="14">
        <f>SUMIFS('Bill Credit Rates'!$K:$K,'Bill Credit Rates'!$A:$A,$A$4,'Bill Credit Rates'!$B:$B,$G105,'Bill Credit Rates'!$C:$C,$M105)</f>
        <v>148.11064124520448</v>
      </c>
      <c r="AI105" s="14">
        <f>SUMIFS('Bill Credit Rates'!$K:$K,'Bill Credit Rates'!$A:$A,$A$4,'Bill Credit Rates'!$B:$B,$G105,'Bill Credit Rates'!$C:$C,$M105)</f>
        <v>148.11064124520448</v>
      </c>
      <c r="AJ105" s="14">
        <f>SUMIFS('Bill Credit Rates'!$K:$K,'Bill Credit Rates'!$A:$A,$A$4,'Bill Credit Rates'!$B:$B,$G105,'Bill Credit Rates'!$C:$C,$M105)</f>
        <v>148.11064124520448</v>
      </c>
      <c r="AK105" s="14">
        <f>SUMIFS('Bill Credit Rates'!$K:$K,'Bill Credit Rates'!$A:$A,$A$4,'Bill Credit Rates'!$B:$B,$G105,'Bill Credit Rates'!$C:$C,$M105)</f>
        <v>148.11064124520448</v>
      </c>
      <c r="AL105" s="14">
        <f>SUMIFS('Bill Credit Rates'!$K:$K,'Bill Credit Rates'!$A:$A,$A$4,'Bill Credit Rates'!$B:$B,$G105,'Bill Credit Rates'!$C:$C,$M105)</f>
        <v>148.11064124520448</v>
      </c>
      <c r="AM105" s="14">
        <f>SUMIFS('Bill Credit Rates'!$K:$K,'Bill Credit Rates'!$A:$A,$A$4,'Bill Credit Rates'!$B:$B,$G105,'Bill Credit Rates'!$C:$C,$M105)</f>
        <v>148.11064124520448</v>
      </c>
      <c r="AN105" s="14">
        <f>SUMIFS('Bill Credit Rates'!$K:$K,'Bill Credit Rates'!$A:$A,$A$4,'Bill Credit Rates'!$B:$B,$G105,'Bill Credit Rates'!$C:$C,$M105)</f>
        <v>148.11064124520448</v>
      </c>
    </row>
    <row r="106" spans="1:40">
      <c r="A106" s="48">
        <v>2042</v>
      </c>
      <c r="B106" s="31" cm="1">
        <f t="array" ref="B106">IF(A69&lt;2021,0,SUMPRODUCT(('Project Operational Timelines'!$AO$20:$AO$49=$A69)*('Project Operational Timelines'!$AP$18:$AY$18=$A$4)*('Project Operational Timelines'!$AP$17:$AY$17=$G106)*'Project Operational Timelines'!$AP41:$AY41))</f>
        <v>80.94</v>
      </c>
      <c r="C106" s="84">
        <f t="shared" si="65"/>
        <v>11869.95804315</v>
      </c>
      <c r="D106" s="89">
        <f t="shared" si="68"/>
        <v>12042941.050000001</v>
      </c>
      <c r="E106" s="89"/>
      <c r="F106" s="89" cm="1">
        <f t="array" ref="F106">IF(A106&lt;2021,0,(-(SUMPRODUCT(('Project Operational Timelines'!$AO$20:$AO$49=$A106)*('Project Operational Timelines'!$AP$18:$AY$18=$A$4)*('Project Operational Timelines'!$AP$19:$AY$19="Non-Carve Out")*('Project Operational Timelines'!$AP$17:$AY$17=$G106)*'Project Operational Timelines'!$AP41:$AY41))*1000*('Program Inputs'!$D$14-'Program Inputs'!$D$6)*$F$4*12)+(-(SUMPRODUCT(('Project Operational Timelines'!$AO$20:$AO$49=$A106)*('Project Operational Timelines'!$AP$18:$AY$18=$A$4)*('Project Operational Timelines'!$AP$19:$AY$19="Carve Out")*('Project Operational Timelines'!$AP$17:$AY$17=$G106)*'Project Operational Timelines'!$AP41:$AY41))*1000*('Program Inputs'!$D$14-'Program Inputs'!$D$7)*$F$4*12))</f>
        <v>-67978.679999999993</v>
      </c>
      <c r="G106" s="79">
        <v>2</v>
      </c>
      <c r="H106" s="328">
        <f t="shared" si="69"/>
        <v>7223128.2999999998</v>
      </c>
      <c r="I106" s="69"/>
      <c r="J106" s="69"/>
      <c r="K106" s="104"/>
      <c r="L106" s="75">
        <f>IF(AND(A106&gt;=('Program Inputs'!$D$4-1),A106&lt;('Program Inputs'!$D$4+19)),1,0)</f>
        <v>0</v>
      </c>
      <c r="M106">
        <v>24</v>
      </c>
      <c r="N106" s="52">
        <v>2042</v>
      </c>
      <c r="O106" s="18">
        <f t="shared" ref="O106:Z106" si="83">(AC106-BS69)</f>
        <v>81.656229494973189</v>
      </c>
      <c r="P106" s="18">
        <f t="shared" si="83"/>
        <v>79.529439579454959</v>
      </c>
      <c r="Q106" s="18">
        <f t="shared" si="83"/>
        <v>83.979848395501435</v>
      </c>
      <c r="R106" s="18">
        <f t="shared" si="83"/>
        <v>86.257558732119307</v>
      </c>
      <c r="S106" s="18">
        <f t="shared" si="83"/>
        <v>86.39674783637831</v>
      </c>
      <c r="T106" s="18">
        <f t="shared" si="83"/>
        <v>86.568906952426872</v>
      </c>
      <c r="U106" s="18">
        <f t="shared" si="83"/>
        <v>85.629838015232011</v>
      </c>
      <c r="V106" s="18">
        <f t="shared" si="83"/>
        <v>85.517406624503835</v>
      </c>
      <c r="W106" s="18">
        <f t="shared" si="83"/>
        <v>85.31376172359505</v>
      </c>
      <c r="X106" s="18">
        <f t="shared" si="83"/>
        <v>86.766778258613783</v>
      </c>
      <c r="Y106" s="18">
        <f t="shared" si="83"/>
        <v>85.438154990686854</v>
      </c>
      <c r="Z106" s="18">
        <f t="shared" si="83"/>
        <v>81.518507005457735</v>
      </c>
      <c r="AB106" s="52">
        <v>2042</v>
      </c>
      <c r="AC106" s="14">
        <f>SUMIFS('Bill Credit Rates'!$K:$K,'Bill Credit Rates'!$A:$A,$A$4,'Bill Credit Rates'!$B:$B,$G106,'Bill Credit Rates'!$C:$C,$M106)</f>
        <v>151.07285407010858</v>
      </c>
      <c r="AD106" s="14">
        <f>SUMIFS('Bill Credit Rates'!$K:$K,'Bill Credit Rates'!$A:$A,$A$4,'Bill Credit Rates'!$B:$B,$G106,'Bill Credit Rates'!$C:$C,$M106)</f>
        <v>151.07285407010858</v>
      </c>
      <c r="AE106" s="14">
        <f>SUMIFS('Bill Credit Rates'!$K:$K,'Bill Credit Rates'!$A:$A,$A$4,'Bill Credit Rates'!$B:$B,$G106,'Bill Credit Rates'!$C:$C,$M106)</f>
        <v>151.07285407010858</v>
      </c>
      <c r="AF106" s="14">
        <f>SUMIFS('Bill Credit Rates'!$K:$K,'Bill Credit Rates'!$A:$A,$A$4,'Bill Credit Rates'!$B:$B,$G106,'Bill Credit Rates'!$C:$C,$M106)</f>
        <v>151.07285407010858</v>
      </c>
      <c r="AG106" s="14">
        <f>SUMIFS('Bill Credit Rates'!$K:$K,'Bill Credit Rates'!$A:$A,$A$4,'Bill Credit Rates'!$B:$B,$G106,'Bill Credit Rates'!$C:$C,$M106)</f>
        <v>151.07285407010858</v>
      </c>
      <c r="AH106" s="14">
        <f>SUMIFS('Bill Credit Rates'!$K:$K,'Bill Credit Rates'!$A:$A,$A$4,'Bill Credit Rates'!$B:$B,$G106,'Bill Credit Rates'!$C:$C,$M106)</f>
        <v>151.07285407010858</v>
      </c>
      <c r="AI106" s="14">
        <f>SUMIFS('Bill Credit Rates'!$K:$K,'Bill Credit Rates'!$A:$A,$A$4,'Bill Credit Rates'!$B:$B,$G106,'Bill Credit Rates'!$C:$C,$M106)</f>
        <v>151.07285407010858</v>
      </c>
      <c r="AJ106" s="14">
        <f>SUMIFS('Bill Credit Rates'!$K:$K,'Bill Credit Rates'!$A:$A,$A$4,'Bill Credit Rates'!$B:$B,$G106,'Bill Credit Rates'!$C:$C,$M106)</f>
        <v>151.07285407010858</v>
      </c>
      <c r="AK106" s="14">
        <f>SUMIFS('Bill Credit Rates'!$K:$K,'Bill Credit Rates'!$A:$A,$A$4,'Bill Credit Rates'!$B:$B,$G106,'Bill Credit Rates'!$C:$C,$M106)</f>
        <v>151.07285407010858</v>
      </c>
      <c r="AL106" s="14">
        <f>SUMIFS('Bill Credit Rates'!$K:$K,'Bill Credit Rates'!$A:$A,$A$4,'Bill Credit Rates'!$B:$B,$G106,'Bill Credit Rates'!$C:$C,$M106)</f>
        <v>151.07285407010858</v>
      </c>
      <c r="AM106" s="14">
        <f>SUMIFS('Bill Credit Rates'!$K:$K,'Bill Credit Rates'!$A:$A,$A$4,'Bill Credit Rates'!$B:$B,$G106,'Bill Credit Rates'!$C:$C,$M106)</f>
        <v>151.07285407010858</v>
      </c>
      <c r="AN106" s="14">
        <f>SUMIFS('Bill Credit Rates'!$K:$K,'Bill Credit Rates'!$A:$A,$A$4,'Bill Credit Rates'!$B:$B,$G106,'Bill Credit Rates'!$C:$C,$M106)</f>
        <v>151.07285407010858</v>
      </c>
    </row>
    <row r="107" spans="1:40">
      <c r="A107" s="48">
        <v>2043</v>
      </c>
      <c r="B107" s="31" cm="1">
        <f t="array" ref="B107">IF(A70&lt;2021,0,SUMPRODUCT(('Project Operational Timelines'!$AO$20:$AO$49=$A70)*('Project Operational Timelines'!$AP$18:$AY$18=$A$4)*('Project Operational Timelines'!$AP$17:$AY$17=$G107)*'Project Operational Timelines'!$AP42:$AY42))</f>
        <v>80.77</v>
      </c>
      <c r="C107" s="84">
        <f t="shared" si="65"/>
        <v>11845.027318324999</v>
      </c>
      <c r="D107" s="89">
        <f t="shared" si="68"/>
        <v>12211984.35</v>
      </c>
      <c r="E107" s="89"/>
      <c r="F107" s="89" cm="1">
        <f t="array" ref="F107">IF(A107&lt;2021,0,(-(SUMPRODUCT(('Project Operational Timelines'!$AO$20:$AO$49=$A107)*('Project Operational Timelines'!$AP$18:$AY$18=$A$4)*('Project Operational Timelines'!$AP$19:$AY$19="Non-Carve Out")*('Project Operational Timelines'!$AP$17:$AY$17=$G107)*'Project Operational Timelines'!$AP42:$AY42))*1000*('Program Inputs'!$D$14-'Program Inputs'!$D$6)*$F$4*12)+(-(SUMPRODUCT(('Project Operational Timelines'!$AO$20:$AO$49=$A107)*('Project Operational Timelines'!$AP$18:$AY$18=$A$4)*('Project Operational Timelines'!$AP$19:$AY$19="Carve Out")*('Project Operational Timelines'!$AP$17:$AY$17=$G107)*'Project Operational Timelines'!$AP42:$AY42))*1000*('Program Inputs'!$D$14-'Program Inputs'!$D$7)*$F$4*12))</f>
        <v>-67787.939999999988</v>
      </c>
      <c r="G107" s="79">
        <v>2</v>
      </c>
      <c r="H107" s="328">
        <f t="shared" si="69"/>
        <v>7119430.79</v>
      </c>
      <c r="I107" s="69"/>
      <c r="J107" s="69"/>
      <c r="K107" s="104"/>
      <c r="L107" s="75">
        <f>IF(AND(A107&gt;=('Program Inputs'!$D$4-1),A107&lt;('Program Inputs'!$D$4+19)),1,0)</f>
        <v>0</v>
      </c>
      <c r="M107">
        <v>25</v>
      </c>
      <c r="N107" s="52">
        <v>2043</v>
      </c>
      <c r="O107" s="18">
        <f t="shared" ref="O107:Z107" si="84">(AC107-BS70)</f>
        <v>83.097911710998304</v>
      </c>
      <c r="P107" s="18">
        <f t="shared" si="84"/>
        <v>79.912202756644731</v>
      </c>
      <c r="Q107" s="18">
        <f t="shared" si="84"/>
        <v>85.863170166088466</v>
      </c>
      <c r="R107" s="18">
        <f t="shared" si="84"/>
        <v>87.813603860201283</v>
      </c>
      <c r="S107" s="18">
        <f t="shared" si="84"/>
        <v>87.954220131359946</v>
      </c>
      <c r="T107" s="18">
        <f t="shared" si="84"/>
        <v>87.998194150136456</v>
      </c>
      <c r="U107" s="18">
        <f t="shared" si="84"/>
        <v>86.894197048958944</v>
      </c>
      <c r="V107" s="18">
        <f t="shared" si="84"/>
        <v>86.776735451634082</v>
      </c>
      <c r="W107" s="18">
        <f t="shared" si="84"/>
        <v>86.562130259030738</v>
      </c>
      <c r="X107" s="18">
        <f t="shared" si="84"/>
        <v>87.61951368298692</v>
      </c>
      <c r="Y107" s="18">
        <f t="shared" si="84"/>
        <v>86.912343099032498</v>
      </c>
      <c r="Z107" s="18">
        <f t="shared" si="84"/>
        <v>83.575616209721375</v>
      </c>
      <c r="AB107" s="52">
        <v>2043</v>
      </c>
      <c r="AC107" s="14">
        <f>SUMIFS('Bill Credit Rates'!$K:$K,'Bill Credit Rates'!$A:$A,$A$4,'Bill Credit Rates'!$B:$B,$G107,'Bill Credit Rates'!$C:$C,$M107)</f>
        <v>154.09431115151077</v>
      </c>
      <c r="AD107" s="14">
        <f>SUMIFS('Bill Credit Rates'!$K:$K,'Bill Credit Rates'!$A:$A,$A$4,'Bill Credit Rates'!$B:$B,$G107,'Bill Credit Rates'!$C:$C,$M107)</f>
        <v>154.09431115151077</v>
      </c>
      <c r="AE107" s="14">
        <f>SUMIFS('Bill Credit Rates'!$K:$K,'Bill Credit Rates'!$A:$A,$A$4,'Bill Credit Rates'!$B:$B,$G107,'Bill Credit Rates'!$C:$C,$M107)</f>
        <v>154.09431115151077</v>
      </c>
      <c r="AF107" s="14">
        <f>SUMIFS('Bill Credit Rates'!$K:$K,'Bill Credit Rates'!$A:$A,$A$4,'Bill Credit Rates'!$B:$B,$G107,'Bill Credit Rates'!$C:$C,$M107)</f>
        <v>154.09431115151077</v>
      </c>
      <c r="AG107" s="14">
        <f>SUMIFS('Bill Credit Rates'!$K:$K,'Bill Credit Rates'!$A:$A,$A$4,'Bill Credit Rates'!$B:$B,$G107,'Bill Credit Rates'!$C:$C,$M107)</f>
        <v>154.09431115151077</v>
      </c>
      <c r="AH107" s="14">
        <f>SUMIFS('Bill Credit Rates'!$K:$K,'Bill Credit Rates'!$A:$A,$A$4,'Bill Credit Rates'!$B:$B,$G107,'Bill Credit Rates'!$C:$C,$M107)</f>
        <v>154.09431115151077</v>
      </c>
      <c r="AI107" s="14">
        <f>SUMIFS('Bill Credit Rates'!$K:$K,'Bill Credit Rates'!$A:$A,$A$4,'Bill Credit Rates'!$B:$B,$G107,'Bill Credit Rates'!$C:$C,$M107)</f>
        <v>154.09431115151077</v>
      </c>
      <c r="AJ107" s="14">
        <f>SUMIFS('Bill Credit Rates'!$K:$K,'Bill Credit Rates'!$A:$A,$A$4,'Bill Credit Rates'!$B:$B,$G107,'Bill Credit Rates'!$C:$C,$M107)</f>
        <v>154.09431115151077</v>
      </c>
      <c r="AK107" s="14">
        <f>SUMIFS('Bill Credit Rates'!$K:$K,'Bill Credit Rates'!$A:$A,$A$4,'Bill Credit Rates'!$B:$B,$G107,'Bill Credit Rates'!$C:$C,$M107)</f>
        <v>154.09431115151077</v>
      </c>
      <c r="AL107" s="14">
        <f>SUMIFS('Bill Credit Rates'!$K:$K,'Bill Credit Rates'!$A:$A,$A$4,'Bill Credit Rates'!$B:$B,$G107,'Bill Credit Rates'!$C:$C,$M107)</f>
        <v>154.09431115151077</v>
      </c>
      <c r="AM107" s="14">
        <f>SUMIFS('Bill Credit Rates'!$K:$K,'Bill Credit Rates'!$A:$A,$A$4,'Bill Credit Rates'!$B:$B,$G107,'Bill Credit Rates'!$C:$C,$M107)</f>
        <v>154.09431115151077</v>
      </c>
      <c r="AN107" s="14">
        <f>SUMIFS('Bill Credit Rates'!$K:$K,'Bill Credit Rates'!$A:$A,$A$4,'Bill Credit Rates'!$B:$B,$G107,'Bill Credit Rates'!$C:$C,$M107)</f>
        <v>154.09431115151077</v>
      </c>
    </row>
    <row r="108" spans="1:40">
      <c r="A108" s="48">
        <v>2044</v>
      </c>
      <c r="B108" s="31" cm="1">
        <f t="array" ref="B108">IF(A71&lt;2021,0,SUMPRODUCT(('Project Operational Timelines'!$AO$20:$AO$49=$A71)*('Project Operational Timelines'!$AP$18:$AY$18=$A$4)*('Project Operational Timelines'!$AP$17:$AY$17=$G108)*'Project Operational Timelines'!$AP43:$AY43))</f>
        <v>68.03</v>
      </c>
      <c r="C108" s="84">
        <f t="shared" si="65"/>
        <v>9976.6894696750005</v>
      </c>
      <c r="D108" s="89">
        <f t="shared" si="68"/>
        <v>10076230.41</v>
      </c>
      <c r="E108" s="89"/>
      <c r="F108" s="89" cm="1">
        <f t="array" ref="F108">IF(A108&lt;2021,0,(-(SUMPRODUCT(('Project Operational Timelines'!$AO$20:$AO$49=$A108)*('Project Operational Timelines'!$AP$18:$AY$18=$A$4)*('Project Operational Timelines'!$AP$19:$AY$19="Non-Carve Out")*('Project Operational Timelines'!$AP$17:$AY$17=$G108)*'Project Operational Timelines'!$AP43:$AY43))*1000*('Program Inputs'!$D$14-'Program Inputs'!$D$6)*$F$4*12)+(-(SUMPRODUCT(('Project Operational Timelines'!$AO$20:$AO$49=$A108)*('Project Operational Timelines'!$AP$18:$AY$18=$A$4)*('Project Operational Timelines'!$AP$19:$AY$19="Carve Out")*('Project Operational Timelines'!$AP$17:$AY$17=$G108)*'Project Operational Timelines'!$AP43:$AY43))*1000*('Program Inputs'!$D$14-'Program Inputs'!$D$7)*$F$4*12))</f>
        <v>-53557.02</v>
      </c>
      <c r="G108" s="79">
        <v>2</v>
      </c>
      <c r="H108" s="328">
        <f t="shared" si="69"/>
        <v>5709832.7599999998</v>
      </c>
      <c r="I108" s="69"/>
      <c r="J108" s="69"/>
      <c r="K108" s="104"/>
      <c r="L108" s="75">
        <f>IF(AND(A108&gt;=('Program Inputs'!$D$4-1),A108&lt;('Program Inputs'!$D$4+19)),1,0)</f>
        <v>0</v>
      </c>
      <c r="M108">
        <v>26</v>
      </c>
      <c r="N108" s="52">
        <v>2044</v>
      </c>
      <c r="O108" s="18">
        <f t="shared" ref="O108:Z108" si="85">(AC108-BS71)</f>
        <v>83.377186728814095</v>
      </c>
      <c r="P108" s="18">
        <f t="shared" si="85"/>
        <v>77.43648940070922</v>
      </c>
      <c r="Q108" s="18">
        <f t="shared" si="85"/>
        <v>84.178521272047945</v>
      </c>
      <c r="R108" s="18">
        <f t="shared" si="85"/>
        <v>86.400805898709038</v>
      </c>
      <c r="S108" s="18">
        <f t="shared" si="85"/>
        <v>86.530161332478116</v>
      </c>
      <c r="T108" s="18">
        <f t="shared" si="85"/>
        <v>86.571063210418714</v>
      </c>
      <c r="U108" s="18">
        <f t="shared" si="85"/>
        <v>83.678398631003077</v>
      </c>
      <c r="V108" s="18">
        <f t="shared" si="85"/>
        <v>83.391114454390362</v>
      </c>
      <c r="W108" s="18">
        <f t="shared" si="85"/>
        <v>83.153022773772975</v>
      </c>
      <c r="X108" s="18">
        <f t="shared" si="85"/>
        <v>86.937616207125529</v>
      </c>
      <c r="Y108" s="18">
        <f t="shared" si="85"/>
        <v>85.405585622073389</v>
      </c>
      <c r="Z108" s="18">
        <f t="shared" si="85"/>
        <v>82.917385910871062</v>
      </c>
      <c r="AB108" s="52">
        <v>2044</v>
      </c>
      <c r="AC108" s="14">
        <f>SUMIFS('Bill Credit Rates'!$K:$K,'Bill Credit Rates'!$A:$A,$A$4,'Bill Credit Rates'!$B:$B,$G108,'Bill Credit Rates'!$C:$C,$M108)</f>
        <v>157.176197374541</v>
      </c>
      <c r="AD108" s="14">
        <f>SUMIFS('Bill Credit Rates'!$K:$K,'Bill Credit Rates'!$A:$A,$A$4,'Bill Credit Rates'!$B:$B,$G108,'Bill Credit Rates'!$C:$C,$M108)</f>
        <v>157.176197374541</v>
      </c>
      <c r="AE108" s="14">
        <f>SUMIFS('Bill Credit Rates'!$K:$K,'Bill Credit Rates'!$A:$A,$A$4,'Bill Credit Rates'!$B:$B,$G108,'Bill Credit Rates'!$C:$C,$M108)</f>
        <v>157.176197374541</v>
      </c>
      <c r="AF108" s="14">
        <f>SUMIFS('Bill Credit Rates'!$K:$K,'Bill Credit Rates'!$A:$A,$A$4,'Bill Credit Rates'!$B:$B,$G108,'Bill Credit Rates'!$C:$C,$M108)</f>
        <v>157.176197374541</v>
      </c>
      <c r="AG108" s="14">
        <f>SUMIFS('Bill Credit Rates'!$K:$K,'Bill Credit Rates'!$A:$A,$A$4,'Bill Credit Rates'!$B:$B,$G108,'Bill Credit Rates'!$C:$C,$M108)</f>
        <v>157.176197374541</v>
      </c>
      <c r="AH108" s="14">
        <f>SUMIFS('Bill Credit Rates'!$K:$K,'Bill Credit Rates'!$A:$A,$A$4,'Bill Credit Rates'!$B:$B,$G108,'Bill Credit Rates'!$C:$C,$M108)</f>
        <v>157.176197374541</v>
      </c>
      <c r="AI108" s="14">
        <f>SUMIFS('Bill Credit Rates'!$K:$K,'Bill Credit Rates'!$A:$A,$A$4,'Bill Credit Rates'!$B:$B,$G108,'Bill Credit Rates'!$C:$C,$M108)</f>
        <v>157.176197374541</v>
      </c>
      <c r="AJ108" s="14">
        <f>SUMIFS('Bill Credit Rates'!$K:$K,'Bill Credit Rates'!$A:$A,$A$4,'Bill Credit Rates'!$B:$B,$G108,'Bill Credit Rates'!$C:$C,$M108)</f>
        <v>157.176197374541</v>
      </c>
      <c r="AK108" s="14">
        <f>SUMIFS('Bill Credit Rates'!$K:$K,'Bill Credit Rates'!$A:$A,$A$4,'Bill Credit Rates'!$B:$B,$G108,'Bill Credit Rates'!$C:$C,$M108)</f>
        <v>157.176197374541</v>
      </c>
      <c r="AL108" s="14">
        <f>SUMIFS('Bill Credit Rates'!$K:$K,'Bill Credit Rates'!$A:$A,$A$4,'Bill Credit Rates'!$B:$B,$G108,'Bill Credit Rates'!$C:$C,$M108)</f>
        <v>157.176197374541</v>
      </c>
      <c r="AM108" s="14">
        <f>SUMIFS('Bill Credit Rates'!$K:$K,'Bill Credit Rates'!$A:$A,$A$4,'Bill Credit Rates'!$B:$B,$G108,'Bill Credit Rates'!$C:$C,$M108)</f>
        <v>157.176197374541</v>
      </c>
      <c r="AN108" s="14">
        <f>SUMIFS('Bill Credit Rates'!$K:$K,'Bill Credit Rates'!$A:$A,$A$4,'Bill Credit Rates'!$B:$B,$G108,'Bill Credit Rates'!$C:$C,$M108)</f>
        <v>157.176197374541</v>
      </c>
    </row>
    <row r="109" spans="1:40">
      <c r="A109" s="48">
        <v>2045</v>
      </c>
      <c r="B109" s="31" cm="1">
        <f t="array" ref="B109">IF(A72&lt;2021,0,SUMPRODUCT(('Project Operational Timelines'!$AO$20:$AO$49=$A72)*('Project Operational Timelines'!$AP$18:$AY$18=$A$4)*('Project Operational Timelines'!$AP$17:$AY$17=$G109)*'Project Operational Timelines'!$AP44:$AY44))</f>
        <v>61.21</v>
      </c>
      <c r="C109" s="84">
        <f t="shared" si="65"/>
        <v>8976.5274502249995</v>
      </c>
      <c r="D109" s="89">
        <f t="shared" si="68"/>
        <v>8802845.2899999991</v>
      </c>
      <c r="E109" s="89"/>
      <c r="F109" s="89" cm="1">
        <f t="array" ref="F109">IF(A109&lt;2021,0,(-(SUMPRODUCT(('Project Operational Timelines'!$AO$20:$AO$49=$A109)*('Project Operational Timelines'!$AP$18:$AY$18=$A$4)*('Project Operational Timelines'!$AP$19:$AY$19="Non-Carve Out")*('Project Operational Timelines'!$AP$17:$AY$17=$G109)*'Project Operational Timelines'!$AP44:$AY44))*1000*('Program Inputs'!$D$14-'Program Inputs'!$D$6)*$F$4*12)+(-(SUMPRODUCT(('Project Operational Timelines'!$AO$20:$AO$49=$A109)*('Project Operational Timelines'!$AP$18:$AY$18=$A$4)*('Project Operational Timelines'!$AP$19:$AY$19="Carve Out")*('Project Operational Timelines'!$AP$17:$AY$17=$G109)*'Project Operational Timelines'!$AP44:$AY44))*1000*('Program Inputs'!$D$14-'Program Inputs'!$D$7)*$F$4*12))</f>
        <v>-46000.01999999999</v>
      </c>
      <c r="G109" s="79">
        <v>2</v>
      </c>
      <c r="H109" s="328">
        <f t="shared" si="69"/>
        <v>4848580.75</v>
      </c>
      <c r="I109" s="69"/>
      <c r="J109" s="69"/>
      <c r="K109" s="104"/>
      <c r="L109" s="75">
        <f>IF(AND(A109&gt;=('Program Inputs'!$D$4-1),A109&lt;('Program Inputs'!$D$4+19)),1,0)</f>
        <v>0</v>
      </c>
      <c r="M109">
        <v>27</v>
      </c>
      <c r="N109" s="52">
        <v>2045</v>
      </c>
      <c r="O109" s="18">
        <f t="shared" ref="O109:O114" si="86">(AC109-BS72)</f>
        <v>82.018685770802534</v>
      </c>
      <c r="P109" s="18">
        <f t="shared" ref="P109:P114" si="87">(AD109-BT72)</f>
        <v>75.075173859687894</v>
      </c>
      <c r="Q109" s="18">
        <f t="shared" ref="Q109:Q114" si="88">(AE109-BU72)</f>
        <v>80.957991408030523</v>
      </c>
      <c r="R109" s="18">
        <f t="shared" ref="R109:R114" si="89">(AF109-BV72)</f>
        <v>83.39523621690762</v>
      </c>
      <c r="S109" s="18">
        <f t="shared" ref="S109:S114" si="90">(AG109-BW72)</f>
        <v>83.511488157486184</v>
      </c>
      <c r="T109" s="18">
        <f t="shared" ref="T109:T114" si="91">(AH109-BX72)</f>
        <v>83.435753357224542</v>
      </c>
      <c r="U109" s="18">
        <f t="shared" ref="U109:U114" si="92">(AI109-BY72)</f>
        <v>82.161803800624298</v>
      </c>
      <c r="V109" s="18">
        <f t="shared" ref="V109:V114" si="93">(AJ109-BZ72)</f>
        <v>81.650995447507142</v>
      </c>
      <c r="W109" s="18">
        <f t="shared" ref="W109:W114" si="94">(AK109-CA72)</f>
        <v>81.38857338677748</v>
      </c>
      <c r="X109" s="18">
        <f t="shared" ref="X109:X114" si="95">(AL109-CB72)</f>
        <v>85.605725461812924</v>
      </c>
      <c r="Y109" s="18">
        <f t="shared" ref="Y109:Y114" si="96">(AM109-CC72)</f>
        <v>81.972157423166863</v>
      </c>
      <c r="Z109" s="18">
        <f t="shared" ref="Z109:Z114" si="97">(AN109-CD72)</f>
        <v>79.477935986839839</v>
      </c>
      <c r="AB109" s="52">
        <v>2045</v>
      </c>
      <c r="AC109" s="14">
        <f>SUMIFS('Bill Credit Rates'!$K:$K,'Bill Credit Rates'!$A:$A,$A$4,'Bill Credit Rates'!$B:$B,$G109,'Bill Credit Rates'!$C:$C,$M109)</f>
        <v>160.3197213220318</v>
      </c>
      <c r="AD109" s="14">
        <f>SUMIFS('Bill Credit Rates'!$K:$K,'Bill Credit Rates'!$A:$A,$A$4,'Bill Credit Rates'!$B:$B,$G109,'Bill Credit Rates'!$C:$C,$M109)</f>
        <v>160.3197213220318</v>
      </c>
      <c r="AE109" s="14">
        <f>SUMIFS('Bill Credit Rates'!$K:$K,'Bill Credit Rates'!$A:$A,$A$4,'Bill Credit Rates'!$B:$B,$G109,'Bill Credit Rates'!$C:$C,$M109)</f>
        <v>160.3197213220318</v>
      </c>
      <c r="AF109" s="14">
        <f>SUMIFS('Bill Credit Rates'!$K:$K,'Bill Credit Rates'!$A:$A,$A$4,'Bill Credit Rates'!$B:$B,$G109,'Bill Credit Rates'!$C:$C,$M109)</f>
        <v>160.3197213220318</v>
      </c>
      <c r="AG109" s="14">
        <f>SUMIFS('Bill Credit Rates'!$K:$K,'Bill Credit Rates'!$A:$A,$A$4,'Bill Credit Rates'!$B:$B,$G109,'Bill Credit Rates'!$C:$C,$M109)</f>
        <v>160.3197213220318</v>
      </c>
      <c r="AH109" s="14">
        <f>SUMIFS('Bill Credit Rates'!$K:$K,'Bill Credit Rates'!$A:$A,$A$4,'Bill Credit Rates'!$B:$B,$G109,'Bill Credit Rates'!$C:$C,$M109)</f>
        <v>160.3197213220318</v>
      </c>
      <c r="AI109" s="14">
        <f>SUMIFS('Bill Credit Rates'!$K:$K,'Bill Credit Rates'!$A:$A,$A$4,'Bill Credit Rates'!$B:$B,$G109,'Bill Credit Rates'!$C:$C,$M109)</f>
        <v>160.3197213220318</v>
      </c>
      <c r="AJ109" s="14">
        <f>SUMIFS('Bill Credit Rates'!$K:$K,'Bill Credit Rates'!$A:$A,$A$4,'Bill Credit Rates'!$B:$B,$G109,'Bill Credit Rates'!$C:$C,$M109)</f>
        <v>160.3197213220318</v>
      </c>
      <c r="AK109" s="14">
        <f>SUMIFS('Bill Credit Rates'!$K:$K,'Bill Credit Rates'!$A:$A,$A$4,'Bill Credit Rates'!$B:$B,$G109,'Bill Credit Rates'!$C:$C,$M109)</f>
        <v>160.3197213220318</v>
      </c>
      <c r="AL109" s="14">
        <f>SUMIFS('Bill Credit Rates'!$K:$K,'Bill Credit Rates'!$A:$A,$A$4,'Bill Credit Rates'!$B:$B,$G109,'Bill Credit Rates'!$C:$C,$M109)</f>
        <v>160.3197213220318</v>
      </c>
      <c r="AM109" s="14">
        <f>SUMIFS('Bill Credit Rates'!$K:$K,'Bill Credit Rates'!$A:$A,$A$4,'Bill Credit Rates'!$B:$B,$G109,'Bill Credit Rates'!$C:$C,$M109)</f>
        <v>160.3197213220318</v>
      </c>
      <c r="AN109" s="14">
        <f>SUMIFS('Bill Credit Rates'!$K:$K,'Bill Credit Rates'!$A:$A,$A$4,'Bill Credit Rates'!$B:$B,$G109,'Bill Credit Rates'!$C:$C,$M109)</f>
        <v>160.3197213220318</v>
      </c>
    </row>
    <row r="110" spans="1:40">
      <c r="A110" s="48">
        <v>2046</v>
      </c>
      <c r="B110" s="31" cm="1">
        <f t="array" ref="B110">IF(A73&lt;2021,0,SUMPRODUCT(('Project Operational Timelines'!$AO$20:$AO$49=$A73)*('Project Operational Timelines'!$AP$18:$AY$18=$A$4)*('Project Operational Timelines'!$AP$17:$AY$17=$G110)*'Project Operational Timelines'!$AP45:$AY45))</f>
        <v>47.580000000000005</v>
      </c>
      <c r="C110" s="84">
        <f t="shared" si="65"/>
        <v>6977.6699245500004</v>
      </c>
      <c r="D110" s="89">
        <f t="shared" si="68"/>
        <v>6801228.3899999997</v>
      </c>
      <c r="E110" s="89"/>
      <c r="F110" s="89" cm="1">
        <f t="array" ref="F110">IF(A110&lt;2021,0,(-(SUMPRODUCT(('Project Operational Timelines'!$AO$20:$AO$49=$A110)*('Project Operational Timelines'!$AP$18:$AY$18=$A$4)*('Project Operational Timelines'!$AP$19:$AY$19="Non-Carve Out")*('Project Operational Timelines'!$AP$17:$AY$17=$G110)*'Project Operational Timelines'!$AP45:$AY45))*1000*('Program Inputs'!$D$14-'Program Inputs'!$D$6)*$F$4*12)+(-(SUMPRODUCT(('Project Operational Timelines'!$AO$20:$AO$49=$A110)*('Project Operational Timelines'!$AP$18:$AY$18=$A$4)*('Project Operational Timelines'!$AP$19:$AY$19="Carve Out")*('Project Operational Timelines'!$AP$17:$AY$17=$G110)*'Project Operational Timelines'!$AP45:$AY45))*1000*('Program Inputs'!$D$14-'Program Inputs'!$D$7)*$F$4*12))</f>
        <v>-31594.199999999993</v>
      </c>
      <c r="G110" s="79">
        <v>2</v>
      </c>
      <c r="H110" s="328">
        <f t="shared" si="69"/>
        <v>3641205.48</v>
      </c>
      <c r="I110" s="69"/>
      <c r="J110" s="69"/>
      <c r="K110" s="104"/>
      <c r="L110" s="75">
        <f>IF(AND(A110&gt;=('Program Inputs'!$D$4-1),A110&lt;('Program Inputs'!$D$4+19)),1,0)</f>
        <v>0</v>
      </c>
      <c r="M110">
        <v>28</v>
      </c>
      <c r="N110" s="52">
        <v>2046</v>
      </c>
      <c r="O110" s="18">
        <f t="shared" si="86"/>
        <v>78.136951792815182</v>
      </c>
      <c r="P110" s="18">
        <f t="shared" si="87"/>
        <v>74.544370758068268</v>
      </c>
      <c r="Q110" s="18">
        <f t="shared" si="88"/>
        <v>81.02388403579053</v>
      </c>
      <c r="R110" s="18">
        <f t="shared" si="89"/>
        <v>83.405048605815395</v>
      </c>
      <c r="S110" s="18">
        <f t="shared" si="90"/>
        <v>83.518777056015907</v>
      </c>
      <c r="T110" s="18">
        <f t="shared" si="91"/>
        <v>83.497654225417506</v>
      </c>
      <c r="U110" s="18">
        <f t="shared" si="92"/>
        <v>81.558026091113348</v>
      </c>
      <c r="V110" s="18">
        <f t="shared" si="93"/>
        <v>81.180396962180396</v>
      </c>
      <c r="W110" s="18">
        <f t="shared" si="94"/>
        <v>80.897583235765211</v>
      </c>
      <c r="X110" s="18">
        <f t="shared" si="95"/>
        <v>84.383629641907774</v>
      </c>
      <c r="Y110" s="18">
        <f t="shared" si="96"/>
        <v>82.658655137468855</v>
      </c>
      <c r="Z110" s="18">
        <f t="shared" si="97"/>
        <v>79.908424748213122</v>
      </c>
      <c r="AB110" s="52">
        <v>2046</v>
      </c>
      <c r="AC110" s="14">
        <f>SUMIFS('Bill Credit Rates'!$K:$K,'Bill Credit Rates'!$A:$A,$A$4,'Bill Credit Rates'!$B:$B,$G110,'Bill Credit Rates'!$C:$C,$M110)</f>
        <v>163.52611574847245</v>
      </c>
      <c r="AD110" s="14">
        <f>SUMIFS('Bill Credit Rates'!$K:$K,'Bill Credit Rates'!$A:$A,$A$4,'Bill Credit Rates'!$B:$B,$G110,'Bill Credit Rates'!$C:$C,$M110)</f>
        <v>163.52611574847245</v>
      </c>
      <c r="AE110" s="14">
        <f>SUMIFS('Bill Credit Rates'!$K:$K,'Bill Credit Rates'!$A:$A,$A$4,'Bill Credit Rates'!$B:$B,$G110,'Bill Credit Rates'!$C:$C,$M110)</f>
        <v>163.52611574847245</v>
      </c>
      <c r="AF110" s="14">
        <f>SUMIFS('Bill Credit Rates'!$K:$K,'Bill Credit Rates'!$A:$A,$A$4,'Bill Credit Rates'!$B:$B,$G110,'Bill Credit Rates'!$C:$C,$M110)</f>
        <v>163.52611574847245</v>
      </c>
      <c r="AG110" s="14">
        <f>SUMIFS('Bill Credit Rates'!$K:$K,'Bill Credit Rates'!$A:$A,$A$4,'Bill Credit Rates'!$B:$B,$G110,'Bill Credit Rates'!$C:$C,$M110)</f>
        <v>163.52611574847245</v>
      </c>
      <c r="AH110" s="14">
        <f>SUMIFS('Bill Credit Rates'!$K:$K,'Bill Credit Rates'!$A:$A,$A$4,'Bill Credit Rates'!$B:$B,$G110,'Bill Credit Rates'!$C:$C,$M110)</f>
        <v>163.52611574847245</v>
      </c>
      <c r="AI110" s="14">
        <f>SUMIFS('Bill Credit Rates'!$K:$K,'Bill Credit Rates'!$A:$A,$A$4,'Bill Credit Rates'!$B:$B,$G110,'Bill Credit Rates'!$C:$C,$M110)</f>
        <v>163.52611574847245</v>
      </c>
      <c r="AJ110" s="14">
        <f>SUMIFS('Bill Credit Rates'!$K:$K,'Bill Credit Rates'!$A:$A,$A$4,'Bill Credit Rates'!$B:$B,$G110,'Bill Credit Rates'!$C:$C,$M110)</f>
        <v>163.52611574847245</v>
      </c>
      <c r="AK110" s="14">
        <f>SUMIFS('Bill Credit Rates'!$K:$K,'Bill Credit Rates'!$A:$A,$A$4,'Bill Credit Rates'!$B:$B,$G110,'Bill Credit Rates'!$C:$C,$M110)</f>
        <v>163.52611574847245</v>
      </c>
      <c r="AL110" s="14">
        <f>SUMIFS('Bill Credit Rates'!$K:$K,'Bill Credit Rates'!$A:$A,$A$4,'Bill Credit Rates'!$B:$B,$G110,'Bill Credit Rates'!$C:$C,$M110)</f>
        <v>163.52611574847245</v>
      </c>
      <c r="AM110" s="14">
        <f>SUMIFS('Bill Credit Rates'!$K:$K,'Bill Credit Rates'!$A:$A,$A$4,'Bill Credit Rates'!$B:$B,$G110,'Bill Credit Rates'!$C:$C,$M110)</f>
        <v>163.52611574847245</v>
      </c>
      <c r="AN110" s="14">
        <f>SUMIFS('Bill Credit Rates'!$K:$K,'Bill Credit Rates'!$A:$A,$A$4,'Bill Credit Rates'!$B:$B,$G110,'Bill Credit Rates'!$C:$C,$M110)</f>
        <v>163.52611574847245</v>
      </c>
    </row>
    <row r="111" spans="1:40">
      <c r="A111" s="48">
        <v>2047</v>
      </c>
      <c r="B111" s="31" cm="1">
        <f t="array" ref="B111">IF(A74&lt;2021,0,SUMPRODUCT(('Project Operational Timelines'!$AO$20:$AO$49=$A74)*('Project Operational Timelines'!$AP$18:$AY$18=$A$4)*('Project Operational Timelines'!$AP$17:$AY$17=$G111)*'Project Operational Timelines'!$AP46:$AY46))</f>
        <v>38.130000000000003</v>
      </c>
      <c r="C111" s="84">
        <f t="shared" si="65"/>
        <v>5591.8149269249998</v>
      </c>
      <c r="D111" s="89">
        <f t="shared" si="68"/>
        <v>5401763.7699999996</v>
      </c>
      <c r="E111" s="89"/>
      <c r="F111" s="89" cm="1">
        <f t="array" ref="F111">IF(A111&lt;2021,0,(-(SUMPRODUCT(('Project Operational Timelines'!$AO$20:$AO$49=$A111)*('Project Operational Timelines'!$AP$18:$AY$18=$A$4)*('Project Operational Timelines'!$AP$19:$AY$19="Non-Carve Out")*('Project Operational Timelines'!$AP$17:$AY$17=$G111)*'Project Operational Timelines'!$AP46:$AY46))*1000*('Program Inputs'!$D$14-'Program Inputs'!$D$6)*$F$4*12)+(-(SUMPRODUCT(('Project Operational Timelines'!$AO$20:$AO$49=$A111)*('Project Operational Timelines'!$AP$18:$AY$18=$A$4)*('Project Operational Timelines'!$AP$19:$AY$19="Carve Out")*('Project Operational Timelines'!$AP$17:$AY$17=$G111)*'Project Operational Timelines'!$AP46:$AY46))*1000*('Program Inputs'!$D$14-'Program Inputs'!$D$7)*$F$4*12))</f>
        <v>-23002.98</v>
      </c>
      <c r="G111" s="79">
        <v>2</v>
      </c>
      <c r="H111" s="328">
        <f t="shared" si="69"/>
        <v>2810992.46</v>
      </c>
      <c r="I111" s="69"/>
      <c r="J111" s="69"/>
      <c r="K111" s="104"/>
      <c r="L111" s="75">
        <f>IF(AND(A111&gt;=('Program Inputs'!$D$4-1),A111&lt;('Program Inputs'!$D$4+19)),1,0)</f>
        <v>0</v>
      </c>
      <c r="M111">
        <v>29</v>
      </c>
      <c r="N111" s="52">
        <v>2047</v>
      </c>
      <c r="O111" s="18">
        <f t="shared" si="86"/>
        <v>78.453913874878609</v>
      </c>
      <c r="P111" s="18">
        <f t="shared" si="87"/>
        <v>74.33622450117528</v>
      </c>
      <c r="Q111" s="18">
        <f t="shared" si="88"/>
        <v>80.069332762077707</v>
      </c>
      <c r="R111" s="18">
        <f t="shared" si="89"/>
        <v>82.578180647856087</v>
      </c>
      <c r="S111" s="18">
        <f t="shared" si="90"/>
        <v>82.689341904077068</v>
      </c>
      <c r="T111" s="18">
        <f t="shared" si="91"/>
        <v>82.645966362229487</v>
      </c>
      <c r="U111" s="18">
        <f t="shared" si="92"/>
        <v>81.266727444772371</v>
      </c>
      <c r="V111" s="18">
        <f t="shared" si="93"/>
        <v>80.835625445418401</v>
      </c>
      <c r="W111" s="18">
        <f t="shared" si="94"/>
        <v>80.533565602848796</v>
      </c>
      <c r="X111" s="18">
        <f t="shared" si="95"/>
        <v>83.44307335904783</v>
      </c>
      <c r="Y111" s="18">
        <f t="shared" si="96"/>
        <v>81.008681633053044</v>
      </c>
      <c r="Z111" s="18">
        <f t="shared" si="97"/>
        <v>78.151982371807037</v>
      </c>
      <c r="AB111" s="52">
        <v>2047</v>
      </c>
      <c r="AC111" s="14">
        <f>SUMIFS('Bill Credit Rates'!$K:$K,'Bill Credit Rates'!$A:$A,$A$4,'Bill Credit Rates'!$B:$B,$G111,'Bill Credit Rates'!$C:$C,$M111)</f>
        <v>166.79663806344189</v>
      </c>
      <c r="AD111" s="14">
        <f>SUMIFS('Bill Credit Rates'!$K:$K,'Bill Credit Rates'!$A:$A,$A$4,'Bill Credit Rates'!$B:$B,$G111,'Bill Credit Rates'!$C:$C,$M111)</f>
        <v>166.79663806344189</v>
      </c>
      <c r="AE111" s="14">
        <f>SUMIFS('Bill Credit Rates'!$K:$K,'Bill Credit Rates'!$A:$A,$A$4,'Bill Credit Rates'!$B:$B,$G111,'Bill Credit Rates'!$C:$C,$M111)</f>
        <v>166.79663806344189</v>
      </c>
      <c r="AF111" s="14">
        <f>SUMIFS('Bill Credit Rates'!$K:$K,'Bill Credit Rates'!$A:$A,$A$4,'Bill Credit Rates'!$B:$B,$G111,'Bill Credit Rates'!$C:$C,$M111)</f>
        <v>166.79663806344189</v>
      </c>
      <c r="AG111" s="14">
        <f>SUMIFS('Bill Credit Rates'!$K:$K,'Bill Credit Rates'!$A:$A,$A$4,'Bill Credit Rates'!$B:$B,$G111,'Bill Credit Rates'!$C:$C,$M111)</f>
        <v>166.79663806344189</v>
      </c>
      <c r="AH111" s="14">
        <f>SUMIFS('Bill Credit Rates'!$K:$K,'Bill Credit Rates'!$A:$A,$A$4,'Bill Credit Rates'!$B:$B,$G111,'Bill Credit Rates'!$C:$C,$M111)</f>
        <v>166.79663806344189</v>
      </c>
      <c r="AI111" s="14">
        <f>SUMIFS('Bill Credit Rates'!$K:$K,'Bill Credit Rates'!$A:$A,$A$4,'Bill Credit Rates'!$B:$B,$G111,'Bill Credit Rates'!$C:$C,$M111)</f>
        <v>166.79663806344189</v>
      </c>
      <c r="AJ111" s="14">
        <f>SUMIFS('Bill Credit Rates'!$K:$K,'Bill Credit Rates'!$A:$A,$A$4,'Bill Credit Rates'!$B:$B,$G111,'Bill Credit Rates'!$C:$C,$M111)</f>
        <v>166.79663806344189</v>
      </c>
      <c r="AK111" s="14">
        <f>SUMIFS('Bill Credit Rates'!$K:$K,'Bill Credit Rates'!$A:$A,$A$4,'Bill Credit Rates'!$B:$B,$G111,'Bill Credit Rates'!$C:$C,$M111)</f>
        <v>166.79663806344189</v>
      </c>
      <c r="AL111" s="14">
        <f>SUMIFS('Bill Credit Rates'!$K:$K,'Bill Credit Rates'!$A:$A,$A$4,'Bill Credit Rates'!$B:$B,$G111,'Bill Credit Rates'!$C:$C,$M111)</f>
        <v>166.79663806344189</v>
      </c>
      <c r="AM111" s="14">
        <f>SUMIFS('Bill Credit Rates'!$K:$K,'Bill Credit Rates'!$A:$A,$A$4,'Bill Credit Rates'!$B:$B,$G111,'Bill Credit Rates'!$C:$C,$M111)</f>
        <v>166.79663806344189</v>
      </c>
      <c r="AN111" s="14">
        <f>SUMIFS('Bill Credit Rates'!$K:$K,'Bill Credit Rates'!$A:$A,$A$4,'Bill Credit Rates'!$B:$B,$G111,'Bill Credit Rates'!$C:$C,$M111)</f>
        <v>166.79663806344189</v>
      </c>
    </row>
    <row r="112" spans="1:40">
      <c r="A112" s="48">
        <v>2048</v>
      </c>
      <c r="B112" s="31" cm="1">
        <f t="array" ref="B112">IF(A75&lt;2021,0,SUMPRODUCT(('Project Operational Timelines'!$AO$20:$AO$49=$A75)*('Project Operational Timelines'!$AP$18:$AY$18=$A$4)*('Project Operational Timelines'!$AP$17:$AY$17=$G112)*'Project Operational Timelines'!$AP47:$AY47))</f>
        <v>31.32</v>
      </c>
      <c r="C112" s="84">
        <f t="shared" si="65"/>
        <v>4593.1194206999999</v>
      </c>
      <c r="D112" s="89">
        <f t="shared" si="68"/>
        <v>4353235.66</v>
      </c>
      <c r="E112" s="89"/>
      <c r="F112" s="89" cm="1">
        <f t="array" ref="F112">IF(A112&lt;2021,0,(-(SUMPRODUCT(('Project Operational Timelines'!$AO$20:$AO$49=$A112)*('Project Operational Timelines'!$AP$18:$AY$18=$A$4)*('Project Operational Timelines'!$AP$19:$AY$19="Non-Carve Out")*('Project Operational Timelines'!$AP$17:$AY$17=$G112)*'Project Operational Timelines'!$AP47:$AY47))*1000*('Program Inputs'!$D$14-'Program Inputs'!$D$6)*$F$4*12)+(-(SUMPRODUCT(('Project Operational Timelines'!$AO$20:$AO$49=$A112)*('Project Operational Timelines'!$AP$18:$AY$18=$A$4)*('Project Operational Timelines'!$AP$19:$AY$19="Carve Out")*('Project Operational Timelines'!$AP$17:$AY$17=$G112)*'Project Operational Timelines'!$AP47:$AY47))*1000*('Program Inputs'!$D$14-'Program Inputs'!$D$7)*$F$4*12))</f>
        <v>-18625.2</v>
      </c>
      <c r="G112" s="79">
        <v>2</v>
      </c>
      <c r="H112" s="328">
        <f t="shared" si="69"/>
        <v>2201925.0699999998</v>
      </c>
      <c r="I112" s="69"/>
      <c r="J112" s="69"/>
      <c r="K112" s="104"/>
      <c r="L112" s="75">
        <f>IF(AND(A112&gt;=('Program Inputs'!$D$4-1),A112&lt;('Program Inputs'!$D$4+19)),1,0)</f>
        <v>0</v>
      </c>
      <c r="M112">
        <v>30</v>
      </c>
      <c r="N112" s="52">
        <v>2048</v>
      </c>
      <c r="O112" s="18">
        <f t="shared" si="86"/>
        <v>76.037410610619418</v>
      </c>
      <c r="P112" s="18">
        <f t="shared" si="87"/>
        <v>72.270452670052606</v>
      </c>
      <c r="Q112" s="18">
        <f t="shared" si="88"/>
        <v>78.352415493819251</v>
      </c>
      <c r="R112" s="18">
        <f t="shared" si="89"/>
        <v>81.038386458320161</v>
      </c>
      <c r="S112" s="18">
        <f t="shared" si="90"/>
        <v>81.144609702919581</v>
      </c>
      <c r="T112" s="18">
        <f t="shared" si="91"/>
        <v>81.210435118410132</v>
      </c>
      <c r="U112" s="18">
        <f t="shared" si="92"/>
        <v>79.985818549386792</v>
      </c>
      <c r="V112" s="18">
        <f t="shared" si="93"/>
        <v>79.562344277525455</v>
      </c>
      <c r="W112" s="18">
        <f t="shared" si="94"/>
        <v>79.233557432861858</v>
      </c>
      <c r="X112" s="18">
        <f t="shared" si="95"/>
        <v>80.936323041030874</v>
      </c>
      <c r="Y112" s="18">
        <f t="shared" si="96"/>
        <v>80.518343849690282</v>
      </c>
      <c r="Z112" s="18">
        <f t="shared" si="97"/>
        <v>77.483139975737686</v>
      </c>
      <c r="AB112" s="52">
        <v>2048</v>
      </c>
      <c r="AC112" s="14">
        <f>SUMIFS('Bill Credit Rates'!$K:$K,'Bill Credit Rates'!$A:$A,$A$4,'Bill Credit Rates'!$B:$B,$G112,'Bill Credit Rates'!$C:$C,$M112)</f>
        <v>170.13257082471074</v>
      </c>
      <c r="AD112" s="14">
        <f>SUMIFS('Bill Credit Rates'!$K:$K,'Bill Credit Rates'!$A:$A,$A$4,'Bill Credit Rates'!$B:$B,$G112,'Bill Credit Rates'!$C:$C,$M112)</f>
        <v>170.13257082471074</v>
      </c>
      <c r="AE112" s="14">
        <f>SUMIFS('Bill Credit Rates'!$K:$K,'Bill Credit Rates'!$A:$A,$A$4,'Bill Credit Rates'!$B:$B,$G112,'Bill Credit Rates'!$C:$C,$M112)</f>
        <v>170.13257082471074</v>
      </c>
      <c r="AF112" s="14">
        <f>SUMIFS('Bill Credit Rates'!$K:$K,'Bill Credit Rates'!$A:$A,$A$4,'Bill Credit Rates'!$B:$B,$G112,'Bill Credit Rates'!$C:$C,$M112)</f>
        <v>170.13257082471074</v>
      </c>
      <c r="AG112" s="14">
        <f>SUMIFS('Bill Credit Rates'!$K:$K,'Bill Credit Rates'!$A:$A,$A$4,'Bill Credit Rates'!$B:$B,$G112,'Bill Credit Rates'!$C:$C,$M112)</f>
        <v>170.13257082471074</v>
      </c>
      <c r="AH112" s="14">
        <f>SUMIFS('Bill Credit Rates'!$K:$K,'Bill Credit Rates'!$A:$A,$A$4,'Bill Credit Rates'!$B:$B,$G112,'Bill Credit Rates'!$C:$C,$M112)</f>
        <v>170.13257082471074</v>
      </c>
      <c r="AI112" s="14">
        <f>SUMIFS('Bill Credit Rates'!$K:$K,'Bill Credit Rates'!$A:$A,$A$4,'Bill Credit Rates'!$B:$B,$G112,'Bill Credit Rates'!$C:$C,$M112)</f>
        <v>170.13257082471074</v>
      </c>
      <c r="AJ112" s="14">
        <f>SUMIFS('Bill Credit Rates'!$K:$K,'Bill Credit Rates'!$A:$A,$A$4,'Bill Credit Rates'!$B:$B,$G112,'Bill Credit Rates'!$C:$C,$M112)</f>
        <v>170.13257082471074</v>
      </c>
      <c r="AK112" s="14">
        <f>SUMIFS('Bill Credit Rates'!$K:$K,'Bill Credit Rates'!$A:$A,$A$4,'Bill Credit Rates'!$B:$B,$G112,'Bill Credit Rates'!$C:$C,$M112)</f>
        <v>170.13257082471074</v>
      </c>
      <c r="AL112" s="14">
        <f>SUMIFS('Bill Credit Rates'!$K:$K,'Bill Credit Rates'!$A:$A,$A$4,'Bill Credit Rates'!$B:$B,$G112,'Bill Credit Rates'!$C:$C,$M112)</f>
        <v>170.13257082471074</v>
      </c>
      <c r="AM112" s="14">
        <f>SUMIFS('Bill Credit Rates'!$K:$K,'Bill Credit Rates'!$A:$A,$A$4,'Bill Credit Rates'!$B:$B,$G112,'Bill Credit Rates'!$C:$C,$M112)</f>
        <v>170.13257082471074</v>
      </c>
      <c r="AN112" s="14">
        <f>SUMIFS('Bill Credit Rates'!$K:$K,'Bill Credit Rates'!$A:$A,$A$4,'Bill Credit Rates'!$B:$B,$G112,'Bill Credit Rates'!$C:$C,$M112)</f>
        <v>170.13257082471074</v>
      </c>
    </row>
    <row r="113" spans="1:40">
      <c r="A113" s="48">
        <v>2049</v>
      </c>
      <c r="B113" s="31" cm="1">
        <f t="array" ref="B113">IF(A76&lt;2021,0,SUMPRODUCT(('Project Operational Timelines'!$AO$20:$AO$49=$A76)*('Project Operational Timelines'!$AP$18:$AY$18=$A$4)*('Project Operational Timelines'!$AP$17:$AY$17=$G113)*'Project Operational Timelines'!$AP48:$AY48))</f>
        <v>31.32</v>
      </c>
      <c r="C113" s="84">
        <f t="shared" si="65"/>
        <v>4593.1194206999999</v>
      </c>
      <c r="D113" s="89">
        <f t="shared" si="68"/>
        <v>4304612.1900000004</v>
      </c>
      <c r="E113" s="89"/>
      <c r="F113" s="89" cm="1">
        <f t="array" ref="F113">IF(A113&lt;2021,0,(-(SUMPRODUCT(('Project Operational Timelines'!$AO$20:$AO$49=$A113)*('Project Operational Timelines'!$AP$18:$AY$18=$A$4)*('Project Operational Timelines'!$AP$19:$AY$19="Non-Carve Out")*('Project Operational Timelines'!$AP$17:$AY$17=$G113)*'Project Operational Timelines'!$AP48:$AY48))*1000*('Program Inputs'!$D$14-'Program Inputs'!$D$6)*$F$4*12)+(-(SUMPRODUCT(('Project Operational Timelines'!$AO$20:$AO$49=$A113)*('Project Operational Timelines'!$AP$18:$AY$18=$A$4)*('Project Operational Timelines'!$AP$19:$AY$19="Carve Out")*('Project Operational Timelines'!$AP$17:$AY$17=$G113)*'Project Operational Timelines'!$AP48:$AY48))*1000*('Program Inputs'!$D$14-'Program Inputs'!$D$7)*$F$4*12))</f>
        <v>-18625.2</v>
      </c>
      <c r="G113" s="79">
        <v>2</v>
      </c>
      <c r="H113" s="328">
        <f t="shared" si="69"/>
        <v>2116365.41</v>
      </c>
      <c r="I113" s="69"/>
      <c r="J113" s="69"/>
      <c r="K113" s="104"/>
      <c r="L113" s="75">
        <f>IF(AND(A113&gt;=('Program Inputs'!$D$4-1),A113&lt;('Program Inputs'!$D$4+19)),1,0)</f>
        <v>0</v>
      </c>
      <c r="M113">
        <v>31</v>
      </c>
      <c r="N113" s="52">
        <v>2049</v>
      </c>
      <c r="O113" s="18">
        <f t="shared" si="86"/>
        <v>75.436269780407017</v>
      </c>
      <c r="P113" s="18">
        <f t="shared" si="87"/>
        <v>70.694766442149898</v>
      </c>
      <c r="Q113" s="18">
        <f t="shared" si="88"/>
        <v>78.070252777237869</v>
      </c>
      <c r="R113" s="18">
        <f t="shared" si="89"/>
        <v>80.53396288566698</v>
      </c>
      <c r="S113" s="18">
        <f t="shared" si="90"/>
        <v>80.616064935217125</v>
      </c>
      <c r="T113" s="18">
        <f t="shared" si="91"/>
        <v>80.667678543276423</v>
      </c>
      <c r="U113" s="18">
        <f t="shared" si="92"/>
        <v>79.522639286069463</v>
      </c>
      <c r="V113" s="18">
        <f t="shared" si="93"/>
        <v>78.47043002817783</v>
      </c>
      <c r="W113" s="18">
        <f t="shared" si="94"/>
        <v>78.119734281542577</v>
      </c>
      <c r="X113" s="18">
        <f t="shared" si="95"/>
        <v>80.311097034318649</v>
      </c>
      <c r="Y113" s="18">
        <f t="shared" si="96"/>
        <v>78.767049330037196</v>
      </c>
      <c r="Z113" s="18">
        <f t="shared" si="97"/>
        <v>75.977136980153674</v>
      </c>
      <c r="AB113" s="52">
        <v>2049</v>
      </c>
      <c r="AC113" s="14">
        <f>SUMIFS('Bill Credit Rates'!$K:$K,'Bill Credit Rates'!$A:$A,$A$4,'Bill Credit Rates'!$B:$B,$G113,'Bill Credit Rates'!$C:$C,$M113)</f>
        <v>173.53522224120496</v>
      </c>
      <c r="AD113" s="14">
        <f>SUMIFS('Bill Credit Rates'!$K:$K,'Bill Credit Rates'!$A:$A,$A$4,'Bill Credit Rates'!$B:$B,$G113,'Bill Credit Rates'!$C:$C,$M113)</f>
        <v>173.53522224120496</v>
      </c>
      <c r="AE113" s="14">
        <f>SUMIFS('Bill Credit Rates'!$K:$K,'Bill Credit Rates'!$A:$A,$A$4,'Bill Credit Rates'!$B:$B,$G113,'Bill Credit Rates'!$C:$C,$M113)</f>
        <v>173.53522224120496</v>
      </c>
      <c r="AF113" s="14">
        <f>SUMIFS('Bill Credit Rates'!$K:$K,'Bill Credit Rates'!$A:$A,$A$4,'Bill Credit Rates'!$B:$B,$G113,'Bill Credit Rates'!$C:$C,$M113)</f>
        <v>173.53522224120496</v>
      </c>
      <c r="AG113" s="14">
        <f>SUMIFS('Bill Credit Rates'!$K:$K,'Bill Credit Rates'!$A:$A,$A$4,'Bill Credit Rates'!$B:$B,$G113,'Bill Credit Rates'!$C:$C,$M113)</f>
        <v>173.53522224120496</v>
      </c>
      <c r="AH113" s="14">
        <f>SUMIFS('Bill Credit Rates'!$K:$K,'Bill Credit Rates'!$A:$A,$A$4,'Bill Credit Rates'!$B:$B,$G113,'Bill Credit Rates'!$C:$C,$M113)</f>
        <v>173.53522224120496</v>
      </c>
      <c r="AI113" s="14">
        <f>SUMIFS('Bill Credit Rates'!$K:$K,'Bill Credit Rates'!$A:$A,$A$4,'Bill Credit Rates'!$B:$B,$G113,'Bill Credit Rates'!$C:$C,$M113)</f>
        <v>173.53522224120496</v>
      </c>
      <c r="AJ113" s="14">
        <f>SUMIFS('Bill Credit Rates'!$K:$K,'Bill Credit Rates'!$A:$A,$A$4,'Bill Credit Rates'!$B:$B,$G113,'Bill Credit Rates'!$C:$C,$M113)</f>
        <v>173.53522224120496</v>
      </c>
      <c r="AK113" s="14">
        <f>SUMIFS('Bill Credit Rates'!$K:$K,'Bill Credit Rates'!$A:$A,$A$4,'Bill Credit Rates'!$B:$B,$G113,'Bill Credit Rates'!$C:$C,$M113)</f>
        <v>173.53522224120496</v>
      </c>
      <c r="AL113" s="14">
        <f>SUMIFS('Bill Credit Rates'!$K:$K,'Bill Credit Rates'!$A:$A,$A$4,'Bill Credit Rates'!$B:$B,$G113,'Bill Credit Rates'!$C:$C,$M113)</f>
        <v>173.53522224120496</v>
      </c>
      <c r="AM113" s="14">
        <f>SUMIFS('Bill Credit Rates'!$K:$K,'Bill Credit Rates'!$A:$A,$A$4,'Bill Credit Rates'!$B:$B,$G113,'Bill Credit Rates'!$C:$C,$M113)</f>
        <v>173.53522224120496</v>
      </c>
      <c r="AN113" s="14">
        <f>SUMIFS('Bill Credit Rates'!$K:$K,'Bill Credit Rates'!$A:$A,$A$4,'Bill Credit Rates'!$B:$B,$G113,'Bill Credit Rates'!$C:$C,$M113)</f>
        <v>173.53522224120496</v>
      </c>
    </row>
    <row r="114" spans="1:40">
      <c r="A114" s="48">
        <v>2050</v>
      </c>
      <c r="B114" s="31" cm="1">
        <f t="array" ref="B114">IF(A77&lt;2021,0,SUMPRODUCT(('Project Operational Timelines'!$AO$20:$AO$49=$A77)*('Project Operational Timelines'!$AP$18:$AY$18=$A$4)*('Project Operational Timelines'!$AP$17:$AY$17=$G114)*'Project Operational Timelines'!$AP49:$AY49))</f>
        <v>31.32</v>
      </c>
      <c r="C114" s="84">
        <f t="shared" si="65"/>
        <v>4593.1194206999999</v>
      </c>
      <c r="D114" s="89">
        <f t="shared" si="68"/>
        <v>4193454.43</v>
      </c>
      <c r="E114" s="89"/>
      <c r="F114" s="89" cm="1">
        <f t="array" ref="F114">IF(A114&lt;2021,0,(-(SUMPRODUCT(('Project Operational Timelines'!$AO$20:$AO$49=$A114)*('Project Operational Timelines'!$AP$18:$AY$18=$A$4)*('Project Operational Timelines'!$AP$19:$AY$19="Non-Carve Out")*('Project Operational Timelines'!$AP$17:$AY$17=$G114)*'Project Operational Timelines'!$AP49:$AY49))*1000*('Program Inputs'!$D$14-'Program Inputs'!$D$6)*$F$4*12)+(-(SUMPRODUCT(('Project Operational Timelines'!$AO$20:$AO$49=$A114)*('Project Operational Timelines'!$AP$18:$AY$18=$A$4)*('Project Operational Timelines'!$AP$19:$AY$19="Carve Out")*('Project Operational Timelines'!$AP$17:$AY$17=$G114)*'Project Operational Timelines'!$AP49:$AY49))*1000*('Program Inputs'!$D$14-'Program Inputs'!$D$7)*$F$4*12))</f>
        <v>-18625.2</v>
      </c>
      <c r="G114" s="79">
        <v>2</v>
      </c>
      <c r="H114" s="328">
        <f t="shared" si="69"/>
        <v>2003986.61</v>
      </c>
      <c r="I114" s="69"/>
      <c r="J114" s="69"/>
      <c r="K114" s="104"/>
      <c r="L114" s="75">
        <f>IF(AND(A114&gt;=('Program Inputs'!$D$4-1),A114&lt;('Program Inputs'!$D$4+19)),1,0)</f>
        <v>0</v>
      </c>
      <c r="M114">
        <v>32</v>
      </c>
      <c r="N114" s="52">
        <v>2050</v>
      </c>
      <c r="O114" s="18">
        <f t="shared" si="86"/>
        <v>73.436071673647533</v>
      </c>
      <c r="P114" s="18">
        <f t="shared" si="87"/>
        <v>68.834180223262919</v>
      </c>
      <c r="Q114" s="18">
        <f t="shared" si="88"/>
        <v>75.623303520235822</v>
      </c>
      <c r="R114" s="18">
        <f t="shared" si="89"/>
        <v>78.139945842052498</v>
      </c>
      <c r="S114" s="18">
        <f t="shared" si="90"/>
        <v>77.950136820221076</v>
      </c>
      <c r="T114" s="18">
        <f t="shared" si="91"/>
        <v>78.203252992321623</v>
      </c>
      <c r="U114" s="18">
        <f t="shared" si="92"/>
        <v>76.831205103783461</v>
      </c>
      <c r="V114" s="18">
        <f t="shared" si="93"/>
        <v>76.585027405631621</v>
      </c>
      <c r="W114" s="18">
        <f t="shared" si="94"/>
        <v>76.025715735722798</v>
      </c>
      <c r="X114" s="18">
        <f t="shared" si="95"/>
        <v>79.420373751902972</v>
      </c>
      <c r="Y114" s="18">
        <f t="shared" si="96"/>
        <v>77.651512610883699</v>
      </c>
      <c r="Z114" s="18">
        <f t="shared" si="97"/>
        <v>74.285427615895117</v>
      </c>
      <c r="AB114" s="52">
        <v>2050</v>
      </c>
      <c r="AC114" s="14">
        <f>SUMIFS('Bill Credit Rates'!$K:$K,'Bill Credit Rates'!$A:$A,$A$4,'Bill Credit Rates'!$B:$B,$G114,'Bill Credit Rates'!$C:$C,$M114)</f>
        <v>177.00592668602906</v>
      </c>
      <c r="AD114" s="14">
        <f>SUMIFS('Bill Credit Rates'!$K:$K,'Bill Credit Rates'!$A:$A,$A$4,'Bill Credit Rates'!$B:$B,$G114,'Bill Credit Rates'!$C:$C,$M114)</f>
        <v>177.00592668602906</v>
      </c>
      <c r="AE114" s="14">
        <f>SUMIFS('Bill Credit Rates'!$K:$K,'Bill Credit Rates'!$A:$A,$A$4,'Bill Credit Rates'!$B:$B,$G114,'Bill Credit Rates'!$C:$C,$M114)</f>
        <v>177.00592668602906</v>
      </c>
      <c r="AF114" s="14">
        <f>SUMIFS('Bill Credit Rates'!$K:$K,'Bill Credit Rates'!$A:$A,$A$4,'Bill Credit Rates'!$B:$B,$G114,'Bill Credit Rates'!$C:$C,$M114)</f>
        <v>177.00592668602906</v>
      </c>
      <c r="AG114" s="14">
        <f>SUMIFS('Bill Credit Rates'!$K:$K,'Bill Credit Rates'!$A:$A,$A$4,'Bill Credit Rates'!$B:$B,$G114,'Bill Credit Rates'!$C:$C,$M114)</f>
        <v>177.00592668602906</v>
      </c>
      <c r="AH114" s="14">
        <f>SUMIFS('Bill Credit Rates'!$K:$K,'Bill Credit Rates'!$A:$A,$A$4,'Bill Credit Rates'!$B:$B,$G114,'Bill Credit Rates'!$C:$C,$M114)</f>
        <v>177.00592668602906</v>
      </c>
      <c r="AI114" s="14">
        <f>SUMIFS('Bill Credit Rates'!$K:$K,'Bill Credit Rates'!$A:$A,$A$4,'Bill Credit Rates'!$B:$B,$G114,'Bill Credit Rates'!$C:$C,$M114)</f>
        <v>177.00592668602906</v>
      </c>
      <c r="AJ114" s="14">
        <f>SUMIFS('Bill Credit Rates'!$K:$K,'Bill Credit Rates'!$A:$A,$A$4,'Bill Credit Rates'!$B:$B,$G114,'Bill Credit Rates'!$C:$C,$M114)</f>
        <v>177.00592668602906</v>
      </c>
      <c r="AK114" s="14">
        <f>SUMIFS('Bill Credit Rates'!$K:$K,'Bill Credit Rates'!$A:$A,$A$4,'Bill Credit Rates'!$B:$B,$G114,'Bill Credit Rates'!$C:$C,$M114)</f>
        <v>177.00592668602906</v>
      </c>
      <c r="AL114" s="14">
        <f>SUMIFS('Bill Credit Rates'!$K:$K,'Bill Credit Rates'!$A:$A,$A$4,'Bill Credit Rates'!$B:$B,$G114,'Bill Credit Rates'!$C:$C,$M114)</f>
        <v>177.00592668602906</v>
      </c>
      <c r="AM114" s="14">
        <f>SUMIFS('Bill Credit Rates'!$K:$K,'Bill Credit Rates'!$A:$A,$A$4,'Bill Credit Rates'!$B:$B,$G114,'Bill Credit Rates'!$C:$C,$M114)</f>
        <v>177.00592668602906</v>
      </c>
      <c r="AN114" s="14">
        <f>SUMIFS('Bill Credit Rates'!$K:$K,'Bill Credit Rates'!$A:$A,$A$4,'Bill Credit Rates'!$B:$B,$G114,'Bill Credit Rates'!$C:$C,$M114)</f>
        <v>177.00592668602906</v>
      </c>
    </row>
    <row r="115" spans="1:40">
      <c r="A115" s="3" t="s">
        <v>10</v>
      </c>
      <c r="B115" s="3"/>
      <c r="C115" s="330"/>
      <c r="D115" s="327">
        <f>SUM(D82:D114)</f>
        <v>224961101.38</v>
      </c>
      <c r="E115" s="327"/>
      <c r="F115" s="327">
        <f>SUM(F82:F114)</f>
        <v>-1405615.1999999993</v>
      </c>
      <c r="G115" s="5"/>
      <c r="H115" s="327">
        <f>SUM(H82:H114)</f>
        <v>155652877.53</v>
      </c>
      <c r="I115" s="105"/>
      <c r="J115" s="105"/>
      <c r="K115" s="73"/>
      <c r="L115" s="73"/>
      <c r="M115" s="5"/>
    </row>
    <row r="116" spans="1:40">
      <c r="AA116" s="9"/>
    </row>
    <row r="119" spans="1:40">
      <c r="L119" s="10"/>
    </row>
    <row r="120" spans="1:40">
      <c r="L120" s="10"/>
    </row>
    <row r="121" spans="1:40">
      <c r="L121" s="74"/>
    </row>
  </sheetData>
  <mergeCells count="14">
    <mergeCell ref="A6:K6"/>
    <mergeCell ref="BR41:CD41"/>
    <mergeCell ref="N80:Z80"/>
    <mergeCell ref="BR42:CD42"/>
    <mergeCell ref="BR43:CD43"/>
    <mergeCell ref="AP43:BB43"/>
    <mergeCell ref="BD43:BP43"/>
    <mergeCell ref="N43:Z43"/>
    <mergeCell ref="AB43:AN43"/>
    <mergeCell ref="AB80:AN80"/>
    <mergeCell ref="AP41:BB41"/>
    <mergeCell ref="BD41:BP41"/>
    <mergeCell ref="AP42:BB42"/>
    <mergeCell ref="BD42:BP42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CBFD-C8D9-4691-BC34-7F61EE56592E}">
  <sheetPr codeName="Sheet9">
    <tabColor theme="5" tint="0.39997558519241921"/>
  </sheetPr>
  <dimension ref="A1:CD116"/>
  <sheetViews>
    <sheetView workbookViewId="0">
      <selection activeCell="C3" sqref="C3"/>
    </sheetView>
  </sheetViews>
  <sheetFormatPr defaultColWidth="9.140625" defaultRowHeight="15"/>
  <cols>
    <col min="1" max="1" width="9.42578125" bestFit="1" customWidth="1"/>
    <col min="2" max="2" width="13.140625" customWidth="1"/>
    <col min="3" max="3" width="14.28515625" bestFit="1" customWidth="1"/>
    <col min="4" max="9" width="16.42578125" customWidth="1"/>
    <col min="10" max="10" width="23.140625" bestFit="1" customWidth="1"/>
    <col min="11" max="11" width="20.5703125" bestFit="1" customWidth="1"/>
    <col min="12" max="12" width="19.5703125" customWidth="1"/>
    <col min="13" max="13" width="15.5703125" customWidth="1"/>
    <col min="15" max="16" width="11.5703125" bestFit="1" customWidth="1"/>
    <col min="17" max="17" width="15" customWidth="1"/>
    <col min="18" max="18" width="18" customWidth="1"/>
    <col min="19" max="19" width="9.140625" customWidth="1"/>
    <col min="20" max="26" width="11.5703125" bestFit="1" customWidth="1"/>
    <col min="29" max="40" width="11.5703125" bestFit="1" customWidth="1"/>
  </cols>
  <sheetData>
    <row r="1" spans="1:82">
      <c r="F1" s="72"/>
      <c r="G1" s="72"/>
      <c r="H1" s="72"/>
    </row>
    <row r="2" spans="1:82">
      <c r="F2" s="126"/>
      <c r="G2" s="126"/>
      <c r="H2" s="126"/>
      <c r="J2" s="4" t="s">
        <v>33</v>
      </c>
      <c r="K2" s="4" t="s">
        <v>34</v>
      </c>
      <c r="L2" s="76"/>
    </row>
    <row r="3" spans="1:82" ht="30">
      <c r="A3" s="4" t="s">
        <v>35</v>
      </c>
      <c r="B3" s="1" t="s">
        <v>36</v>
      </c>
      <c r="C3" s="4" t="s">
        <v>37</v>
      </c>
      <c r="D3" s="1" t="s">
        <v>38</v>
      </c>
      <c r="E3" s="1"/>
      <c r="F3" s="1" t="s">
        <v>39</v>
      </c>
      <c r="G3" s="1" t="s">
        <v>40</v>
      </c>
      <c r="H3" s="1" t="s">
        <v>41</v>
      </c>
      <c r="J3" s="48">
        <v>1</v>
      </c>
      <c r="K3" s="84">
        <v>2002.67326</v>
      </c>
    </row>
    <row r="4" spans="1:82">
      <c r="A4" s="48" t="s">
        <v>12</v>
      </c>
      <c r="B4" s="21">
        <f>'Program Inputs'!D49</f>
        <v>4.41E-2</v>
      </c>
      <c r="C4" s="21">
        <f>'Program Inputs'!D50</f>
        <v>2.8000000000000001E-2</v>
      </c>
      <c r="D4" s="8">
        <f>((1+B4)/(1+C4))-1</f>
        <v>1.5661478599221734E-2</v>
      </c>
      <c r="E4" s="8"/>
      <c r="F4" s="31">
        <f>'Program Inputs'!I44</f>
        <v>0.2</v>
      </c>
      <c r="G4" s="121">
        <f>'Program Inputs'!J44</f>
        <v>190000</v>
      </c>
      <c r="H4" s="48">
        <f>'Program Inputs'!F44</f>
        <v>0.40118928402307147</v>
      </c>
      <c r="J4" s="48">
        <v>2</v>
      </c>
      <c r="K4" s="84">
        <v>2035.0321300000001</v>
      </c>
      <c r="AA4" s="11"/>
    </row>
    <row r="5" spans="1:8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11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</row>
    <row r="6" spans="1:82">
      <c r="A6" s="361" t="str">
        <f>CONCATENATE(A4," Ratepayer Costs (Entire Program)")</f>
        <v>PAC Ratepayer Costs (Entire Program)</v>
      </c>
      <c r="B6" s="362"/>
      <c r="C6" s="362"/>
      <c r="D6" s="362"/>
      <c r="E6" s="362"/>
      <c r="F6" s="362"/>
      <c r="G6" s="362"/>
      <c r="H6" s="362"/>
      <c r="I6" s="362"/>
      <c r="J6" s="362"/>
      <c r="K6" s="363"/>
      <c r="L6" s="5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11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</row>
    <row r="7" spans="1:82" ht="45">
      <c r="A7" s="48"/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5</v>
      </c>
      <c r="H7" s="1" t="s">
        <v>43</v>
      </c>
      <c r="I7" s="1" t="s">
        <v>4</v>
      </c>
      <c r="J7" s="2" t="s">
        <v>26</v>
      </c>
      <c r="K7" s="1" t="s">
        <v>27</v>
      </c>
      <c r="L7" s="5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11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</row>
    <row r="8" spans="1:82">
      <c r="A8" s="48">
        <v>2018</v>
      </c>
      <c r="B8" s="31">
        <f>B45+B82</f>
        <v>0</v>
      </c>
      <c r="C8" s="84">
        <f>C45+C82</f>
        <v>0</v>
      </c>
      <c r="D8" s="89">
        <f>D45+D82</f>
        <v>0</v>
      </c>
      <c r="E8" s="89">
        <f>IFERROR(INDEX('PA Costs 2019-2050'!$H$6:$H$37,MATCH(M8,'PA Costs 2019-2050'!$K$6:$K$37,0))*$H$4,0)</f>
        <v>0</v>
      </c>
      <c r="F8" s="89">
        <f>F45+F82</f>
        <v>0</v>
      </c>
      <c r="G8" s="89">
        <f>SUM(D8)*(1-$C$4)^(A8-$A$14)</f>
        <v>0</v>
      </c>
      <c r="H8" s="89">
        <f>SUM(E8:F8)*(1-$C$4)^(A8-$A$14)</f>
        <v>0</v>
      </c>
      <c r="I8" s="89">
        <f>SUM(G8:H8)</f>
        <v>0</v>
      </c>
      <c r="J8" s="328">
        <f>'Program Inputs'!E43</f>
        <v>1937818036</v>
      </c>
      <c r="K8" s="7">
        <f>I8/J8</f>
        <v>0</v>
      </c>
      <c r="L8" s="75"/>
      <c r="M8">
        <v>0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11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</row>
    <row r="9" spans="1:82">
      <c r="A9" s="48">
        <v>2019</v>
      </c>
      <c r="B9" s="31">
        <f t="shared" ref="B9:D40" si="0">B46+B83</f>
        <v>0</v>
      </c>
      <c r="C9" s="84">
        <f t="shared" si="0"/>
        <v>0</v>
      </c>
      <c r="D9" s="89">
        <f t="shared" si="0"/>
        <v>0</v>
      </c>
      <c r="E9" s="89">
        <f>IFERROR(INDEX('PA Costs 2019-2050'!$H$6:$H$37,MATCH(M9,'PA Costs 2019-2050'!$K$6:$K$37,0))*$H$4,0)</f>
        <v>671759.42113230377</v>
      </c>
      <c r="F9" s="89">
        <f>MAX(0,$G$4+(F46+F83))</f>
        <v>190000</v>
      </c>
      <c r="G9" s="89">
        <f t="shared" ref="G9:G40" si="1">SUM(D9)*(1-$C$4)^(A9-$A$14)</f>
        <v>0</v>
      </c>
      <c r="H9" s="89">
        <f t="shared" ref="H9:H40" si="2">SUM(E9:F9)*(1-$C$4)^(A9-$A$14)</f>
        <v>993241.17581699905</v>
      </c>
      <c r="I9" s="89">
        <f t="shared" ref="I9:I29" si="3">SUM(G9:H9)</f>
        <v>993241.17581699905</v>
      </c>
      <c r="J9" s="328">
        <f t="shared" ref="J9:J40" si="4">J8+(J8*$D$4)</f>
        <v>1968167131.6999998</v>
      </c>
      <c r="K9" s="7">
        <f t="shared" ref="K9:K41" si="5">I9/J9</f>
        <v>5.0465286195440593E-4</v>
      </c>
      <c r="L9" s="75"/>
      <c r="M9">
        <v>1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1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</row>
    <row r="10" spans="1:82">
      <c r="A10" s="48">
        <v>2020</v>
      </c>
      <c r="B10" s="31">
        <f t="shared" si="0"/>
        <v>0</v>
      </c>
      <c r="C10" s="84">
        <f t="shared" si="0"/>
        <v>0</v>
      </c>
      <c r="D10" s="89">
        <f t="shared" si="0"/>
        <v>0</v>
      </c>
      <c r="E10" s="89">
        <f>IFERROR(INDEX('PA Costs 2019-2050'!$H$6:$H$37,MATCH(M10,'PA Costs 2019-2050'!$K$6:$K$37,0))*$H$4,0)</f>
        <v>1081341.9259880297</v>
      </c>
      <c r="F10" s="89">
        <f t="shared" ref="F10:F40" si="6">MAX(0,$G$4+(F47+F84))</f>
        <v>190000</v>
      </c>
      <c r="G10" s="89">
        <f t="shared" si="1"/>
        <v>0</v>
      </c>
      <c r="H10" s="89">
        <f t="shared" si="2"/>
        <v>1424286.3415835102</v>
      </c>
      <c r="I10" s="89">
        <f t="shared" si="3"/>
        <v>1424286.3415835102</v>
      </c>
      <c r="J10" s="328">
        <f t="shared" si="4"/>
        <v>1998991539.1128111</v>
      </c>
      <c r="K10" s="7">
        <f t="shared" si="5"/>
        <v>7.12502436211228E-4</v>
      </c>
      <c r="L10" s="75"/>
      <c r="M10">
        <v>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1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</row>
    <row r="11" spans="1:82">
      <c r="A11" s="48">
        <v>2021</v>
      </c>
      <c r="B11" s="31">
        <f t="shared" si="0"/>
        <v>0</v>
      </c>
      <c r="C11" s="84">
        <f t="shared" si="0"/>
        <v>0</v>
      </c>
      <c r="D11" s="89">
        <f t="shared" si="0"/>
        <v>0</v>
      </c>
      <c r="E11" s="89">
        <f>IFERROR(INDEX('PA Costs 2019-2050'!$H$6:$H$37,MATCH(M11,'PA Costs 2019-2050'!$K$6:$K$37,0))*$H$4,0)</f>
        <v>814624.26113323541</v>
      </c>
      <c r="F11" s="89">
        <f t="shared" si="6"/>
        <v>190000</v>
      </c>
      <c r="G11" s="89">
        <f t="shared" si="1"/>
        <v>0</v>
      </c>
      <c r="H11" s="89">
        <f t="shared" si="2"/>
        <v>1093968.6263355671</v>
      </c>
      <c r="I11" s="89">
        <f t="shared" si="3"/>
        <v>1093968.6263355671</v>
      </c>
      <c r="J11" s="328">
        <f t="shared" si="4"/>
        <v>2030298702.3226516</v>
      </c>
      <c r="K11" s="7">
        <f t="shared" si="5"/>
        <v>5.3882151679655432E-4</v>
      </c>
      <c r="L11" s="75"/>
      <c r="M11">
        <v>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1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</row>
    <row r="12" spans="1:82">
      <c r="A12" s="48">
        <v>2022</v>
      </c>
      <c r="B12" s="31">
        <f t="shared" si="0"/>
        <v>0.28999999999999998</v>
      </c>
      <c r="C12" s="84">
        <f t="shared" si="0"/>
        <v>48.397937116666668</v>
      </c>
      <c r="D12" s="89">
        <f t="shared" si="0"/>
        <v>36547.769999999997</v>
      </c>
      <c r="E12" s="89">
        <f>IFERROR(INDEX('PA Costs 2019-2050'!$H$6:$H$37,MATCH(M12,'PA Costs 2019-2050'!$K$6:$K$37,0))*$H$4,0)</f>
        <v>1236419.5053882638</v>
      </c>
      <c r="F12" s="89">
        <f t="shared" si="6"/>
        <v>189686.8</v>
      </c>
      <c r="G12" s="89">
        <f t="shared" si="1"/>
        <v>38683.730884519638</v>
      </c>
      <c r="H12" s="89">
        <f t="shared" si="2"/>
        <v>1509452.2191191469</v>
      </c>
      <c r="I12" s="89">
        <f t="shared" si="3"/>
        <v>1548135.9500036666</v>
      </c>
      <c r="J12" s="328">
        <f t="shared" si="4"/>
        <v>2062096181.9991055</v>
      </c>
      <c r="K12" s="7">
        <f t="shared" si="5"/>
        <v>7.50758361088095E-4</v>
      </c>
      <c r="L12" s="75"/>
      <c r="M12">
        <v>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1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</row>
    <row r="13" spans="1:82">
      <c r="A13" s="48">
        <v>2023</v>
      </c>
      <c r="B13" s="31">
        <f t="shared" si="0"/>
        <v>1.41</v>
      </c>
      <c r="C13" s="84">
        <f t="shared" si="0"/>
        <v>235.96128545000002</v>
      </c>
      <c r="D13" s="89">
        <f t="shared" si="0"/>
        <v>168853.26</v>
      </c>
      <c r="E13" s="89">
        <f>IFERROR(INDEX('PA Costs 2019-2050'!$H$6:$H$37,MATCH(M13,'PA Costs 2019-2050'!$K$6:$K$37,0))*$H$4,0)</f>
        <v>1100525.8587670883</v>
      </c>
      <c r="F13" s="89">
        <f t="shared" si="6"/>
        <v>187891.6</v>
      </c>
      <c r="G13" s="89">
        <f t="shared" si="1"/>
        <v>173717.34567901236</v>
      </c>
      <c r="H13" s="89">
        <f t="shared" si="2"/>
        <v>1325532.3649867163</v>
      </c>
      <c r="I13" s="89">
        <f t="shared" si="3"/>
        <v>1499249.7106657287</v>
      </c>
      <c r="J13" s="328">
        <f t="shared" si="4"/>
        <v>2094391657.2230213</v>
      </c>
      <c r="K13" s="7">
        <f t="shared" si="5"/>
        <v>7.1584018466421971E-4</v>
      </c>
      <c r="L13" s="75"/>
      <c r="M13">
        <v>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</row>
    <row r="14" spans="1:82">
      <c r="A14" s="48">
        <v>2024</v>
      </c>
      <c r="B14" s="31">
        <f t="shared" si="0"/>
        <v>6.4399999999999995</v>
      </c>
      <c r="C14" s="84">
        <f t="shared" si="0"/>
        <v>1081.9138999916668</v>
      </c>
      <c r="D14" s="89">
        <f t="shared" si="0"/>
        <v>740600.29</v>
      </c>
      <c r="E14" s="89">
        <f>IFERROR(INDEX('PA Costs 2019-2050'!$H$6:$H$37,MATCH(M14,'PA Costs 2019-2050'!$K$6:$K$37,0))*$H$4,0)</f>
        <v>956426.1862331836</v>
      </c>
      <c r="F14" s="89">
        <f t="shared" si="6"/>
        <v>177832</v>
      </c>
      <c r="G14" s="89">
        <f t="shared" si="1"/>
        <v>740600.29</v>
      </c>
      <c r="H14" s="89">
        <f t="shared" si="2"/>
        <v>1134258.1862331836</v>
      </c>
      <c r="I14" s="89">
        <f t="shared" si="3"/>
        <v>1874858.4762331836</v>
      </c>
      <c r="J14" s="328">
        <f t="shared" si="4"/>
        <v>2127192927.3410082</v>
      </c>
      <c r="K14" s="7">
        <f t="shared" si="5"/>
        <v>8.8137679104488055E-4</v>
      </c>
      <c r="L14" s="75"/>
      <c r="M14">
        <v>6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1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</row>
    <row r="15" spans="1:82">
      <c r="A15" s="48">
        <v>2025</v>
      </c>
      <c r="B15" s="31">
        <f t="shared" si="0"/>
        <v>24.53</v>
      </c>
      <c r="C15" s="84">
        <f t="shared" si="0"/>
        <v>4124.4309859166669</v>
      </c>
      <c r="D15" s="89">
        <f t="shared" si="0"/>
        <v>1658762.1</v>
      </c>
      <c r="E15" s="89">
        <f>IFERROR(INDEX('PA Costs 2019-2050'!$H$6:$H$37,MATCH(M15,'PA Costs 2019-2050'!$K$6:$K$37,0))*$H$4,0)</f>
        <v>803300.13686147972</v>
      </c>
      <c r="F15" s="89">
        <f t="shared" si="6"/>
        <v>141917.20000000001</v>
      </c>
      <c r="G15" s="89">
        <f t="shared" si="1"/>
        <v>1612316.7612000001</v>
      </c>
      <c r="H15" s="89">
        <f t="shared" si="2"/>
        <v>918751.25142935838</v>
      </c>
      <c r="I15" s="89">
        <f t="shared" si="3"/>
        <v>2531068.0126293586</v>
      </c>
      <c r="J15" s="328">
        <f t="shared" si="4"/>
        <v>2160507913.8489752</v>
      </c>
      <c r="K15" s="7">
        <f t="shared" si="5"/>
        <v>1.1715152702774531E-3</v>
      </c>
      <c r="L15" s="75"/>
      <c r="M15">
        <v>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</row>
    <row r="16" spans="1:82">
      <c r="A16" s="48">
        <v>2026</v>
      </c>
      <c r="B16" s="31">
        <f t="shared" si="0"/>
        <v>43.410000000000004</v>
      </c>
      <c r="C16" s="84">
        <f t="shared" si="0"/>
        <v>7303.7254558000013</v>
      </c>
      <c r="D16" s="89">
        <f t="shared" si="0"/>
        <v>3200204.0300000003</v>
      </c>
      <c r="E16" s="89">
        <f>IFERROR(INDEX('PA Costs 2019-2050'!$H$6:$H$37,MATCH(M16,'PA Costs 2019-2050'!$K$6:$K$37,0))*$H$4,0)</f>
        <v>723466.77853047347</v>
      </c>
      <c r="F16" s="89">
        <f t="shared" si="6"/>
        <v>104185.23999999999</v>
      </c>
      <c r="G16" s="89">
        <f t="shared" si="1"/>
        <v>3023501.56427952</v>
      </c>
      <c r="H16" s="89">
        <f t="shared" si="2"/>
        <v>781952.38467529486</v>
      </c>
      <c r="I16" s="89">
        <f t="shared" si="3"/>
        <v>3805453.948954815</v>
      </c>
      <c r="J16" s="328">
        <f t="shared" si="4"/>
        <v>2194344662.3051701</v>
      </c>
      <c r="K16" s="7">
        <f t="shared" si="5"/>
        <v>1.7342097685589493E-3</v>
      </c>
      <c r="L16" s="75"/>
      <c r="M16">
        <v>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11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</row>
    <row r="17" spans="1:82">
      <c r="A17" s="48">
        <v>2027</v>
      </c>
      <c r="B17" s="31">
        <f t="shared" si="0"/>
        <v>57.160000000000004</v>
      </c>
      <c r="C17" s="84">
        <f t="shared" si="0"/>
        <v>9633.6455040083347</v>
      </c>
      <c r="D17" s="89">
        <f t="shared" si="0"/>
        <v>7402772.1299999999</v>
      </c>
      <c r="E17" s="89">
        <f>IFERROR(INDEX('PA Costs 2019-2050'!$H$6:$H$37,MATCH(M17,'PA Costs 2019-2050'!$K$6:$K$37,0))*$H$4,0)</f>
        <v>655674.53022144595</v>
      </c>
      <c r="F17" s="89">
        <f t="shared" si="6"/>
        <v>82594.419999999984</v>
      </c>
      <c r="G17" s="89">
        <f t="shared" si="1"/>
        <v>6798188.0854759617</v>
      </c>
      <c r="H17" s="89">
        <f t="shared" si="2"/>
        <v>677974.56049376994</v>
      </c>
      <c r="I17" s="89">
        <f t="shared" si="3"/>
        <v>7476162.6459697317</v>
      </c>
      <c r="J17" s="328">
        <f t="shared" si="4"/>
        <v>2228711344.2731791</v>
      </c>
      <c r="K17" s="7">
        <f t="shared" si="5"/>
        <v>3.3544777636548696E-3</v>
      </c>
      <c r="L17" s="75"/>
      <c r="M17">
        <v>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1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</row>
    <row r="18" spans="1:82">
      <c r="A18" s="48">
        <v>2028</v>
      </c>
      <c r="B18" s="31">
        <f t="shared" si="0"/>
        <v>76.41</v>
      </c>
      <c r="C18" s="84">
        <f t="shared" si="0"/>
        <v>12898.176212550001</v>
      </c>
      <c r="D18" s="89">
        <f t="shared" si="0"/>
        <v>8956655.9299999997</v>
      </c>
      <c r="E18" s="89">
        <f>IFERROR(INDEX('PA Costs 2019-2050'!$H$6:$H$37,MATCH(M18,'PA Costs 2019-2050'!$K$6:$K$37,0))*$H$4,0)</f>
        <v>477297.35759360954</v>
      </c>
      <c r="F18" s="89">
        <f t="shared" si="6"/>
        <v>62600.56</v>
      </c>
      <c r="G18" s="89">
        <f t="shared" si="1"/>
        <v>7994861.6145531256</v>
      </c>
      <c r="H18" s="89">
        <f t="shared" si="2"/>
        <v>481921.95512263197</v>
      </c>
      <c r="I18" s="89">
        <f t="shared" si="3"/>
        <v>8476783.5696757585</v>
      </c>
      <c r="J18" s="328">
        <f t="shared" si="4"/>
        <v>2263616259.2953563</v>
      </c>
      <c r="K18" s="7">
        <f t="shared" si="5"/>
        <v>3.744797085136023E-3</v>
      </c>
      <c r="L18" s="75"/>
      <c r="M18">
        <v>10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11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</row>
    <row r="19" spans="1:82">
      <c r="A19" s="48">
        <v>2029</v>
      </c>
      <c r="B19" s="31">
        <f t="shared" si="0"/>
        <v>94.6</v>
      </c>
      <c r="C19" s="84">
        <f t="shared" si="0"/>
        <v>15982.945749608334</v>
      </c>
      <c r="D19" s="89">
        <f t="shared" si="0"/>
        <v>10016893.4</v>
      </c>
      <c r="E19" s="89">
        <f>IFERROR(INDEX('PA Costs 2019-2050'!$H$6:$H$37,MATCH(M19,'PA Costs 2019-2050'!$K$6:$K$37,0))*$H$4,0)</f>
        <v>408068.40955724783</v>
      </c>
      <c r="F19" s="89">
        <f t="shared" si="6"/>
        <v>43684.119999999995</v>
      </c>
      <c r="G19" s="89">
        <f t="shared" si="1"/>
        <v>8690892.4721405581</v>
      </c>
      <c r="H19" s="89">
        <f t="shared" si="2"/>
        <v>391951.12712286029</v>
      </c>
      <c r="I19" s="89">
        <f t="shared" si="3"/>
        <v>9082843.5992634185</v>
      </c>
      <c r="J19" s="328">
        <f t="shared" si="4"/>
        <v>2299067836.897161</v>
      </c>
      <c r="K19" s="7">
        <f t="shared" si="5"/>
        <v>3.9506635922155701E-3</v>
      </c>
      <c r="L19" s="75"/>
      <c r="M19">
        <v>11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</row>
    <row r="20" spans="1:82">
      <c r="A20" s="48">
        <v>2030</v>
      </c>
      <c r="B20" s="31">
        <f t="shared" si="0"/>
        <v>94.6</v>
      </c>
      <c r="C20" s="84">
        <f t="shared" si="0"/>
        <v>15982.945749608334</v>
      </c>
      <c r="D20" s="89">
        <f t="shared" si="0"/>
        <v>9976733.8900000006</v>
      </c>
      <c r="E20" s="89">
        <f>IFERROR(INDEX('PA Costs 2019-2050'!$H$6:$H$37,MATCH(M20,'PA Costs 2019-2050'!$K$6:$K$37,0))*$H$4,0)</f>
        <v>238750.09898643801</v>
      </c>
      <c r="F20" s="89">
        <f t="shared" si="6"/>
        <v>43684.119999999995</v>
      </c>
      <c r="G20" s="89">
        <f t="shared" si="1"/>
        <v>8413679.7602576427</v>
      </c>
      <c r="H20" s="89">
        <f t="shared" si="2"/>
        <v>238185.27166212394</v>
      </c>
      <c r="I20" s="89">
        <f t="shared" si="3"/>
        <v>8651865.0319197662</v>
      </c>
      <c r="J20" s="328">
        <f t="shared" si="4"/>
        <v>2335074638.6228848</v>
      </c>
      <c r="K20" s="7">
        <f t="shared" si="5"/>
        <v>3.7051770803447305E-3</v>
      </c>
      <c r="L20" s="75"/>
      <c r="M20">
        <v>12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1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</row>
    <row r="21" spans="1:82">
      <c r="A21" s="48">
        <v>2031</v>
      </c>
      <c r="B21" s="31">
        <f t="shared" si="0"/>
        <v>94.6</v>
      </c>
      <c r="C21" s="84">
        <f t="shared" si="0"/>
        <v>15982.945749608334</v>
      </c>
      <c r="D21" s="89">
        <f t="shared" si="0"/>
        <v>10256849.539999999</v>
      </c>
      <c r="E21" s="89">
        <f>IFERROR(INDEX('PA Costs 2019-2050'!$H$6:$H$37,MATCH(M21,'PA Costs 2019-2050'!$K$6:$K$37,0))*$H$4,0)</f>
        <v>120068.68022959691</v>
      </c>
      <c r="F21" s="89">
        <f t="shared" si="6"/>
        <v>43684.119999999995</v>
      </c>
      <c r="G21" s="89">
        <f t="shared" si="1"/>
        <v>8407712.240994947</v>
      </c>
      <c r="H21" s="89">
        <f t="shared" si="2"/>
        <v>134230.9271105465</v>
      </c>
      <c r="I21" s="89">
        <f t="shared" si="3"/>
        <v>8541943.1681054942</v>
      </c>
      <c r="J21" s="328">
        <f t="shared" si="4"/>
        <v>2371645360.1032624</v>
      </c>
      <c r="K21" s="7">
        <f t="shared" si="5"/>
        <v>3.6016949716856381E-3</v>
      </c>
      <c r="L21" s="75"/>
      <c r="M21">
        <v>13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1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</row>
    <row r="22" spans="1:82">
      <c r="A22" s="48">
        <v>2032</v>
      </c>
      <c r="B22" s="31">
        <f t="shared" si="0"/>
        <v>94.6</v>
      </c>
      <c r="C22" s="84">
        <f t="shared" si="0"/>
        <v>15982.945749608334</v>
      </c>
      <c r="D22" s="89">
        <f t="shared" si="0"/>
        <v>10594896.850000001</v>
      </c>
      <c r="E22" s="89">
        <f>IFERROR(INDEX('PA Costs 2019-2050'!$H$6:$H$37,MATCH(M22,'PA Costs 2019-2050'!$K$6:$K$37,0))*$H$4,0)</f>
        <v>-6440.7438371023591</v>
      </c>
      <c r="F22" s="89">
        <f t="shared" si="6"/>
        <v>43684.119999999995</v>
      </c>
      <c r="G22" s="89">
        <f t="shared" si="1"/>
        <v>8441640.4832594208</v>
      </c>
      <c r="H22" s="89">
        <f t="shared" si="2"/>
        <v>29674.209801294623</v>
      </c>
      <c r="I22" s="89">
        <f t="shared" si="3"/>
        <v>8471314.6930607148</v>
      </c>
      <c r="J22" s="328">
        <f t="shared" si="4"/>
        <v>2408788833.1554632</v>
      </c>
      <c r="K22" s="7">
        <f t="shared" si="5"/>
        <v>3.5168357543253256E-3</v>
      </c>
      <c r="L22" s="75"/>
      <c r="M22">
        <v>14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11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</row>
    <row r="23" spans="1:82">
      <c r="A23" s="48">
        <v>2033</v>
      </c>
      <c r="B23" s="31">
        <f t="shared" si="0"/>
        <v>94.6</v>
      </c>
      <c r="C23" s="84">
        <f t="shared" si="0"/>
        <v>15982.945749608334</v>
      </c>
      <c r="D23" s="89">
        <f t="shared" si="0"/>
        <v>10645077.52</v>
      </c>
      <c r="E23" s="89">
        <f>IFERROR(INDEX('PA Costs 2019-2050'!$H$6:$H$37,MATCH(M23,'PA Costs 2019-2050'!$K$6:$K$37,0))*$H$4,0)</f>
        <v>-39697.73072547889</v>
      </c>
      <c r="F23" s="89">
        <f t="shared" si="6"/>
        <v>43684.119999999995</v>
      </c>
      <c r="G23" s="89">
        <f t="shared" si="1"/>
        <v>8244137.2380835684</v>
      </c>
      <c r="H23" s="89">
        <f t="shared" si="2"/>
        <v>3087.280501417747</v>
      </c>
      <c r="I23" s="89">
        <f t="shared" si="3"/>
        <v>8247224.5185849862</v>
      </c>
      <c r="J23" s="328">
        <f t="shared" si="4"/>
        <v>2446514027.9159718</v>
      </c>
      <c r="K23" s="7">
        <f t="shared" si="5"/>
        <v>3.3710105172011897E-3</v>
      </c>
      <c r="L23" s="75"/>
      <c r="M23">
        <v>15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11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</row>
    <row r="24" spans="1:82">
      <c r="A24" s="48">
        <v>2034</v>
      </c>
      <c r="B24" s="31">
        <f t="shared" si="0"/>
        <v>94.6</v>
      </c>
      <c r="C24" s="84">
        <f t="shared" si="0"/>
        <v>15982.945749608334</v>
      </c>
      <c r="D24" s="89">
        <f t="shared" si="0"/>
        <v>10824360.07</v>
      </c>
      <c r="E24" s="89">
        <f>IFERROR(INDEX('PA Costs 2019-2050'!$H$6:$H$37,MATCH(M24,'PA Costs 2019-2050'!$K$6:$K$37,0))*$H$4,0)</f>
        <v>-21167.600075021266</v>
      </c>
      <c r="F24" s="89">
        <f t="shared" si="6"/>
        <v>43684.119999999995</v>
      </c>
      <c r="G24" s="89">
        <f t="shared" si="1"/>
        <v>8148260.0282115685</v>
      </c>
      <c r="H24" s="89">
        <f t="shared" si="2"/>
        <v>16949.77422153821</v>
      </c>
      <c r="I24" s="89">
        <f t="shared" si="3"/>
        <v>8165209.802433107</v>
      </c>
      <c r="J24" s="328">
        <f t="shared" si="4"/>
        <v>2484830055.0068736</v>
      </c>
      <c r="K24" s="7">
        <f t="shared" si="5"/>
        <v>3.286023438898931E-3</v>
      </c>
      <c r="L24" s="75"/>
      <c r="M24">
        <v>16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1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</row>
    <row r="25" spans="1:82">
      <c r="A25" s="48">
        <v>2035</v>
      </c>
      <c r="B25" s="31">
        <f t="shared" si="0"/>
        <v>94.6</v>
      </c>
      <c r="C25" s="84">
        <f t="shared" si="0"/>
        <v>15982.945749608334</v>
      </c>
      <c r="D25" s="89">
        <f t="shared" si="0"/>
        <v>10926316.9</v>
      </c>
      <c r="E25" s="89">
        <f>IFERROR(INDEX('PA Costs 2019-2050'!$H$6:$H$37,MATCH(M25,'PA Costs 2019-2050'!$K$6:$K$37,0))*$H$4,0)</f>
        <v>-1636.1009716420556</v>
      </c>
      <c r="F25" s="89">
        <f t="shared" si="6"/>
        <v>43684.119999999995</v>
      </c>
      <c r="G25" s="89">
        <f t="shared" si="1"/>
        <v>7994709.8486341229</v>
      </c>
      <c r="H25" s="89">
        <f t="shared" si="2"/>
        <v>30766.24217640697</v>
      </c>
      <c r="I25" s="89">
        <f t="shared" si="3"/>
        <v>8025476.0908105299</v>
      </c>
      <c r="J25" s="328">
        <f t="shared" si="4"/>
        <v>2523746167.7360668</v>
      </c>
      <c r="K25" s="7">
        <f t="shared" si="5"/>
        <v>3.1799854491744725E-3</v>
      </c>
      <c r="L25" s="75"/>
      <c r="M25">
        <v>17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1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</row>
    <row r="26" spans="1:82">
      <c r="A26" s="48">
        <v>2036</v>
      </c>
      <c r="B26" s="31">
        <f t="shared" si="0"/>
        <v>94.6</v>
      </c>
      <c r="C26" s="84">
        <f t="shared" si="0"/>
        <v>15982.945749608334</v>
      </c>
      <c r="D26" s="89">
        <f t="shared" si="0"/>
        <v>11046385.15</v>
      </c>
      <c r="E26" s="89">
        <f>IFERROR(INDEX('PA Costs 2019-2050'!$H$6:$H$37,MATCH(M26,'PA Costs 2019-2050'!$K$6:$K$37,0))*$H$4,0)</f>
        <v>18521.253414813149</v>
      </c>
      <c r="F26" s="89">
        <f t="shared" si="6"/>
        <v>43684.119999999995</v>
      </c>
      <c r="G26" s="89">
        <f t="shared" si="1"/>
        <v>7856251.1869206745</v>
      </c>
      <c r="H26" s="89">
        <f t="shared" si="2"/>
        <v>44240.811096738697</v>
      </c>
      <c r="I26" s="89">
        <f t="shared" si="3"/>
        <v>7900491.9980174135</v>
      </c>
      <c r="J26" s="328">
        <f t="shared" si="4"/>
        <v>2563271764.331933</v>
      </c>
      <c r="K26" s="7">
        <f t="shared" si="5"/>
        <v>3.0821905456741624E-3</v>
      </c>
      <c r="L26" s="75"/>
      <c r="M26">
        <v>18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1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</row>
    <row r="27" spans="1:82">
      <c r="A27" s="48">
        <v>2037</v>
      </c>
      <c r="B27" s="31">
        <f t="shared" si="0"/>
        <v>94.6</v>
      </c>
      <c r="C27" s="84">
        <f t="shared" si="0"/>
        <v>15982.945749608334</v>
      </c>
      <c r="D27" s="89">
        <f t="shared" si="0"/>
        <v>11023649.1</v>
      </c>
      <c r="E27" s="89">
        <f>IFERROR(INDEX('PA Costs 2019-2050'!$H$6:$H$37,MATCH(M27,'PA Costs 2019-2050'!$K$6:$K$37,0))*$H$4,0)</f>
        <v>39554.805197574737</v>
      </c>
      <c r="F27" s="89">
        <f t="shared" si="6"/>
        <v>43684.119999999995</v>
      </c>
      <c r="G27" s="89">
        <f t="shared" si="1"/>
        <v>7620558.9073582152</v>
      </c>
      <c r="H27" s="89">
        <f t="shared" si="2"/>
        <v>57542.391552839093</v>
      </c>
      <c r="I27" s="89">
        <f t="shared" si="3"/>
        <v>7678101.2989110546</v>
      </c>
      <c r="J27" s="328">
        <f t="shared" si="4"/>
        <v>2603416390.213007</v>
      </c>
      <c r="K27" s="7">
        <f t="shared" si="5"/>
        <v>2.9492405931587631E-3</v>
      </c>
      <c r="L27" s="75"/>
      <c r="M27">
        <v>19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1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</row>
    <row r="28" spans="1:82">
      <c r="A28" s="48">
        <v>2038</v>
      </c>
      <c r="B28" s="31">
        <f t="shared" si="0"/>
        <v>94.6</v>
      </c>
      <c r="C28" s="84">
        <f t="shared" si="0"/>
        <v>15982.945749608334</v>
      </c>
      <c r="D28" s="89">
        <f t="shared" si="0"/>
        <v>11011100.889999999</v>
      </c>
      <c r="E28" s="89">
        <f>IFERROR(INDEX('PA Costs 2019-2050'!$H$6:$H$37,MATCH(M28,'PA Costs 2019-2050'!$K$6:$K$37,0))*$H$4,0)</f>
        <v>61710.082218464835</v>
      </c>
      <c r="F28" s="89">
        <f t="shared" si="6"/>
        <v>43684.119999999995</v>
      </c>
      <c r="G28" s="89">
        <f t="shared" si="1"/>
        <v>7398751.6678148247</v>
      </c>
      <c r="H28" s="89">
        <f t="shared" si="2"/>
        <v>70818.125928721711</v>
      </c>
      <c r="I28" s="89">
        <f t="shared" si="3"/>
        <v>7469569.7937435461</v>
      </c>
      <c r="J28" s="328">
        <f t="shared" si="4"/>
        <v>2644189740.293191</v>
      </c>
      <c r="K28" s="7">
        <f t="shared" si="5"/>
        <v>2.8248993178966466E-3</v>
      </c>
      <c r="L28" s="75"/>
      <c r="M28">
        <v>20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11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</row>
    <row r="29" spans="1:82">
      <c r="A29" s="48">
        <v>2039</v>
      </c>
      <c r="B29" s="31">
        <f t="shared" si="0"/>
        <v>94.6</v>
      </c>
      <c r="C29" s="84">
        <f t="shared" si="0"/>
        <v>15982.945749608334</v>
      </c>
      <c r="D29" s="89">
        <f t="shared" si="0"/>
        <v>11028038.309999999</v>
      </c>
      <c r="E29" s="89">
        <f>IFERROR(INDEX('PA Costs 2019-2050'!$H$6:$H$37,MATCH(M29,'PA Costs 2019-2050'!$K$6:$K$37,0))*$H$4,0)</f>
        <v>84635.642664679239</v>
      </c>
      <c r="F29" s="89">
        <f t="shared" si="6"/>
        <v>43684.119999999995</v>
      </c>
      <c r="G29" s="89">
        <f t="shared" si="1"/>
        <v>7202648.8141051624</v>
      </c>
      <c r="H29" s="89">
        <f t="shared" si="2"/>
        <v>83808.39460313844</v>
      </c>
      <c r="I29" s="89">
        <f t="shared" si="3"/>
        <v>7286457.2087083012</v>
      </c>
      <c r="J29" s="328">
        <f t="shared" si="4"/>
        <v>2685601661.3230743</v>
      </c>
      <c r="K29" s="7">
        <f t="shared" si="5"/>
        <v>2.7131563528742359E-3</v>
      </c>
      <c r="L29" s="75"/>
      <c r="M29">
        <v>21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11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</row>
    <row r="30" spans="1:82">
      <c r="A30" s="48">
        <v>2040</v>
      </c>
      <c r="B30" s="31">
        <f t="shared" si="0"/>
        <v>94.6</v>
      </c>
      <c r="C30" s="84">
        <f t="shared" si="0"/>
        <v>15982.945749608334</v>
      </c>
      <c r="D30" s="89">
        <f t="shared" si="0"/>
        <v>11064789.720000001</v>
      </c>
      <c r="E30" s="89">
        <f>IFERROR(INDEX('PA Costs 2019-2050'!$H$6:$H$37,MATCH(M30,'PA Costs 2019-2050'!$K$6:$K$37,0))*$H$4,0)</f>
        <v>108509.61457832417</v>
      </c>
      <c r="F30" s="89">
        <f t="shared" si="6"/>
        <v>43684.119999999995</v>
      </c>
      <c r="G30" s="89">
        <f t="shared" si="1"/>
        <v>7024305.6951747881</v>
      </c>
      <c r="H30" s="89">
        <f t="shared" si="2"/>
        <v>96617.770750409021</v>
      </c>
      <c r="I30" s="89">
        <f t="shared" ref="I30:I34" si="7">SUM(G30:H30)</f>
        <v>7120923.4659251971</v>
      </c>
      <c r="J30" s="328">
        <f t="shared" si="4"/>
        <v>2727662154.26792</v>
      </c>
      <c r="K30" s="7">
        <f t="shared" ref="K30:K34" si="8">I30/J30</f>
        <v>2.6106324988903872E-3</v>
      </c>
      <c r="L30" s="75"/>
      <c r="M30">
        <v>22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11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</row>
    <row r="31" spans="1:82">
      <c r="A31" s="48">
        <v>2041</v>
      </c>
      <c r="B31" s="31">
        <f t="shared" si="0"/>
        <v>94.6</v>
      </c>
      <c r="C31" s="84">
        <f t="shared" si="0"/>
        <v>15982.945749608334</v>
      </c>
      <c r="D31" s="89">
        <f t="shared" si="0"/>
        <v>11076715.989999998</v>
      </c>
      <c r="E31" s="89">
        <f>IFERROR(INDEX('PA Costs 2019-2050'!$H$6:$H$37,MATCH(M31,'PA Costs 2019-2050'!$K$6:$K$37,0))*$H$4,0)</f>
        <v>149220.04241937009</v>
      </c>
      <c r="F31" s="89">
        <f t="shared" si="6"/>
        <v>43684.119999999995</v>
      </c>
      <c r="G31" s="89">
        <f t="shared" si="1"/>
        <v>6834984.3447764758</v>
      </c>
      <c r="H31" s="89">
        <f t="shared" si="2"/>
        <v>119033.19823031893</v>
      </c>
      <c r="I31" s="89">
        <f t="shared" si="7"/>
        <v>6954017.5430067945</v>
      </c>
      <c r="J31" s="328">
        <f t="shared" si="4"/>
        <v>2770381376.7228942</v>
      </c>
      <c r="K31" s="7">
        <f t="shared" si="8"/>
        <v>2.5101300497597035E-3</v>
      </c>
      <c r="L31" s="75"/>
      <c r="M31">
        <v>23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1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</row>
    <row r="32" spans="1:82">
      <c r="A32" s="48">
        <v>2042</v>
      </c>
      <c r="B32" s="31">
        <f t="shared" si="0"/>
        <v>94.4</v>
      </c>
      <c r="C32" s="84">
        <f t="shared" si="0"/>
        <v>15949.567861941667</v>
      </c>
      <c r="D32" s="89">
        <f t="shared" si="0"/>
        <v>11021763.299999999</v>
      </c>
      <c r="E32" s="89">
        <f>IFERROR(INDEX('PA Costs 2019-2050'!$H$6:$H$37,MATCH(M32,'PA Costs 2019-2050'!$K$6:$K$37,0))*$H$4,0)</f>
        <v>191211.0608383675</v>
      </c>
      <c r="F32" s="89">
        <f t="shared" si="6"/>
        <v>43900.119999999995</v>
      </c>
      <c r="G32" s="89">
        <f t="shared" si="1"/>
        <v>6610645.1988507295</v>
      </c>
      <c r="H32" s="89">
        <f t="shared" si="2"/>
        <v>141015.24016626994</v>
      </c>
      <c r="I32" s="89">
        <f t="shared" si="7"/>
        <v>6751660.4390169997</v>
      </c>
      <c r="J32" s="328">
        <f t="shared" si="4"/>
        <v>2813769645.3661222</v>
      </c>
      <c r="K32" s="7">
        <f t="shared" si="8"/>
        <v>2.3995071700826762E-3</v>
      </c>
      <c r="L32" s="75"/>
      <c r="M32">
        <v>24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1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</row>
    <row r="33" spans="1:82">
      <c r="A33" s="48">
        <v>2043</v>
      </c>
      <c r="B33" s="31">
        <f t="shared" si="0"/>
        <v>93.06</v>
      </c>
      <c r="C33" s="84">
        <f t="shared" si="0"/>
        <v>15725.046145650002</v>
      </c>
      <c r="D33" s="89">
        <f t="shared" si="0"/>
        <v>10795914.75</v>
      </c>
      <c r="E33" s="89">
        <f>IFERROR(INDEX('PA Costs 2019-2050'!$H$6:$H$37,MATCH(M33,'PA Costs 2019-2050'!$K$6:$K$37,0))*$H$4,0)</f>
        <v>275446.78711238422</v>
      </c>
      <c r="F33" s="89">
        <f t="shared" si="6"/>
        <v>46153.72000000003</v>
      </c>
      <c r="G33" s="89">
        <f t="shared" si="1"/>
        <v>6293880.3152331524</v>
      </c>
      <c r="H33" s="89">
        <f t="shared" si="2"/>
        <v>187488.98522782745</v>
      </c>
      <c r="I33" s="89">
        <f t="shared" si="7"/>
        <v>6481369.3004609793</v>
      </c>
      <c r="J33" s="328">
        <f t="shared" si="4"/>
        <v>2857837438.4501634</v>
      </c>
      <c r="K33" s="7">
        <f t="shared" si="8"/>
        <v>2.267927914043948E-3</v>
      </c>
      <c r="L33" s="75"/>
      <c r="M33">
        <v>25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11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</row>
    <row r="34" spans="1:82">
      <c r="A34" s="48">
        <v>2044</v>
      </c>
      <c r="B34" s="31">
        <f t="shared" si="0"/>
        <v>87.22999999999999</v>
      </c>
      <c r="C34" s="84">
        <f t="shared" si="0"/>
        <v>14743.262928091666</v>
      </c>
      <c r="D34" s="89">
        <f t="shared" si="0"/>
        <v>10231584.57</v>
      </c>
      <c r="E34" s="89">
        <f>IFERROR(INDEX('PA Costs 2019-2050'!$H$6:$H$37,MATCH(M34,'PA Costs 2019-2050'!$K$6:$K$37,0))*$H$4,0)</f>
        <v>325746.80329347827</v>
      </c>
      <c r="F34" s="89">
        <f t="shared" si="6"/>
        <v>57749.320000000007</v>
      </c>
      <c r="G34" s="89">
        <f t="shared" si="1"/>
        <v>5797866.3081459403</v>
      </c>
      <c r="H34" s="89">
        <f t="shared" si="2"/>
        <v>217313.28489110453</v>
      </c>
      <c r="I34" s="89">
        <f t="shared" si="7"/>
        <v>6015179.5930370446</v>
      </c>
      <c r="J34" s="328">
        <f t="shared" si="4"/>
        <v>2902595398.3325052</v>
      </c>
      <c r="K34" s="7">
        <f t="shared" si="8"/>
        <v>2.0723451833805943E-3</v>
      </c>
      <c r="L34" s="75"/>
      <c r="M34">
        <v>26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11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</row>
    <row r="35" spans="1:82">
      <c r="A35" s="48">
        <v>2045</v>
      </c>
      <c r="B35" s="31">
        <f t="shared" si="0"/>
        <v>73.459999999999994</v>
      </c>
      <c r="C35" s="84">
        <f t="shared" si="0"/>
        <v>12431.820362641667</v>
      </c>
      <c r="D35" s="89">
        <f t="shared" si="0"/>
        <v>9050802.2599999998</v>
      </c>
      <c r="E35" s="89">
        <f>IFERROR(INDEX('PA Costs 2019-2050'!$H$6:$H$37,MATCH(M35,'PA Costs 2019-2050'!$K$6:$K$37,0))*$H$4,0)</f>
        <v>331880.13993382861</v>
      </c>
      <c r="F35" s="89">
        <f t="shared" si="6"/>
        <v>85523.32</v>
      </c>
      <c r="G35" s="89">
        <f t="shared" si="1"/>
        <v>4985154.7015426438</v>
      </c>
      <c r="H35" s="89">
        <f t="shared" si="2"/>
        <v>229904.57209804209</v>
      </c>
      <c r="I35" s="89">
        <f t="shared" ref="I35:I40" si="9">SUM(G35:H35)</f>
        <v>5215059.2736406857</v>
      </c>
      <c r="J35" s="328">
        <f t="shared" si="4"/>
        <v>2948054334.0456891</v>
      </c>
      <c r="K35" s="7">
        <f t="shared" ref="K35:K40" si="10">I35/J35</f>
        <v>1.7689834320264812E-3</v>
      </c>
      <c r="L35" s="75"/>
      <c r="M35">
        <v>27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1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</row>
    <row r="36" spans="1:82">
      <c r="A36" s="48">
        <v>2046</v>
      </c>
      <c r="B36" s="31">
        <f t="shared" si="0"/>
        <v>50.02</v>
      </c>
      <c r="C36" s="84">
        <f t="shared" si="0"/>
        <v>8478.8361632083361</v>
      </c>
      <c r="D36" s="89">
        <f t="shared" si="0"/>
        <v>6724230.3399999999</v>
      </c>
      <c r="E36" s="89">
        <f>IFERROR(INDEX('PA Costs 2019-2050'!$H$6:$H$37,MATCH(M36,'PA Costs 2019-2050'!$K$6:$K$37,0))*$H$4,0)</f>
        <v>461328.03901494364</v>
      </c>
      <c r="F36" s="89">
        <f t="shared" si="6"/>
        <v>129421.66</v>
      </c>
      <c r="G36" s="89">
        <f t="shared" si="1"/>
        <v>3599982.6711364812</v>
      </c>
      <c r="H36" s="89">
        <f t="shared" si="2"/>
        <v>316272.43147546449</v>
      </c>
      <c r="I36" s="89">
        <f t="shared" si="9"/>
        <v>3916255.1026119459</v>
      </c>
      <c r="J36" s="328">
        <f t="shared" si="4"/>
        <v>2994225223.9076886</v>
      </c>
      <c r="K36" s="7">
        <f t="shared" si="10"/>
        <v>1.3079360468084425E-3</v>
      </c>
      <c r="L36" s="75"/>
      <c r="M36">
        <v>28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1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</row>
    <row r="37" spans="1:82">
      <c r="A37" s="48">
        <v>2047</v>
      </c>
      <c r="B37" s="31">
        <f t="shared" si="0"/>
        <v>39.85</v>
      </c>
      <c r="C37" s="84">
        <f t="shared" si="0"/>
        <v>6758.0025317083346</v>
      </c>
      <c r="D37" s="89">
        <f t="shared" si="0"/>
        <v>5510184.3099999996</v>
      </c>
      <c r="E37" s="89">
        <f>IFERROR(INDEX('PA Costs 2019-2050'!$H$6:$H$37,MATCH(M37,'PA Costs 2019-2050'!$K$6:$K$37,0))*$H$4,0)</f>
        <v>565549.73954679887</v>
      </c>
      <c r="F37" s="89">
        <f t="shared" si="6"/>
        <v>148617.04</v>
      </c>
      <c r="G37" s="89">
        <f t="shared" si="1"/>
        <v>2867412.7968535088</v>
      </c>
      <c r="H37" s="89">
        <f t="shared" si="2"/>
        <v>371641.10083282314</v>
      </c>
      <c r="I37" s="89">
        <f t="shared" si="9"/>
        <v>3239053.897686332</v>
      </c>
      <c r="J37" s="328">
        <f t="shared" si="4"/>
        <v>3041119218.1731687</v>
      </c>
      <c r="K37" s="7">
        <f t="shared" si="10"/>
        <v>1.0650861295835895E-3</v>
      </c>
      <c r="L37" s="75"/>
      <c r="M37">
        <v>29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11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</row>
    <row r="38" spans="1:82">
      <c r="A38" s="48">
        <v>2048</v>
      </c>
      <c r="B38" s="31">
        <f t="shared" si="0"/>
        <v>36.370000000000005</v>
      </c>
      <c r="C38" s="84">
        <f t="shared" si="0"/>
        <v>6167.8432140083351</v>
      </c>
      <c r="D38" s="89">
        <f t="shared" si="0"/>
        <v>5067810.71</v>
      </c>
      <c r="E38" s="89">
        <f>IFERROR(INDEX('PA Costs 2019-2050'!$H$6:$H$37,MATCH(M38,'PA Costs 2019-2050'!$K$6:$K$37,0))*$H$4,0)</f>
        <v>655000.68961084331</v>
      </c>
      <c r="F38" s="89">
        <f t="shared" si="6"/>
        <v>152187.52000000002</v>
      </c>
      <c r="G38" s="89">
        <f t="shared" si="1"/>
        <v>2563366.7295590844</v>
      </c>
      <c r="H38" s="89">
        <f t="shared" si="2"/>
        <v>408286.63882925495</v>
      </c>
      <c r="I38" s="89">
        <f t="shared" si="9"/>
        <v>2971653.3683883394</v>
      </c>
      <c r="J38" s="328">
        <f t="shared" si="4"/>
        <v>3088747641.7262697</v>
      </c>
      <c r="K38" s="7">
        <f t="shared" si="10"/>
        <v>9.6209004848564201E-4</v>
      </c>
      <c r="L38" s="75"/>
      <c r="M38">
        <v>30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11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</row>
    <row r="39" spans="1:82">
      <c r="A39" s="48">
        <v>2049</v>
      </c>
      <c r="B39" s="31">
        <f t="shared" si="0"/>
        <v>36.370000000000005</v>
      </c>
      <c r="C39" s="84">
        <f t="shared" si="0"/>
        <v>6167.8432140083351</v>
      </c>
      <c r="D39" s="89">
        <f t="shared" si="0"/>
        <v>5110922.21</v>
      </c>
      <c r="E39" s="89">
        <f>IFERROR(INDEX('PA Costs 2019-2050'!$H$6:$H$37,MATCH(M39,'PA Costs 2019-2050'!$K$6:$K$37,0))*$H$4,0)</f>
        <v>733642.85013934493</v>
      </c>
      <c r="F39" s="89">
        <f t="shared" si="6"/>
        <v>152187.52000000002</v>
      </c>
      <c r="G39" s="89">
        <f t="shared" si="1"/>
        <v>2512788.258396728</v>
      </c>
      <c r="H39" s="89">
        <f t="shared" si="2"/>
        <v>435519.08277182985</v>
      </c>
      <c r="I39" s="89">
        <f t="shared" si="9"/>
        <v>2948307.3411685578</v>
      </c>
      <c r="J39" s="328">
        <f t="shared" si="4"/>
        <v>3137121996.8155622</v>
      </c>
      <c r="K39" s="7">
        <f t="shared" si="10"/>
        <v>9.3981277877026555E-4</v>
      </c>
      <c r="L39" s="75"/>
      <c r="M39">
        <v>31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11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</row>
    <row r="40" spans="1:82">
      <c r="A40" s="48">
        <v>2050</v>
      </c>
      <c r="B40" s="31">
        <f t="shared" si="0"/>
        <v>36.370000000000005</v>
      </c>
      <c r="C40" s="84">
        <f t="shared" si="0"/>
        <v>6167.8432140083351</v>
      </c>
      <c r="D40" s="89">
        <f t="shared" si="0"/>
        <v>5158414.1900000004</v>
      </c>
      <c r="E40" s="89">
        <f>IFERROR(INDEX('PA Costs 2019-2050'!$H$6:$H$37,MATCH(M40,'PA Costs 2019-2050'!$K$6:$K$37,0))*$H$4,0)</f>
        <v>782999.52087069245</v>
      </c>
      <c r="F40" s="89">
        <f t="shared" si="6"/>
        <v>152187.52000000002</v>
      </c>
      <c r="G40" s="89">
        <f t="shared" si="1"/>
        <v>2465125.8653257522</v>
      </c>
      <c r="H40" s="89">
        <f t="shared" si="2"/>
        <v>446911.33330024336</v>
      </c>
      <c r="I40" s="89">
        <f t="shared" si="9"/>
        <v>2912037.1986259958</v>
      </c>
      <c r="J40" s="328">
        <f t="shared" si="4"/>
        <v>3186253965.8318367</v>
      </c>
      <c r="K40" s="7">
        <f t="shared" si="10"/>
        <v>9.1393756739216773E-4</v>
      </c>
      <c r="L40" s="75"/>
      <c r="M40">
        <v>32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11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</row>
    <row r="41" spans="1:82">
      <c r="A41" s="4" t="s">
        <v>10</v>
      </c>
      <c r="B41" s="4"/>
      <c r="C41" s="322"/>
      <c r="D41" s="327">
        <f>SUM(D8:D40)</f>
        <v>230327829.48000002</v>
      </c>
      <c r="E41" s="327">
        <f t="shared" ref="E41:J41" si="11">SUM(E8:E40)</f>
        <v>14003738.045867054</v>
      </c>
      <c r="F41" s="327">
        <f t="shared" si="11"/>
        <v>3052529.1200000015</v>
      </c>
      <c r="G41" s="327">
        <f t="shared" si="11"/>
        <v>160356624.92484811</v>
      </c>
      <c r="H41" s="327">
        <f t="shared" si="11"/>
        <v>14412597.260147393</v>
      </c>
      <c r="I41" s="327">
        <f t="shared" si="11"/>
        <v>174769222.18499553</v>
      </c>
      <c r="J41" s="327">
        <f t="shared" si="11"/>
        <v>82900051224.659988</v>
      </c>
      <c r="K41" s="7">
        <f t="shared" si="5"/>
        <v>2.1081919685594541E-3</v>
      </c>
      <c r="L41" s="73"/>
      <c r="M41" s="10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11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P41" s="364" t="s">
        <v>44</v>
      </c>
      <c r="AQ41" s="364"/>
      <c r="AR41" s="364"/>
      <c r="AS41" s="364"/>
      <c r="AT41" s="364"/>
      <c r="AU41" s="364"/>
      <c r="AV41" s="364"/>
      <c r="AW41" s="364"/>
      <c r="AX41" s="364"/>
      <c r="AY41" s="364"/>
      <c r="AZ41" s="364"/>
      <c r="BA41" s="364"/>
      <c r="BB41" s="364"/>
      <c r="BD41" s="364" t="s">
        <v>45</v>
      </c>
      <c r="BE41" s="364"/>
      <c r="BF41" s="364"/>
      <c r="BG41" s="364"/>
      <c r="BH41" s="364"/>
      <c r="BI41" s="364"/>
      <c r="BJ41" s="364"/>
      <c r="BK41" s="364"/>
      <c r="BL41" s="364"/>
      <c r="BM41" s="364"/>
      <c r="BN41" s="364"/>
      <c r="BO41" s="364"/>
      <c r="BP41" s="364"/>
      <c r="BR41" s="364" t="s">
        <v>46</v>
      </c>
      <c r="BS41" s="364"/>
      <c r="BT41" s="364"/>
      <c r="BU41" s="364"/>
      <c r="BV41" s="364"/>
      <c r="BW41" s="364"/>
      <c r="BX41" s="364"/>
      <c r="BY41" s="364"/>
      <c r="BZ41" s="364"/>
      <c r="CA41" s="364"/>
      <c r="CB41" s="364"/>
      <c r="CC41" s="364"/>
      <c r="CD41" s="364"/>
    </row>
    <row r="42" spans="1:82">
      <c r="A42" s="5"/>
      <c r="B42" s="5"/>
      <c r="C42" s="331"/>
      <c r="D42" s="5"/>
      <c r="E42" s="5"/>
      <c r="F42" s="5"/>
      <c r="G42" s="5"/>
      <c r="H42" s="5"/>
      <c r="I42" s="5"/>
      <c r="J42" s="5"/>
      <c r="K42" s="5"/>
      <c r="L42" s="5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11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P42" s="366" t="s">
        <v>47</v>
      </c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8"/>
      <c r="BD42" s="366" t="s">
        <v>47</v>
      </c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8"/>
      <c r="BR42" s="366" t="s">
        <v>48</v>
      </c>
      <c r="BS42" s="367"/>
      <c r="BT42" s="367"/>
      <c r="BU42" s="367"/>
      <c r="BV42" s="367"/>
      <c r="BW42" s="367"/>
      <c r="BX42" s="367"/>
      <c r="BY42" s="367"/>
      <c r="BZ42" s="367"/>
      <c r="CA42" s="367"/>
      <c r="CB42" s="367"/>
      <c r="CC42" s="367"/>
      <c r="CD42" s="368"/>
    </row>
    <row r="43" spans="1:82">
      <c r="A43" s="99" t="str">
        <f>CONCATENATE(A4," Costs - Tier 1")</f>
        <v>PAC Costs - Tier 1</v>
      </c>
      <c r="B43" s="100"/>
      <c r="C43" s="332"/>
      <c r="D43" s="100"/>
      <c r="E43" s="100"/>
      <c r="F43" s="100"/>
      <c r="G43" s="5"/>
      <c r="H43" s="5"/>
      <c r="I43" s="5"/>
      <c r="J43" s="5"/>
      <c r="K43" s="5"/>
      <c r="L43" s="71"/>
      <c r="N43" s="372" t="s">
        <v>49</v>
      </c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11"/>
      <c r="AB43" s="373" t="s">
        <v>70</v>
      </c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5"/>
      <c r="AP43" s="369" t="s">
        <v>51</v>
      </c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1"/>
      <c r="BD43" s="369" t="s">
        <v>52</v>
      </c>
      <c r="BE43" s="370"/>
      <c r="BF43" s="370"/>
      <c r="BG43" s="370"/>
      <c r="BH43" s="370"/>
      <c r="BI43" s="370"/>
      <c r="BJ43" s="370"/>
      <c r="BK43" s="370"/>
      <c r="BL43" s="370"/>
      <c r="BM43" s="370"/>
      <c r="BN43" s="370"/>
      <c r="BO43" s="370"/>
      <c r="BP43" s="371"/>
      <c r="BR43" s="369" t="s">
        <v>51</v>
      </c>
      <c r="BS43" s="370"/>
      <c r="BT43" s="370"/>
      <c r="BU43" s="370"/>
      <c r="BV43" s="370"/>
      <c r="BW43" s="370"/>
      <c r="BX43" s="370"/>
      <c r="BY43" s="370"/>
      <c r="BZ43" s="370"/>
      <c r="CA43" s="370"/>
      <c r="CB43" s="370"/>
      <c r="CC43" s="370"/>
      <c r="CD43" s="371"/>
    </row>
    <row r="44" spans="1:82" ht="45">
      <c r="A44" s="48"/>
      <c r="B44" s="1" t="s">
        <v>18</v>
      </c>
      <c r="C44" s="333" t="s">
        <v>19</v>
      </c>
      <c r="D44" s="1" t="s">
        <v>20</v>
      </c>
      <c r="E44" s="1" t="s">
        <v>53</v>
      </c>
      <c r="F44" s="1" t="s">
        <v>54</v>
      </c>
      <c r="G44" s="72"/>
      <c r="H44" s="1" t="s">
        <v>5</v>
      </c>
      <c r="I44" s="329">
        <f>H78+H115</f>
        <v>160356624.95000002</v>
      </c>
      <c r="J44" s="103"/>
      <c r="K44" s="72"/>
      <c r="L44" s="72"/>
      <c r="N44" s="26" t="s">
        <v>55</v>
      </c>
      <c r="O44" s="26" t="s">
        <v>56</v>
      </c>
      <c r="P44" s="27" t="s">
        <v>57</v>
      </c>
      <c r="Q44" s="27" t="s">
        <v>58</v>
      </c>
      <c r="R44" s="27" t="s">
        <v>59</v>
      </c>
      <c r="S44" s="27" t="s">
        <v>60</v>
      </c>
      <c r="T44" s="27" t="s">
        <v>61</v>
      </c>
      <c r="U44" s="27" t="s">
        <v>62</v>
      </c>
      <c r="V44" s="27" t="s">
        <v>63</v>
      </c>
      <c r="W44" s="26" t="s">
        <v>64</v>
      </c>
      <c r="X44" s="26" t="s">
        <v>65</v>
      </c>
      <c r="Y44" s="27" t="s">
        <v>66</v>
      </c>
      <c r="Z44" s="26" t="s">
        <v>67</v>
      </c>
      <c r="AA44" s="11"/>
      <c r="AB44" s="24" t="s">
        <v>55</v>
      </c>
      <c r="AC44" s="24" t="s">
        <v>56</v>
      </c>
      <c r="AD44" s="25" t="s">
        <v>57</v>
      </c>
      <c r="AE44" s="25" t="s">
        <v>58</v>
      </c>
      <c r="AF44" s="25" t="s">
        <v>59</v>
      </c>
      <c r="AG44" s="25" t="s">
        <v>60</v>
      </c>
      <c r="AH44" s="25" t="s">
        <v>61</v>
      </c>
      <c r="AI44" s="25" t="s">
        <v>62</v>
      </c>
      <c r="AJ44" s="25" t="s">
        <v>63</v>
      </c>
      <c r="AK44" s="24" t="s">
        <v>64</v>
      </c>
      <c r="AL44" s="24" t="s">
        <v>65</v>
      </c>
      <c r="AM44" s="25" t="s">
        <v>66</v>
      </c>
      <c r="AN44" s="24" t="s">
        <v>67</v>
      </c>
      <c r="AP44" s="49" t="s">
        <v>55</v>
      </c>
      <c r="AQ44" s="50" t="s">
        <v>56</v>
      </c>
      <c r="AR44" s="50" t="s">
        <v>57</v>
      </c>
      <c r="AS44" s="50" t="s">
        <v>58</v>
      </c>
      <c r="AT44" s="50" t="s">
        <v>59</v>
      </c>
      <c r="AU44" s="50" t="s">
        <v>60</v>
      </c>
      <c r="AV44" s="50" t="s">
        <v>61</v>
      </c>
      <c r="AW44" s="49" t="s">
        <v>62</v>
      </c>
      <c r="AX44" s="49" t="s">
        <v>63</v>
      </c>
      <c r="AY44" s="50" t="s">
        <v>64</v>
      </c>
      <c r="AZ44" s="50" t="s">
        <v>65</v>
      </c>
      <c r="BA44" s="50" t="s">
        <v>66</v>
      </c>
      <c r="BB44" s="50" t="s">
        <v>67</v>
      </c>
      <c r="BD44" s="49" t="s">
        <v>55</v>
      </c>
      <c r="BE44" s="50" t="s">
        <v>56</v>
      </c>
      <c r="BF44" s="50" t="s">
        <v>57</v>
      </c>
      <c r="BG44" s="50" t="s">
        <v>58</v>
      </c>
      <c r="BH44" s="50" t="s">
        <v>59</v>
      </c>
      <c r="BI44" s="50" t="s">
        <v>60</v>
      </c>
      <c r="BJ44" s="50" t="s">
        <v>61</v>
      </c>
      <c r="BK44" s="49" t="s">
        <v>62</v>
      </c>
      <c r="BL44" s="49" t="s">
        <v>63</v>
      </c>
      <c r="BM44" s="50" t="s">
        <v>64</v>
      </c>
      <c r="BN44" s="50" t="s">
        <v>65</v>
      </c>
      <c r="BO44" s="50" t="s">
        <v>66</v>
      </c>
      <c r="BP44" s="50" t="s">
        <v>67</v>
      </c>
      <c r="BR44" s="49" t="s">
        <v>55</v>
      </c>
      <c r="BS44" s="50" t="s">
        <v>56</v>
      </c>
      <c r="BT44" s="50" t="s">
        <v>57</v>
      </c>
      <c r="BU44" s="50" t="s">
        <v>58</v>
      </c>
      <c r="BV44" s="50" t="s">
        <v>59</v>
      </c>
      <c r="BW44" s="50" t="s">
        <v>60</v>
      </c>
      <c r="BX44" s="50" t="s">
        <v>61</v>
      </c>
      <c r="BY44" s="49" t="s">
        <v>62</v>
      </c>
      <c r="BZ44" s="49" t="s">
        <v>63</v>
      </c>
      <c r="CA44" s="50" t="s">
        <v>64</v>
      </c>
      <c r="CB44" s="50" t="s">
        <v>65</v>
      </c>
      <c r="CC44" s="50" t="s">
        <v>66</v>
      </c>
      <c r="CD44" s="50" t="s">
        <v>67</v>
      </c>
    </row>
    <row r="45" spans="1:82">
      <c r="A45" s="48">
        <v>2018</v>
      </c>
      <c r="B45" s="31" cm="1">
        <f t="array" ref="B45">IF(A45&lt;2021,0,SUMPRODUCT(('Project Operational Timelines'!$AO$20:$AO$49=$A45)*('Project Operational Timelines'!$AP$18:$AY$18=$A$4)*('Project Operational Timelines'!$AP$17:$AY$17=$G45)*'Project Operational Timelines'!$AP17:$AY17))</f>
        <v>0</v>
      </c>
      <c r="C45" s="84">
        <f t="shared" ref="C45:C77" si="12">INDEX($K$3:$K$4,MATCH(G45,$J$3:$J$4,0))/12*B45</f>
        <v>0</v>
      </c>
      <c r="D45" s="89">
        <f>ROUND(C45*SUM(O45:Z45),2)</f>
        <v>0</v>
      </c>
      <c r="E45" s="89"/>
      <c r="F45" s="89" cm="1">
        <f t="array" ref="F45">IF(A45&lt;2021,0,(-(SUMPRODUCT(('Project Operational Timelines'!$AO$20:$AO$49=$A45)*('Project Operational Timelines'!$AP$18:$AY$18=$A$4)*('Project Operational Timelines'!$AP$19:$AY$19="Non-Carve Out")*('Project Operational Timelines'!$AP$17:$AY$17=$G45)*'Project Operational Timelines'!$AP17:$AY17))*1000*('Program Inputs'!$D$14-'Program Inputs'!$D$6)*$F$4*12)+(-(SUMPRODUCT(('Project Operational Timelines'!$AO$20:$AO$49=$A45)*('Project Operational Timelines'!$AP$18:$AY$18=$A$4)*('Project Operational Timelines'!$AP$19:$AY$19="Carve Out")*('Project Operational Timelines'!$AP$17:$AY$17=$G45)*'Project Operational Timelines'!$AP17:$AY17))*1000*('Program Inputs'!$D$14-'Program Inputs'!$D$7)*$F$4*12))</f>
        <v>0</v>
      </c>
      <c r="G45" s="79">
        <v>1</v>
      </c>
      <c r="H45" s="328">
        <f>ROUND(SUM(D45)*(1-$C$4)^(A45-$A$51),2)</f>
        <v>0</v>
      </c>
      <c r="I45" s="69"/>
      <c r="J45" s="69"/>
      <c r="K45" s="104"/>
      <c r="L45" s="75"/>
      <c r="M45">
        <v>0</v>
      </c>
      <c r="N45" s="51">
        <v>2018</v>
      </c>
      <c r="O45" s="18">
        <f t="shared" ref="O45:O66" si="13">(AC45-BS45)</f>
        <v>68.900714285714258</v>
      </c>
      <c r="P45" s="18">
        <f t="shared" ref="P45:P66" si="14">(AD45-BT45)</f>
        <v>68.900714285714258</v>
      </c>
      <c r="Q45" s="18">
        <f t="shared" ref="Q45:Q66" si="15">(AE45-BU45)</f>
        <v>68.900714285714258</v>
      </c>
      <c r="R45" s="18">
        <f t="shared" ref="R45:R66" si="16">(AF45-BV45)</f>
        <v>68.900714285714258</v>
      </c>
      <c r="S45" s="18">
        <f t="shared" ref="S45:S66" si="17">(AG45-BW45)</f>
        <v>68.900714285714258</v>
      </c>
      <c r="T45" s="18">
        <f t="shared" ref="T45:T66" si="18">(AH45-BX45)</f>
        <v>68.900714285714272</v>
      </c>
      <c r="U45" s="18">
        <f t="shared" ref="U45:U66" si="19">(AI45-BY45)</f>
        <v>68.900714285714258</v>
      </c>
      <c r="V45" s="18">
        <f t="shared" ref="V45:V66" si="20">(AJ45-BZ45)</f>
        <v>68.900714285714258</v>
      </c>
      <c r="W45" s="18">
        <f t="shared" ref="W45:W66" si="21">(AK45-CA45)</f>
        <v>68.900714285714258</v>
      </c>
      <c r="X45" s="18">
        <f t="shared" ref="X45:X66" si="22">(AL45-CB45)</f>
        <v>68.900714285714258</v>
      </c>
      <c r="Y45" s="18">
        <f t="shared" ref="Y45:Y66" si="23">(AM45-CC45)</f>
        <v>68.900714285714258</v>
      </c>
      <c r="Z45" s="18">
        <f t="shared" ref="Z45:Z66" si="24">(AN45-CD45)</f>
        <v>68.900714285714258</v>
      </c>
      <c r="AA45" s="13"/>
      <c r="AB45" s="52">
        <v>2018</v>
      </c>
      <c r="AC45" s="14">
        <f>SUMIFS('Bill Credit Rates'!$K:$K,'Bill Credit Rates'!$A:$A,$A$4,'Bill Credit Rates'!$B:$B,$G45,'Bill Credit Rates'!$C:$C,$M45)</f>
        <v>92.814999999999984</v>
      </c>
      <c r="AD45" s="14">
        <f>SUMIFS('Bill Credit Rates'!$K:$K,'Bill Credit Rates'!$A:$A,$A$4,'Bill Credit Rates'!$B:$B,$G45,'Bill Credit Rates'!$C:$C,$M45)</f>
        <v>92.814999999999984</v>
      </c>
      <c r="AE45" s="14">
        <f>SUMIFS('Bill Credit Rates'!$K:$K,'Bill Credit Rates'!$A:$A,$A$4,'Bill Credit Rates'!$B:$B,$G45,'Bill Credit Rates'!$C:$C,$M45)</f>
        <v>92.814999999999984</v>
      </c>
      <c r="AF45" s="14">
        <f>SUMIFS('Bill Credit Rates'!$K:$K,'Bill Credit Rates'!$A:$A,$A$4,'Bill Credit Rates'!$B:$B,$G45,'Bill Credit Rates'!$C:$C,$M45)</f>
        <v>92.814999999999984</v>
      </c>
      <c r="AG45" s="14">
        <f>SUMIFS('Bill Credit Rates'!$K:$K,'Bill Credit Rates'!$A:$A,$A$4,'Bill Credit Rates'!$B:$B,$G45,'Bill Credit Rates'!$C:$C,$M45)</f>
        <v>92.814999999999984</v>
      </c>
      <c r="AH45" s="14">
        <f>SUMIFS('Bill Credit Rates'!$K:$K,'Bill Credit Rates'!$A:$A,$A$4,'Bill Credit Rates'!$B:$B,$G45,'Bill Credit Rates'!$C:$C,$M45)</f>
        <v>92.814999999999984</v>
      </c>
      <c r="AI45" s="14">
        <f>SUMIFS('Bill Credit Rates'!$K:$K,'Bill Credit Rates'!$A:$A,$A$4,'Bill Credit Rates'!$B:$B,$G45,'Bill Credit Rates'!$C:$C,$M45)</f>
        <v>92.814999999999984</v>
      </c>
      <c r="AJ45" s="14">
        <f>SUMIFS('Bill Credit Rates'!$K:$K,'Bill Credit Rates'!$A:$A,$A$4,'Bill Credit Rates'!$B:$B,$G45,'Bill Credit Rates'!$C:$C,$M45)</f>
        <v>92.814999999999984</v>
      </c>
      <c r="AK45" s="14">
        <f>SUMIFS('Bill Credit Rates'!$K:$K,'Bill Credit Rates'!$A:$A,$A$4,'Bill Credit Rates'!$B:$B,$G45,'Bill Credit Rates'!$C:$C,$M45)</f>
        <v>92.814999999999984</v>
      </c>
      <c r="AL45" s="14">
        <f>SUMIFS('Bill Credit Rates'!$K:$K,'Bill Credit Rates'!$A:$A,$A$4,'Bill Credit Rates'!$B:$B,$G45,'Bill Credit Rates'!$C:$C,$M45)</f>
        <v>92.814999999999984</v>
      </c>
      <c r="AM45" s="14">
        <f>SUMIFS('Bill Credit Rates'!$K:$K,'Bill Credit Rates'!$A:$A,$A$4,'Bill Credit Rates'!$B:$B,$G45,'Bill Credit Rates'!$C:$C,$M45)</f>
        <v>92.814999999999984</v>
      </c>
      <c r="AN45" s="14">
        <f>SUMIFS('Bill Credit Rates'!$K:$K,'Bill Credit Rates'!$A:$A,$A$4,'Bill Credit Rates'!$B:$B,$G45,'Bill Credit Rates'!$C:$C,$M45)</f>
        <v>92.814999999999984</v>
      </c>
      <c r="AP45" s="52">
        <v>2018</v>
      </c>
      <c r="AQ45" s="281">
        <v>24.700000000000003</v>
      </c>
      <c r="AR45" s="281">
        <v>24.700000000000003</v>
      </c>
      <c r="AS45" s="281">
        <v>24.700000000000003</v>
      </c>
      <c r="AT45" s="281">
        <v>24.700000000000003</v>
      </c>
      <c r="AU45" s="281">
        <v>24.700000000000003</v>
      </c>
      <c r="AV45" s="281">
        <v>24.7</v>
      </c>
      <c r="AW45" s="281">
        <v>24.700000000000003</v>
      </c>
      <c r="AX45" s="281">
        <v>24.700000000000003</v>
      </c>
      <c r="AY45" s="281">
        <v>24.700000000000003</v>
      </c>
      <c r="AZ45" s="281">
        <v>24.700000000000003</v>
      </c>
      <c r="BA45" s="281">
        <v>24.700000000000003</v>
      </c>
      <c r="BB45" s="281">
        <v>24.700000000000003</v>
      </c>
      <c r="BD45" s="52">
        <v>2018</v>
      </c>
      <c r="BE45" s="281">
        <v>19.2</v>
      </c>
      <c r="BF45" s="281">
        <v>19.2</v>
      </c>
      <c r="BG45" s="281">
        <v>19.2</v>
      </c>
      <c r="BH45" s="281">
        <v>19.2</v>
      </c>
      <c r="BI45" s="281">
        <v>19.2</v>
      </c>
      <c r="BJ45" s="281">
        <v>19.2</v>
      </c>
      <c r="BK45" s="281">
        <v>19.2</v>
      </c>
      <c r="BL45" s="281">
        <v>19.2</v>
      </c>
      <c r="BM45" s="281">
        <v>19.2</v>
      </c>
      <c r="BN45" s="281">
        <v>19.2</v>
      </c>
      <c r="BO45" s="281">
        <v>19.2</v>
      </c>
      <c r="BP45" s="281">
        <v>19.2</v>
      </c>
      <c r="BR45" s="52">
        <v>2018</v>
      </c>
      <c r="BS45" s="285">
        <f t="shared" ref="BS45:CD64" si="25">(AQ45*6/7)+(BE45*(1/7))</f>
        <v>23.914285714285718</v>
      </c>
      <c r="BT45" s="285">
        <f t="shared" si="25"/>
        <v>23.914285714285718</v>
      </c>
      <c r="BU45" s="285">
        <f t="shared" si="25"/>
        <v>23.914285714285718</v>
      </c>
      <c r="BV45" s="285">
        <f t="shared" si="25"/>
        <v>23.914285714285718</v>
      </c>
      <c r="BW45" s="285">
        <f t="shared" si="25"/>
        <v>23.914285714285718</v>
      </c>
      <c r="BX45" s="285">
        <f t="shared" si="25"/>
        <v>23.914285714285715</v>
      </c>
      <c r="BY45" s="285">
        <f t="shared" si="25"/>
        <v>23.914285714285718</v>
      </c>
      <c r="BZ45" s="285">
        <f t="shared" si="25"/>
        <v>23.914285714285718</v>
      </c>
      <c r="CA45" s="285">
        <f t="shared" si="25"/>
        <v>23.914285714285718</v>
      </c>
      <c r="CB45" s="285">
        <f t="shared" si="25"/>
        <v>23.914285714285718</v>
      </c>
      <c r="CC45" s="285">
        <f t="shared" si="25"/>
        <v>23.914285714285718</v>
      </c>
      <c r="CD45" s="285">
        <f t="shared" si="25"/>
        <v>23.914285714285718</v>
      </c>
    </row>
    <row r="46" spans="1:82">
      <c r="A46" s="48">
        <v>2019</v>
      </c>
      <c r="B46" s="31" cm="1">
        <f t="array" ref="B46">IF(A46&lt;2021,0,SUMPRODUCT(('Project Operational Timelines'!$AO$20:$AO$49=$A46)*('Project Operational Timelines'!$AP$18:$AY$18=$A$4)*('Project Operational Timelines'!$AP$17:$AY$17=$G46)*'Project Operational Timelines'!$AP18:$AY18))</f>
        <v>0</v>
      </c>
      <c r="C46" s="84">
        <f t="shared" si="12"/>
        <v>0</v>
      </c>
      <c r="D46" s="89">
        <f t="shared" ref="D46:D77" si="26">ROUND(C46*SUM(O46:Z46),2)</f>
        <v>0</v>
      </c>
      <c r="E46" s="89"/>
      <c r="F46" s="89" cm="1">
        <f t="array" ref="F46">IF(A46&lt;2021,0,(-(SUMPRODUCT(('Project Operational Timelines'!$AO$20:$AO$49=$A46)*('Project Operational Timelines'!$AP$18:$AY$18=$A$4)*('Project Operational Timelines'!$AP$19:$AY$19="Non-Carve Out")*('Project Operational Timelines'!$AP$17:$AY$17=$G46)*'Project Operational Timelines'!$AP18:$AY18))*1000*('Program Inputs'!$D$14-'Program Inputs'!$D$6)*$F$4*12)+(-(SUMPRODUCT(('Project Operational Timelines'!$AO$20:$AO$49=$A46)*('Project Operational Timelines'!$AP$18:$AY$18=$A$4)*('Project Operational Timelines'!$AP$19:$AY$19="Carve Out")*('Project Operational Timelines'!$AP$17:$AY$17=$G46)*'Project Operational Timelines'!$AP18:$AY18))*1000*('Program Inputs'!$D$14-'Program Inputs'!$D$7)*$F$4*12))</f>
        <v>0</v>
      </c>
      <c r="G46" s="79">
        <v>1</v>
      </c>
      <c r="H46" s="328">
        <f t="shared" ref="H46:H77" si="27">ROUND(SUM(D46)*(1-$C$4)^(A46-$A$51),2)</f>
        <v>0</v>
      </c>
      <c r="I46" s="69"/>
      <c r="J46" s="69"/>
      <c r="K46" s="104"/>
      <c r="L46" s="75"/>
      <c r="M46">
        <v>1</v>
      </c>
      <c r="N46" s="51">
        <v>2019</v>
      </c>
      <c r="O46" s="18">
        <f t="shared" si="13"/>
        <v>68.314999999999984</v>
      </c>
      <c r="P46" s="18">
        <f t="shared" si="14"/>
        <v>68.314999999999984</v>
      </c>
      <c r="Q46" s="18">
        <f t="shared" si="15"/>
        <v>68.314999999999984</v>
      </c>
      <c r="R46" s="18">
        <f t="shared" si="16"/>
        <v>68.314999999999984</v>
      </c>
      <c r="S46" s="18">
        <f t="shared" si="17"/>
        <v>68.314999999999984</v>
      </c>
      <c r="T46" s="18">
        <f t="shared" si="18"/>
        <v>68.314999999999984</v>
      </c>
      <c r="U46" s="18">
        <f t="shared" si="19"/>
        <v>68.314999999999984</v>
      </c>
      <c r="V46" s="18">
        <f t="shared" si="20"/>
        <v>68.314999999999984</v>
      </c>
      <c r="W46" s="18">
        <f t="shared" si="21"/>
        <v>68.314999999999984</v>
      </c>
      <c r="X46" s="18">
        <f t="shared" si="22"/>
        <v>68.314999999999984</v>
      </c>
      <c r="Y46" s="18">
        <f t="shared" si="23"/>
        <v>68.314999999999984</v>
      </c>
      <c r="Z46" s="18">
        <f t="shared" si="24"/>
        <v>68.314999999999984</v>
      </c>
      <c r="AA46" s="13"/>
      <c r="AB46" s="52">
        <v>2019</v>
      </c>
      <c r="AC46" s="14">
        <f>SUMIFS('Bill Credit Rates'!$K:$K,'Bill Credit Rates'!$A:$A,$A$4,'Bill Credit Rates'!$B:$B,$G46,'Bill Credit Rates'!$C:$C,$M46)</f>
        <v>92.814999999999984</v>
      </c>
      <c r="AD46" s="14">
        <f>SUMIFS('Bill Credit Rates'!$K:$K,'Bill Credit Rates'!$A:$A,$A$4,'Bill Credit Rates'!$B:$B,$G46,'Bill Credit Rates'!$C:$C,$M46)</f>
        <v>92.814999999999984</v>
      </c>
      <c r="AE46" s="14">
        <f>SUMIFS('Bill Credit Rates'!$K:$K,'Bill Credit Rates'!$A:$A,$A$4,'Bill Credit Rates'!$B:$B,$G46,'Bill Credit Rates'!$C:$C,$M46)</f>
        <v>92.814999999999984</v>
      </c>
      <c r="AF46" s="14">
        <f>SUMIFS('Bill Credit Rates'!$K:$K,'Bill Credit Rates'!$A:$A,$A$4,'Bill Credit Rates'!$B:$B,$G46,'Bill Credit Rates'!$C:$C,$M46)</f>
        <v>92.814999999999984</v>
      </c>
      <c r="AG46" s="14">
        <f>SUMIFS('Bill Credit Rates'!$K:$K,'Bill Credit Rates'!$A:$A,$A$4,'Bill Credit Rates'!$B:$B,$G46,'Bill Credit Rates'!$C:$C,$M46)</f>
        <v>92.814999999999984</v>
      </c>
      <c r="AH46" s="14">
        <f>SUMIFS('Bill Credit Rates'!$K:$K,'Bill Credit Rates'!$A:$A,$A$4,'Bill Credit Rates'!$B:$B,$G46,'Bill Credit Rates'!$C:$C,$M46)</f>
        <v>92.814999999999984</v>
      </c>
      <c r="AI46" s="14">
        <f>SUMIFS('Bill Credit Rates'!$K:$K,'Bill Credit Rates'!$A:$A,$A$4,'Bill Credit Rates'!$B:$B,$G46,'Bill Credit Rates'!$C:$C,$M46)</f>
        <v>92.814999999999984</v>
      </c>
      <c r="AJ46" s="14">
        <f>SUMIFS('Bill Credit Rates'!$K:$K,'Bill Credit Rates'!$A:$A,$A$4,'Bill Credit Rates'!$B:$B,$G46,'Bill Credit Rates'!$C:$C,$M46)</f>
        <v>92.814999999999984</v>
      </c>
      <c r="AK46" s="14">
        <f>SUMIFS('Bill Credit Rates'!$K:$K,'Bill Credit Rates'!$A:$A,$A$4,'Bill Credit Rates'!$B:$B,$G46,'Bill Credit Rates'!$C:$C,$M46)</f>
        <v>92.814999999999984</v>
      </c>
      <c r="AL46" s="14">
        <f>SUMIFS('Bill Credit Rates'!$K:$K,'Bill Credit Rates'!$A:$A,$A$4,'Bill Credit Rates'!$B:$B,$G46,'Bill Credit Rates'!$C:$C,$M46)</f>
        <v>92.814999999999984</v>
      </c>
      <c r="AM46" s="14">
        <f>SUMIFS('Bill Credit Rates'!$K:$K,'Bill Credit Rates'!$A:$A,$A$4,'Bill Credit Rates'!$B:$B,$G46,'Bill Credit Rates'!$C:$C,$M46)</f>
        <v>92.814999999999984</v>
      </c>
      <c r="AN46" s="14">
        <f>SUMIFS('Bill Credit Rates'!$K:$K,'Bill Credit Rates'!$A:$A,$A$4,'Bill Credit Rates'!$B:$B,$G46,'Bill Credit Rates'!$C:$C,$M46)</f>
        <v>92.814999999999984</v>
      </c>
      <c r="AP46" s="52">
        <v>2019</v>
      </c>
      <c r="AQ46" s="281">
        <v>25.299999999999997</v>
      </c>
      <c r="AR46" s="281">
        <v>25.299999999999997</v>
      </c>
      <c r="AS46" s="281">
        <v>25.299999999999997</v>
      </c>
      <c r="AT46" s="281">
        <v>25.299999999999997</v>
      </c>
      <c r="AU46" s="281">
        <v>25.299999999999997</v>
      </c>
      <c r="AV46" s="281">
        <v>25.299999999999997</v>
      </c>
      <c r="AW46" s="281">
        <v>25.299999999999997</v>
      </c>
      <c r="AX46" s="281">
        <v>25.299999999999997</v>
      </c>
      <c r="AY46" s="281">
        <v>25.299999999999997</v>
      </c>
      <c r="AZ46" s="281">
        <v>25.299999999999997</v>
      </c>
      <c r="BA46" s="281">
        <v>25.299999999999997</v>
      </c>
      <c r="BB46" s="281">
        <v>25.299999999999997</v>
      </c>
      <c r="BD46" s="52">
        <v>2019</v>
      </c>
      <c r="BE46" s="281">
        <v>19.7</v>
      </c>
      <c r="BF46" s="281">
        <v>19.7</v>
      </c>
      <c r="BG46" s="281">
        <v>19.7</v>
      </c>
      <c r="BH46" s="281">
        <v>19.7</v>
      </c>
      <c r="BI46" s="281">
        <v>19.7</v>
      </c>
      <c r="BJ46" s="281">
        <v>19.7</v>
      </c>
      <c r="BK46" s="281">
        <v>19.7</v>
      </c>
      <c r="BL46" s="281">
        <v>19.7</v>
      </c>
      <c r="BM46" s="281">
        <v>19.7</v>
      </c>
      <c r="BN46" s="281">
        <v>19.7</v>
      </c>
      <c r="BO46" s="281">
        <v>19.7</v>
      </c>
      <c r="BP46" s="281">
        <v>19.7</v>
      </c>
      <c r="BR46" s="52">
        <v>2019</v>
      </c>
      <c r="BS46" s="285">
        <f t="shared" si="25"/>
        <v>24.499999999999996</v>
      </c>
      <c r="BT46" s="285">
        <f t="shared" si="25"/>
        <v>24.499999999999996</v>
      </c>
      <c r="BU46" s="285">
        <f t="shared" si="25"/>
        <v>24.499999999999996</v>
      </c>
      <c r="BV46" s="285">
        <f t="shared" si="25"/>
        <v>24.499999999999996</v>
      </c>
      <c r="BW46" s="285">
        <f t="shared" si="25"/>
        <v>24.499999999999996</v>
      </c>
      <c r="BX46" s="285">
        <f t="shared" si="25"/>
        <v>24.499999999999996</v>
      </c>
      <c r="BY46" s="285">
        <f t="shared" si="25"/>
        <v>24.499999999999996</v>
      </c>
      <c r="BZ46" s="285">
        <f t="shared" si="25"/>
        <v>24.499999999999996</v>
      </c>
      <c r="CA46" s="285">
        <f t="shared" si="25"/>
        <v>24.499999999999996</v>
      </c>
      <c r="CB46" s="285">
        <f t="shared" si="25"/>
        <v>24.499999999999996</v>
      </c>
      <c r="CC46" s="285">
        <f t="shared" si="25"/>
        <v>24.499999999999996</v>
      </c>
      <c r="CD46" s="285">
        <f t="shared" si="25"/>
        <v>24.499999999999996</v>
      </c>
    </row>
    <row r="47" spans="1:82">
      <c r="A47" s="48">
        <v>2020</v>
      </c>
      <c r="B47" s="31" cm="1">
        <f t="array" ref="B47">IF(A47&lt;2021,0,SUMPRODUCT(('Project Operational Timelines'!$AO$20:$AO$49=$A47)*('Project Operational Timelines'!$AP$18:$AY$18=$A$4)*('Project Operational Timelines'!$AP$17:$AY$17=$G47)*'Project Operational Timelines'!$AP19:$AY19))</f>
        <v>0</v>
      </c>
      <c r="C47" s="84">
        <f t="shared" si="12"/>
        <v>0</v>
      </c>
      <c r="D47" s="89">
        <f t="shared" si="26"/>
        <v>0</v>
      </c>
      <c r="E47" s="89"/>
      <c r="F47" s="89" cm="1">
        <f t="array" ref="F47">IF(A47&lt;2021,0,(-(SUMPRODUCT(('Project Operational Timelines'!$AO$20:$AO$49=$A47)*('Project Operational Timelines'!$AP$18:$AY$18=$A$4)*('Project Operational Timelines'!$AP$19:$AY$19="Non-Carve Out")*('Project Operational Timelines'!$AP$17:$AY$17=$G47)*'Project Operational Timelines'!$AP19:$AY19))*1000*('Program Inputs'!$D$14-'Program Inputs'!$D$6)*$F$4*12)+(-(SUMPRODUCT(('Project Operational Timelines'!$AO$20:$AO$49=$A47)*('Project Operational Timelines'!$AP$18:$AY$18=$A$4)*('Project Operational Timelines'!$AP$19:$AY$19="Carve Out")*('Project Operational Timelines'!$AP$17:$AY$17=$G47)*'Project Operational Timelines'!$AP19:$AY19))*1000*('Program Inputs'!$D$14-'Program Inputs'!$D$7)*$F$4*12))</f>
        <v>0</v>
      </c>
      <c r="G47" s="79">
        <v>1</v>
      </c>
      <c r="H47" s="328">
        <f t="shared" si="27"/>
        <v>0</v>
      </c>
      <c r="I47" s="69"/>
      <c r="J47" s="69"/>
      <c r="K47" s="104"/>
      <c r="L47" s="75"/>
      <c r="M47">
        <v>2</v>
      </c>
      <c r="N47" s="51">
        <v>2020</v>
      </c>
      <c r="O47" s="18">
        <f t="shared" si="13"/>
        <v>71.20071428571427</v>
      </c>
      <c r="P47" s="18">
        <f t="shared" si="14"/>
        <v>71.20071428571427</v>
      </c>
      <c r="Q47" s="18">
        <f t="shared" si="15"/>
        <v>71.20071428571427</v>
      </c>
      <c r="R47" s="18">
        <f t="shared" si="16"/>
        <v>71.20071428571427</v>
      </c>
      <c r="S47" s="18">
        <f t="shared" si="17"/>
        <v>71.20071428571427</v>
      </c>
      <c r="T47" s="18">
        <f t="shared" si="18"/>
        <v>71.20071428571427</v>
      </c>
      <c r="U47" s="18">
        <f t="shared" si="19"/>
        <v>71.20071428571427</v>
      </c>
      <c r="V47" s="18">
        <f t="shared" si="20"/>
        <v>71.20071428571427</v>
      </c>
      <c r="W47" s="18">
        <f t="shared" si="21"/>
        <v>71.20071428571427</v>
      </c>
      <c r="X47" s="18">
        <f t="shared" si="22"/>
        <v>71.20071428571427</v>
      </c>
      <c r="Y47" s="18">
        <f t="shared" si="23"/>
        <v>71.20071428571427</v>
      </c>
      <c r="Z47" s="18">
        <f t="shared" si="24"/>
        <v>71.20071428571427</v>
      </c>
      <c r="AA47" s="13"/>
      <c r="AB47" s="52">
        <v>2020</v>
      </c>
      <c r="AC47" s="14">
        <f>SUMIFS('Bill Credit Rates'!$K:$K,'Bill Credit Rates'!$A:$A,$A$4,'Bill Credit Rates'!$B:$B,$G47,'Bill Credit Rates'!$C:$C,$M47)</f>
        <v>92.814999999999984</v>
      </c>
      <c r="AD47" s="14">
        <f>SUMIFS('Bill Credit Rates'!$K:$K,'Bill Credit Rates'!$A:$A,$A$4,'Bill Credit Rates'!$B:$B,$G47,'Bill Credit Rates'!$C:$C,$M47)</f>
        <v>92.814999999999984</v>
      </c>
      <c r="AE47" s="14">
        <f>SUMIFS('Bill Credit Rates'!$K:$K,'Bill Credit Rates'!$A:$A,$A$4,'Bill Credit Rates'!$B:$B,$G47,'Bill Credit Rates'!$C:$C,$M47)</f>
        <v>92.814999999999984</v>
      </c>
      <c r="AF47" s="14">
        <f>SUMIFS('Bill Credit Rates'!$K:$K,'Bill Credit Rates'!$A:$A,$A$4,'Bill Credit Rates'!$B:$B,$G47,'Bill Credit Rates'!$C:$C,$M47)</f>
        <v>92.814999999999984</v>
      </c>
      <c r="AG47" s="14">
        <f>SUMIFS('Bill Credit Rates'!$K:$K,'Bill Credit Rates'!$A:$A,$A$4,'Bill Credit Rates'!$B:$B,$G47,'Bill Credit Rates'!$C:$C,$M47)</f>
        <v>92.814999999999984</v>
      </c>
      <c r="AH47" s="14">
        <f>SUMIFS('Bill Credit Rates'!$K:$K,'Bill Credit Rates'!$A:$A,$A$4,'Bill Credit Rates'!$B:$B,$G47,'Bill Credit Rates'!$C:$C,$M47)</f>
        <v>92.814999999999984</v>
      </c>
      <c r="AI47" s="14">
        <f>SUMIFS('Bill Credit Rates'!$K:$K,'Bill Credit Rates'!$A:$A,$A$4,'Bill Credit Rates'!$B:$B,$G47,'Bill Credit Rates'!$C:$C,$M47)</f>
        <v>92.814999999999984</v>
      </c>
      <c r="AJ47" s="14">
        <f>SUMIFS('Bill Credit Rates'!$K:$K,'Bill Credit Rates'!$A:$A,$A$4,'Bill Credit Rates'!$B:$B,$G47,'Bill Credit Rates'!$C:$C,$M47)</f>
        <v>92.814999999999984</v>
      </c>
      <c r="AK47" s="14">
        <f>SUMIFS('Bill Credit Rates'!$K:$K,'Bill Credit Rates'!$A:$A,$A$4,'Bill Credit Rates'!$B:$B,$G47,'Bill Credit Rates'!$C:$C,$M47)</f>
        <v>92.814999999999984</v>
      </c>
      <c r="AL47" s="14">
        <f>SUMIFS('Bill Credit Rates'!$K:$K,'Bill Credit Rates'!$A:$A,$A$4,'Bill Credit Rates'!$B:$B,$G47,'Bill Credit Rates'!$C:$C,$M47)</f>
        <v>92.814999999999984</v>
      </c>
      <c r="AM47" s="14">
        <f>SUMIFS('Bill Credit Rates'!$K:$K,'Bill Credit Rates'!$A:$A,$A$4,'Bill Credit Rates'!$B:$B,$G47,'Bill Credit Rates'!$C:$C,$M47)</f>
        <v>92.814999999999984</v>
      </c>
      <c r="AN47" s="14">
        <f>SUMIFS('Bill Credit Rates'!$K:$K,'Bill Credit Rates'!$A:$A,$A$4,'Bill Credit Rates'!$B:$B,$G47,'Bill Credit Rates'!$C:$C,$M47)</f>
        <v>92.814999999999984</v>
      </c>
      <c r="AP47" s="52">
        <v>2020</v>
      </c>
      <c r="AQ47" s="281">
        <v>21.7</v>
      </c>
      <c r="AR47" s="281">
        <v>21.7</v>
      </c>
      <c r="AS47" s="281">
        <v>21.7</v>
      </c>
      <c r="AT47" s="281">
        <v>21.7</v>
      </c>
      <c r="AU47" s="281">
        <v>21.7</v>
      </c>
      <c r="AV47" s="281">
        <v>21.7</v>
      </c>
      <c r="AW47" s="281">
        <v>21.7</v>
      </c>
      <c r="AX47" s="281">
        <v>21.7</v>
      </c>
      <c r="AY47" s="281">
        <v>21.7</v>
      </c>
      <c r="AZ47" s="281">
        <v>21.7</v>
      </c>
      <c r="BA47" s="281">
        <v>21.7</v>
      </c>
      <c r="BB47" s="281">
        <v>21.7</v>
      </c>
      <c r="BD47" s="52">
        <v>2020</v>
      </c>
      <c r="BE47" s="281">
        <v>21.099999999999998</v>
      </c>
      <c r="BF47" s="281">
        <v>21.099999999999998</v>
      </c>
      <c r="BG47" s="281">
        <v>21.099999999999998</v>
      </c>
      <c r="BH47" s="281">
        <v>21.099999999999998</v>
      </c>
      <c r="BI47" s="281">
        <v>21.099999999999998</v>
      </c>
      <c r="BJ47" s="281">
        <v>21.099999999999998</v>
      </c>
      <c r="BK47" s="281">
        <v>21.099999999999998</v>
      </c>
      <c r="BL47" s="281">
        <v>21.099999999999998</v>
      </c>
      <c r="BM47" s="281">
        <v>21.099999999999998</v>
      </c>
      <c r="BN47" s="281">
        <v>21.099999999999998</v>
      </c>
      <c r="BO47" s="281">
        <v>21.099999999999998</v>
      </c>
      <c r="BP47" s="281">
        <v>21.099999999999998</v>
      </c>
      <c r="BR47" s="52">
        <v>2020</v>
      </c>
      <c r="BS47" s="285">
        <f t="shared" si="25"/>
        <v>21.61428571428571</v>
      </c>
      <c r="BT47" s="285">
        <f t="shared" si="25"/>
        <v>21.61428571428571</v>
      </c>
      <c r="BU47" s="285">
        <f t="shared" si="25"/>
        <v>21.61428571428571</v>
      </c>
      <c r="BV47" s="285">
        <f t="shared" si="25"/>
        <v>21.61428571428571</v>
      </c>
      <c r="BW47" s="285">
        <f t="shared" si="25"/>
        <v>21.61428571428571</v>
      </c>
      <c r="BX47" s="285">
        <f t="shared" si="25"/>
        <v>21.61428571428571</v>
      </c>
      <c r="BY47" s="285">
        <f t="shared" si="25"/>
        <v>21.61428571428571</v>
      </c>
      <c r="BZ47" s="285">
        <f t="shared" si="25"/>
        <v>21.61428571428571</v>
      </c>
      <c r="CA47" s="285">
        <f t="shared" si="25"/>
        <v>21.61428571428571</v>
      </c>
      <c r="CB47" s="285">
        <f t="shared" si="25"/>
        <v>21.61428571428571</v>
      </c>
      <c r="CC47" s="285">
        <f t="shared" si="25"/>
        <v>21.61428571428571</v>
      </c>
      <c r="CD47" s="285">
        <f t="shared" si="25"/>
        <v>21.61428571428571</v>
      </c>
    </row>
    <row r="48" spans="1:82">
      <c r="A48" s="48">
        <v>2021</v>
      </c>
      <c r="B48" s="31" cm="1">
        <f t="array" ref="B48">IF(A48&lt;2021,0,SUMPRODUCT(('Project Operational Timelines'!$AO$20:$AO$49=$A48)*('Project Operational Timelines'!$AP$18:$AY$18=$A$4)*('Project Operational Timelines'!$AP$17:$AY$17=$G48)*'Project Operational Timelines'!$AP20:$AY20))</f>
        <v>0</v>
      </c>
      <c r="C48" s="84">
        <f t="shared" si="12"/>
        <v>0</v>
      </c>
      <c r="D48" s="89">
        <f t="shared" si="26"/>
        <v>0</v>
      </c>
      <c r="E48" s="89"/>
      <c r="F48" s="89" cm="1">
        <f t="array" ref="F48">IF(A48&lt;2021,0,(-(SUMPRODUCT(('Project Operational Timelines'!$AO$20:$AO$49=$A48)*('Project Operational Timelines'!$AP$18:$AY$18=$A$4)*('Project Operational Timelines'!$AP$19:$AY$19="Non-Carve Out")*('Project Operational Timelines'!$AP$17:$AY$17=$G48)*'Project Operational Timelines'!$AP20:$AY20))*1000*('Program Inputs'!$D$14-'Program Inputs'!$D$6)*$F$4*12)+(-(SUMPRODUCT(('Project Operational Timelines'!$AO$20:$AO$49=$A48)*('Project Operational Timelines'!$AP$18:$AY$18=$A$4)*('Project Operational Timelines'!$AP$19:$AY$19="Carve Out")*('Project Operational Timelines'!$AP$17:$AY$17=$G48)*'Project Operational Timelines'!$AP20:$AY20))*1000*('Program Inputs'!$D$14-'Program Inputs'!$D$7)*$F$4*12))</f>
        <v>0</v>
      </c>
      <c r="G48" s="79">
        <v>1</v>
      </c>
      <c r="H48" s="328">
        <f t="shared" si="27"/>
        <v>0</v>
      </c>
      <c r="I48" s="69"/>
      <c r="J48" s="69"/>
      <c r="K48" s="104"/>
      <c r="L48" s="75"/>
      <c r="M48">
        <v>3</v>
      </c>
      <c r="N48" s="51">
        <v>2021</v>
      </c>
      <c r="O48" s="18">
        <f t="shared" si="13"/>
        <v>65.157857142857125</v>
      </c>
      <c r="P48" s="18">
        <f t="shared" si="14"/>
        <v>65.157857142857125</v>
      </c>
      <c r="Q48" s="18">
        <f t="shared" si="15"/>
        <v>65.157857142857125</v>
      </c>
      <c r="R48" s="18">
        <f t="shared" si="16"/>
        <v>65.157857142857125</v>
      </c>
      <c r="S48" s="18">
        <f t="shared" si="17"/>
        <v>65.157857142857125</v>
      </c>
      <c r="T48" s="18">
        <f t="shared" si="18"/>
        <v>65.157857142857125</v>
      </c>
      <c r="U48" s="18">
        <f t="shared" si="19"/>
        <v>65.157857142857125</v>
      </c>
      <c r="V48" s="18">
        <f t="shared" si="20"/>
        <v>65.157857142857125</v>
      </c>
      <c r="W48" s="18">
        <f t="shared" si="21"/>
        <v>65.157857142857125</v>
      </c>
      <c r="X48" s="18">
        <f t="shared" si="22"/>
        <v>65.157857142857125</v>
      </c>
      <c r="Y48" s="18">
        <f t="shared" si="23"/>
        <v>65.157857142857125</v>
      </c>
      <c r="Z48" s="18">
        <f t="shared" si="24"/>
        <v>65.157857142857125</v>
      </c>
      <c r="AA48" s="13"/>
      <c r="AB48" s="52">
        <v>2021</v>
      </c>
      <c r="AC48" s="14">
        <f>SUMIFS('Bill Credit Rates'!$K:$K,'Bill Credit Rates'!$A:$A,$A$4,'Bill Credit Rates'!$B:$B,$G48,'Bill Credit Rates'!$C:$C,$M48)</f>
        <v>92.814999999999984</v>
      </c>
      <c r="AD48" s="14">
        <f>SUMIFS('Bill Credit Rates'!$K:$K,'Bill Credit Rates'!$A:$A,$A$4,'Bill Credit Rates'!$B:$B,$G48,'Bill Credit Rates'!$C:$C,$M48)</f>
        <v>92.814999999999984</v>
      </c>
      <c r="AE48" s="14">
        <f>SUMIFS('Bill Credit Rates'!$K:$K,'Bill Credit Rates'!$A:$A,$A$4,'Bill Credit Rates'!$B:$B,$G48,'Bill Credit Rates'!$C:$C,$M48)</f>
        <v>92.814999999999984</v>
      </c>
      <c r="AF48" s="14">
        <f>SUMIFS('Bill Credit Rates'!$K:$K,'Bill Credit Rates'!$A:$A,$A$4,'Bill Credit Rates'!$B:$B,$G48,'Bill Credit Rates'!$C:$C,$M48)</f>
        <v>92.814999999999984</v>
      </c>
      <c r="AG48" s="14">
        <f>SUMIFS('Bill Credit Rates'!$K:$K,'Bill Credit Rates'!$A:$A,$A$4,'Bill Credit Rates'!$B:$B,$G48,'Bill Credit Rates'!$C:$C,$M48)</f>
        <v>92.814999999999984</v>
      </c>
      <c r="AH48" s="14">
        <f>SUMIFS('Bill Credit Rates'!$K:$K,'Bill Credit Rates'!$A:$A,$A$4,'Bill Credit Rates'!$B:$B,$G48,'Bill Credit Rates'!$C:$C,$M48)</f>
        <v>92.814999999999984</v>
      </c>
      <c r="AI48" s="14">
        <f>SUMIFS('Bill Credit Rates'!$K:$K,'Bill Credit Rates'!$A:$A,$A$4,'Bill Credit Rates'!$B:$B,$G48,'Bill Credit Rates'!$C:$C,$M48)</f>
        <v>92.814999999999984</v>
      </c>
      <c r="AJ48" s="14">
        <f>SUMIFS('Bill Credit Rates'!$K:$K,'Bill Credit Rates'!$A:$A,$A$4,'Bill Credit Rates'!$B:$B,$G48,'Bill Credit Rates'!$C:$C,$M48)</f>
        <v>92.814999999999984</v>
      </c>
      <c r="AK48" s="14">
        <f>SUMIFS('Bill Credit Rates'!$K:$K,'Bill Credit Rates'!$A:$A,$A$4,'Bill Credit Rates'!$B:$B,$G48,'Bill Credit Rates'!$C:$C,$M48)</f>
        <v>92.814999999999984</v>
      </c>
      <c r="AL48" s="14">
        <f>SUMIFS('Bill Credit Rates'!$K:$K,'Bill Credit Rates'!$A:$A,$A$4,'Bill Credit Rates'!$B:$B,$G48,'Bill Credit Rates'!$C:$C,$M48)</f>
        <v>92.814999999999984</v>
      </c>
      <c r="AM48" s="14">
        <f>SUMIFS('Bill Credit Rates'!$K:$K,'Bill Credit Rates'!$A:$A,$A$4,'Bill Credit Rates'!$B:$B,$G48,'Bill Credit Rates'!$C:$C,$M48)</f>
        <v>92.814999999999984</v>
      </c>
      <c r="AN48" s="14">
        <f>SUMIFS('Bill Credit Rates'!$K:$K,'Bill Credit Rates'!$A:$A,$A$4,'Bill Credit Rates'!$B:$B,$G48,'Bill Credit Rates'!$C:$C,$M48)</f>
        <v>92.814999999999984</v>
      </c>
      <c r="AP48" s="52">
        <v>2021</v>
      </c>
      <c r="AQ48" s="281">
        <v>28.799999999999997</v>
      </c>
      <c r="AR48" s="281">
        <v>28.799999999999997</v>
      </c>
      <c r="AS48" s="281">
        <v>28.799999999999997</v>
      </c>
      <c r="AT48" s="281">
        <v>28.799999999999997</v>
      </c>
      <c r="AU48" s="281">
        <v>28.799999999999997</v>
      </c>
      <c r="AV48" s="281">
        <v>28.799999999999997</v>
      </c>
      <c r="AW48" s="281">
        <v>28.799999999999997</v>
      </c>
      <c r="AX48" s="281">
        <v>28.799999999999997</v>
      </c>
      <c r="AY48" s="281">
        <v>28.799999999999997</v>
      </c>
      <c r="AZ48" s="281">
        <v>28.799999999999997</v>
      </c>
      <c r="BA48" s="281">
        <v>28.799999999999997</v>
      </c>
      <c r="BB48" s="281">
        <v>28.799999999999997</v>
      </c>
      <c r="BD48" s="52">
        <v>2021</v>
      </c>
      <c r="BE48" s="281">
        <v>20.8</v>
      </c>
      <c r="BF48" s="281">
        <v>20.8</v>
      </c>
      <c r="BG48" s="281">
        <v>20.8</v>
      </c>
      <c r="BH48" s="281">
        <v>20.8</v>
      </c>
      <c r="BI48" s="281">
        <v>20.8</v>
      </c>
      <c r="BJ48" s="281">
        <v>20.8</v>
      </c>
      <c r="BK48" s="281">
        <v>20.8</v>
      </c>
      <c r="BL48" s="281">
        <v>20.8</v>
      </c>
      <c r="BM48" s="281">
        <v>20.8</v>
      </c>
      <c r="BN48" s="281">
        <v>20.8</v>
      </c>
      <c r="BO48" s="281">
        <v>20.8</v>
      </c>
      <c r="BP48" s="281">
        <v>20.8</v>
      </c>
      <c r="BR48" s="52">
        <v>2021</v>
      </c>
      <c r="BS48" s="285">
        <f t="shared" si="25"/>
        <v>27.657142857142855</v>
      </c>
      <c r="BT48" s="285">
        <f t="shared" si="25"/>
        <v>27.657142857142855</v>
      </c>
      <c r="BU48" s="285">
        <f t="shared" si="25"/>
        <v>27.657142857142855</v>
      </c>
      <c r="BV48" s="285">
        <f t="shared" si="25"/>
        <v>27.657142857142855</v>
      </c>
      <c r="BW48" s="285">
        <f t="shared" si="25"/>
        <v>27.657142857142855</v>
      </c>
      <c r="BX48" s="285">
        <f t="shared" si="25"/>
        <v>27.657142857142855</v>
      </c>
      <c r="BY48" s="285">
        <f t="shared" si="25"/>
        <v>27.657142857142855</v>
      </c>
      <c r="BZ48" s="285">
        <f t="shared" si="25"/>
        <v>27.657142857142855</v>
      </c>
      <c r="CA48" s="285">
        <f t="shared" si="25"/>
        <v>27.657142857142855</v>
      </c>
      <c r="CB48" s="285">
        <f t="shared" si="25"/>
        <v>27.657142857142855</v>
      </c>
      <c r="CC48" s="285">
        <f t="shared" si="25"/>
        <v>27.657142857142855</v>
      </c>
      <c r="CD48" s="285">
        <f t="shared" si="25"/>
        <v>27.657142857142855</v>
      </c>
    </row>
    <row r="49" spans="1:82">
      <c r="A49" s="48">
        <v>2022</v>
      </c>
      <c r="B49" s="31" cm="1">
        <f t="array" ref="B49">IF(A49&lt;2021,0,SUMPRODUCT(('Project Operational Timelines'!$AO$20:$AO$49=$A49)*('Project Operational Timelines'!$AP$18:$AY$18=$A$4)*('Project Operational Timelines'!$AP$17:$AY$17=$G49)*'Project Operational Timelines'!$AP21:$AY21))</f>
        <v>0.28999999999999998</v>
      </c>
      <c r="C49" s="84">
        <f t="shared" si="12"/>
        <v>48.397937116666668</v>
      </c>
      <c r="D49" s="89">
        <f t="shared" si="26"/>
        <v>36547.769999999997</v>
      </c>
      <c r="E49" s="89"/>
      <c r="F49" s="89" cm="1">
        <f t="array" ref="F49">IF(A49&lt;2021,0,(-(SUMPRODUCT(('Project Operational Timelines'!$AO$20:$AO$49=$A49)*('Project Operational Timelines'!$AP$18:$AY$18=$A$4)*('Project Operational Timelines'!$AP$19:$AY$19="Non-Carve Out")*('Project Operational Timelines'!$AP$17:$AY$17=$G49)*'Project Operational Timelines'!$AP21:$AY21))*1000*('Program Inputs'!$D$14-'Program Inputs'!$D$6)*$F$4*12)+(-(SUMPRODUCT(('Project Operational Timelines'!$AO$20:$AO$49=$A49)*('Project Operational Timelines'!$AP$18:$AY$18=$A$4)*('Project Operational Timelines'!$AP$19:$AY$19="Carve Out")*('Project Operational Timelines'!$AP$17:$AY$17=$G49)*'Project Operational Timelines'!$AP21:$AY21))*1000*('Program Inputs'!$D$14-'Program Inputs'!$D$7)*$F$4*12))</f>
        <v>-313.20000000000005</v>
      </c>
      <c r="G49" s="79">
        <v>1</v>
      </c>
      <c r="H49" s="328">
        <f t="shared" si="27"/>
        <v>38683.730000000003</v>
      </c>
      <c r="I49" s="69"/>
      <c r="J49" s="69"/>
      <c r="K49" s="104"/>
      <c r="L49" s="75"/>
      <c r="M49">
        <v>4</v>
      </c>
      <c r="N49" s="51">
        <v>2022</v>
      </c>
      <c r="O49" s="18">
        <f t="shared" si="13"/>
        <v>62.929285714285697</v>
      </c>
      <c r="P49" s="18">
        <f t="shared" si="14"/>
        <v>62.929285714285697</v>
      </c>
      <c r="Q49" s="18">
        <f t="shared" si="15"/>
        <v>62.929285714285697</v>
      </c>
      <c r="R49" s="18">
        <f t="shared" si="16"/>
        <v>62.929285714285697</v>
      </c>
      <c r="S49" s="18">
        <f t="shared" si="17"/>
        <v>62.929285714285697</v>
      </c>
      <c r="T49" s="18">
        <f t="shared" si="18"/>
        <v>62.929285714285697</v>
      </c>
      <c r="U49" s="18">
        <f t="shared" si="19"/>
        <v>62.929285714285697</v>
      </c>
      <c r="V49" s="18">
        <f t="shared" si="20"/>
        <v>62.929285714285697</v>
      </c>
      <c r="W49" s="18">
        <f t="shared" si="21"/>
        <v>62.929285714285697</v>
      </c>
      <c r="X49" s="18">
        <f t="shared" si="22"/>
        <v>62.929285714285697</v>
      </c>
      <c r="Y49" s="18">
        <f t="shared" si="23"/>
        <v>62.929285714285697</v>
      </c>
      <c r="Z49" s="18">
        <f t="shared" si="24"/>
        <v>62.929285714285697</v>
      </c>
      <c r="AA49" s="13"/>
      <c r="AB49" s="52">
        <v>2022</v>
      </c>
      <c r="AC49" s="14">
        <f>SUMIFS('Bill Credit Rates'!$K:$K,'Bill Credit Rates'!$A:$A,$A$4,'Bill Credit Rates'!$B:$B,$G49,'Bill Credit Rates'!$C:$C,$M49)</f>
        <v>92.814999999999984</v>
      </c>
      <c r="AD49" s="14">
        <f>SUMIFS('Bill Credit Rates'!$K:$K,'Bill Credit Rates'!$A:$A,$A$4,'Bill Credit Rates'!$B:$B,$G49,'Bill Credit Rates'!$C:$C,$M49)</f>
        <v>92.814999999999984</v>
      </c>
      <c r="AE49" s="14">
        <f>SUMIFS('Bill Credit Rates'!$K:$K,'Bill Credit Rates'!$A:$A,$A$4,'Bill Credit Rates'!$B:$B,$G49,'Bill Credit Rates'!$C:$C,$M49)</f>
        <v>92.814999999999984</v>
      </c>
      <c r="AF49" s="14">
        <f>SUMIFS('Bill Credit Rates'!$K:$K,'Bill Credit Rates'!$A:$A,$A$4,'Bill Credit Rates'!$B:$B,$G49,'Bill Credit Rates'!$C:$C,$M49)</f>
        <v>92.814999999999984</v>
      </c>
      <c r="AG49" s="14">
        <f>SUMIFS('Bill Credit Rates'!$K:$K,'Bill Credit Rates'!$A:$A,$A$4,'Bill Credit Rates'!$B:$B,$G49,'Bill Credit Rates'!$C:$C,$M49)</f>
        <v>92.814999999999984</v>
      </c>
      <c r="AH49" s="14">
        <f>SUMIFS('Bill Credit Rates'!$K:$K,'Bill Credit Rates'!$A:$A,$A$4,'Bill Credit Rates'!$B:$B,$G49,'Bill Credit Rates'!$C:$C,$M49)</f>
        <v>92.814999999999984</v>
      </c>
      <c r="AI49" s="14">
        <f>SUMIFS('Bill Credit Rates'!$K:$K,'Bill Credit Rates'!$A:$A,$A$4,'Bill Credit Rates'!$B:$B,$G49,'Bill Credit Rates'!$C:$C,$M49)</f>
        <v>92.814999999999984</v>
      </c>
      <c r="AJ49" s="14">
        <f>SUMIFS('Bill Credit Rates'!$K:$K,'Bill Credit Rates'!$A:$A,$A$4,'Bill Credit Rates'!$B:$B,$G49,'Bill Credit Rates'!$C:$C,$M49)</f>
        <v>92.814999999999984</v>
      </c>
      <c r="AK49" s="14">
        <f>SUMIFS('Bill Credit Rates'!$K:$K,'Bill Credit Rates'!$A:$A,$A$4,'Bill Credit Rates'!$B:$B,$G49,'Bill Credit Rates'!$C:$C,$M49)</f>
        <v>92.814999999999984</v>
      </c>
      <c r="AL49" s="14">
        <f>SUMIFS('Bill Credit Rates'!$K:$K,'Bill Credit Rates'!$A:$A,$A$4,'Bill Credit Rates'!$B:$B,$G49,'Bill Credit Rates'!$C:$C,$M49)</f>
        <v>92.814999999999984</v>
      </c>
      <c r="AM49" s="14">
        <f>SUMIFS('Bill Credit Rates'!$K:$K,'Bill Credit Rates'!$A:$A,$A$4,'Bill Credit Rates'!$B:$B,$G49,'Bill Credit Rates'!$C:$C,$M49)</f>
        <v>92.814999999999984</v>
      </c>
      <c r="AN49" s="14">
        <f>SUMIFS('Bill Credit Rates'!$K:$K,'Bill Credit Rates'!$A:$A,$A$4,'Bill Credit Rates'!$B:$B,$G49,'Bill Credit Rates'!$C:$C,$M49)</f>
        <v>92.814999999999984</v>
      </c>
      <c r="AP49" s="52">
        <v>2022</v>
      </c>
      <c r="AQ49" s="281">
        <v>30.8</v>
      </c>
      <c r="AR49" s="281">
        <v>30.8</v>
      </c>
      <c r="AS49" s="281">
        <v>30.8</v>
      </c>
      <c r="AT49" s="281">
        <v>30.8</v>
      </c>
      <c r="AU49" s="281">
        <v>30.8</v>
      </c>
      <c r="AV49" s="281">
        <v>30.8</v>
      </c>
      <c r="AW49" s="281">
        <v>30.8</v>
      </c>
      <c r="AX49" s="281">
        <v>30.8</v>
      </c>
      <c r="AY49" s="281">
        <v>30.8</v>
      </c>
      <c r="AZ49" s="281">
        <v>30.8</v>
      </c>
      <c r="BA49" s="281">
        <v>30.8</v>
      </c>
      <c r="BB49" s="281">
        <v>30.8</v>
      </c>
      <c r="BD49" s="52">
        <v>2022</v>
      </c>
      <c r="BE49" s="281">
        <v>24.4</v>
      </c>
      <c r="BF49" s="281">
        <v>24.4</v>
      </c>
      <c r="BG49" s="281">
        <v>24.4</v>
      </c>
      <c r="BH49" s="281">
        <v>24.4</v>
      </c>
      <c r="BI49" s="281">
        <v>24.4</v>
      </c>
      <c r="BJ49" s="281">
        <v>24.4</v>
      </c>
      <c r="BK49" s="281">
        <v>24.4</v>
      </c>
      <c r="BL49" s="281">
        <v>24.4</v>
      </c>
      <c r="BM49" s="281">
        <v>24.4</v>
      </c>
      <c r="BN49" s="281">
        <v>24.4</v>
      </c>
      <c r="BO49" s="281">
        <v>24.4</v>
      </c>
      <c r="BP49" s="281">
        <v>24.4</v>
      </c>
      <c r="BR49" s="52">
        <v>2022</v>
      </c>
      <c r="BS49" s="285">
        <f t="shared" si="25"/>
        <v>29.885714285714286</v>
      </c>
      <c r="BT49" s="285">
        <f t="shared" si="25"/>
        <v>29.885714285714286</v>
      </c>
      <c r="BU49" s="285">
        <f t="shared" si="25"/>
        <v>29.885714285714286</v>
      </c>
      <c r="BV49" s="285">
        <f t="shared" si="25"/>
        <v>29.885714285714286</v>
      </c>
      <c r="BW49" s="285">
        <f t="shared" si="25"/>
        <v>29.885714285714286</v>
      </c>
      <c r="BX49" s="285">
        <f t="shared" si="25"/>
        <v>29.885714285714286</v>
      </c>
      <c r="BY49" s="285">
        <f t="shared" si="25"/>
        <v>29.885714285714286</v>
      </c>
      <c r="BZ49" s="285">
        <f t="shared" si="25"/>
        <v>29.885714285714286</v>
      </c>
      <c r="CA49" s="285">
        <f t="shared" si="25"/>
        <v>29.885714285714286</v>
      </c>
      <c r="CB49" s="285">
        <f t="shared" si="25"/>
        <v>29.885714285714286</v>
      </c>
      <c r="CC49" s="285">
        <f t="shared" si="25"/>
        <v>29.885714285714286</v>
      </c>
      <c r="CD49" s="285">
        <f t="shared" si="25"/>
        <v>29.885714285714286</v>
      </c>
    </row>
    <row r="50" spans="1:82">
      <c r="A50" s="48">
        <v>2023</v>
      </c>
      <c r="B50" s="31" cm="1">
        <f t="array" ref="B50">IF(A50&lt;2021,0,SUMPRODUCT(('Project Operational Timelines'!$AO$20:$AO$49=$A50)*('Project Operational Timelines'!$AP$18:$AY$18=$A$4)*('Project Operational Timelines'!$AP$17:$AY$17=$G50)*'Project Operational Timelines'!$AP22:$AY22))</f>
        <v>1.17</v>
      </c>
      <c r="C50" s="84">
        <f t="shared" si="12"/>
        <v>195.26064285000001</v>
      </c>
      <c r="D50" s="89">
        <f t="shared" si="26"/>
        <v>140790.18</v>
      </c>
      <c r="E50" s="89"/>
      <c r="F50" s="89" cm="1">
        <f t="array" ref="F50">IF(A50&lt;2021,0,(-(SUMPRODUCT(('Project Operational Timelines'!$AO$20:$AO$49=$A50)*('Project Operational Timelines'!$AP$18:$AY$18=$A$4)*('Project Operational Timelines'!$AP$19:$AY$19="Non-Carve Out")*('Project Operational Timelines'!$AP$17:$AY$17=$G50)*'Project Operational Timelines'!$AP22:$AY22))*1000*('Program Inputs'!$D$14-'Program Inputs'!$D$6)*$F$4*12)+(-(SUMPRODUCT(('Project Operational Timelines'!$AO$20:$AO$49=$A50)*('Project Operational Timelines'!$AP$18:$AY$18=$A$4)*('Project Operational Timelines'!$AP$19:$AY$19="Carve Out")*('Project Operational Timelines'!$AP$17:$AY$17=$G50)*'Project Operational Timelines'!$AP22:$AY22))*1000*('Program Inputs'!$D$14-'Program Inputs'!$D$7)*$F$4*12))</f>
        <v>-1618.7999999999997</v>
      </c>
      <c r="G50" s="79">
        <v>1</v>
      </c>
      <c r="H50" s="328">
        <f t="shared" si="27"/>
        <v>144845.85999999999</v>
      </c>
      <c r="I50" s="69"/>
      <c r="J50" s="69"/>
      <c r="K50" s="104"/>
      <c r="L50" s="75"/>
      <c r="M50">
        <v>5</v>
      </c>
      <c r="N50" s="51">
        <v>2023</v>
      </c>
      <c r="O50" s="18">
        <f t="shared" si="13"/>
        <v>60.086428571428549</v>
      </c>
      <c r="P50" s="18">
        <f t="shared" si="14"/>
        <v>60.086428571428549</v>
      </c>
      <c r="Q50" s="18">
        <f t="shared" si="15"/>
        <v>60.086428571428549</v>
      </c>
      <c r="R50" s="18">
        <f t="shared" si="16"/>
        <v>60.086428571428549</v>
      </c>
      <c r="S50" s="18">
        <f t="shared" si="17"/>
        <v>60.086428571428549</v>
      </c>
      <c r="T50" s="18">
        <f t="shared" si="18"/>
        <v>60.086428571428549</v>
      </c>
      <c r="U50" s="18">
        <f t="shared" si="19"/>
        <v>60.086428571428549</v>
      </c>
      <c r="V50" s="18">
        <f t="shared" si="20"/>
        <v>60.086428571428549</v>
      </c>
      <c r="W50" s="18">
        <f t="shared" si="21"/>
        <v>60.086428571428549</v>
      </c>
      <c r="X50" s="18">
        <f t="shared" si="22"/>
        <v>60.086428571428549</v>
      </c>
      <c r="Y50" s="18">
        <f t="shared" si="23"/>
        <v>60.086428571428549</v>
      </c>
      <c r="Z50" s="18">
        <f t="shared" si="24"/>
        <v>60.086428571428549</v>
      </c>
      <c r="AA50" s="13"/>
      <c r="AB50" s="52">
        <v>2023</v>
      </c>
      <c r="AC50" s="14">
        <f>SUMIFS('Bill Credit Rates'!$K:$K,'Bill Credit Rates'!$A:$A,$A$4,'Bill Credit Rates'!$B:$B,$G50,'Bill Credit Rates'!$C:$C,$M50)</f>
        <v>92.814999999999984</v>
      </c>
      <c r="AD50" s="14">
        <f>SUMIFS('Bill Credit Rates'!$K:$K,'Bill Credit Rates'!$A:$A,$A$4,'Bill Credit Rates'!$B:$B,$G50,'Bill Credit Rates'!$C:$C,$M50)</f>
        <v>92.814999999999984</v>
      </c>
      <c r="AE50" s="14">
        <f>SUMIFS('Bill Credit Rates'!$K:$K,'Bill Credit Rates'!$A:$A,$A$4,'Bill Credit Rates'!$B:$B,$G50,'Bill Credit Rates'!$C:$C,$M50)</f>
        <v>92.814999999999984</v>
      </c>
      <c r="AF50" s="14">
        <f>SUMIFS('Bill Credit Rates'!$K:$K,'Bill Credit Rates'!$A:$A,$A$4,'Bill Credit Rates'!$B:$B,$G50,'Bill Credit Rates'!$C:$C,$M50)</f>
        <v>92.814999999999984</v>
      </c>
      <c r="AG50" s="14">
        <f>SUMIFS('Bill Credit Rates'!$K:$K,'Bill Credit Rates'!$A:$A,$A$4,'Bill Credit Rates'!$B:$B,$G50,'Bill Credit Rates'!$C:$C,$M50)</f>
        <v>92.814999999999984</v>
      </c>
      <c r="AH50" s="14">
        <f>SUMIFS('Bill Credit Rates'!$K:$K,'Bill Credit Rates'!$A:$A,$A$4,'Bill Credit Rates'!$B:$B,$G50,'Bill Credit Rates'!$C:$C,$M50)</f>
        <v>92.814999999999984</v>
      </c>
      <c r="AI50" s="14">
        <f>SUMIFS('Bill Credit Rates'!$K:$K,'Bill Credit Rates'!$A:$A,$A$4,'Bill Credit Rates'!$B:$B,$G50,'Bill Credit Rates'!$C:$C,$M50)</f>
        <v>92.814999999999984</v>
      </c>
      <c r="AJ50" s="14">
        <f>SUMIFS('Bill Credit Rates'!$K:$K,'Bill Credit Rates'!$A:$A,$A$4,'Bill Credit Rates'!$B:$B,$G50,'Bill Credit Rates'!$C:$C,$M50)</f>
        <v>92.814999999999984</v>
      </c>
      <c r="AK50" s="14">
        <f>SUMIFS('Bill Credit Rates'!$K:$K,'Bill Credit Rates'!$A:$A,$A$4,'Bill Credit Rates'!$B:$B,$G50,'Bill Credit Rates'!$C:$C,$M50)</f>
        <v>92.814999999999984</v>
      </c>
      <c r="AL50" s="14">
        <f>SUMIFS('Bill Credit Rates'!$K:$K,'Bill Credit Rates'!$A:$A,$A$4,'Bill Credit Rates'!$B:$B,$G50,'Bill Credit Rates'!$C:$C,$M50)</f>
        <v>92.814999999999984</v>
      </c>
      <c r="AM50" s="14">
        <f>SUMIFS('Bill Credit Rates'!$K:$K,'Bill Credit Rates'!$A:$A,$A$4,'Bill Credit Rates'!$B:$B,$G50,'Bill Credit Rates'!$C:$C,$M50)</f>
        <v>92.814999999999984</v>
      </c>
      <c r="AN50" s="14">
        <f>SUMIFS('Bill Credit Rates'!$K:$K,'Bill Credit Rates'!$A:$A,$A$4,'Bill Credit Rates'!$B:$B,$G50,'Bill Credit Rates'!$C:$C,$M50)</f>
        <v>92.814999999999984</v>
      </c>
      <c r="AP50" s="52">
        <v>2023</v>
      </c>
      <c r="AQ50" s="281">
        <v>33.6</v>
      </c>
      <c r="AR50" s="281">
        <v>33.6</v>
      </c>
      <c r="AS50" s="281">
        <v>33.6</v>
      </c>
      <c r="AT50" s="281">
        <v>33.6</v>
      </c>
      <c r="AU50" s="281">
        <v>33.6</v>
      </c>
      <c r="AV50" s="281">
        <v>33.6</v>
      </c>
      <c r="AW50" s="281">
        <v>33.6</v>
      </c>
      <c r="AX50" s="281">
        <v>33.6</v>
      </c>
      <c r="AY50" s="281">
        <v>33.6</v>
      </c>
      <c r="AZ50" s="281">
        <v>33.6</v>
      </c>
      <c r="BA50" s="281">
        <v>33.6</v>
      </c>
      <c r="BB50" s="281">
        <v>33.6</v>
      </c>
      <c r="BD50" s="52">
        <v>2023</v>
      </c>
      <c r="BE50" s="281">
        <v>27.5</v>
      </c>
      <c r="BF50" s="281">
        <v>27.5</v>
      </c>
      <c r="BG50" s="281">
        <v>27.5</v>
      </c>
      <c r="BH50" s="281">
        <v>27.5</v>
      </c>
      <c r="BI50" s="281">
        <v>27.5</v>
      </c>
      <c r="BJ50" s="281">
        <v>27.5</v>
      </c>
      <c r="BK50" s="281">
        <v>27.5</v>
      </c>
      <c r="BL50" s="281">
        <v>27.5</v>
      </c>
      <c r="BM50" s="281">
        <v>27.5</v>
      </c>
      <c r="BN50" s="281">
        <v>27.5</v>
      </c>
      <c r="BO50" s="281">
        <v>27.5</v>
      </c>
      <c r="BP50" s="281">
        <v>27.5</v>
      </c>
      <c r="BR50" s="52">
        <v>2023</v>
      </c>
      <c r="BS50" s="285">
        <f t="shared" si="25"/>
        <v>32.728571428571435</v>
      </c>
      <c r="BT50" s="285">
        <f t="shared" si="25"/>
        <v>32.728571428571435</v>
      </c>
      <c r="BU50" s="285">
        <f t="shared" si="25"/>
        <v>32.728571428571435</v>
      </c>
      <c r="BV50" s="285">
        <f t="shared" si="25"/>
        <v>32.728571428571435</v>
      </c>
      <c r="BW50" s="285">
        <f t="shared" si="25"/>
        <v>32.728571428571435</v>
      </c>
      <c r="BX50" s="285">
        <f t="shared" si="25"/>
        <v>32.728571428571435</v>
      </c>
      <c r="BY50" s="285">
        <f t="shared" si="25"/>
        <v>32.728571428571435</v>
      </c>
      <c r="BZ50" s="285">
        <f t="shared" si="25"/>
        <v>32.728571428571435</v>
      </c>
      <c r="CA50" s="285">
        <f t="shared" si="25"/>
        <v>32.728571428571435</v>
      </c>
      <c r="CB50" s="285">
        <f t="shared" si="25"/>
        <v>32.728571428571435</v>
      </c>
      <c r="CC50" s="285">
        <f t="shared" si="25"/>
        <v>32.728571428571435</v>
      </c>
      <c r="CD50" s="285">
        <f t="shared" si="25"/>
        <v>32.728571428571435</v>
      </c>
    </row>
    <row r="51" spans="1:82">
      <c r="A51" s="48">
        <v>2024</v>
      </c>
      <c r="B51" s="31" cm="1">
        <f t="array" ref="B51">IF(A51&lt;2021,0,SUMPRODUCT(('Project Operational Timelines'!$AO$20:$AO$49=$A51)*('Project Operational Timelines'!$AP$18:$AY$18=$A$4)*('Project Operational Timelines'!$AP$17:$AY$17=$G51)*'Project Operational Timelines'!$AP23:$AY23))</f>
        <v>3.79</v>
      </c>
      <c r="C51" s="84">
        <f t="shared" si="12"/>
        <v>632.51097128333333</v>
      </c>
      <c r="D51" s="89">
        <f t="shared" si="26"/>
        <v>435570.55</v>
      </c>
      <c r="E51" s="89"/>
      <c r="F51" s="89" cm="1">
        <f t="array" ref="F51">IF(A51&lt;2021,0,(-(SUMPRODUCT(('Project Operational Timelines'!$AO$20:$AO$49=$A51)*('Project Operational Timelines'!$AP$18:$AY$18=$A$4)*('Project Operational Timelines'!$AP$19:$AY$19="Non-Carve Out")*('Project Operational Timelines'!$AP$17:$AY$17=$G51)*'Project Operational Timelines'!$AP23:$AY23))*1000*('Program Inputs'!$D$14-'Program Inputs'!$D$6)*$F$4*12)+(-(SUMPRODUCT(('Project Operational Timelines'!$AO$20:$AO$49=$A51)*('Project Operational Timelines'!$AP$18:$AY$18=$A$4)*('Project Operational Timelines'!$AP$19:$AY$19="Carve Out")*('Project Operational Timelines'!$AP$17:$AY$17=$G51)*'Project Operational Timelines'!$AP23:$AY23))*1000*('Program Inputs'!$D$14-'Program Inputs'!$D$7)*$F$4*12))</f>
        <v>-6762.0000000000009</v>
      </c>
      <c r="G51" s="79">
        <v>1</v>
      </c>
      <c r="H51" s="328">
        <f t="shared" si="27"/>
        <v>435570.55</v>
      </c>
      <c r="I51" s="69"/>
      <c r="J51" s="69"/>
      <c r="K51" s="104"/>
      <c r="L51" s="75"/>
      <c r="M51">
        <v>6</v>
      </c>
      <c r="N51" s="51">
        <v>2024</v>
      </c>
      <c r="O51" s="18">
        <f t="shared" si="13"/>
        <v>57.386428571428553</v>
      </c>
      <c r="P51" s="18">
        <f t="shared" si="14"/>
        <v>57.386428571428553</v>
      </c>
      <c r="Q51" s="18">
        <f t="shared" si="15"/>
        <v>57.386428571428553</v>
      </c>
      <c r="R51" s="18">
        <f t="shared" si="16"/>
        <v>57.386428571428553</v>
      </c>
      <c r="S51" s="18">
        <f t="shared" si="17"/>
        <v>57.386428571428553</v>
      </c>
      <c r="T51" s="18">
        <f t="shared" si="18"/>
        <v>57.386428571428553</v>
      </c>
      <c r="U51" s="18">
        <f t="shared" si="19"/>
        <v>57.386428571428553</v>
      </c>
      <c r="V51" s="18">
        <f t="shared" si="20"/>
        <v>57.386428571428553</v>
      </c>
      <c r="W51" s="18">
        <f t="shared" si="21"/>
        <v>57.386428571428553</v>
      </c>
      <c r="X51" s="18">
        <f t="shared" si="22"/>
        <v>57.386428571428553</v>
      </c>
      <c r="Y51" s="18">
        <f t="shared" si="23"/>
        <v>57.386428571428553</v>
      </c>
      <c r="Z51" s="18">
        <f t="shared" si="24"/>
        <v>57.386428571428553</v>
      </c>
      <c r="AA51" s="13"/>
      <c r="AB51" s="52">
        <v>2024</v>
      </c>
      <c r="AC51" s="14">
        <f>SUMIFS('Bill Credit Rates'!$K:$K,'Bill Credit Rates'!$A:$A,$A$4,'Bill Credit Rates'!$B:$B,$G51,'Bill Credit Rates'!$C:$C,$M51)</f>
        <v>92.814999999999984</v>
      </c>
      <c r="AD51" s="14">
        <f>SUMIFS('Bill Credit Rates'!$K:$K,'Bill Credit Rates'!$A:$A,$A$4,'Bill Credit Rates'!$B:$B,$G51,'Bill Credit Rates'!$C:$C,$M51)</f>
        <v>92.814999999999984</v>
      </c>
      <c r="AE51" s="14">
        <f>SUMIFS('Bill Credit Rates'!$K:$K,'Bill Credit Rates'!$A:$A,$A$4,'Bill Credit Rates'!$B:$B,$G51,'Bill Credit Rates'!$C:$C,$M51)</f>
        <v>92.814999999999984</v>
      </c>
      <c r="AF51" s="14">
        <f>SUMIFS('Bill Credit Rates'!$K:$K,'Bill Credit Rates'!$A:$A,$A$4,'Bill Credit Rates'!$B:$B,$G51,'Bill Credit Rates'!$C:$C,$M51)</f>
        <v>92.814999999999984</v>
      </c>
      <c r="AG51" s="14">
        <f>SUMIFS('Bill Credit Rates'!$K:$K,'Bill Credit Rates'!$A:$A,$A$4,'Bill Credit Rates'!$B:$B,$G51,'Bill Credit Rates'!$C:$C,$M51)</f>
        <v>92.814999999999984</v>
      </c>
      <c r="AH51" s="14">
        <f>SUMIFS('Bill Credit Rates'!$K:$K,'Bill Credit Rates'!$A:$A,$A$4,'Bill Credit Rates'!$B:$B,$G51,'Bill Credit Rates'!$C:$C,$M51)</f>
        <v>92.814999999999984</v>
      </c>
      <c r="AI51" s="14">
        <f>SUMIFS('Bill Credit Rates'!$K:$K,'Bill Credit Rates'!$A:$A,$A$4,'Bill Credit Rates'!$B:$B,$G51,'Bill Credit Rates'!$C:$C,$M51)</f>
        <v>92.814999999999984</v>
      </c>
      <c r="AJ51" s="14">
        <f>SUMIFS('Bill Credit Rates'!$K:$K,'Bill Credit Rates'!$A:$A,$A$4,'Bill Credit Rates'!$B:$B,$G51,'Bill Credit Rates'!$C:$C,$M51)</f>
        <v>92.814999999999984</v>
      </c>
      <c r="AK51" s="14">
        <f>SUMIFS('Bill Credit Rates'!$K:$K,'Bill Credit Rates'!$A:$A,$A$4,'Bill Credit Rates'!$B:$B,$G51,'Bill Credit Rates'!$C:$C,$M51)</f>
        <v>92.814999999999984</v>
      </c>
      <c r="AL51" s="14">
        <f>SUMIFS('Bill Credit Rates'!$K:$K,'Bill Credit Rates'!$A:$A,$A$4,'Bill Credit Rates'!$B:$B,$G51,'Bill Credit Rates'!$C:$C,$M51)</f>
        <v>92.814999999999984</v>
      </c>
      <c r="AM51" s="14">
        <f>SUMIFS('Bill Credit Rates'!$K:$K,'Bill Credit Rates'!$A:$A,$A$4,'Bill Credit Rates'!$B:$B,$G51,'Bill Credit Rates'!$C:$C,$M51)</f>
        <v>92.814999999999984</v>
      </c>
      <c r="AN51" s="14">
        <f>SUMIFS('Bill Credit Rates'!$K:$K,'Bill Credit Rates'!$A:$A,$A$4,'Bill Credit Rates'!$B:$B,$G51,'Bill Credit Rates'!$C:$C,$M51)</f>
        <v>92.814999999999984</v>
      </c>
      <c r="AP51" s="52">
        <v>2024</v>
      </c>
      <c r="AQ51" s="281">
        <v>37.1</v>
      </c>
      <c r="AR51" s="281">
        <v>37.1</v>
      </c>
      <c r="AS51" s="281">
        <v>37.1</v>
      </c>
      <c r="AT51" s="281">
        <v>37.1</v>
      </c>
      <c r="AU51" s="281">
        <v>37.1</v>
      </c>
      <c r="AV51" s="281">
        <v>37.1</v>
      </c>
      <c r="AW51" s="281">
        <v>37.1</v>
      </c>
      <c r="AX51" s="281">
        <v>37.1</v>
      </c>
      <c r="AY51" s="281">
        <v>37.1</v>
      </c>
      <c r="AZ51" s="281">
        <v>37.1</v>
      </c>
      <c r="BA51" s="281">
        <v>37.1</v>
      </c>
      <c r="BB51" s="281">
        <v>37.1</v>
      </c>
      <c r="BD51" s="52">
        <v>2024</v>
      </c>
      <c r="BE51" s="281">
        <v>25.4</v>
      </c>
      <c r="BF51" s="281">
        <v>25.4</v>
      </c>
      <c r="BG51" s="281">
        <v>25.4</v>
      </c>
      <c r="BH51" s="281">
        <v>25.4</v>
      </c>
      <c r="BI51" s="281">
        <v>25.4</v>
      </c>
      <c r="BJ51" s="281">
        <v>25.4</v>
      </c>
      <c r="BK51" s="281">
        <v>25.4</v>
      </c>
      <c r="BL51" s="281">
        <v>25.4</v>
      </c>
      <c r="BM51" s="281">
        <v>25.4</v>
      </c>
      <c r="BN51" s="281">
        <v>25.4</v>
      </c>
      <c r="BO51" s="281">
        <v>25.4</v>
      </c>
      <c r="BP51" s="281">
        <v>25.4</v>
      </c>
      <c r="BR51" s="52">
        <v>2024</v>
      </c>
      <c r="BS51" s="285">
        <f t="shared" si="25"/>
        <v>35.428571428571431</v>
      </c>
      <c r="BT51" s="285">
        <f t="shared" si="25"/>
        <v>35.428571428571431</v>
      </c>
      <c r="BU51" s="285">
        <f t="shared" si="25"/>
        <v>35.428571428571431</v>
      </c>
      <c r="BV51" s="285">
        <f t="shared" si="25"/>
        <v>35.428571428571431</v>
      </c>
      <c r="BW51" s="285">
        <f t="shared" si="25"/>
        <v>35.428571428571431</v>
      </c>
      <c r="BX51" s="285">
        <f t="shared" si="25"/>
        <v>35.428571428571431</v>
      </c>
      <c r="BY51" s="285">
        <f t="shared" si="25"/>
        <v>35.428571428571431</v>
      </c>
      <c r="BZ51" s="285">
        <f t="shared" si="25"/>
        <v>35.428571428571431</v>
      </c>
      <c r="CA51" s="285">
        <f t="shared" si="25"/>
        <v>35.428571428571431</v>
      </c>
      <c r="CB51" s="285">
        <f t="shared" si="25"/>
        <v>35.428571428571431</v>
      </c>
      <c r="CC51" s="285">
        <f t="shared" si="25"/>
        <v>35.428571428571431</v>
      </c>
      <c r="CD51" s="285">
        <f t="shared" si="25"/>
        <v>35.428571428571431</v>
      </c>
    </row>
    <row r="52" spans="1:82">
      <c r="A52" s="48">
        <v>2025</v>
      </c>
      <c r="B52" s="31" cm="1">
        <f t="array" ref="B52">IF(A52&lt;2021,0,SUMPRODUCT(('Project Operational Timelines'!$AO$20:$AO$49=$A52)*('Project Operational Timelines'!$AP$18:$AY$18=$A$4)*('Project Operational Timelines'!$AP$17:$AY$17=$G52)*'Project Operational Timelines'!$AP24:$AY24))</f>
        <v>13.170000000000002</v>
      </c>
      <c r="C52" s="84">
        <f t="shared" si="12"/>
        <v>2197.9339028500003</v>
      </c>
      <c r="D52" s="89">
        <f t="shared" si="26"/>
        <v>871454.56</v>
      </c>
      <c r="E52" s="89"/>
      <c r="F52" s="89" cm="1">
        <f t="array" ref="F52">IF(A52&lt;2021,0,(-(SUMPRODUCT(('Project Operational Timelines'!$AO$20:$AO$49=$A52)*('Project Operational Timelines'!$AP$18:$AY$18=$A$4)*('Project Operational Timelines'!$AP$19:$AY$19="Non-Carve Out")*('Project Operational Timelines'!$AP$17:$AY$17=$G52)*'Project Operational Timelines'!$AP24:$AY24))*1000*('Program Inputs'!$D$14-'Program Inputs'!$D$6)*$F$4*12)+(-(SUMPRODUCT(('Project Operational Timelines'!$AO$20:$AO$49=$A52)*('Project Operational Timelines'!$AP$18:$AY$18=$A$4)*('Project Operational Timelines'!$AP$19:$AY$19="Carve Out")*('Project Operational Timelines'!$AP$17:$AY$17=$G52)*'Project Operational Timelines'!$AP24:$AY24))*1000*('Program Inputs'!$D$14-'Program Inputs'!$D$7)*$F$4*12))</f>
        <v>-24908.400000000001</v>
      </c>
      <c r="G52" s="79">
        <v>1</v>
      </c>
      <c r="H52" s="328">
        <f t="shared" si="27"/>
        <v>847053.83</v>
      </c>
      <c r="I52" s="69"/>
      <c r="J52" s="69"/>
      <c r="K52" s="104"/>
      <c r="L52" s="75"/>
      <c r="M52">
        <v>7</v>
      </c>
      <c r="N52" s="51">
        <v>2025</v>
      </c>
      <c r="O52" s="18">
        <f t="shared" si="13"/>
        <v>33.040672129779516</v>
      </c>
      <c r="P52" s="18">
        <f t="shared" si="14"/>
        <v>33.040672129779516</v>
      </c>
      <c r="Q52" s="18">
        <f t="shared" si="15"/>
        <v>33.040672129779516</v>
      </c>
      <c r="R52" s="18">
        <f t="shared" si="16"/>
        <v>33.040672129779516</v>
      </c>
      <c r="S52" s="18">
        <f t="shared" si="17"/>
        <v>33.040672129779516</v>
      </c>
      <c r="T52" s="18">
        <f t="shared" si="18"/>
        <v>33.040672129779516</v>
      </c>
      <c r="U52" s="18">
        <f t="shared" si="19"/>
        <v>33.040672129779516</v>
      </c>
      <c r="V52" s="18">
        <f t="shared" si="20"/>
        <v>33.040672129779516</v>
      </c>
      <c r="W52" s="18">
        <f t="shared" si="21"/>
        <v>33.040672129779516</v>
      </c>
      <c r="X52" s="18">
        <f t="shared" si="22"/>
        <v>33.040672129779516</v>
      </c>
      <c r="Y52" s="18">
        <f t="shared" si="23"/>
        <v>33.040672129779516</v>
      </c>
      <c r="Z52" s="18">
        <f t="shared" si="24"/>
        <v>33.040672129779516</v>
      </c>
      <c r="AA52" s="13"/>
      <c r="AB52" s="52">
        <v>2025</v>
      </c>
      <c r="AC52" s="14">
        <f>SUMIFS('Bill Credit Rates'!$K:$K,'Bill Credit Rates'!$A:$A,$A$4,'Bill Credit Rates'!$B:$B,$G52,'Bill Credit Rates'!$C:$C,$M52)</f>
        <v>92.814999999999984</v>
      </c>
      <c r="AD52" s="14">
        <f>SUMIFS('Bill Credit Rates'!$K:$K,'Bill Credit Rates'!$A:$A,$A$4,'Bill Credit Rates'!$B:$B,$G52,'Bill Credit Rates'!$C:$C,$M52)</f>
        <v>92.814999999999984</v>
      </c>
      <c r="AE52" s="14">
        <f>SUMIFS('Bill Credit Rates'!$K:$K,'Bill Credit Rates'!$A:$A,$A$4,'Bill Credit Rates'!$B:$B,$G52,'Bill Credit Rates'!$C:$C,$M52)</f>
        <v>92.814999999999984</v>
      </c>
      <c r="AF52" s="14">
        <f>SUMIFS('Bill Credit Rates'!$K:$K,'Bill Credit Rates'!$A:$A,$A$4,'Bill Credit Rates'!$B:$B,$G52,'Bill Credit Rates'!$C:$C,$M52)</f>
        <v>92.814999999999984</v>
      </c>
      <c r="AG52" s="14">
        <f>SUMIFS('Bill Credit Rates'!$K:$K,'Bill Credit Rates'!$A:$A,$A$4,'Bill Credit Rates'!$B:$B,$G52,'Bill Credit Rates'!$C:$C,$M52)</f>
        <v>92.814999999999984</v>
      </c>
      <c r="AH52" s="14">
        <f>SUMIFS('Bill Credit Rates'!$K:$K,'Bill Credit Rates'!$A:$A,$A$4,'Bill Credit Rates'!$B:$B,$G52,'Bill Credit Rates'!$C:$C,$M52)</f>
        <v>92.814999999999984</v>
      </c>
      <c r="AI52" s="14">
        <f>SUMIFS('Bill Credit Rates'!$K:$K,'Bill Credit Rates'!$A:$A,$A$4,'Bill Credit Rates'!$B:$B,$G52,'Bill Credit Rates'!$C:$C,$M52)</f>
        <v>92.814999999999984</v>
      </c>
      <c r="AJ52" s="14">
        <f>SUMIFS('Bill Credit Rates'!$K:$K,'Bill Credit Rates'!$A:$A,$A$4,'Bill Credit Rates'!$B:$B,$G52,'Bill Credit Rates'!$C:$C,$M52)</f>
        <v>92.814999999999984</v>
      </c>
      <c r="AK52" s="14">
        <f>SUMIFS('Bill Credit Rates'!$K:$K,'Bill Credit Rates'!$A:$A,$A$4,'Bill Credit Rates'!$B:$B,$G52,'Bill Credit Rates'!$C:$C,$M52)</f>
        <v>92.814999999999984</v>
      </c>
      <c r="AL52" s="14">
        <f>SUMIFS('Bill Credit Rates'!$K:$K,'Bill Credit Rates'!$A:$A,$A$4,'Bill Credit Rates'!$B:$B,$G52,'Bill Credit Rates'!$C:$C,$M52)</f>
        <v>92.814999999999984</v>
      </c>
      <c r="AM52" s="14">
        <f>SUMIFS('Bill Credit Rates'!$K:$K,'Bill Credit Rates'!$A:$A,$A$4,'Bill Credit Rates'!$B:$B,$G52,'Bill Credit Rates'!$C:$C,$M52)</f>
        <v>92.814999999999984</v>
      </c>
      <c r="AN52" s="14">
        <f>SUMIFS('Bill Credit Rates'!$K:$K,'Bill Credit Rates'!$A:$A,$A$4,'Bill Credit Rates'!$B:$B,$G52,'Bill Credit Rates'!$C:$C,$M52)</f>
        <v>92.814999999999984</v>
      </c>
      <c r="AP52" s="52">
        <v>2025</v>
      </c>
      <c r="AQ52" s="281">
        <v>62.492899298791897</v>
      </c>
      <c r="AR52" s="281">
        <v>62.492899298791897</v>
      </c>
      <c r="AS52" s="281">
        <v>62.492899298791897</v>
      </c>
      <c r="AT52" s="281">
        <v>62.492899298791897</v>
      </c>
      <c r="AU52" s="281">
        <v>62.492899298791897</v>
      </c>
      <c r="AV52" s="281">
        <v>62.492899298791897</v>
      </c>
      <c r="AW52" s="281">
        <v>62.492899298791897</v>
      </c>
      <c r="AX52" s="281">
        <v>62.492899298791897</v>
      </c>
      <c r="AY52" s="281">
        <v>62.492899298791897</v>
      </c>
      <c r="AZ52" s="281">
        <v>62.492899298791897</v>
      </c>
      <c r="BA52" s="281">
        <v>62.492899298791897</v>
      </c>
      <c r="BB52" s="281">
        <v>62.492899298791897</v>
      </c>
      <c r="BD52" s="52">
        <v>2025</v>
      </c>
      <c r="BE52" s="281">
        <v>43.462899298791896</v>
      </c>
      <c r="BF52" s="281">
        <v>43.462899298791896</v>
      </c>
      <c r="BG52" s="281">
        <v>43.462899298791896</v>
      </c>
      <c r="BH52" s="281">
        <v>43.462899298791896</v>
      </c>
      <c r="BI52" s="281">
        <v>43.462899298791896</v>
      </c>
      <c r="BJ52" s="281">
        <v>43.462899298791896</v>
      </c>
      <c r="BK52" s="281">
        <v>43.462899298791896</v>
      </c>
      <c r="BL52" s="281">
        <v>43.462899298791896</v>
      </c>
      <c r="BM52" s="281">
        <v>43.462899298791896</v>
      </c>
      <c r="BN52" s="281">
        <v>43.462899298791896</v>
      </c>
      <c r="BO52" s="281">
        <v>43.462899298791896</v>
      </c>
      <c r="BP52" s="281">
        <v>43.462899298791896</v>
      </c>
      <c r="BR52" s="52">
        <v>2025</v>
      </c>
      <c r="BS52" s="285">
        <f t="shared" si="25"/>
        <v>59.774327870220468</v>
      </c>
      <c r="BT52" s="285">
        <f t="shared" si="25"/>
        <v>59.774327870220468</v>
      </c>
      <c r="BU52" s="285">
        <f t="shared" si="25"/>
        <v>59.774327870220468</v>
      </c>
      <c r="BV52" s="285">
        <f t="shared" si="25"/>
        <v>59.774327870220468</v>
      </c>
      <c r="BW52" s="285">
        <f t="shared" si="25"/>
        <v>59.774327870220468</v>
      </c>
      <c r="BX52" s="285">
        <f t="shared" si="25"/>
        <v>59.774327870220468</v>
      </c>
      <c r="BY52" s="285">
        <f t="shared" si="25"/>
        <v>59.774327870220468</v>
      </c>
      <c r="BZ52" s="285">
        <f t="shared" si="25"/>
        <v>59.774327870220468</v>
      </c>
      <c r="CA52" s="285">
        <f t="shared" si="25"/>
        <v>59.774327870220468</v>
      </c>
      <c r="CB52" s="285">
        <f t="shared" si="25"/>
        <v>59.774327870220468</v>
      </c>
      <c r="CC52" s="285">
        <f t="shared" si="25"/>
        <v>59.774327870220468</v>
      </c>
      <c r="CD52" s="285">
        <f t="shared" si="25"/>
        <v>59.774327870220468</v>
      </c>
    </row>
    <row r="53" spans="1:82">
      <c r="A53" s="48">
        <v>2026</v>
      </c>
      <c r="B53" s="31" cm="1">
        <f t="array" ref="B53">IF(A53&lt;2021,0,SUMPRODUCT(('Project Operational Timelines'!$AO$20:$AO$49=$A53)*('Project Operational Timelines'!$AP$18:$AY$18=$A$4)*('Project Operational Timelines'!$AP$17:$AY$17=$G53)*'Project Operational Timelines'!$AP25:$AY25))</f>
        <v>21.51</v>
      </c>
      <c r="C53" s="84">
        <f t="shared" si="12"/>
        <v>3589.7918185500007</v>
      </c>
      <c r="D53" s="89">
        <f t="shared" si="26"/>
        <v>1509555.57</v>
      </c>
      <c r="E53" s="89"/>
      <c r="F53" s="89" cm="1">
        <f t="array" ref="F53">IF(A53&lt;2021,0,(-(SUMPRODUCT(('Project Operational Timelines'!$AO$20:$AO$49=$A53)*('Project Operational Timelines'!$AP$18:$AY$18=$A$4)*('Project Operational Timelines'!$AP$19:$AY$19="Non-Carve Out")*('Project Operational Timelines'!$AP$17:$AY$17=$G53)*'Project Operational Timelines'!$AP25:$AY25))*1000*('Program Inputs'!$D$14-'Program Inputs'!$D$6)*$F$4*12)+(-(SUMPRODUCT(('Project Operational Timelines'!$AO$20:$AO$49=$A53)*('Project Operational Timelines'!$AP$18:$AY$18=$A$4)*('Project Operational Timelines'!$AP$19:$AY$19="Carve Out")*('Project Operational Timelines'!$AP$17:$AY$17=$G53)*'Project Operational Timelines'!$AP25:$AY25))*1000*('Program Inputs'!$D$14-'Program Inputs'!$D$7)*$F$4*12))</f>
        <v>-41605.200000000004</v>
      </c>
      <c r="G53" s="79">
        <v>1</v>
      </c>
      <c r="H53" s="328">
        <f t="shared" si="27"/>
        <v>1426203.95</v>
      </c>
      <c r="I53" s="69"/>
      <c r="J53" s="69"/>
      <c r="K53" s="104"/>
      <c r="L53" s="75"/>
      <c r="M53">
        <v>8</v>
      </c>
      <c r="N53" s="51">
        <v>2026</v>
      </c>
      <c r="O53" s="18">
        <f t="shared" si="13"/>
        <v>35.042783391883205</v>
      </c>
      <c r="P53" s="18">
        <f t="shared" si="14"/>
        <v>35.042783391883205</v>
      </c>
      <c r="Q53" s="18">
        <f t="shared" si="15"/>
        <v>35.042783391883205</v>
      </c>
      <c r="R53" s="18">
        <f t="shared" si="16"/>
        <v>35.042783391883205</v>
      </c>
      <c r="S53" s="18">
        <f t="shared" si="17"/>
        <v>35.042783391883205</v>
      </c>
      <c r="T53" s="18">
        <f t="shared" si="18"/>
        <v>35.042783391883205</v>
      </c>
      <c r="U53" s="18">
        <f t="shared" si="19"/>
        <v>35.042783391883205</v>
      </c>
      <c r="V53" s="18">
        <f t="shared" si="20"/>
        <v>35.042783391883205</v>
      </c>
      <c r="W53" s="18">
        <f t="shared" si="21"/>
        <v>35.042783391883205</v>
      </c>
      <c r="X53" s="18">
        <f t="shared" si="22"/>
        <v>35.042783391883205</v>
      </c>
      <c r="Y53" s="18">
        <f t="shared" si="23"/>
        <v>35.042783391883205</v>
      </c>
      <c r="Z53" s="18">
        <f t="shared" si="24"/>
        <v>35.042783391883205</v>
      </c>
      <c r="AA53" s="13"/>
      <c r="AB53" s="52">
        <v>2026</v>
      </c>
      <c r="AC53" s="14">
        <f>SUMIFS('Bill Credit Rates'!$K:$K,'Bill Credit Rates'!$A:$A,$A$4,'Bill Credit Rates'!$B:$B,$G53,'Bill Credit Rates'!$C:$C,$M53)</f>
        <v>92.814999999999984</v>
      </c>
      <c r="AD53" s="14">
        <f>SUMIFS('Bill Credit Rates'!$K:$K,'Bill Credit Rates'!$A:$A,$A$4,'Bill Credit Rates'!$B:$B,$G53,'Bill Credit Rates'!$C:$C,$M53)</f>
        <v>92.814999999999984</v>
      </c>
      <c r="AE53" s="14">
        <f>SUMIFS('Bill Credit Rates'!$K:$K,'Bill Credit Rates'!$A:$A,$A$4,'Bill Credit Rates'!$B:$B,$G53,'Bill Credit Rates'!$C:$C,$M53)</f>
        <v>92.814999999999984</v>
      </c>
      <c r="AF53" s="14">
        <f>SUMIFS('Bill Credit Rates'!$K:$K,'Bill Credit Rates'!$A:$A,$A$4,'Bill Credit Rates'!$B:$B,$G53,'Bill Credit Rates'!$C:$C,$M53)</f>
        <v>92.814999999999984</v>
      </c>
      <c r="AG53" s="14">
        <f>SUMIFS('Bill Credit Rates'!$K:$K,'Bill Credit Rates'!$A:$A,$A$4,'Bill Credit Rates'!$B:$B,$G53,'Bill Credit Rates'!$C:$C,$M53)</f>
        <v>92.814999999999984</v>
      </c>
      <c r="AH53" s="14">
        <f>SUMIFS('Bill Credit Rates'!$K:$K,'Bill Credit Rates'!$A:$A,$A$4,'Bill Credit Rates'!$B:$B,$G53,'Bill Credit Rates'!$C:$C,$M53)</f>
        <v>92.814999999999984</v>
      </c>
      <c r="AI53" s="14">
        <f>SUMIFS('Bill Credit Rates'!$K:$K,'Bill Credit Rates'!$A:$A,$A$4,'Bill Credit Rates'!$B:$B,$G53,'Bill Credit Rates'!$C:$C,$M53)</f>
        <v>92.814999999999984</v>
      </c>
      <c r="AJ53" s="14">
        <f>SUMIFS('Bill Credit Rates'!$K:$K,'Bill Credit Rates'!$A:$A,$A$4,'Bill Credit Rates'!$B:$B,$G53,'Bill Credit Rates'!$C:$C,$M53)</f>
        <v>92.814999999999984</v>
      </c>
      <c r="AK53" s="14">
        <f>SUMIFS('Bill Credit Rates'!$K:$K,'Bill Credit Rates'!$A:$A,$A$4,'Bill Credit Rates'!$B:$B,$G53,'Bill Credit Rates'!$C:$C,$M53)</f>
        <v>92.814999999999984</v>
      </c>
      <c r="AL53" s="14">
        <f>SUMIFS('Bill Credit Rates'!$K:$K,'Bill Credit Rates'!$A:$A,$A$4,'Bill Credit Rates'!$B:$B,$G53,'Bill Credit Rates'!$C:$C,$M53)</f>
        <v>92.814999999999984</v>
      </c>
      <c r="AM53" s="14">
        <f>SUMIFS('Bill Credit Rates'!$K:$K,'Bill Credit Rates'!$A:$A,$A$4,'Bill Credit Rates'!$B:$B,$G53,'Bill Credit Rates'!$C:$C,$M53)</f>
        <v>92.814999999999984</v>
      </c>
      <c r="AN53" s="14">
        <f>SUMIFS('Bill Credit Rates'!$K:$K,'Bill Credit Rates'!$A:$A,$A$4,'Bill Credit Rates'!$B:$B,$G53,'Bill Credit Rates'!$C:$C,$M53)</f>
        <v>92.814999999999984</v>
      </c>
      <c r="AP53" s="52">
        <v>2026</v>
      </c>
      <c r="AQ53" s="281">
        <v>59.512216608116773</v>
      </c>
      <c r="AR53" s="281">
        <v>59.512216608116773</v>
      </c>
      <c r="AS53" s="281">
        <v>59.512216608116773</v>
      </c>
      <c r="AT53" s="281">
        <v>59.512216608116773</v>
      </c>
      <c r="AU53" s="281">
        <v>59.512216608116773</v>
      </c>
      <c r="AV53" s="281">
        <v>59.512216608116773</v>
      </c>
      <c r="AW53" s="281">
        <v>59.512216608116773</v>
      </c>
      <c r="AX53" s="281">
        <v>59.512216608116773</v>
      </c>
      <c r="AY53" s="281">
        <v>59.512216608116773</v>
      </c>
      <c r="AZ53" s="281">
        <v>59.512216608116773</v>
      </c>
      <c r="BA53" s="281">
        <v>59.512216608116773</v>
      </c>
      <c r="BB53" s="281">
        <v>59.512216608116773</v>
      </c>
      <c r="BD53" s="52">
        <v>2026</v>
      </c>
      <c r="BE53" s="281">
        <v>47.332216608116774</v>
      </c>
      <c r="BF53" s="281">
        <v>47.332216608116774</v>
      </c>
      <c r="BG53" s="281">
        <v>47.332216608116774</v>
      </c>
      <c r="BH53" s="281">
        <v>47.332216608116774</v>
      </c>
      <c r="BI53" s="281">
        <v>47.332216608116774</v>
      </c>
      <c r="BJ53" s="281">
        <v>47.332216608116774</v>
      </c>
      <c r="BK53" s="281">
        <v>47.332216608116774</v>
      </c>
      <c r="BL53" s="281">
        <v>47.332216608116774</v>
      </c>
      <c r="BM53" s="281">
        <v>47.332216608116774</v>
      </c>
      <c r="BN53" s="281">
        <v>47.332216608116774</v>
      </c>
      <c r="BO53" s="281">
        <v>47.332216608116774</v>
      </c>
      <c r="BP53" s="281">
        <v>47.332216608116774</v>
      </c>
      <c r="BR53" s="52">
        <v>2026</v>
      </c>
      <c r="BS53" s="285">
        <f t="shared" si="25"/>
        <v>57.772216608116779</v>
      </c>
      <c r="BT53" s="285">
        <f t="shared" si="25"/>
        <v>57.772216608116779</v>
      </c>
      <c r="BU53" s="285">
        <f t="shared" si="25"/>
        <v>57.772216608116779</v>
      </c>
      <c r="BV53" s="285">
        <f t="shared" si="25"/>
        <v>57.772216608116779</v>
      </c>
      <c r="BW53" s="285">
        <f t="shared" si="25"/>
        <v>57.772216608116779</v>
      </c>
      <c r="BX53" s="285">
        <f t="shared" si="25"/>
        <v>57.772216608116779</v>
      </c>
      <c r="BY53" s="285">
        <f t="shared" si="25"/>
        <v>57.772216608116779</v>
      </c>
      <c r="BZ53" s="285">
        <f t="shared" si="25"/>
        <v>57.772216608116779</v>
      </c>
      <c r="CA53" s="285">
        <f t="shared" si="25"/>
        <v>57.772216608116779</v>
      </c>
      <c r="CB53" s="285">
        <f t="shared" si="25"/>
        <v>57.772216608116779</v>
      </c>
      <c r="CC53" s="285">
        <f t="shared" si="25"/>
        <v>57.772216608116779</v>
      </c>
      <c r="CD53" s="285">
        <f t="shared" si="25"/>
        <v>57.772216608116779</v>
      </c>
    </row>
    <row r="54" spans="1:82">
      <c r="A54" s="48">
        <v>2027</v>
      </c>
      <c r="B54" s="31" cm="1">
        <f t="array" ref="B54">IF(A54&lt;2021,0,SUMPRODUCT(('Project Operational Timelines'!$AO$20:$AO$49=$A54)*('Project Operational Timelines'!$AP$18:$AY$18=$A$4)*('Project Operational Timelines'!$AP$17:$AY$17=$G54)*'Project Operational Timelines'!$AP26:$AY26))</f>
        <v>22.21</v>
      </c>
      <c r="C54" s="84">
        <f t="shared" si="12"/>
        <v>3706.6144253833336</v>
      </c>
      <c r="D54" s="89">
        <f t="shared" si="26"/>
        <v>2716746.09</v>
      </c>
      <c r="E54" s="89"/>
      <c r="F54" s="89" cm="1">
        <f t="array" ref="F54">IF(A54&lt;2021,0,(-(SUMPRODUCT(('Project Operational Timelines'!$AO$20:$AO$49=$A54)*('Project Operational Timelines'!$AP$18:$AY$18=$A$4)*('Project Operational Timelines'!$AP$19:$AY$19="Non-Carve Out")*('Project Operational Timelines'!$AP$17:$AY$17=$G54)*'Project Operational Timelines'!$AP26:$AY26))*1000*('Program Inputs'!$D$14-'Program Inputs'!$D$6)*$F$4*12)+(-(SUMPRODUCT(('Project Operational Timelines'!$AO$20:$AO$49=$A54)*('Project Operational Timelines'!$AP$18:$AY$18=$A$4)*('Project Operational Timelines'!$AP$19:$AY$19="Carve Out")*('Project Operational Timelines'!$AP$17:$AY$17=$G54)*'Project Operational Timelines'!$AP26:$AY26))*1000*('Program Inputs'!$D$14-'Program Inputs'!$D$7)*$F$4*12))</f>
        <v>-43033.200000000004</v>
      </c>
      <c r="G54" s="79">
        <v>1</v>
      </c>
      <c r="H54" s="328">
        <f t="shared" si="27"/>
        <v>2494869.5699999998</v>
      </c>
      <c r="I54" s="69"/>
      <c r="J54" s="69"/>
      <c r="K54" s="104"/>
      <c r="L54" s="75"/>
      <c r="M54">
        <v>9</v>
      </c>
      <c r="N54" s="51">
        <v>2027</v>
      </c>
      <c r="O54" s="18">
        <f t="shared" si="13"/>
        <v>61.078785504368078</v>
      </c>
      <c r="P54" s="18">
        <f t="shared" si="14"/>
        <v>61.078785504368078</v>
      </c>
      <c r="Q54" s="18">
        <f t="shared" si="15"/>
        <v>61.078785504368078</v>
      </c>
      <c r="R54" s="18">
        <f t="shared" si="16"/>
        <v>61.078785504368078</v>
      </c>
      <c r="S54" s="18">
        <f t="shared" si="17"/>
        <v>61.078785504368078</v>
      </c>
      <c r="T54" s="18">
        <f t="shared" si="18"/>
        <v>61.078785504368078</v>
      </c>
      <c r="U54" s="18">
        <f t="shared" si="19"/>
        <v>61.078785504368078</v>
      </c>
      <c r="V54" s="18">
        <f t="shared" si="20"/>
        <v>61.078785504368078</v>
      </c>
      <c r="W54" s="18">
        <f t="shared" si="21"/>
        <v>61.078785504368078</v>
      </c>
      <c r="X54" s="18">
        <f t="shared" si="22"/>
        <v>61.078785504368078</v>
      </c>
      <c r="Y54" s="18">
        <f t="shared" si="23"/>
        <v>61.078785504368078</v>
      </c>
      <c r="Z54" s="18">
        <f t="shared" si="24"/>
        <v>61.078785504368078</v>
      </c>
      <c r="AA54" s="13"/>
      <c r="AB54" s="52">
        <v>2027</v>
      </c>
      <c r="AC54" s="14">
        <f>SUMIFS('Bill Credit Rates'!$K:$K,'Bill Credit Rates'!$A:$A,$A$4,'Bill Credit Rates'!$B:$B,$G54,'Bill Credit Rates'!$C:$C,$M54)</f>
        <v>92.814999999999984</v>
      </c>
      <c r="AD54" s="14">
        <f>SUMIFS('Bill Credit Rates'!$K:$K,'Bill Credit Rates'!$A:$A,$A$4,'Bill Credit Rates'!$B:$B,$G54,'Bill Credit Rates'!$C:$C,$M54)</f>
        <v>92.814999999999984</v>
      </c>
      <c r="AE54" s="14">
        <f>SUMIFS('Bill Credit Rates'!$K:$K,'Bill Credit Rates'!$A:$A,$A$4,'Bill Credit Rates'!$B:$B,$G54,'Bill Credit Rates'!$C:$C,$M54)</f>
        <v>92.814999999999984</v>
      </c>
      <c r="AF54" s="14">
        <f>SUMIFS('Bill Credit Rates'!$K:$K,'Bill Credit Rates'!$A:$A,$A$4,'Bill Credit Rates'!$B:$B,$G54,'Bill Credit Rates'!$C:$C,$M54)</f>
        <v>92.814999999999984</v>
      </c>
      <c r="AG54" s="14">
        <f>SUMIFS('Bill Credit Rates'!$K:$K,'Bill Credit Rates'!$A:$A,$A$4,'Bill Credit Rates'!$B:$B,$G54,'Bill Credit Rates'!$C:$C,$M54)</f>
        <v>92.814999999999984</v>
      </c>
      <c r="AH54" s="14">
        <f>SUMIFS('Bill Credit Rates'!$K:$K,'Bill Credit Rates'!$A:$A,$A$4,'Bill Credit Rates'!$B:$B,$G54,'Bill Credit Rates'!$C:$C,$M54)</f>
        <v>92.814999999999984</v>
      </c>
      <c r="AI54" s="14">
        <f>SUMIFS('Bill Credit Rates'!$K:$K,'Bill Credit Rates'!$A:$A,$A$4,'Bill Credit Rates'!$B:$B,$G54,'Bill Credit Rates'!$C:$C,$M54)</f>
        <v>92.814999999999984</v>
      </c>
      <c r="AJ54" s="14">
        <f>SUMIFS('Bill Credit Rates'!$K:$K,'Bill Credit Rates'!$A:$A,$A$4,'Bill Credit Rates'!$B:$B,$G54,'Bill Credit Rates'!$C:$C,$M54)</f>
        <v>92.814999999999984</v>
      </c>
      <c r="AK54" s="14">
        <f>SUMIFS('Bill Credit Rates'!$K:$K,'Bill Credit Rates'!$A:$A,$A$4,'Bill Credit Rates'!$B:$B,$G54,'Bill Credit Rates'!$C:$C,$M54)</f>
        <v>92.814999999999984</v>
      </c>
      <c r="AL54" s="14">
        <f>SUMIFS('Bill Credit Rates'!$K:$K,'Bill Credit Rates'!$A:$A,$A$4,'Bill Credit Rates'!$B:$B,$G54,'Bill Credit Rates'!$C:$C,$M54)</f>
        <v>92.814999999999984</v>
      </c>
      <c r="AM54" s="14">
        <f>SUMIFS('Bill Credit Rates'!$K:$K,'Bill Credit Rates'!$A:$A,$A$4,'Bill Credit Rates'!$B:$B,$G54,'Bill Credit Rates'!$C:$C,$M54)</f>
        <v>92.814999999999984</v>
      </c>
      <c r="AN54" s="14">
        <f>SUMIFS('Bill Credit Rates'!$K:$K,'Bill Credit Rates'!$A:$A,$A$4,'Bill Credit Rates'!$B:$B,$G54,'Bill Credit Rates'!$C:$C,$M54)</f>
        <v>92.814999999999984</v>
      </c>
      <c r="AP54" s="52">
        <v>2027</v>
      </c>
      <c r="AQ54" s="281">
        <v>32.761866247129227</v>
      </c>
      <c r="AR54" s="281">
        <v>32.761866247129227</v>
      </c>
      <c r="AS54" s="281">
        <v>32.761866247129227</v>
      </c>
      <c r="AT54" s="281">
        <v>32.761866247129227</v>
      </c>
      <c r="AU54" s="281">
        <v>32.761866247129227</v>
      </c>
      <c r="AV54" s="281">
        <v>32.761866247129227</v>
      </c>
      <c r="AW54" s="281">
        <v>32.761866247129227</v>
      </c>
      <c r="AX54" s="281">
        <v>32.761866247129227</v>
      </c>
      <c r="AY54" s="281">
        <v>32.761866247129227</v>
      </c>
      <c r="AZ54" s="281">
        <v>32.761866247129227</v>
      </c>
      <c r="BA54" s="281">
        <v>32.761866247129227</v>
      </c>
      <c r="BB54" s="281">
        <v>32.761866247129227</v>
      </c>
      <c r="BD54" s="52">
        <v>2027</v>
      </c>
      <c r="BE54" s="281">
        <v>25.582303986647972</v>
      </c>
      <c r="BF54" s="281">
        <v>25.582303986647972</v>
      </c>
      <c r="BG54" s="281">
        <v>25.582303986647972</v>
      </c>
      <c r="BH54" s="281">
        <v>25.582303986647972</v>
      </c>
      <c r="BI54" s="281">
        <v>25.582303986647972</v>
      </c>
      <c r="BJ54" s="281">
        <v>25.582303986647972</v>
      </c>
      <c r="BK54" s="281">
        <v>25.582303986647972</v>
      </c>
      <c r="BL54" s="281">
        <v>25.582303986647972</v>
      </c>
      <c r="BM54" s="281">
        <v>25.582303986647972</v>
      </c>
      <c r="BN54" s="281">
        <v>25.582303986647972</v>
      </c>
      <c r="BO54" s="281">
        <v>25.582303986647972</v>
      </c>
      <c r="BP54" s="281">
        <v>25.582303986647972</v>
      </c>
      <c r="BR54" s="52">
        <v>2027</v>
      </c>
      <c r="BS54" s="285">
        <f t="shared" si="25"/>
        <v>31.736214495631906</v>
      </c>
      <c r="BT54" s="285">
        <f t="shared" si="25"/>
        <v>31.736214495631906</v>
      </c>
      <c r="BU54" s="285">
        <f t="shared" si="25"/>
        <v>31.736214495631906</v>
      </c>
      <c r="BV54" s="285">
        <f t="shared" si="25"/>
        <v>31.736214495631906</v>
      </c>
      <c r="BW54" s="285">
        <f t="shared" si="25"/>
        <v>31.736214495631906</v>
      </c>
      <c r="BX54" s="285">
        <f t="shared" si="25"/>
        <v>31.736214495631906</v>
      </c>
      <c r="BY54" s="285">
        <f t="shared" si="25"/>
        <v>31.736214495631906</v>
      </c>
      <c r="BZ54" s="285">
        <f t="shared" si="25"/>
        <v>31.736214495631906</v>
      </c>
      <c r="CA54" s="285">
        <f t="shared" si="25"/>
        <v>31.736214495631906</v>
      </c>
      <c r="CB54" s="285">
        <f t="shared" si="25"/>
        <v>31.736214495631906</v>
      </c>
      <c r="CC54" s="285">
        <f t="shared" si="25"/>
        <v>31.736214495631906</v>
      </c>
      <c r="CD54" s="285">
        <f t="shared" si="25"/>
        <v>31.736214495631906</v>
      </c>
    </row>
    <row r="55" spans="1:82">
      <c r="A55" s="48">
        <v>2028</v>
      </c>
      <c r="B55" s="31" cm="1">
        <f t="array" ref="B55">IF(A55&lt;2021,0,SUMPRODUCT(('Project Operational Timelines'!$AO$20:$AO$49=$A55)*('Project Operational Timelines'!$AP$18:$AY$18=$A$4)*('Project Operational Timelines'!$AP$17:$AY$17=$G55)*'Project Operational Timelines'!$AP27:$AY27))</f>
        <v>22.21</v>
      </c>
      <c r="C55" s="84">
        <f t="shared" si="12"/>
        <v>3706.6144253833336</v>
      </c>
      <c r="D55" s="89">
        <f t="shared" si="26"/>
        <v>2359691.89</v>
      </c>
      <c r="E55" s="89"/>
      <c r="F55" s="89" cm="1">
        <f t="array" ref="F55">IF(A55&lt;2021,0,(-(SUMPRODUCT(('Project Operational Timelines'!$AO$20:$AO$49=$A55)*('Project Operational Timelines'!$AP$18:$AY$18=$A$4)*('Project Operational Timelines'!$AP$19:$AY$19="Non-Carve Out")*('Project Operational Timelines'!$AP$17:$AY$17=$G55)*'Project Operational Timelines'!$AP27:$AY27))*1000*('Program Inputs'!$D$14-'Program Inputs'!$D$6)*$F$4*12)+(-(SUMPRODUCT(('Project Operational Timelines'!$AO$20:$AO$49=$A55)*('Project Operational Timelines'!$AP$18:$AY$18=$A$4)*('Project Operational Timelines'!$AP$19:$AY$19="Carve Out")*('Project Operational Timelines'!$AP$17:$AY$17=$G55)*'Project Operational Timelines'!$AP27:$AY27))*1000*('Program Inputs'!$D$14-'Program Inputs'!$D$7)*$F$4*12))</f>
        <v>-43033.200000000004</v>
      </c>
      <c r="G55" s="79">
        <v>1</v>
      </c>
      <c r="H55" s="328">
        <f t="shared" si="27"/>
        <v>2106300.64</v>
      </c>
      <c r="I55" s="69"/>
      <c r="J55" s="69"/>
      <c r="K55" s="104"/>
      <c r="L55" s="75"/>
      <c r="M55">
        <v>10</v>
      </c>
      <c r="N55" s="51">
        <v>2028</v>
      </c>
      <c r="O55" s="18">
        <f t="shared" si="13"/>
        <v>53.051374728300246</v>
      </c>
      <c r="P55" s="18">
        <f t="shared" si="14"/>
        <v>53.051374728300246</v>
      </c>
      <c r="Q55" s="18">
        <f t="shared" si="15"/>
        <v>53.051374728300246</v>
      </c>
      <c r="R55" s="18">
        <f t="shared" si="16"/>
        <v>53.051374728300246</v>
      </c>
      <c r="S55" s="18">
        <f t="shared" si="17"/>
        <v>53.051374728300246</v>
      </c>
      <c r="T55" s="18">
        <f t="shared" si="18"/>
        <v>53.051374728300246</v>
      </c>
      <c r="U55" s="18">
        <f t="shared" si="19"/>
        <v>53.051374728300246</v>
      </c>
      <c r="V55" s="18">
        <f t="shared" si="20"/>
        <v>53.051374728300246</v>
      </c>
      <c r="W55" s="18">
        <f t="shared" si="21"/>
        <v>53.051374728300246</v>
      </c>
      <c r="X55" s="18">
        <f t="shared" si="22"/>
        <v>53.051374728300246</v>
      </c>
      <c r="Y55" s="18">
        <f t="shared" si="23"/>
        <v>53.051374728300246</v>
      </c>
      <c r="Z55" s="18">
        <f t="shared" si="24"/>
        <v>53.051374728300246</v>
      </c>
      <c r="AA55" s="13"/>
      <c r="AB55" s="52">
        <v>2028</v>
      </c>
      <c r="AC55" s="14">
        <f>SUMIFS('Bill Credit Rates'!$K:$K,'Bill Credit Rates'!$A:$A,$A$4,'Bill Credit Rates'!$B:$B,$G55,'Bill Credit Rates'!$C:$C,$M55)</f>
        <v>92.814999999999984</v>
      </c>
      <c r="AD55" s="14">
        <f>SUMIFS('Bill Credit Rates'!$K:$K,'Bill Credit Rates'!$A:$A,$A$4,'Bill Credit Rates'!$B:$B,$G55,'Bill Credit Rates'!$C:$C,$M55)</f>
        <v>92.814999999999984</v>
      </c>
      <c r="AE55" s="14">
        <f>SUMIFS('Bill Credit Rates'!$K:$K,'Bill Credit Rates'!$A:$A,$A$4,'Bill Credit Rates'!$B:$B,$G55,'Bill Credit Rates'!$C:$C,$M55)</f>
        <v>92.814999999999984</v>
      </c>
      <c r="AF55" s="14">
        <f>SUMIFS('Bill Credit Rates'!$K:$K,'Bill Credit Rates'!$A:$A,$A$4,'Bill Credit Rates'!$B:$B,$G55,'Bill Credit Rates'!$C:$C,$M55)</f>
        <v>92.814999999999984</v>
      </c>
      <c r="AG55" s="14">
        <f>SUMIFS('Bill Credit Rates'!$K:$K,'Bill Credit Rates'!$A:$A,$A$4,'Bill Credit Rates'!$B:$B,$G55,'Bill Credit Rates'!$C:$C,$M55)</f>
        <v>92.814999999999984</v>
      </c>
      <c r="AH55" s="14">
        <f>SUMIFS('Bill Credit Rates'!$K:$K,'Bill Credit Rates'!$A:$A,$A$4,'Bill Credit Rates'!$B:$B,$G55,'Bill Credit Rates'!$C:$C,$M55)</f>
        <v>92.814999999999984</v>
      </c>
      <c r="AI55" s="14">
        <f>SUMIFS('Bill Credit Rates'!$K:$K,'Bill Credit Rates'!$A:$A,$A$4,'Bill Credit Rates'!$B:$B,$G55,'Bill Credit Rates'!$C:$C,$M55)</f>
        <v>92.814999999999984</v>
      </c>
      <c r="AJ55" s="14">
        <f>SUMIFS('Bill Credit Rates'!$K:$K,'Bill Credit Rates'!$A:$A,$A$4,'Bill Credit Rates'!$B:$B,$G55,'Bill Credit Rates'!$C:$C,$M55)</f>
        <v>92.814999999999984</v>
      </c>
      <c r="AK55" s="14">
        <f>SUMIFS('Bill Credit Rates'!$K:$K,'Bill Credit Rates'!$A:$A,$A$4,'Bill Credit Rates'!$B:$B,$G55,'Bill Credit Rates'!$C:$C,$M55)</f>
        <v>92.814999999999984</v>
      </c>
      <c r="AL55" s="14">
        <f>SUMIFS('Bill Credit Rates'!$K:$K,'Bill Credit Rates'!$A:$A,$A$4,'Bill Credit Rates'!$B:$B,$G55,'Bill Credit Rates'!$C:$C,$M55)</f>
        <v>92.814999999999984</v>
      </c>
      <c r="AM55" s="14">
        <f>SUMIFS('Bill Credit Rates'!$K:$K,'Bill Credit Rates'!$A:$A,$A$4,'Bill Credit Rates'!$B:$B,$G55,'Bill Credit Rates'!$C:$C,$M55)</f>
        <v>92.814999999999984</v>
      </c>
      <c r="AN55" s="14">
        <f>SUMIFS('Bill Credit Rates'!$K:$K,'Bill Credit Rates'!$A:$A,$A$4,'Bill Credit Rates'!$B:$B,$G55,'Bill Credit Rates'!$C:$C,$M55)</f>
        <v>92.814999999999984</v>
      </c>
      <c r="AP55" s="52">
        <v>2028</v>
      </c>
      <c r="AQ55" s="281">
        <v>40.81256314290043</v>
      </c>
      <c r="AR55" s="281">
        <v>40.81256314290043</v>
      </c>
      <c r="AS55" s="281">
        <v>40.81256314290043</v>
      </c>
      <c r="AT55" s="281">
        <v>40.81256314290043</v>
      </c>
      <c r="AU55" s="281">
        <v>40.81256314290043</v>
      </c>
      <c r="AV55" s="281">
        <v>40.81256314290043</v>
      </c>
      <c r="AW55" s="281">
        <v>40.81256314290043</v>
      </c>
      <c r="AX55" s="281">
        <v>40.81256314290043</v>
      </c>
      <c r="AY55" s="281">
        <v>40.81256314290043</v>
      </c>
      <c r="AZ55" s="281">
        <v>40.81256314290043</v>
      </c>
      <c r="BA55" s="281">
        <v>40.81256314290043</v>
      </c>
      <c r="BB55" s="281">
        <v>40.81256314290043</v>
      </c>
      <c r="BD55" s="52">
        <v>2028</v>
      </c>
      <c r="BE55" s="281">
        <v>33.469998044495618</v>
      </c>
      <c r="BF55" s="281">
        <v>33.469998044495618</v>
      </c>
      <c r="BG55" s="281">
        <v>33.469998044495618</v>
      </c>
      <c r="BH55" s="281">
        <v>33.469998044495618</v>
      </c>
      <c r="BI55" s="281">
        <v>33.469998044495618</v>
      </c>
      <c r="BJ55" s="281">
        <v>33.469998044495618</v>
      </c>
      <c r="BK55" s="281">
        <v>33.469998044495618</v>
      </c>
      <c r="BL55" s="281">
        <v>33.469998044495618</v>
      </c>
      <c r="BM55" s="281">
        <v>33.469998044495618</v>
      </c>
      <c r="BN55" s="281">
        <v>33.469998044495618</v>
      </c>
      <c r="BO55" s="281">
        <v>33.469998044495618</v>
      </c>
      <c r="BP55" s="281">
        <v>33.469998044495618</v>
      </c>
      <c r="BR55" s="52">
        <v>2028</v>
      </c>
      <c r="BS55" s="285">
        <f t="shared" si="25"/>
        <v>39.763625271699738</v>
      </c>
      <c r="BT55" s="285">
        <f t="shared" si="25"/>
        <v>39.763625271699738</v>
      </c>
      <c r="BU55" s="285">
        <f t="shared" si="25"/>
        <v>39.763625271699738</v>
      </c>
      <c r="BV55" s="285">
        <f t="shared" si="25"/>
        <v>39.763625271699738</v>
      </c>
      <c r="BW55" s="285">
        <f t="shared" si="25"/>
        <v>39.763625271699738</v>
      </c>
      <c r="BX55" s="285">
        <f t="shared" si="25"/>
        <v>39.763625271699738</v>
      </c>
      <c r="BY55" s="285">
        <f t="shared" si="25"/>
        <v>39.763625271699738</v>
      </c>
      <c r="BZ55" s="285">
        <f t="shared" si="25"/>
        <v>39.763625271699738</v>
      </c>
      <c r="CA55" s="285">
        <f t="shared" si="25"/>
        <v>39.763625271699738</v>
      </c>
      <c r="CB55" s="285">
        <f t="shared" si="25"/>
        <v>39.763625271699738</v>
      </c>
      <c r="CC55" s="285">
        <f t="shared" si="25"/>
        <v>39.763625271699738</v>
      </c>
      <c r="CD55" s="285">
        <f t="shared" si="25"/>
        <v>39.763625271699738</v>
      </c>
    </row>
    <row r="56" spans="1:82">
      <c r="A56" s="48">
        <v>2029</v>
      </c>
      <c r="B56" s="31" cm="1">
        <f t="array" ref="B56">IF(A56&lt;2021,0,SUMPRODUCT(('Project Operational Timelines'!$AO$20:$AO$49=$A56)*('Project Operational Timelines'!$AP$18:$AY$18=$A$4)*('Project Operational Timelines'!$AP$17:$AY$17=$G56)*'Project Operational Timelines'!$AP28:$AY28))</f>
        <v>22.21</v>
      </c>
      <c r="C56" s="84">
        <f t="shared" si="12"/>
        <v>3706.6144253833336</v>
      </c>
      <c r="D56" s="89">
        <f t="shared" si="26"/>
        <v>2024085.33</v>
      </c>
      <c r="E56" s="89"/>
      <c r="F56" s="89" cm="1">
        <f t="array" ref="F56">IF(A56&lt;2021,0,(-(SUMPRODUCT(('Project Operational Timelines'!$AO$20:$AO$49=$A56)*('Project Operational Timelines'!$AP$18:$AY$18=$A$4)*('Project Operational Timelines'!$AP$19:$AY$19="Non-Carve Out")*('Project Operational Timelines'!$AP$17:$AY$17=$G56)*'Project Operational Timelines'!$AP28:$AY28))*1000*('Program Inputs'!$D$14-'Program Inputs'!$D$6)*$F$4*12)+(-(SUMPRODUCT(('Project Operational Timelines'!$AO$20:$AO$49=$A56)*('Project Operational Timelines'!$AP$18:$AY$18=$A$4)*('Project Operational Timelines'!$AP$19:$AY$19="Carve Out")*('Project Operational Timelines'!$AP$17:$AY$17=$G56)*'Project Operational Timelines'!$AP28:$AY28))*1000*('Program Inputs'!$D$14-'Program Inputs'!$D$7)*$F$4*12))</f>
        <v>-43033.200000000004</v>
      </c>
      <c r="G56" s="79">
        <v>1</v>
      </c>
      <c r="H56" s="328">
        <f t="shared" si="27"/>
        <v>1756144.07</v>
      </c>
      <c r="I56" s="69"/>
      <c r="J56" s="69"/>
      <c r="K56" s="104"/>
      <c r="L56" s="75"/>
      <c r="M56">
        <v>11</v>
      </c>
      <c r="N56" s="51">
        <v>2029</v>
      </c>
      <c r="O56" s="18">
        <f t="shared" si="13"/>
        <v>45.506156815247401</v>
      </c>
      <c r="P56" s="18">
        <f t="shared" si="14"/>
        <v>45.506156815247401</v>
      </c>
      <c r="Q56" s="18">
        <f t="shared" si="15"/>
        <v>45.506156815247401</v>
      </c>
      <c r="R56" s="18">
        <f t="shared" si="16"/>
        <v>45.506156815247401</v>
      </c>
      <c r="S56" s="18">
        <f t="shared" si="17"/>
        <v>45.506156815247401</v>
      </c>
      <c r="T56" s="18">
        <f t="shared" si="18"/>
        <v>45.506156815247401</v>
      </c>
      <c r="U56" s="18">
        <f t="shared" si="19"/>
        <v>45.506156815247401</v>
      </c>
      <c r="V56" s="18">
        <f t="shared" si="20"/>
        <v>45.506156815247401</v>
      </c>
      <c r="W56" s="18">
        <f t="shared" si="21"/>
        <v>45.506156815247401</v>
      </c>
      <c r="X56" s="18">
        <f t="shared" si="22"/>
        <v>45.506156815247401</v>
      </c>
      <c r="Y56" s="18">
        <f t="shared" si="23"/>
        <v>45.506156815247401</v>
      </c>
      <c r="Z56" s="18">
        <f t="shared" si="24"/>
        <v>45.506156815247401</v>
      </c>
      <c r="AA56" s="13"/>
      <c r="AB56" s="52">
        <v>2029</v>
      </c>
      <c r="AC56" s="14">
        <f>SUMIFS('Bill Credit Rates'!$K:$K,'Bill Credit Rates'!$A:$A,$A$4,'Bill Credit Rates'!$B:$B,$G56,'Bill Credit Rates'!$C:$C,$M56)</f>
        <v>92.814999999999984</v>
      </c>
      <c r="AD56" s="14">
        <f>SUMIFS('Bill Credit Rates'!$K:$K,'Bill Credit Rates'!$A:$A,$A$4,'Bill Credit Rates'!$B:$B,$G56,'Bill Credit Rates'!$C:$C,$M56)</f>
        <v>92.814999999999984</v>
      </c>
      <c r="AE56" s="14">
        <f>SUMIFS('Bill Credit Rates'!$K:$K,'Bill Credit Rates'!$A:$A,$A$4,'Bill Credit Rates'!$B:$B,$G56,'Bill Credit Rates'!$C:$C,$M56)</f>
        <v>92.814999999999984</v>
      </c>
      <c r="AF56" s="14">
        <f>SUMIFS('Bill Credit Rates'!$K:$K,'Bill Credit Rates'!$A:$A,$A$4,'Bill Credit Rates'!$B:$B,$G56,'Bill Credit Rates'!$C:$C,$M56)</f>
        <v>92.814999999999984</v>
      </c>
      <c r="AG56" s="14">
        <f>SUMIFS('Bill Credit Rates'!$K:$K,'Bill Credit Rates'!$A:$A,$A$4,'Bill Credit Rates'!$B:$B,$G56,'Bill Credit Rates'!$C:$C,$M56)</f>
        <v>92.814999999999984</v>
      </c>
      <c r="AH56" s="14">
        <f>SUMIFS('Bill Credit Rates'!$K:$K,'Bill Credit Rates'!$A:$A,$A$4,'Bill Credit Rates'!$B:$B,$G56,'Bill Credit Rates'!$C:$C,$M56)</f>
        <v>92.814999999999984</v>
      </c>
      <c r="AI56" s="14">
        <f>SUMIFS('Bill Credit Rates'!$K:$K,'Bill Credit Rates'!$A:$A,$A$4,'Bill Credit Rates'!$B:$B,$G56,'Bill Credit Rates'!$C:$C,$M56)</f>
        <v>92.814999999999984</v>
      </c>
      <c r="AJ56" s="14">
        <f>SUMIFS('Bill Credit Rates'!$K:$K,'Bill Credit Rates'!$A:$A,$A$4,'Bill Credit Rates'!$B:$B,$G56,'Bill Credit Rates'!$C:$C,$M56)</f>
        <v>92.814999999999984</v>
      </c>
      <c r="AK56" s="14">
        <f>SUMIFS('Bill Credit Rates'!$K:$K,'Bill Credit Rates'!$A:$A,$A$4,'Bill Credit Rates'!$B:$B,$G56,'Bill Credit Rates'!$C:$C,$M56)</f>
        <v>92.814999999999984</v>
      </c>
      <c r="AL56" s="14">
        <f>SUMIFS('Bill Credit Rates'!$K:$K,'Bill Credit Rates'!$A:$A,$A$4,'Bill Credit Rates'!$B:$B,$G56,'Bill Credit Rates'!$C:$C,$M56)</f>
        <v>92.814999999999984</v>
      </c>
      <c r="AM56" s="14">
        <f>SUMIFS('Bill Credit Rates'!$K:$K,'Bill Credit Rates'!$A:$A,$A$4,'Bill Credit Rates'!$B:$B,$G56,'Bill Credit Rates'!$C:$C,$M56)</f>
        <v>92.814999999999984</v>
      </c>
      <c r="AN56" s="14">
        <f>SUMIFS('Bill Credit Rates'!$K:$K,'Bill Credit Rates'!$A:$A,$A$4,'Bill Credit Rates'!$B:$B,$G56,'Bill Credit Rates'!$C:$C,$M56)</f>
        <v>92.814999999999984</v>
      </c>
      <c r="AP56" s="52">
        <v>2029</v>
      </c>
      <c r="AQ56" s="281">
        <v>48.381598417931237</v>
      </c>
      <c r="AR56" s="281">
        <v>48.381598417931237</v>
      </c>
      <c r="AS56" s="281">
        <v>48.381598417931237</v>
      </c>
      <c r="AT56" s="281">
        <v>48.381598417931237</v>
      </c>
      <c r="AU56" s="281">
        <v>48.381598417931237</v>
      </c>
      <c r="AV56" s="281">
        <v>48.381598417931237</v>
      </c>
      <c r="AW56" s="281">
        <v>48.381598417931237</v>
      </c>
      <c r="AX56" s="281">
        <v>48.381598417931237</v>
      </c>
      <c r="AY56" s="281">
        <v>48.381598417931237</v>
      </c>
      <c r="AZ56" s="281">
        <v>48.381598417931237</v>
      </c>
      <c r="BA56" s="281">
        <v>48.381598417931237</v>
      </c>
      <c r="BB56" s="281">
        <v>48.381598417931237</v>
      </c>
      <c r="BD56" s="52">
        <v>2029</v>
      </c>
      <c r="BE56" s="281">
        <v>40.872311785680651</v>
      </c>
      <c r="BF56" s="281">
        <v>40.872311785680651</v>
      </c>
      <c r="BG56" s="281">
        <v>40.872311785680651</v>
      </c>
      <c r="BH56" s="281">
        <v>40.872311785680651</v>
      </c>
      <c r="BI56" s="281">
        <v>40.872311785680651</v>
      </c>
      <c r="BJ56" s="281">
        <v>40.872311785680651</v>
      </c>
      <c r="BK56" s="281">
        <v>40.872311785680651</v>
      </c>
      <c r="BL56" s="281">
        <v>40.872311785680651</v>
      </c>
      <c r="BM56" s="281">
        <v>40.872311785680651</v>
      </c>
      <c r="BN56" s="281">
        <v>40.872311785680651</v>
      </c>
      <c r="BO56" s="281">
        <v>40.872311785680651</v>
      </c>
      <c r="BP56" s="281">
        <v>40.872311785680651</v>
      </c>
      <c r="BR56" s="52">
        <v>2029</v>
      </c>
      <c r="BS56" s="285">
        <f t="shared" si="25"/>
        <v>47.308843184752583</v>
      </c>
      <c r="BT56" s="285">
        <f t="shared" si="25"/>
        <v>47.308843184752583</v>
      </c>
      <c r="BU56" s="285">
        <f t="shared" si="25"/>
        <v>47.308843184752583</v>
      </c>
      <c r="BV56" s="285">
        <f t="shared" si="25"/>
        <v>47.308843184752583</v>
      </c>
      <c r="BW56" s="285">
        <f t="shared" si="25"/>
        <v>47.308843184752583</v>
      </c>
      <c r="BX56" s="285">
        <f t="shared" si="25"/>
        <v>47.308843184752583</v>
      </c>
      <c r="BY56" s="285">
        <f t="shared" si="25"/>
        <v>47.308843184752583</v>
      </c>
      <c r="BZ56" s="285">
        <f t="shared" si="25"/>
        <v>47.308843184752583</v>
      </c>
      <c r="CA56" s="285">
        <f t="shared" si="25"/>
        <v>47.308843184752583</v>
      </c>
      <c r="CB56" s="285">
        <f t="shared" si="25"/>
        <v>47.308843184752583</v>
      </c>
      <c r="CC56" s="285">
        <f t="shared" si="25"/>
        <v>47.308843184752583</v>
      </c>
      <c r="CD56" s="285">
        <f t="shared" si="25"/>
        <v>47.308843184752583</v>
      </c>
    </row>
    <row r="57" spans="1:82">
      <c r="A57" s="48">
        <v>2030</v>
      </c>
      <c r="B57" s="31" cm="1">
        <f t="array" ref="B57">IF(A57&lt;2021,0,SUMPRODUCT(('Project Operational Timelines'!$AO$20:$AO$49=$A57)*('Project Operational Timelines'!$AP$18:$AY$18=$A$4)*('Project Operational Timelines'!$AP$17:$AY$17=$G57)*'Project Operational Timelines'!$AP29:$AY29))</f>
        <v>22.21</v>
      </c>
      <c r="C57" s="84">
        <f t="shared" si="12"/>
        <v>3706.6144253833336</v>
      </c>
      <c r="D57" s="89">
        <f t="shared" si="26"/>
        <v>1945374.26</v>
      </c>
      <c r="E57" s="89"/>
      <c r="F57" s="89" cm="1">
        <f t="array" ref="F57">IF(A57&lt;2021,0,(-(SUMPRODUCT(('Project Operational Timelines'!$AO$20:$AO$49=$A57)*('Project Operational Timelines'!$AP$18:$AY$18=$A$4)*('Project Operational Timelines'!$AP$19:$AY$19="Non-Carve Out")*('Project Operational Timelines'!$AP$17:$AY$17=$G57)*'Project Operational Timelines'!$AP29:$AY29))*1000*('Program Inputs'!$D$14-'Program Inputs'!$D$6)*$F$4*12)+(-(SUMPRODUCT(('Project Operational Timelines'!$AO$20:$AO$49=$A57)*('Project Operational Timelines'!$AP$18:$AY$18=$A$4)*('Project Operational Timelines'!$AP$19:$AY$19="Carve Out")*('Project Operational Timelines'!$AP$17:$AY$17=$G57)*'Project Operational Timelines'!$AP29:$AY29))*1000*('Program Inputs'!$D$14-'Program Inputs'!$D$7)*$F$4*12))</f>
        <v>-43033.200000000004</v>
      </c>
      <c r="G57" s="79">
        <v>1</v>
      </c>
      <c r="H57" s="328">
        <f t="shared" si="27"/>
        <v>1640592.62</v>
      </c>
      <c r="I57" s="69"/>
      <c r="J57" s="69"/>
      <c r="K57" s="104"/>
      <c r="L57" s="75"/>
      <c r="M57">
        <v>12</v>
      </c>
      <c r="N57" s="15">
        <v>2030</v>
      </c>
      <c r="O57" s="18">
        <f t="shared" si="13"/>
        <v>43.736548514249662</v>
      </c>
      <c r="P57" s="18">
        <f t="shared" si="14"/>
        <v>43.736548514249662</v>
      </c>
      <c r="Q57" s="18">
        <f t="shared" si="15"/>
        <v>43.736548514249662</v>
      </c>
      <c r="R57" s="18">
        <f t="shared" si="16"/>
        <v>43.736548514249662</v>
      </c>
      <c r="S57" s="18">
        <f t="shared" si="17"/>
        <v>43.736548514249662</v>
      </c>
      <c r="T57" s="18">
        <f t="shared" si="18"/>
        <v>43.736548514249662</v>
      </c>
      <c r="U57" s="18">
        <f t="shared" si="19"/>
        <v>43.736548514249662</v>
      </c>
      <c r="V57" s="18">
        <f t="shared" si="20"/>
        <v>43.736548514249662</v>
      </c>
      <c r="W57" s="18">
        <f t="shared" si="21"/>
        <v>43.736548514249662</v>
      </c>
      <c r="X57" s="18">
        <f t="shared" si="22"/>
        <v>43.736548514249662</v>
      </c>
      <c r="Y57" s="18">
        <f t="shared" si="23"/>
        <v>43.736548514249662</v>
      </c>
      <c r="Z57" s="18">
        <f t="shared" si="24"/>
        <v>43.736548514249662</v>
      </c>
      <c r="AA57" s="13"/>
      <c r="AB57" s="52">
        <v>2030</v>
      </c>
      <c r="AC57" s="14">
        <f>SUMIFS('Bill Credit Rates'!$K:$K,'Bill Credit Rates'!$A:$A,$A$4,'Bill Credit Rates'!$B:$B,$G57,'Bill Credit Rates'!$C:$C,$M57)</f>
        <v>92.814999999999984</v>
      </c>
      <c r="AD57" s="14">
        <f>SUMIFS('Bill Credit Rates'!$K:$K,'Bill Credit Rates'!$A:$A,$A$4,'Bill Credit Rates'!$B:$B,$G57,'Bill Credit Rates'!$C:$C,$M57)</f>
        <v>92.814999999999984</v>
      </c>
      <c r="AE57" s="14">
        <f>SUMIFS('Bill Credit Rates'!$K:$K,'Bill Credit Rates'!$A:$A,$A$4,'Bill Credit Rates'!$B:$B,$G57,'Bill Credit Rates'!$C:$C,$M57)</f>
        <v>92.814999999999984</v>
      </c>
      <c r="AF57" s="14">
        <f>SUMIFS('Bill Credit Rates'!$K:$K,'Bill Credit Rates'!$A:$A,$A$4,'Bill Credit Rates'!$B:$B,$G57,'Bill Credit Rates'!$C:$C,$M57)</f>
        <v>92.814999999999984</v>
      </c>
      <c r="AG57" s="14">
        <f>SUMIFS('Bill Credit Rates'!$K:$K,'Bill Credit Rates'!$A:$A,$A$4,'Bill Credit Rates'!$B:$B,$G57,'Bill Credit Rates'!$C:$C,$M57)</f>
        <v>92.814999999999984</v>
      </c>
      <c r="AH57" s="14">
        <f>SUMIFS('Bill Credit Rates'!$K:$K,'Bill Credit Rates'!$A:$A,$A$4,'Bill Credit Rates'!$B:$B,$G57,'Bill Credit Rates'!$C:$C,$M57)</f>
        <v>92.814999999999984</v>
      </c>
      <c r="AI57" s="14">
        <f>SUMIFS('Bill Credit Rates'!$K:$K,'Bill Credit Rates'!$A:$A,$A$4,'Bill Credit Rates'!$B:$B,$G57,'Bill Credit Rates'!$C:$C,$M57)</f>
        <v>92.814999999999984</v>
      </c>
      <c r="AJ57" s="14">
        <f>SUMIFS('Bill Credit Rates'!$K:$K,'Bill Credit Rates'!$A:$A,$A$4,'Bill Credit Rates'!$B:$B,$G57,'Bill Credit Rates'!$C:$C,$M57)</f>
        <v>92.814999999999984</v>
      </c>
      <c r="AK57" s="14">
        <f>SUMIFS('Bill Credit Rates'!$K:$K,'Bill Credit Rates'!$A:$A,$A$4,'Bill Credit Rates'!$B:$B,$G57,'Bill Credit Rates'!$C:$C,$M57)</f>
        <v>92.814999999999984</v>
      </c>
      <c r="AL57" s="14">
        <f>SUMIFS('Bill Credit Rates'!$K:$K,'Bill Credit Rates'!$A:$A,$A$4,'Bill Credit Rates'!$B:$B,$G57,'Bill Credit Rates'!$C:$C,$M57)</f>
        <v>92.814999999999984</v>
      </c>
      <c r="AM57" s="14">
        <f>SUMIFS('Bill Credit Rates'!$K:$K,'Bill Credit Rates'!$A:$A,$A$4,'Bill Credit Rates'!$B:$B,$G57,'Bill Credit Rates'!$C:$C,$M57)</f>
        <v>92.814999999999984</v>
      </c>
      <c r="AN57" s="14">
        <f>SUMIFS('Bill Credit Rates'!$K:$K,'Bill Credit Rates'!$A:$A,$A$4,'Bill Credit Rates'!$B:$B,$G57,'Bill Credit Rates'!$C:$C,$M57)</f>
        <v>92.814999999999984</v>
      </c>
      <c r="AP57" s="52">
        <v>2030</v>
      </c>
      <c r="AQ57" s="281">
        <v>50.175555323181548</v>
      </c>
      <c r="AR57" s="281">
        <v>50.175555323181548</v>
      </c>
      <c r="AS57" s="281">
        <v>50.175555323181548</v>
      </c>
      <c r="AT57" s="281">
        <v>50.175555323181548</v>
      </c>
      <c r="AU57" s="281">
        <v>50.175555323181548</v>
      </c>
      <c r="AV57" s="281">
        <v>50.175555323181548</v>
      </c>
      <c r="AW57" s="281">
        <v>50.175555323181548</v>
      </c>
      <c r="AX57" s="281">
        <v>50.175555323181548</v>
      </c>
      <c r="AY57" s="281">
        <v>50.175555323181548</v>
      </c>
      <c r="AZ57" s="281">
        <v>50.175555323181548</v>
      </c>
      <c r="BA57" s="281">
        <v>50.175555323181548</v>
      </c>
      <c r="BB57" s="281">
        <v>50.175555323181548</v>
      </c>
      <c r="BD57" s="52">
        <v>2030</v>
      </c>
      <c r="BE57" s="281">
        <v>42.495828461162972</v>
      </c>
      <c r="BF57" s="281">
        <v>42.495828461162972</v>
      </c>
      <c r="BG57" s="281">
        <v>42.495828461162972</v>
      </c>
      <c r="BH57" s="281">
        <v>42.495828461162972</v>
      </c>
      <c r="BI57" s="281">
        <v>42.495828461162972</v>
      </c>
      <c r="BJ57" s="281">
        <v>42.495828461162972</v>
      </c>
      <c r="BK57" s="281">
        <v>42.495828461162972</v>
      </c>
      <c r="BL57" s="281">
        <v>42.495828461162972</v>
      </c>
      <c r="BM57" s="281">
        <v>42.495828461162972</v>
      </c>
      <c r="BN57" s="281">
        <v>42.495828461162972</v>
      </c>
      <c r="BO57" s="281">
        <v>42.495828461162972</v>
      </c>
      <c r="BP57" s="281">
        <v>42.495828461162972</v>
      </c>
      <c r="BR57" s="52">
        <v>2030</v>
      </c>
      <c r="BS57" s="285">
        <f t="shared" si="25"/>
        <v>49.078451485750321</v>
      </c>
      <c r="BT57" s="285">
        <f t="shared" si="25"/>
        <v>49.078451485750321</v>
      </c>
      <c r="BU57" s="285">
        <f t="shared" si="25"/>
        <v>49.078451485750321</v>
      </c>
      <c r="BV57" s="285">
        <f t="shared" si="25"/>
        <v>49.078451485750321</v>
      </c>
      <c r="BW57" s="285">
        <f t="shared" si="25"/>
        <v>49.078451485750321</v>
      </c>
      <c r="BX57" s="285">
        <f t="shared" si="25"/>
        <v>49.078451485750321</v>
      </c>
      <c r="BY57" s="285">
        <f t="shared" si="25"/>
        <v>49.078451485750321</v>
      </c>
      <c r="BZ57" s="285">
        <f t="shared" si="25"/>
        <v>49.078451485750321</v>
      </c>
      <c r="CA57" s="285">
        <f t="shared" si="25"/>
        <v>49.078451485750321</v>
      </c>
      <c r="CB57" s="285">
        <f t="shared" si="25"/>
        <v>49.078451485750321</v>
      </c>
      <c r="CC57" s="285">
        <f t="shared" si="25"/>
        <v>49.078451485750321</v>
      </c>
      <c r="CD57" s="285">
        <f t="shared" si="25"/>
        <v>49.078451485750321</v>
      </c>
    </row>
    <row r="58" spans="1:82">
      <c r="A58" s="48">
        <v>2031</v>
      </c>
      <c r="B58" s="31" cm="1">
        <f t="array" ref="B58">IF(A58&lt;2021,0,SUMPRODUCT(('Project Operational Timelines'!$AO$20:$AO$49=$A58)*('Project Operational Timelines'!$AP$18:$AY$18=$A$4)*('Project Operational Timelines'!$AP$17:$AY$17=$G58)*'Project Operational Timelines'!$AP30:$AY30))</f>
        <v>22.21</v>
      </c>
      <c r="C58" s="84">
        <f t="shared" si="12"/>
        <v>3706.6144253833336</v>
      </c>
      <c r="D58" s="89">
        <f t="shared" si="26"/>
        <v>1939550.44</v>
      </c>
      <c r="E58" s="89"/>
      <c r="F58" s="89" cm="1">
        <f t="array" ref="F58">IF(A58&lt;2021,0,(-(SUMPRODUCT(('Project Operational Timelines'!$AO$20:$AO$49=$A58)*('Project Operational Timelines'!$AP$18:$AY$18=$A$4)*('Project Operational Timelines'!$AP$19:$AY$19="Non-Carve Out")*('Project Operational Timelines'!$AP$17:$AY$17=$G58)*'Project Operational Timelines'!$AP30:$AY30))*1000*('Program Inputs'!$D$14-'Program Inputs'!$D$6)*$F$4*12)+(-(SUMPRODUCT(('Project Operational Timelines'!$AO$20:$AO$49=$A58)*('Project Operational Timelines'!$AP$18:$AY$18=$A$4)*('Project Operational Timelines'!$AP$19:$AY$19="Carve Out")*('Project Operational Timelines'!$AP$17:$AY$17=$G58)*'Project Operational Timelines'!$AP30:$AY30))*1000*('Program Inputs'!$D$14-'Program Inputs'!$D$7)*$F$4*12))</f>
        <v>-43033.200000000004</v>
      </c>
      <c r="G58" s="79">
        <v>1</v>
      </c>
      <c r="H58" s="328">
        <f t="shared" si="27"/>
        <v>1589882.15</v>
      </c>
      <c r="I58" s="69"/>
      <c r="J58" s="69"/>
      <c r="K58" s="104"/>
      <c r="L58" s="75"/>
      <c r="M58">
        <v>13</v>
      </c>
      <c r="N58" s="52">
        <v>2031</v>
      </c>
      <c r="O58" s="18">
        <f t="shared" si="13"/>
        <v>43.605615523642619</v>
      </c>
      <c r="P58" s="18">
        <f t="shared" si="14"/>
        <v>43.605615523642619</v>
      </c>
      <c r="Q58" s="18">
        <f t="shared" si="15"/>
        <v>43.605615523642619</v>
      </c>
      <c r="R58" s="18">
        <f t="shared" si="16"/>
        <v>43.605615523642619</v>
      </c>
      <c r="S58" s="18">
        <f t="shared" si="17"/>
        <v>43.605615523642619</v>
      </c>
      <c r="T58" s="18">
        <f t="shared" si="18"/>
        <v>43.605615523642619</v>
      </c>
      <c r="U58" s="18">
        <f t="shared" si="19"/>
        <v>43.605615523642619</v>
      </c>
      <c r="V58" s="18">
        <f t="shared" si="20"/>
        <v>43.605615523642619</v>
      </c>
      <c r="W58" s="18">
        <f t="shared" si="21"/>
        <v>43.605615523642619</v>
      </c>
      <c r="X58" s="18">
        <f t="shared" si="22"/>
        <v>43.605615523642619</v>
      </c>
      <c r="Y58" s="18">
        <f t="shared" si="23"/>
        <v>43.605615523642619</v>
      </c>
      <c r="Z58" s="18">
        <f t="shared" si="24"/>
        <v>43.605615523642619</v>
      </c>
      <c r="AA58" s="13"/>
      <c r="AB58" s="52">
        <v>2031</v>
      </c>
      <c r="AC58" s="14">
        <f>SUMIFS('Bill Credit Rates'!$K:$K,'Bill Credit Rates'!$A:$A,$A$4,'Bill Credit Rates'!$B:$B,$G58,'Bill Credit Rates'!$C:$C,$M58)</f>
        <v>92.814999999999984</v>
      </c>
      <c r="AD58" s="14">
        <f>SUMIFS('Bill Credit Rates'!$K:$K,'Bill Credit Rates'!$A:$A,$A$4,'Bill Credit Rates'!$B:$B,$G58,'Bill Credit Rates'!$C:$C,$M58)</f>
        <v>92.814999999999984</v>
      </c>
      <c r="AE58" s="14">
        <f>SUMIFS('Bill Credit Rates'!$K:$K,'Bill Credit Rates'!$A:$A,$A$4,'Bill Credit Rates'!$B:$B,$G58,'Bill Credit Rates'!$C:$C,$M58)</f>
        <v>92.814999999999984</v>
      </c>
      <c r="AF58" s="14">
        <f>SUMIFS('Bill Credit Rates'!$K:$K,'Bill Credit Rates'!$A:$A,$A$4,'Bill Credit Rates'!$B:$B,$G58,'Bill Credit Rates'!$C:$C,$M58)</f>
        <v>92.814999999999984</v>
      </c>
      <c r="AG58" s="14">
        <f>SUMIFS('Bill Credit Rates'!$K:$K,'Bill Credit Rates'!$A:$A,$A$4,'Bill Credit Rates'!$B:$B,$G58,'Bill Credit Rates'!$C:$C,$M58)</f>
        <v>92.814999999999984</v>
      </c>
      <c r="AH58" s="14">
        <f>SUMIFS('Bill Credit Rates'!$K:$K,'Bill Credit Rates'!$A:$A,$A$4,'Bill Credit Rates'!$B:$B,$G58,'Bill Credit Rates'!$C:$C,$M58)</f>
        <v>92.814999999999984</v>
      </c>
      <c r="AI58" s="14">
        <f>SUMIFS('Bill Credit Rates'!$K:$K,'Bill Credit Rates'!$A:$A,$A$4,'Bill Credit Rates'!$B:$B,$G58,'Bill Credit Rates'!$C:$C,$M58)</f>
        <v>92.814999999999984</v>
      </c>
      <c r="AJ58" s="14">
        <f>SUMIFS('Bill Credit Rates'!$K:$K,'Bill Credit Rates'!$A:$A,$A$4,'Bill Credit Rates'!$B:$B,$G58,'Bill Credit Rates'!$C:$C,$M58)</f>
        <v>92.814999999999984</v>
      </c>
      <c r="AK58" s="14">
        <f>SUMIFS('Bill Credit Rates'!$K:$K,'Bill Credit Rates'!$A:$A,$A$4,'Bill Credit Rates'!$B:$B,$G58,'Bill Credit Rates'!$C:$C,$M58)</f>
        <v>92.814999999999984</v>
      </c>
      <c r="AL58" s="14">
        <f>SUMIFS('Bill Credit Rates'!$K:$K,'Bill Credit Rates'!$A:$A,$A$4,'Bill Credit Rates'!$B:$B,$G58,'Bill Credit Rates'!$C:$C,$M58)</f>
        <v>92.814999999999984</v>
      </c>
      <c r="AM58" s="14">
        <f>SUMIFS('Bill Credit Rates'!$K:$K,'Bill Credit Rates'!$A:$A,$A$4,'Bill Credit Rates'!$B:$B,$G58,'Bill Credit Rates'!$C:$C,$M58)</f>
        <v>92.814999999999984</v>
      </c>
      <c r="AN58" s="14">
        <f>SUMIFS('Bill Credit Rates'!$K:$K,'Bill Credit Rates'!$A:$A,$A$4,'Bill Credit Rates'!$B:$B,$G58,'Bill Credit Rates'!$C:$C,$M58)</f>
        <v>92.814999999999984</v>
      </c>
      <c r="AP58" s="52">
        <v>2031</v>
      </c>
      <c r="AQ58" s="281">
        <v>50.331456700694865</v>
      </c>
      <c r="AR58" s="281">
        <v>50.331456700694865</v>
      </c>
      <c r="AS58" s="281">
        <v>50.331456700694865</v>
      </c>
      <c r="AT58" s="281">
        <v>50.331456700694865</v>
      </c>
      <c r="AU58" s="281">
        <v>50.331456700694865</v>
      </c>
      <c r="AV58" s="281">
        <v>50.331456700694865</v>
      </c>
      <c r="AW58" s="281">
        <v>50.331456700694865</v>
      </c>
      <c r="AX58" s="281">
        <v>50.331456700694865</v>
      </c>
      <c r="AY58" s="281">
        <v>50.331456700694865</v>
      </c>
      <c r="AZ58" s="281">
        <v>50.331456700694865</v>
      </c>
      <c r="BA58" s="281">
        <v>50.331456700694865</v>
      </c>
      <c r="BB58" s="281">
        <v>50.331456700694865</v>
      </c>
      <c r="BD58" s="52">
        <v>2031</v>
      </c>
      <c r="BE58" s="281">
        <v>42.476951130332395</v>
      </c>
      <c r="BF58" s="281">
        <v>42.476951130332395</v>
      </c>
      <c r="BG58" s="281">
        <v>42.476951130332395</v>
      </c>
      <c r="BH58" s="281">
        <v>42.476951130332395</v>
      </c>
      <c r="BI58" s="281">
        <v>42.476951130332395</v>
      </c>
      <c r="BJ58" s="281">
        <v>42.476951130332395</v>
      </c>
      <c r="BK58" s="281">
        <v>42.476951130332395</v>
      </c>
      <c r="BL58" s="281">
        <v>42.476951130332395</v>
      </c>
      <c r="BM58" s="281">
        <v>42.476951130332395</v>
      </c>
      <c r="BN58" s="281">
        <v>42.476951130332395</v>
      </c>
      <c r="BO58" s="281">
        <v>42.476951130332395</v>
      </c>
      <c r="BP58" s="281">
        <v>42.476951130332395</v>
      </c>
      <c r="BR58" s="52">
        <v>2031</v>
      </c>
      <c r="BS58" s="285">
        <f t="shared" si="25"/>
        <v>49.209384476357364</v>
      </c>
      <c r="BT58" s="285">
        <f t="shared" si="25"/>
        <v>49.209384476357364</v>
      </c>
      <c r="BU58" s="285">
        <f t="shared" si="25"/>
        <v>49.209384476357364</v>
      </c>
      <c r="BV58" s="285">
        <f t="shared" si="25"/>
        <v>49.209384476357364</v>
      </c>
      <c r="BW58" s="285">
        <f t="shared" si="25"/>
        <v>49.209384476357364</v>
      </c>
      <c r="BX58" s="285">
        <f t="shared" si="25"/>
        <v>49.209384476357364</v>
      </c>
      <c r="BY58" s="285">
        <f t="shared" si="25"/>
        <v>49.209384476357364</v>
      </c>
      <c r="BZ58" s="285">
        <f t="shared" si="25"/>
        <v>49.209384476357364</v>
      </c>
      <c r="CA58" s="285">
        <f t="shared" si="25"/>
        <v>49.209384476357364</v>
      </c>
      <c r="CB58" s="285">
        <f t="shared" si="25"/>
        <v>49.209384476357364</v>
      </c>
      <c r="CC58" s="285">
        <f t="shared" si="25"/>
        <v>49.209384476357364</v>
      </c>
      <c r="CD58" s="285">
        <f t="shared" si="25"/>
        <v>49.209384476357364</v>
      </c>
    </row>
    <row r="59" spans="1:82">
      <c r="A59" s="48">
        <v>2032</v>
      </c>
      <c r="B59" s="31" cm="1">
        <f t="array" ref="B59">IF(A59&lt;2021,0,SUMPRODUCT(('Project Operational Timelines'!$AO$20:$AO$49=$A59)*('Project Operational Timelines'!$AP$18:$AY$18=$A$4)*('Project Operational Timelines'!$AP$17:$AY$17=$G59)*'Project Operational Timelines'!$AP31:$AY31))</f>
        <v>22.21</v>
      </c>
      <c r="C59" s="84">
        <f t="shared" si="12"/>
        <v>3706.6144253833336</v>
      </c>
      <c r="D59" s="89">
        <f t="shared" si="26"/>
        <v>1945745.88</v>
      </c>
      <c r="E59" s="89"/>
      <c r="F59" s="89" cm="1">
        <f t="array" ref="F59">IF(A59&lt;2021,0,(-(SUMPRODUCT(('Project Operational Timelines'!$AO$20:$AO$49=$A59)*('Project Operational Timelines'!$AP$18:$AY$18=$A$4)*('Project Operational Timelines'!$AP$19:$AY$19="Non-Carve Out")*('Project Operational Timelines'!$AP$17:$AY$17=$G59)*'Project Operational Timelines'!$AP31:$AY31))*1000*('Program Inputs'!$D$14-'Program Inputs'!$D$6)*$F$4*12)+(-(SUMPRODUCT(('Project Operational Timelines'!$AO$20:$AO$49=$A59)*('Project Operational Timelines'!$AP$18:$AY$18=$A$4)*('Project Operational Timelines'!$AP$19:$AY$19="Carve Out")*('Project Operational Timelines'!$AP$17:$AY$17=$G59)*'Project Operational Timelines'!$AP31:$AY31))*1000*('Program Inputs'!$D$14-'Program Inputs'!$D$7)*$F$4*12))</f>
        <v>-43033.200000000004</v>
      </c>
      <c r="G59" s="79">
        <v>1</v>
      </c>
      <c r="H59" s="328">
        <f t="shared" si="27"/>
        <v>1550301.76</v>
      </c>
      <c r="I59" s="69"/>
      <c r="J59" s="69"/>
      <c r="K59" s="104"/>
      <c r="L59" s="75"/>
      <c r="M59">
        <v>14</v>
      </c>
      <c r="N59" s="52">
        <v>2032</v>
      </c>
      <c r="O59" s="18">
        <f t="shared" si="13"/>
        <v>43.744903298341335</v>
      </c>
      <c r="P59" s="18">
        <f t="shared" si="14"/>
        <v>43.744903298341335</v>
      </c>
      <c r="Q59" s="18">
        <f t="shared" si="15"/>
        <v>43.744903298341335</v>
      </c>
      <c r="R59" s="18">
        <f t="shared" si="16"/>
        <v>43.744903298341335</v>
      </c>
      <c r="S59" s="18">
        <f t="shared" si="17"/>
        <v>43.744903298341335</v>
      </c>
      <c r="T59" s="18">
        <f t="shared" si="18"/>
        <v>43.744903298341335</v>
      </c>
      <c r="U59" s="18">
        <f t="shared" si="19"/>
        <v>43.744903298341335</v>
      </c>
      <c r="V59" s="18">
        <f t="shared" si="20"/>
        <v>43.744903298341335</v>
      </c>
      <c r="W59" s="18">
        <f t="shared" si="21"/>
        <v>43.744903298341335</v>
      </c>
      <c r="X59" s="18">
        <f t="shared" si="22"/>
        <v>43.744903298341335</v>
      </c>
      <c r="Y59" s="18">
        <f t="shared" si="23"/>
        <v>43.744903298341335</v>
      </c>
      <c r="Z59" s="18">
        <f t="shared" si="24"/>
        <v>43.744903298341335</v>
      </c>
      <c r="AA59" s="13"/>
      <c r="AB59" s="52">
        <v>2032</v>
      </c>
      <c r="AC59" s="14">
        <f>SUMIFS('Bill Credit Rates'!$K:$K,'Bill Credit Rates'!$A:$A,$A$4,'Bill Credit Rates'!$B:$B,$G59,'Bill Credit Rates'!$C:$C,$M59)</f>
        <v>92.814999999999984</v>
      </c>
      <c r="AD59" s="14">
        <f>SUMIFS('Bill Credit Rates'!$K:$K,'Bill Credit Rates'!$A:$A,$A$4,'Bill Credit Rates'!$B:$B,$G59,'Bill Credit Rates'!$C:$C,$M59)</f>
        <v>92.814999999999984</v>
      </c>
      <c r="AE59" s="14">
        <f>SUMIFS('Bill Credit Rates'!$K:$K,'Bill Credit Rates'!$A:$A,$A$4,'Bill Credit Rates'!$B:$B,$G59,'Bill Credit Rates'!$C:$C,$M59)</f>
        <v>92.814999999999984</v>
      </c>
      <c r="AF59" s="14">
        <f>SUMIFS('Bill Credit Rates'!$K:$K,'Bill Credit Rates'!$A:$A,$A$4,'Bill Credit Rates'!$B:$B,$G59,'Bill Credit Rates'!$C:$C,$M59)</f>
        <v>92.814999999999984</v>
      </c>
      <c r="AG59" s="14">
        <f>SUMIFS('Bill Credit Rates'!$K:$K,'Bill Credit Rates'!$A:$A,$A$4,'Bill Credit Rates'!$B:$B,$G59,'Bill Credit Rates'!$C:$C,$M59)</f>
        <v>92.814999999999984</v>
      </c>
      <c r="AH59" s="14">
        <f>SUMIFS('Bill Credit Rates'!$K:$K,'Bill Credit Rates'!$A:$A,$A$4,'Bill Credit Rates'!$B:$B,$G59,'Bill Credit Rates'!$C:$C,$M59)</f>
        <v>92.814999999999984</v>
      </c>
      <c r="AI59" s="14">
        <f>SUMIFS('Bill Credit Rates'!$K:$K,'Bill Credit Rates'!$A:$A,$A$4,'Bill Credit Rates'!$B:$B,$G59,'Bill Credit Rates'!$C:$C,$M59)</f>
        <v>92.814999999999984</v>
      </c>
      <c r="AJ59" s="14">
        <f>SUMIFS('Bill Credit Rates'!$K:$K,'Bill Credit Rates'!$A:$A,$A$4,'Bill Credit Rates'!$B:$B,$G59,'Bill Credit Rates'!$C:$C,$M59)</f>
        <v>92.814999999999984</v>
      </c>
      <c r="AK59" s="14">
        <f>SUMIFS('Bill Credit Rates'!$K:$K,'Bill Credit Rates'!$A:$A,$A$4,'Bill Credit Rates'!$B:$B,$G59,'Bill Credit Rates'!$C:$C,$M59)</f>
        <v>92.814999999999984</v>
      </c>
      <c r="AL59" s="14">
        <f>SUMIFS('Bill Credit Rates'!$K:$K,'Bill Credit Rates'!$A:$A,$A$4,'Bill Credit Rates'!$B:$B,$G59,'Bill Credit Rates'!$C:$C,$M59)</f>
        <v>92.814999999999984</v>
      </c>
      <c r="AM59" s="14">
        <f>SUMIFS('Bill Credit Rates'!$K:$K,'Bill Credit Rates'!$A:$A,$A$4,'Bill Credit Rates'!$B:$B,$G59,'Bill Credit Rates'!$C:$C,$M59)</f>
        <v>92.814999999999984</v>
      </c>
      <c r="AN59" s="14">
        <f>SUMIFS('Bill Credit Rates'!$K:$K,'Bill Credit Rates'!$A:$A,$A$4,'Bill Credit Rates'!$B:$B,$G59,'Bill Credit Rates'!$C:$C,$M59)</f>
        <v>92.814999999999984</v>
      </c>
      <c r="AP59" s="52">
        <v>2032</v>
      </c>
      <c r="AQ59" s="281">
        <v>50.217668555177021</v>
      </c>
      <c r="AR59" s="281">
        <v>50.217668555177021</v>
      </c>
      <c r="AS59" s="281">
        <v>50.217668555177021</v>
      </c>
      <c r="AT59" s="281">
        <v>50.217668555177021</v>
      </c>
      <c r="AU59" s="281">
        <v>50.217668555177021</v>
      </c>
      <c r="AV59" s="281">
        <v>50.217668555177021</v>
      </c>
      <c r="AW59" s="281">
        <v>50.217668555177021</v>
      </c>
      <c r="AX59" s="281">
        <v>50.217668555177021</v>
      </c>
      <c r="AY59" s="281">
        <v>50.217668555177021</v>
      </c>
      <c r="AZ59" s="281">
        <v>50.217668555177021</v>
      </c>
      <c r="BA59" s="281">
        <v>50.217668555177021</v>
      </c>
      <c r="BB59" s="281">
        <v>50.217668555177021</v>
      </c>
      <c r="BD59" s="52">
        <v>2032</v>
      </c>
      <c r="BE59" s="281">
        <v>42.18466558054844</v>
      </c>
      <c r="BF59" s="281">
        <v>42.18466558054844</v>
      </c>
      <c r="BG59" s="281">
        <v>42.18466558054844</v>
      </c>
      <c r="BH59" s="281">
        <v>42.18466558054844</v>
      </c>
      <c r="BI59" s="281">
        <v>42.18466558054844</v>
      </c>
      <c r="BJ59" s="281">
        <v>42.18466558054844</v>
      </c>
      <c r="BK59" s="281">
        <v>42.18466558054844</v>
      </c>
      <c r="BL59" s="281">
        <v>42.18466558054844</v>
      </c>
      <c r="BM59" s="281">
        <v>42.18466558054844</v>
      </c>
      <c r="BN59" s="281">
        <v>42.18466558054844</v>
      </c>
      <c r="BO59" s="281">
        <v>42.18466558054844</v>
      </c>
      <c r="BP59" s="281">
        <v>42.18466558054844</v>
      </c>
      <c r="BR59" s="52">
        <v>2032</v>
      </c>
      <c r="BS59" s="285">
        <f t="shared" si="25"/>
        <v>49.070096701658649</v>
      </c>
      <c r="BT59" s="285">
        <f t="shared" si="25"/>
        <v>49.070096701658649</v>
      </c>
      <c r="BU59" s="285">
        <f t="shared" si="25"/>
        <v>49.070096701658649</v>
      </c>
      <c r="BV59" s="285">
        <f t="shared" si="25"/>
        <v>49.070096701658649</v>
      </c>
      <c r="BW59" s="285">
        <f t="shared" si="25"/>
        <v>49.070096701658649</v>
      </c>
      <c r="BX59" s="285">
        <f t="shared" si="25"/>
        <v>49.070096701658649</v>
      </c>
      <c r="BY59" s="285">
        <f t="shared" si="25"/>
        <v>49.070096701658649</v>
      </c>
      <c r="BZ59" s="285">
        <f t="shared" si="25"/>
        <v>49.070096701658649</v>
      </c>
      <c r="CA59" s="285">
        <f t="shared" si="25"/>
        <v>49.070096701658649</v>
      </c>
      <c r="CB59" s="285">
        <f t="shared" si="25"/>
        <v>49.070096701658649</v>
      </c>
      <c r="CC59" s="285">
        <f t="shared" si="25"/>
        <v>49.070096701658649</v>
      </c>
      <c r="CD59" s="285">
        <f t="shared" si="25"/>
        <v>49.070096701658649</v>
      </c>
    </row>
    <row r="60" spans="1:82">
      <c r="A60" s="48">
        <v>2033</v>
      </c>
      <c r="B60" s="31" cm="1">
        <f t="array" ref="B60">IF(A60&lt;2021,0,SUMPRODUCT(('Project Operational Timelines'!$AO$20:$AO$49=$A60)*('Project Operational Timelines'!$AP$18:$AY$18=$A$4)*('Project Operational Timelines'!$AP$17:$AY$17=$G60)*'Project Operational Timelines'!$AP32:$AY32))</f>
        <v>22.21</v>
      </c>
      <c r="C60" s="84">
        <f t="shared" si="12"/>
        <v>3706.6144253833336</v>
      </c>
      <c r="D60" s="89">
        <f t="shared" si="26"/>
        <v>1883737.96</v>
      </c>
      <c r="E60" s="89"/>
      <c r="F60" s="89" cm="1">
        <f t="array" ref="F60">IF(A60&lt;2021,0,(-(SUMPRODUCT(('Project Operational Timelines'!$AO$20:$AO$49=$A60)*('Project Operational Timelines'!$AP$18:$AY$18=$A$4)*('Project Operational Timelines'!$AP$19:$AY$19="Non-Carve Out")*('Project Operational Timelines'!$AP$17:$AY$17=$G60)*'Project Operational Timelines'!$AP32:$AY32))*1000*('Program Inputs'!$D$14-'Program Inputs'!$D$6)*$F$4*12)+(-(SUMPRODUCT(('Project Operational Timelines'!$AO$20:$AO$49=$A60)*('Project Operational Timelines'!$AP$18:$AY$18=$A$4)*('Project Operational Timelines'!$AP$19:$AY$19="Carve Out")*('Project Operational Timelines'!$AP$17:$AY$17=$G60)*'Project Operational Timelines'!$AP32:$AY32))*1000*('Program Inputs'!$D$14-'Program Inputs'!$D$7)*$F$4*12))</f>
        <v>-43033.200000000004</v>
      </c>
      <c r="G60" s="79">
        <v>1</v>
      </c>
      <c r="H60" s="328">
        <f t="shared" si="27"/>
        <v>1458870.94</v>
      </c>
      <c r="I60" s="69"/>
      <c r="J60" s="69"/>
      <c r="K60" s="104"/>
      <c r="L60" s="75"/>
      <c r="M60">
        <v>15</v>
      </c>
      <c r="N60" s="52">
        <v>2033</v>
      </c>
      <c r="O60" s="18">
        <f t="shared" si="13"/>
        <v>42.350820892095996</v>
      </c>
      <c r="P60" s="18">
        <f t="shared" si="14"/>
        <v>42.350820892095996</v>
      </c>
      <c r="Q60" s="18">
        <f t="shared" si="15"/>
        <v>42.350820892095996</v>
      </c>
      <c r="R60" s="18">
        <f>(AF60-BV60)</f>
        <v>42.350820892095996</v>
      </c>
      <c r="S60" s="18">
        <f t="shared" si="17"/>
        <v>42.350820892095996</v>
      </c>
      <c r="T60" s="18">
        <f t="shared" si="18"/>
        <v>42.350820892095996</v>
      </c>
      <c r="U60" s="18">
        <f t="shared" si="19"/>
        <v>42.350820892095996</v>
      </c>
      <c r="V60" s="18">
        <f t="shared" si="20"/>
        <v>42.350820892095996</v>
      </c>
      <c r="W60" s="18">
        <f t="shared" si="21"/>
        <v>42.350820892095996</v>
      </c>
      <c r="X60" s="18">
        <f t="shared" si="22"/>
        <v>42.350820892095996</v>
      </c>
      <c r="Y60" s="18">
        <f t="shared" si="23"/>
        <v>42.350820892095996</v>
      </c>
      <c r="Z60" s="18">
        <f t="shared" si="24"/>
        <v>42.350820892095996</v>
      </c>
      <c r="AA60" s="13"/>
      <c r="AB60" s="52">
        <v>2033</v>
      </c>
      <c r="AC60" s="14">
        <f>SUMIFS('Bill Credit Rates'!$K:$K,'Bill Credit Rates'!$A:$A,$A$4,'Bill Credit Rates'!$B:$B,$G60,'Bill Credit Rates'!$C:$C,$M60)</f>
        <v>92.814999999999984</v>
      </c>
      <c r="AD60" s="14">
        <f>SUMIFS('Bill Credit Rates'!$K:$K,'Bill Credit Rates'!$A:$A,$A$4,'Bill Credit Rates'!$B:$B,$G60,'Bill Credit Rates'!$C:$C,$M60)</f>
        <v>92.814999999999984</v>
      </c>
      <c r="AE60" s="14">
        <f>SUMIFS('Bill Credit Rates'!$K:$K,'Bill Credit Rates'!$A:$A,$A$4,'Bill Credit Rates'!$B:$B,$G60,'Bill Credit Rates'!$C:$C,$M60)</f>
        <v>92.814999999999984</v>
      </c>
      <c r="AF60" s="14">
        <f>SUMIFS('Bill Credit Rates'!$K:$K,'Bill Credit Rates'!$A:$A,$A$4,'Bill Credit Rates'!$B:$B,$G60,'Bill Credit Rates'!$C:$C,$M60)</f>
        <v>92.814999999999984</v>
      </c>
      <c r="AG60" s="14">
        <f>SUMIFS('Bill Credit Rates'!$K:$K,'Bill Credit Rates'!$A:$A,$A$4,'Bill Credit Rates'!$B:$B,$G60,'Bill Credit Rates'!$C:$C,$M60)</f>
        <v>92.814999999999984</v>
      </c>
      <c r="AH60" s="14">
        <f>SUMIFS('Bill Credit Rates'!$K:$K,'Bill Credit Rates'!$A:$A,$A$4,'Bill Credit Rates'!$B:$B,$G60,'Bill Credit Rates'!$C:$C,$M60)</f>
        <v>92.814999999999984</v>
      </c>
      <c r="AI60" s="14">
        <f>SUMIFS('Bill Credit Rates'!$K:$K,'Bill Credit Rates'!$A:$A,$A$4,'Bill Credit Rates'!$B:$B,$G60,'Bill Credit Rates'!$C:$C,$M60)</f>
        <v>92.814999999999984</v>
      </c>
      <c r="AJ60" s="14">
        <f>SUMIFS('Bill Credit Rates'!$K:$K,'Bill Credit Rates'!$A:$A,$A$4,'Bill Credit Rates'!$B:$B,$G60,'Bill Credit Rates'!$C:$C,$M60)</f>
        <v>92.814999999999984</v>
      </c>
      <c r="AK60" s="14">
        <f>SUMIFS('Bill Credit Rates'!$K:$K,'Bill Credit Rates'!$A:$A,$A$4,'Bill Credit Rates'!$B:$B,$G60,'Bill Credit Rates'!$C:$C,$M60)</f>
        <v>92.814999999999984</v>
      </c>
      <c r="AL60" s="14">
        <f>SUMIFS('Bill Credit Rates'!$K:$K,'Bill Credit Rates'!$A:$A,$A$4,'Bill Credit Rates'!$B:$B,$G60,'Bill Credit Rates'!$C:$C,$M60)</f>
        <v>92.814999999999984</v>
      </c>
      <c r="AM60" s="14">
        <f>SUMIFS('Bill Credit Rates'!$K:$K,'Bill Credit Rates'!$A:$A,$A$4,'Bill Credit Rates'!$B:$B,$G60,'Bill Credit Rates'!$C:$C,$M60)</f>
        <v>92.814999999999984</v>
      </c>
      <c r="AN60" s="14">
        <f>SUMIFS('Bill Credit Rates'!$K:$K,'Bill Credit Rates'!$A:$A,$A$4,'Bill Credit Rates'!$B:$B,$G60,'Bill Credit Rates'!$C:$C,$M60)</f>
        <v>92.814999999999984</v>
      </c>
      <c r="AP60" s="52">
        <v>2033</v>
      </c>
      <c r="AQ60" s="281">
        <v>51.637781832877828</v>
      </c>
      <c r="AR60" s="281">
        <v>51.637781832877828</v>
      </c>
      <c r="AS60" s="281">
        <v>51.637781832877828</v>
      </c>
      <c r="AT60" s="281">
        <v>51.637781832877828</v>
      </c>
      <c r="AU60" s="281">
        <v>51.637781832877828</v>
      </c>
      <c r="AV60" s="281">
        <v>51.637781832877828</v>
      </c>
      <c r="AW60" s="281">
        <v>51.637781832877828</v>
      </c>
      <c r="AX60" s="281">
        <v>51.637781832877828</v>
      </c>
      <c r="AY60" s="281">
        <v>51.637781832877828</v>
      </c>
      <c r="AZ60" s="281">
        <v>51.637781832877828</v>
      </c>
      <c r="BA60" s="281">
        <v>51.637781832877828</v>
      </c>
      <c r="BB60" s="281">
        <v>51.637781832877828</v>
      </c>
      <c r="BD60" s="52">
        <v>2033</v>
      </c>
      <c r="BE60" s="281">
        <v>43.422562758060927</v>
      </c>
      <c r="BF60" s="281">
        <v>43.422562758060927</v>
      </c>
      <c r="BG60" s="281">
        <v>43.422562758060927</v>
      </c>
      <c r="BH60" s="281">
        <v>43.422562758060927</v>
      </c>
      <c r="BI60" s="281">
        <v>43.422562758060927</v>
      </c>
      <c r="BJ60" s="281">
        <v>43.422562758060927</v>
      </c>
      <c r="BK60" s="281">
        <v>43.422562758060927</v>
      </c>
      <c r="BL60" s="281">
        <v>43.422562758060927</v>
      </c>
      <c r="BM60" s="281">
        <v>43.422562758060927</v>
      </c>
      <c r="BN60" s="281">
        <v>43.422562758060927</v>
      </c>
      <c r="BO60" s="281">
        <v>43.422562758060927</v>
      </c>
      <c r="BP60" s="281">
        <v>43.422562758060927</v>
      </c>
      <c r="BR60" s="52">
        <v>2033</v>
      </c>
      <c r="BS60" s="285">
        <f t="shared" si="25"/>
        <v>50.464179107903988</v>
      </c>
      <c r="BT60" s="285">
        <f t="shared" si="25"/>
        <v>50.464179107903988</v>
      </c>
      <c r="BU60" s="285">
        <f t="shared" si="25"/>
        <v>50.464179107903988</v>
      </c>
      <c r="BV60" s="285">
        <f t="shared" si="25"/>
        <v>50.464179107903988</v>
      </c>
      <c r="BW60" s="285">
        <f t="shared" si="25"/>
        <v>50.464179107903988</v>
      </c>
      <c r="BX60" s="285">
        <f t="shared" si="25"/>
        <v>50.464179107903988</v>
      </c>
      <c r="BY60" s="285">
        <f t="shared" si="25"/>
        <v>50.464179107903988</v>
      </c>
      <c r="BZ60" s="285">
        <f t="shared" si="25"/>
        <v>50.464179107903988</v>
      </c>
      <c r="CA60" s="285">
        <f t="shared" si="25"/>
        <v>50.464179107903988</v>
      </c>
      <c r="CB60" s="285">
        <f t="shared" si="25"/>
        <v>50.464179107903988</v>
      </c>
      <c r="CC60" s="285">
        <f t="shared" si="25"/>
        <v>50.464179107903988</v>
      </c>
      <c r="CD60" s="285">
        <f t="shared" si="25"/>
        <v>50.464179107903988</v>
      </c>
    </row>
    <row r="61" spans="1:82">
      <c r="A61" s="48">
        <v>2034</v>
      </c>
      <c r="B61" s="31" cm="1">
        <f t="array" ref="B61">IF(A61&lt;2021,0,SUMPRODUCT(('Project Operational Timelines'!$AO$20:$AO$49=$A61)*('Project Operational Timelines'!$AP$18:$AY$18=$A$4)*('Project Operational Timelines'!$AP$17:$AY$17=$G61)*'Project Operational Timelines'!$AP33:$AY33))</f>
        <v>22.21</v>
      </c>
      <c r="C61" s="84">
        <f t="shared" si="12"/>
        <v>3706.6144253833336</v>
      </c>
      <c r="D61" s="89">
        <f t="shared" si="26"/>
        <v>1850197.24</v>
      </c>
      <c r="E61" s="89"/>
      <c r="F61" s="89" cm="1">
        <f t="array" ref="F61">IF(A61&lt;2021,0,(-(SUMPRODUCT(('Project Operational Timelines'!$AO$20:$AO$49=$A61)*('Project Operational Timelines'!$AP$18:$AY$18=$A$4)*('Project Operational Timelines'!$AP$19:$AY$19="Non-Carve Out")*('Project Operational Timelines'!$AP$17:$AY$17=$G61)*'Project Operational Timelines'!$AP33:$AY33))*1000*('Program Inputs'!$D$14-'Program Inputs'!$D$6)*$F$4*12)+(-(SUMPRODUCT(('Project Operational Timelines'!$AO$20:$AO$49=$A61)*('Project Operational Timelines'!$AP$18:$AY$18=$A$4)*('Project Operational Timelines'!$AP$19:$AY$19="Carve Out")*('Project Operational Timelines'!$AP$17:$AY$17=$G61)*'Project Operational Timelines'!$AP33:$AY33))*1000*('Program Inputs'!$D$14-'Program Inputs'!$D$7)*$F$4*12))</f>
        <v>-43033.200000000004</v>
      </c>
      <c r="G61" s="79">
        <v>1</v>
      </c>
      <c r="H61" s="328">
        <f t="shared" si="27"/>
        <v>1392774.09</v>
      </c>
      <c r="I61" s="69"/>
      <c r="J61" s="69"/>
      <c r="K61" s="104"/>
      <c r="L61" s="75"/>
      <c r="M61">
        <v>16</v>
      </c>
      <c r="N61" s="52">
        <v>2034</v>
      </c>
      <c r="O61" s="18">
        <f t="shared" si="13"/>
        <v>41.596747118622261</v>
      </c>
      <c r="P61" s="18">
        <f t="shared" si="14"/>
        <v>41.596747118622261</v>
      </c>
      <c r="Q61" s="18">
        <f t="shared" si="15"/>
        <v>41.596747118622261</v>
      </c>
      <c r="R61" s="18">
        <f t="shared" si="16"/>
        <v>41.596747118622261</v>
      </c>
      <c r="S61" s="18">
        <f t="shared" si="17"/>
        <v>41.596747118622261</v>
      </c>
      <c r="T61" s="18">
        <f t="shared" si="18"/>
        <v>41.596747118622261</v>
      </c>
      <c r="U61" s="18">
        <f t="shared" si="19"/>
        <v>41.596747118622261</v>
      </c>
      <c r="V61" s="18">
        <f t="shared" si="20"/>
        <v>41.596747118622261</v>
      </c>
      <c r="W61" s="18">
        <f t="shared" si="21"/>
        <v>41.596747118622261</v>
      </c>
      <c r="X61" s="18">
        <f t="shared" si="22"/>
        <v>41.596747118622261</v>
      </c>
      <c r="Y61" s="18">
        <f t="shared" si="23"/>
        <v>41.596747118622261</v>
      </c>
      <c r="Z61" s="18">
        <f t="shared" si="24"/>
        <v>41.596747118622261</v>
      </c>
      <c r="AA61" s="13"/>
      <c r="AB61" s="52">
        <v>2034</v>
      </c>
      <c r="AC61" s="14">
        <f>SUMIFS('Bill Credit Rates'!$K:$K,'Bill Credit Rates'!$A:$A,$A$4,'Bill Credit Rates'!$B:$B,$G61,'Bill Credit Rates'!$C:$C,$M61)</f>
        <v>92.814999999999984</v>
      </c>
      <c r="AD61" s="14">
        <f>SUMIFS('Bill Credit Rates'!$K:$K,'Bill Credit Rates'!$A:$A,$A$4,'Bill Credit Rates'!$B:$B,$G61,'Bill Credit Rates'!$C:$C,$M61)</f>
        <v>92.814999999999984</v>
      </c>
      <c r="AE61" s="14">
        <f>SUMIFS('Bill Credit Rates'!$K:$K,'Bill Credit Rates'!$A:$A,$A$4,'Bill Credit Rates'!$B:$B,$G61,'Bill Credit Rates'!$C:$C,$M61)</f>
        <v>92.814999999999984</v>
      </c>
      <c r="AF61" s="14">
        <f>SUMIFS('Bill Credit Rates'!$K:$K,'Bill Credit Rates'!$A:$A,$A$4,'Bill Credit Rates'!$B:$B,$G61,'Bill Credit Rates'!$C:$C,$M61)</f>
        <v>92.814999999999984</v>
      </c>
      <c r="AG61" s="14">
        <f>SUMIFS('Bill Credit Rates'!$K:$K,'Bill Credit Rates'!$A:$A,$A$4,'Bill Credit Rates'!$B:$B,$G61,'Bill Credit Rates'!$C:$C,$M61)</f>
        <v>92.814999999999984</v>
      </c>
      <c r="AH61" s="14">
        <f>SUMIFS('Bill Credit Rates'!$K:$K,'Bill Credit Rates'!$A:$A,$A$4,'Bill Credit Rates'!$B:$B,$G61,'Bill Credit Rates'!$C:$C,$M61)</f>
        <v>92.814999999999984</v>
      </c>
      <c r="AI61" s="14">
        <f>SUMIFS('Bill Credit Rates'!$K:$K,'Bill Credit Rates'!$A:$A,$A$4,'Bill Credit Rates'!$B:$B,$G61,'Bill Credit Rates'!$C:$C,$M61)</f>
        <v>92.814999999999984</v>
      </c>
      <c r="AJ61" s="14">
        <f>SUMIFS('Bill Credit Rates'!$K:$K,'Bill Credit Rates'!$A:$A,$A$4,'Bill Credit Rates'!$B:$B,$G61,'Bill Credit Rates'!$C:$C,$M61)</f>
        <v>92.814999999999984</v>
      </c>
      <c r="AK61" s="14">
        <f>SUMIFS('Bill Credit Rates'!$K:$K,'Bill Credit Rates'!$A:$A,$A$4,'Bill Credit Rates'!$B:$B,$G61,'Bill Credit Rates'!$C:$C,$M61)</f>
        <v>92.814999999999984</v>
      </c>
      <c r="AL61" s="14">
        <f>SUMIFS('Bill Credit Rates'!$K:$K,'Bill Credit Rates'!$A:$A,$A$4,'Bill Credit Rates'!$B:$B,$G61,'Bill Credit Rates'!$C:$C,$M61)</f>
        <v>92.814999999999984</v>
      </c>
      <c r="AM61" s="14">
        <f>SUMIFS('Bill Credit Rates'!$K:$K,'Bill Credit Rates'!$A:$A,$A$4,'Bill Credit Rates'!$B:$B,$G61,'Bill Credit Rates'!$C:$C,$M61)</f>
        <v>92.814999999999984</v>
      </c>
      <c r="AN61" s="14">
        <f>SUMIFS('Bill Credit Rates'!$K:$K,'Bill Credit Rates'!$A:$A,$A$4,'Bill Credit Rates'!$B:$B,$G61,'Bill Credit Rates'!$C:$C,$M61)</f>
        <v>92.814999999999984</v>
      </c>
      <c r="AP61" s="52">
        <v>2034</v>
      </c>
      <c r="AQ61" s="281">
        <v>52.418506260460738</v>
      </c>
      <c r="AR61" s="281">
        <v>52.418506260460738</v>
      </c>
      <c r="AS61" s="281">
        <v>52.418506260460738</v>
      </c>
      <c r="AT61" s="281">
        <v>52.418506260460738</v>
      </c>
      <c r="AU61" s="281">
        <v>52.418506260460738</v>
      </c>
      <c r="AV61" s="281">
        <v>52.418506260460738</v>
      </c>
      <c r="AW61" s="281">
        <v>52.418506260460738</v>
      </c>
      <c r="AX61" s="281">
        <v>52.418506260460738</v>
      </c>
      <c r="AY61" s="281">
        <v>52.418506260460738</v>
      </c>
      <c r="AZ61" s="281">
        <v>52.418506260460738</v>
      </c>
      <c r="BA61" s="281">
        <v>52.418506260460738</v>
      </c>
      <c r="BB61" s="281">
        <v>52.418506260460738</v>
      </c>
      <c r="BD61" s="52">
        <v>2034</v>
      </c>
      <c r="BE61" s="281">
        <v>44.016732606879607</v>
      </c>
      <c r="BF61" s="281">
        <v>44.016732606879607</v>
      </c>
      <c r="BG61" s="281">
        <v>44.016732606879607</v>
      </c>
      <c r="BH61" s="281">
        <v>44.016732606879607</v>
      </c>
      <c r="BI61" s="281">
        <v>44.016732606879607</v>
      </c>
      <c r="BJ61" s="281">
        <v>44.016732606879607</v>
      </c>
      <c r="BK61" s="281">
        <v>44.016732606879607</v>
      </c>
      <c r="BL61" s="281">
        <v>44.016732606879607</v>
      </c>
      <c r="BM61" s="281">
        <v>44.016732606879607</v>
      </c>
      <c r="BN61" s="281">
        <v>44.016732606879607</v>
      </c>
      <c r="BO61" s="281">
        <v>44.016732606879607</v>
      </c>
      <c r="BP61" s="281">
        <v>44.016732606879607</v>
      </c>
      <c r="BR61" s="52">
        <v>2034</v>
      </c>
      <c r="BS61" s="285">
        <f t="shared" si="25"/>
        <v>51.218252881377722</v>
      </c>
      <c r="BT61" s="285">
        <f t="shared" si="25"/>
        <v>51.218252881377722</v>
      </c>
      <c r="BU61" s="285">
        <f t="shared" si="25"/>
        <v>51.218252881377722</v>
      </c>
      <c r="BV61" s="285">
        <f t="shared" si="25"/>
        <v>51.218252881377722</v>
      </c>
      <c r="BW61" s="285">
        <f t="shared" si="25"/>
        <v>51.218252881377722</v>
      </c>
      <c r="BX61" s="285">
        <f t="shared" si="25"/>
        <v>51.218252881377722</v>
      </c>
      <c r="BY61" s="285">
        <f t="shared" si="25"/>
        <v>51.218252881377722</v>
      </c>
      <c r="BZ61" s="285">
        <f t="shared" si="25"/>
        <v>51.218252881377722</v>
      </c>
      <c r="CA61" s="285">
        <f t="shared" si="25"/>
        <v>51.218252881377722</v>
      </c>
      <c r="CB61" s="285">
        <f t="shared" si="25"/>
        <v>51.218252881377722</v>
      </c>
      <c r="CC61" s="285">
        <f t="shared" si="25"/>
        <v>51.218252881377722</v>
      </c>
      <c r="CD61" s="285">
        <f t="shared" si="25"/>
        <v>51.218252881377722</v>
      </c>
    </row>
    <row r="62" spans="1:82">
      <c r="A62" s="48">
        <v>2035</v>
      </c>
      <c r="B62" s="31" cm="1">
        <f t="array" ref="B62">IF(A62&lt;2021,0,SUMPRODUCT(('Project Operational Timelines'!$AO$20:$AO$49=$A62)*('Project Operational Timelines'!$AP$18:$AY$18=$A$4)*('Project Operational Timelines'!$AP$17:$AY$17=$G62)*'Project Operational Timelines'!$AP34:$AY34))</f>
        <v>22.21</v>
      </c>
      <c r="C62" s="84">
        <f t="shared" si="12"/>
        <v>3706.6144253833336</v>
      </c>
      <c r="D62" s="89">
        <f t="shared" si="26"/>
        <v>1797221.49</v>
      </c>
      <c r="E62" s="89"/>
      <c r="F62" s="89" cm="1">
        <f t="array" ref="F62">IF(A62&lt;2021,0,(-(SUMPRODUCT(('Project Operational Timelines'!$AO$20:$AO$49=$A62)*('Project Operational Timelines'!$AP$18:$AY$18=$A$4)*('Project Operational Timelines'!$AP$19:$AY$19="Non-Carve Out")*('Project Operational Timelines'!$AP$17:$AY$17=$G62)*'Project Operational Timelines'!$AP34:$AY34))*1000*('Program Inputs'!$D$14-'Program Inputs'!$D$6)*$F$4*12)+(-(SUMPRODUCT(('Project Operational Timelines'!$AO$20:$AO$49=$A62)*('Project Operational Timelines'!$AP$18:$AY$18=$A$4)*('Project Operational Timelines'!$AP$19:$AY$19="Carve Out")*('Project Operational Timelines'!$AP$17:$AY$17=$G62)*'Project Operational Timelines'!$AP34:$AY34))*1000*('Program Inputs'!$D$14-'Program Inputs'!$D$7)*$F$4*12))</f>
        <v>-43033.200000000004</v>
      </c>
      <c r="G62" s="79">
        <v>1</v>
      </c>
      <c r="H62" s="328">
        <f t="shared" si="27"/>
        <v>1315014.43</v>
      </c>
      <c r="I62" s="69"/>
      <c r="J62" s="69"/>
      <c r="K62" s="104"/>
      <c r="L62" s="75"/>
      <c r="M62">
        <v>17</v>
      </c>
      <c r="N62" s="52">
        <v>2035</v>
      </c>
      <c r="O62" s="18">
        <f t="shared" si="13"/>
        <v>40.405728850453684</v>
      </c>
      <c r="P62" s="18">
        <f t="shared" si="14"/>
        <v>40.405728850453684</v>
      </c>
      <c r="Q62" s="18">
        <f t="shared" si="15"/>
        <v>40.405728850453684</v>
      </c>
      <c r="R62" s="18">
        <f t="shared" si="16"/>
        <v>40.405728850453684</v>
      </c>
      <c r="S62" s="18">
        <f t="shared" si="17"/>
        <v>40.405728850453684</v>
      </c>
      <c r="T62" s="18">
        <f t="shared" si="18"/>
        <v>40.405728850453684</v>
      </c>
      <c r="U62" s="18">
        <f t="shared" si="19"/>
        <v>40.405728850453684</v>
      </c>
      <c r="V62" s="18">
        <f t="shared" si="20"/>
        <v>40.405728850453684</v>
      </c>
      <c r="W62" s="18">
        <f t="shared" si="21"/>
        <v>40.405728850453684</v>
      </c>
      <c r="X62" s="18">
        <f t="shared" si="22"/>
        <v>40.405728850453684</v>
      </c>
      <c r="Y62" s="18">
        <f t="shared" si="23"/>
        <v>40.405728850453684</v>
      </c>
      <c r="Z62" s="18">
        <f t="shared" si="24"/>
        <v>40.405728850453684</v>
      </c>
      <c r="AA62" s="13"/>
      <c r="AB62" s="52">
        <v>2035</v>
      </c>
      <c r="AC62" s="14">
        <f>SUMIFS('Bill Credit Rates'!$K:$K,'Bill Credit Rates'!$A:$A,$A$4,'Bill Credit Rates'!$B:$B,$G62,'Bill Credit Rates'!$C:$C,$M62)</f>
        <v>92.814999999999984</v>
      </c>
      <c r="AD62" s="14">
        <f>SUMIFS('Bill Credit Rates'!$K:$K,'Bill Credit Rates'!$A:$A,$A$4,'Bill Credit Rates'!$B:$B,$G62,'Bill Credit Rates'!$C:$C,$M62)</f>
        <v>92.814999999999984</v>
      </c>
      <c r="AE62" s="14">
        <f>SUMIFS('Bill Credit Rates'!$K:$K,'Bill Credit Rates'!$A:$A,$A$4,'Bill Credit Rates'!$B:$B,$G62,'Bill Credit Rates'!$C:$C,$M62)</f>
        <v>92.814999999999984</v>
      </c>
      <c r="AF62" s="14">
        <f>SUMIFS('Bill Credit Rates'!$K:$K,'Bill Credit Rates'!$A:$A,$A$4,'Bill Credit Rates'!$B:$B,$G62,'Bill Credit Rates'!$C:$C,$M62)</f>
        <v>92.814999999999984</v>
      </c>
      <c r="AG62" s="14">
        <f>SUMIFS('Bill Credit Rates'!$K:$K,'Bill Credit Rates'!$A:$A,$A$4,'Bill Credit Rates'!$B:$B,$G62,'Bill Credit Rates'!$C:$C,$M62)</f>
        <v>92.814999999999984</v>
      </c>
      <c r="AH62" s="14">
        <f>SUMIFS('Bill Credit Rates'!$K:$K,'Bill Credit Rates'!$A:$A,$A$4,'Bill Credit Rates'!$B:$B,$G62,'Bill Credit Rates'!$C:$C,$M62)</f>
        <v>92.814999999999984</v>
      </c>
      <c r="AI62" s="14">
        <f>SUMIFS('Bill Credit Rates'!$K:$K,'Bill Credit Rates'!$A:$A,$A$4,'Bill Credit Rates'!$B:$B,$G62,'Bill Credit Rates'!$C:$C,$M62)</f>
        <v>92.814999999999984</v>
      </c>
      <c r="AJ62" s="14">
        <f>SUMIFS('Bill Credit Rates'!$K:$K,'Bill Credit Rates'!$A:$A,$A$4,'Bill Credit Rates'!$B:$B,$G62,'Bill Credit Rates'!$C:$C,$M62)</f>
        <v>92.814999999999984</v>
      </c>
      <c r="AK62" s="14">
        <f>SUMIFS('Bill Credit Rates'!$K:$K,'Bill Credit Rates'!$A:$A,$A$4,'Bill Credit Rates'!$B:$B,$G62,'Bill Credit Rates'!$C:$C,$M62)</f>
        <v>92.814999999999984</v>
      </c>
      <c r="AL62" s="14">
        <f>SUMIFS('Bill Credit Rates'!$K:$K,'Bill Credit Rates'!$A:$A,$A$4,'Bill Credit Rates'!$B:$B,$G62,'Bill Credit Rates'!$C:$C,$M62)</f>
        <v>92.814999999999984</v>
      </c>
      <c r="AM62" s="14">
        <f>SUMIFS('Bill Credit Rates'!$K:$K,'Bill Credit Rates'!$A:$A,$A$4,'Bill Credit Rates'!$B:$B,$G62,'Bill Credit Rates'!$C:$C,$M62)</f>
        <v>92.814999999999984</v>
      </c>
      <c r="AN62" s="14">
        <f>SUMIFS('Bill Credit Rates'!$K:$K,'Bill Credit Rates'!$A:$A,$A$4,'Bill Credit Rates'!$B:$B,$G62,'Bill Credit Rates'!$C:$C,$M62)</f>
        <v>92.814999999999984</v>
      </c>
      <c r="AP62" s="52">
        <v>2035</v>
      </c>
      <c r="AQ62" s="281">
        <v>53.636794965392198</v>
      </c>
      <c r="AR62" s="281">
        <v>53.636794965392198</v>
      </c>
      <c r="AS62" s="281">
        <v>53.636794965392198</v>
      </c>
      <c r="AT62" s="281">
        <v>53.636794965392198</v>
      </c>
      <c r="AU62" s="281">
        <v>53.636794965392198</v>
      </c>
      <c r="AV62" s="281">
        <v>53.636794965392198</v>
      </c>
      <c r="AW62" s="281">
        <v>53.636794965392198</v>
      </c>
      <c r="AX62" s="281">
        <v>53.636794965392198</v>
      </c>
      <c r="AY62" s="281">
        <v>53.636794965392198</v>
      </c>
      <c r="AZ62" s="281">
        <v>53.636794965392198</v>
      </c>
      <c r="BA62" s="281">
        <v>53.636794965392198</v>
      </c>
      <c r="BB62" s="281">
        <v>53.636794965392198</v>
      </c>
      <c r="BD62" s="52">
        <v>2035</v>
      </c>
      <c r="BE62" s="281">
        <v>45.044128254470927</v>
      </c>
      <c r="BF62" s="281">
        <v>45.044128254470927</v>
      </c>
      <c r="BG62" s="281">
        <v>45.044128254470927</v>
      </c>
      <c r="BH62" s="281">
        <v>45.044128254470927</v>
      </c>
      <c r="BI62" s="281">
        <v>45.044128254470927</v>
      </c>
      <c r="BJ62" s="281">
        <v>45.044128254470927</v>
      </c>
      <c r="BK62" s="281">
        <v>45.044128254470927</v>
      </c>
      <c r="BL62" s="281">
        <v>45.044128254470927</v>
      </c>
      <c r="BM62" s="281">
        <v>45.044128254470927</v>
      </c>
      <c r="BN62" s="281">
        <v>45.044128254470927</v>
      </c>
      <c r="BO62" s="281">
        <v>45.044128254470927</v>
      </c>
      <c r="BP62" s="281">
        <v>45.044128254470927</v>
      </c>
      <c r="BR62" s="52">
        <v>2035</v>
      </c>
      <c r="BS62" s="285">
        <f t="shared" si="25"/>
        <v>52.409271149546299</v>
      </c>
      <c r="BT62" s="285">
        <f t="shared" si="25"/>
        <v>52.409271149546299</v>
      </c>
      <c r="BU62" s="285">
        <f t="shared" si="25"/>
        <v>52.409271149546299</v>
      </c>
      <c r="BV62" s="285">
        <f t="shared" si="25"/>
        <v>52.409271149546299</v>
      </c>
      <c r="BW62" s="285">
        <f t="shared" si="25"/>
        <v>52.409271149546299</v>
      </c>
      <c r="BX62" s="285">
        <f t="shared" si="25"/>
        <v>52.409271149546299</v>
      </c>
      <c r="BY62" s="285">
        <f t="shared" si="25"/>
        <v>52.409271149546299</v>
      </c>
      <c r="BZ62" s="285">
        <f t="shared" si="25"/>
        <v>52.409271149546299</v>
      </c>
      <c r="CA62" s="285">
        <f t="shared" si="25"/>
        <v>52.409271149546299</v>
      </c>
      <c r="CB62" s="285">
        <f t="shared" si="25"/>
        <v>52.409271149546299</v>
      </c>
      <c r="CC62" s="285">
        <f t="shared" si="25"/>
        <v>52.409271149546299</v>
      </c>
      <c r="CD62" s="285">
        <f t="shared" si="25"/>
        <v>52.409271149546299</v>
      </c>
    </row>
    <row r="63" spans="1:82">
      <c r="A63" s="48">
        <v>2036</v>
      </c>
      <c r="B63" s="31" cm="1">
        <f t="array" ref="B63">IF(A63&lt;2021,0,SUMPRODUCT(('Project Operational Timelines'!$AO$20:$AO$49=$A63)*('Project Operational Timelines'!$AP$18:$AY$18=$A$4)*('Project Operational Timelines'!$AP$17:$AY$17=$G63)*'Project Operational Timelines'!$AP35:$AY35))</f>
        <v>22.21</v>
      </c>
      <c r="C63" s="84">
        <f t="shared" si="12"/>
        <v>3706.6144253833336</v>
      </c>
      <c r="D63" s="89">
        <f t="shared" si="26"/>
        <v>1746913.56</v>
      </c>
      <c r="E63" s="89"/>
      <c r="F63" s="89" cm="1">
        <f t="array" ref="F63">IF(A63&lt;2021,0,(-(SUMPRODUCT(('Project Operational Timelines'!$AO$20:$AO$49=$A63)*('Project Operational Timelines'!$AP$18:$AY$18=$A$4)*('Project Operational Timelines'!$AP$19:$AY$19="Non-Carve Out")*('Project Operational Timelines'!$AP$17:$AY$17=$G63)*'Project Operational Timelines'!$AP35:$AY35))*1000*('Program Inputs'!$D$14-'Program Inputs'!$D$6)*$F$4*12)+(-(SUMPRODUCT(('Project Operational Timelines'!$AO$20:$AO$49=$A63)*('Project Operational Timelines'!$AP$18:$AY$18=$A$4)*('Project Operational Timelines'!$AP$19:$AY$19="Carve Out")*('Project Operational Timelines'!$AP$17:$AY$17=$G63)*'Project Operational Timelines'!$AP35:$AY35))*1000*('Program Inputs'!$D$14-'Program Inputs'!$D$7)*$F$4*12))</f>
        <v>-43033.200000000004</v>
      </c>
      <c r="G63" s="79">
        <v>1</v>
      </c>
      <c r="H63" s="328">
        <f t="shared" si="27"/>
        <v>1242414.74</v>
      </c>
      <c r="I63" s="69"/>
      <c r="J63" s="69"/>
      <c r="K63" s="104"/>
      <c r="L63" s="75"/>
      <c r="M63">
        <v>18</v>
      </c>
      <c r="N63" s="52">
        <v>2036</v>
      </c>
      <c r="O63" s="18">
        <f t="shared" si="13"/>
        <v>39.274689374146668</v>
      </c>
      <c r="P63" s="18">
        <f t="shared" si="14"/>
        <v>39.274689374146668</v>
      </c>
      <c r="Q63" s="18">
        <f t="shared" si="15"/>
        <v>39.274689374146668</v>
      </c>
      <c r="R63" s="18">
        <f t="shared" si="16"/>
        <v>39.274689374146668</v>
      </c>
      <c r="S63" s="18">
        <f t="shared" si="17"/>
        <v>39.274689374146668</v>
      </c>
      <c r="T63" s="18">
        <f t="shared" si="18"/>
        <v>39.274689374146668</v>
      </c>
      <c r="U63" s="18">
        <f t="shared" si="19"/>
        <v>39.274689374146668</v>
      </c>
      <c r="V63" s="18">
        <f t="shared" si="20"/>
        <v>39.274689374146668</v>
      </c>
      <c r="W63" s="18">
        <f t="shared" si="21"/>
        <v>39.274689374146668</v>
      </c>
      <c r="X63" s="18">
        <f t="shared" si="22"/>
        <v>39.274689374146668</v>
      </c>
      <c r="Y63" s="18">
        <f t="shared" si="23"/>
        <v>39.274689374146668</v>
      </c>
      <c r="Z63" s="18">
        <f t="shared" si="24"/>
        <v>39.274689374146668</v>
      </c>
      <c r="AA63" s="13"/>
      <c r="AB63" s="52">
        <v>2036</v>
      </c>
      <c r="AC63" s="14">
        <f>SUMIFS('Bill Credit Rates'!$K:$K,'Bill Credit Rates'!$A:$A,$A$4,'Bill Credit Rates'!$B:$B,$G63,'Bill Credit Rates'!$C:$C,$M63)</f>
        <v>92.814999999999984</v>
      </c>
      <c r="AD63" s="14">
        <f>SUMIFS('Bill Credit Rates'!$K:$K,'Bill Credit Rates'!$A:$A,$A$4,'Bill Credit Rates'!$B:$B,$G63,'Bill Credit Rates'!$C:$C,$M63)</f>
        <v>92.814999999999984</v>
      </c>
      <c r="AE63" s="14">
        <f>SUMIFS('Bill Credit Rates'!$K:$K,'Bill Credit Rates'!$A:$A,$A$4,'Bill Credit Rates'!$B:$B,$G63,'Bill Credit Rates'!$C:$C,$M63)</f>
        <v>92.814999999999984</v>
      </c>
      <c r="AF63" s="14">
        <f>SUMIFS('Bill Credit Rates'!$K:$K,'Bill Credit Rates'!$A:$A,$A$4,'Bill Credit Rates'!$B:$B,$G63,'Bill Credit Rates'!$C:$C,$M63)</f>
        <v>92.814999999999984</v>
      </c>
      <c r="AG63" s="14">
        <f>SUMIFS('Bill Credit Rates'!$K:$K,'Bill Credit Rates'!$A:$A,$A$4,'Bill Credit Rates'!$B:$B,$G63,'Bill Credit Rates'!$C:$C,$M63)</f>
        <v>92.814999999999984</v>
      </c>
      <c r="AH63" s="14">
        <f>SUMIFS('Bill Credit Rates'!$K:$K,'Bill Credit Rates'!$A:$A,$A$4,'Bill Credit Rates'!$B:$B,$G63,'Bill Credit Rates'!$C:$C,$M63)</f>
        <v>92.814999999999984</v>
      </c>
      <c r="AI63" s="14">
        <f>SUMIFS('Bill Credit Rates'!$K:$K,'Bill Credit Rates'!$A:$A,$A$4,'Bill Credit Rates'!$B:$B,$G63,'Bill Credit Rates'!$C:$C,$M63)</f>
        <v>92.814999999999984</v>
      </c>
      <c r="AJ63" s="14">
        <f>SUMIFS('Bill Credit Rates'!$K:$K,'Bill Credit Rates'!$A:$A,$A$4,'Bill Credit Rates'!$B:$B,$G63,'Bill Credit Rates'!$C:$C,$M63)</f>
        <v>92.814999999999984</v>
      </c>
      <c r="AK63" s="14">
        <f>SUMIFS('Bill Credit Rates'!$K:$K,'Bill Credit Rates'!$A:$A,$A$4,'Bill Credit Rates'!$B:$B,$G63,'Bill Credit Rates'!$C:$C,$M63)</f>
        <v>92.814999999999984</v>
      </c>
      <c r="AL63" s="14">
        <f>SUMIFS('Bill Credit Rates'!$K:$K,'Bill Credit Rates'!$A:$A,$A$4,'Bill Credit Rates'!$B:$B,$G63,'Bill Credit Rates'!$C:$C,$M63)</f>
        <v>92.814999999999984</v>
      </c>
      <c r="AM63" s="14">
        <f>SUMIFS('Bill Credit Rates'!$K:$K,'Bill Credit Rates'!$A:$A,$A$4,'Bill Credit Rates'!$B:$B,$G63,'Bill Credit Rates'!$C:$C,$M63)</f>
        <v>92.814999999999984</v>
      </c>
      <c r="AN63" s="14">
        <f>SUMIFS('Bill Credit Rates'!$K:$K,'Bill Credit Rates'!$A:$A,$A$4,'Bill Credit Rates'!$B:$B,$G63,'Bill Credit Rates'!$C:$C,$M63)</f>
        <v>92.814999999999984</v>
      </c>
      <c r="AP63" s="52">
        <v>2036</v>
      </c>
      <c r="AQ63" s="281">
        <v>54.795636120736688</v>
      </c>
      <c r="AR63" s="281">
        <v>54.795636120736688</v>
      </c>
      <c r="AS63" s="281">
        <v>54.795636120736688</v>
      </c>
      <c r="AT63" s="281">
        <v>54.795636120736688</v>
      </c>
      <c r="AU63" s="281">
        <v>54.795636120736688</v>
      </c>
      <c r="AV63" s="281">
        <v>54.795636120736688</v>
      </c>
      <c r="AW63" s="281">
        <v>54.795636120736688</v>
      </c>
      <c r="AX63" s="281">
        <v>54.795636120736688</v>
      </c>
      <c r="AY63" s="281">
        <v>54.795636120736688</v>
      </c>
      <c r="AZ63" s="281">
        <v>54.795636120736688</v>
      </c>
      <c r="BA63" s="281">
        <v>54.795636120736688</v>
      </c>
      <c r="BB63" s="281">
        <v>54.795636120736688</v>
      </c>
      <c r="BD63" s="52">
        <v>2036</v>
      </c>
      <c r="BE63" s="281">
        <v>46.008357656553059</v>
      </c>
      <c r="BF63" s="281">
        <v>46.008357656553059</v>
      </c>
      <c r="BG63" s="281">
        <v>46.008357656553059</v>
      </c>
      <c r="BH63" s="281">
        <v>46.008357656553059</v>
      </c>
      <c r="BI63" s="281">
        <v>46.008357656553059</v>
      </c>
      <c r="BJ63" s="281">
        <v>46.008357656553059</v>
      </c>
      <c r="BK63" s="281">
        <v>46.008357656553059</v>
      </c>
      <c r="BL63" s="281">
        <v>46.008357656553059</v>
      </c>
      <c r="BM63" s="281">
        <v>46.008357656553059</v>
      </c>
      <c r="BN63" s="281">
        <v>46.008357656553059</v>
      </c>
      <c r="BO63" s="281">
        <v>46.008357656553059</v>
      </c>
      <c r="BP63" s="281">
        <v>46.008357656553059</v>
      </c>
      <c r="BR63" s="52">
        <v>2036</v>
      </c>
      <c r="BS63" s="285">
        <f t="shared" si="25"/>
        <v>53.540310625853316</v>
      </c>
      <c r="BT63" s="285">
        <f t="shared" si="25"/>
        <v>53.540310625853316</v>
      </c>
      <c r="BU63" s="285">
        <f t="shared" si="25"/>
        <v>53.540310625853316</v>
      </c>
      <c r="BV63" s="285">
        <f t="shared" si="25"/>
        <v>53.540310625853316</v>
      </c>
      <c r="BW63" s="285">
        <f t="shared" si="25"/>
        <v>53.540310625853316</v>
      </c>
      <c r="BX63" s="285">
        <f t="shared" si="25"/>
        <v>53.540310625853316</v>
      </c>
      <c r="BY63" s="285">
        <f t="shared" si="25"/>
        <v>53.540310625853316</v>
      </c>
      <c r="BZ63" s="285">
        <f t="shared" si="25"/>
        <v>53.540310625853316</v>
      </c>
      <c r="CA63" s="285">
        <f t="shared" si="25"/>
        <v>53.540310625853316</v>
      </c>
      <c r="CB63" s="285">
        <f t="shared" si="25"/>
        <v>53.540310625853316</v>
      </c>
      <c r="CC63" s="285">
        <f t="shared" si="25"/>
        <v>53.540310625853316</v>
      </c>
      <c r="CD63" s="285">
        <f t="shared" si="25"/>
        <v>53.540310625853316</v>
      </c>
    </row>
    <row r="64" spans="1:82">
      <c r="A64" s="48">
        <v>2037</v>
      </c>
      <c r="B64" s="31" cm="1">
        <f t="array" ref="B64">IF(A64&lt;2021,0,SUMPRODUCT(('Project Operational Timelines'!$AO$20:$AO$49=$A64)*('Project Operational Timelines'!$AP$18:$AY$18=$A$4)*('Project Operational Timelines'!$AP$17:$AY$17=$G64)*'Project Operational Timelines'!$AP36:$AY36))</f>
        <v>22.21</v>
      </c>
      <c r="C64" s="84">
        <f t="shared" si="12"/>
        <v>3706.6144253833336</v>
      </c>
      <c r="D64" s="89">
        <f t="shared" si="26"/>
        <v>1661924.74</v>
      </c>
      <c r="E64" s="89"/>
      <c r="F64" s="89" cm="1">
        <f t="array" ref="F64">IF(A64&lt;2021,0,(-(SUMPRODUCT(('Project Operational Timelines'!$AO$20:$AO$49=$A64)*('Project Operational Timelines'!$AP$18:$AY$18=$A$4)*('Project Operational Timelines'!$AP$19:$AY$19="Non-Carve Out")*('Project Operational Timelines'!$AP$17:$AY$17=$G64)*'Project Operational Timelines'!$AP36:$AY36))*1000*('Program Inputs'!$D$14-'Program Inputs'!$D$6)*$F$4*12)+(-(SUMPRODUCT(('Project Operational Timelines'!$AO$20:$AO$49=$A64)*('Project Operational Timelines'!$AP$18:$AY$18=$A$4)*('Project Operational Timelines'!$AP$19:$AY$19="Carve Out")*('Project Operational Timelines'!$AP$17:$AY$17=$G64)*'Project Operational Timelines'!$AP36:$AY36))*1000*('Program Inputs'!$D$14-'Program Inputs'!$D$7)*$F$4*12))</f>
        <v>-43033.200000000004</v>
      </c>
      <c r="G64" s="79">
        <v>1</v>
      </c>
      <c r="H64" s="328">
        <f t="shared" si="27"/>
        <v>1148875.05</v>
      </c>
      <c r="I64" s="69"/>
      <c r="J64" s="69"/>
      <c r="K64" s="104"/>
      <c r="L64" s="75"/>
      <c r="M64">
        <v>19</v>
      </c>
      <c r="N64" s="52">
        <v>2037</v>
      </c>
      <c r="O64" s="18">
        <f t="shared" si="13"/>
        <v>37.363942589656027</v>
      </c>
      <c r="P64" s="18">
        <f t="shared" si="14"/>
        <v>37.363942589656027</v>
      </c>
      <c r="Q64" s="18">
        <f t="shared" si="15"/>
        <v>37.363942589656027</v>
      </c>
      <c r="R64" s="18">
        <f t="shared" si="16"/>
        <v>37.363942589656027</v>
      </c>
      <c r="S64" s="18">
        <f t="shared" si="17"/>
        <v>37.363942589656027</v>
      </c>
      <c r="T64" s="18">
        <f t="shared" si="18"/>
        <v>37.363942589656027</v>
      </c>
      <c r="U64" s="18">
        <f t="shared" si="19"/>
        <v>37.363942589656027</v>
      </c>
      <c r="V64" s="18">
        <f t="shared" si="20"/>
        <v>37.363942589656027</v>
      </c>
      <c r="W64" s="18">
        <f t="shared" si="21"/>
        <v>37.363942589656027</v>
      </c>
      <c r="X64" s="18">
        <f t="shared" si="22"/>
        <v>37.363942589656027</v>
      </c>
      <c r="Y64" s="18">
        <f t="shared" si="23"/>
        <v>37.363942589656027</v>
      </c>
      <c r="Z64" s="18">
        <f t="shared" si="24"/>
        <v>37.363942589656027</v>
      </c>
      <c r="AA64" s="13"/>
      <c r="AB64" s="52">
        <v>2037</v>
      </c>
      <c r="AC64" s="14">
        <f>SUMIFS('Bill Credit Rates'!$K:$K,'Bill Credit Rates'!$A:$A,$A$4,'Bill Credit Rates'!$B:$B,$G64,'Bill Credit Rates'!$C:$C,$M64)</f>
        <v>92.814999999999984</v>
      </c>
      <c r="AD64" s="14">
        <f>SUMIFS('Bill Credit Rates'!$K:$K,'Bill Credit Rates'!$A:$A,$A$4,'Bill Credit Rates'!$B:$B,$G64,'Bill Credit Rates'!$C:$C,$M64)</f>
        <v>92.814999999999984</v>
      </c>
      <c r="AE64" s="14">
        <f>SUMIFS('Bill Credit Rates'!$K:$K,'Bill Credit Rates'!$A:$A,$A$4,'Bill Credit Rates'!$B:$B,$G64,'Bill Credit Rates'!$C:$C,$M64)</f>
        <v>92.814999999999984</v>
      </c>
      <c r="AF64" s="14">
        <f>SUMIFS('Bill Credit Rates'!$K:$K,'Bill Credit Rates'!$A:$A,$A$4,'Bill Credit Rates'!$B:$B,$G64,'Bill Credit Rates'!$C:$C,$M64)</f>
        <v>92.814999999999984</v>
      </c>
      <c r="AG64" s="14">
        <f>SUMIFS('Bill Credit Rates'!$K:$K,'Bill Credit Rates'!$A:$A,$A$4,'Bill Credit Rates'!$B:$B,$G64,'Bill Credit Rates'!$C:$C,$M64)</f>
        <v>92.814999999999984</v>
      </c>
      <c r="AH64" s="14">
        <f>SUMIFS('Bill Credit Rates'!$K:$K,'Bill Credit Rates'!$A:$A,$A$4,'Bill Credit Rates'!$B:$B,$G64,'Bill Credit Rates'!$C:$C,$M64)</f>
        <v>92.814999999999984</v>
      </c>
      <c r="AI64" s="14">
        <f>SUMIFS('Bill Credit Rates'!$K:$K,'Bill Credit Rates'!$A:$A,$A$4,'Bill Credit Rates'!$B:$B,$G64,'Bill Credit Rates'!$C:$C,$M64)</f>
        <v>92.814999999999984</v>
      </c>
      <c r="AJ64" s="14">
        <f>SUMIFS('Bill Credit Rates'!$K:$K,'Bill Credit Rates'!$A:$A,$A$4,'Bill Credit Rates'!$B:$B,$G64,'Bill Credit Rates'!$C:$C,$M64)</f>
        <v>92.814999999999984</v>
      </c>
      <c r="AK64" s="14">
        <f>SUMIFS('Bill Credit Rates'!$K:$K,'Bill Credit Rates'!$A:$A,$A$4,'Bill Credit Rates'!$B:$B,$G64,'Bill Credit Rates'!$C:$C,$M64)</f>
        <v>92.814999999999984</v>
      </c>
      <c r="AL64" s="14">
        <f>SUMIFS('Bill Credit Rates'!$K:$K,'Bill Credit Rates'!$A:$A,$A$4,'Bill Credit Rates'!$B:$B,$G64,'Bill Credit Rates'!$C:$C,$M64)</f>
        <v>92.814999999999984</v>
      </c>
      <c r="AM64" s="14">
        <f>SUMIFS('Bill Credit Rates'!$K:$K,'Bill Credit Rates'!$A:$A,$A$4,'Bill Credit Rates'!$B:$B,$G64,'Bill Credit Rates'!$C:$C,$M64)</f>
        <v>92.814999999999984</v>
      </c>
      <c r="AN64" s="14">
        <f>SUMIFS('Bill Credit Rates'!$K:$K,'Bill Credit Rates'!$A:$A,$A$4,'Bill Credit Rates'!$B:$B,$G64,'Bill Credit Rates'!$C:$C,$M64)</f>
        <v>92.814999999999984</v>
      </c>
      <c r="AP64" s="52">
        <v>2037</v>
      </c>
      <c r="AQ64" s="281">
        <v>56.734892907297613</v>
      </c>
      <c r="AR64" s="281">
        <v>56.734892907297613</v>
      </c>
      <c r="AS64" s="281">
        <v>56.734892907297613</v>
      </c>
      <c r="AT64" s="281">
        <v>56.734892907297613</v>
      </c>
      <c r="AU64" s="281">
        <v>56.734892907297613</v>
      </c>
      <c r="AV64" s="281">
        <v>56.734892907297613</v>
      </c>
      <c r="AW64" s="281">
        <v>56.734892907297613</v>
      </c>
      <c r="AX64" s="281">
        <v>56.734892907297613</v>
      </c>
      <c r="AY64" s="281">
        <v>56.734892907297613</v>
      </c>
      <c r="AZ64" s="281">
        <v>56.734892907297613</v>
      </c>
      <c r="BA64" s="281">
        <v>56.734892907297613</v>
      </c>
      <c r="BB64" s="281">
        <v>56.734892907297613</v>
      </c>
      <c r="BD64" s="52">
        <v>2037</v>
      </c>
      <c r="BE64" s="281">
        <v>47.748044428622016</v>
      </c>
      <c r="BF64" s="281">
        <v>47.748044428622016</v>
      </c>
      <c r="BG64" s="281">
        <v>47.748044428622016</v>
      </c>
      <c r="BH64" s="281">
        <v>47.748044428622016</v>
      </c>
      <c r="BI64" s="281">
        <v>47.748044428622016</v>
      </c>
      <c r="BJ64" s="281">
        <v>47.748044428622016</v>
      </c>
      <c r="BK64" s="281">
        <v>47.748044428622016</v>
      </c>
      <c r="BL64" s="281">
        <v>47.748044428622016</v>
      </c>
      <c r="BM64" s="281">
        <v>47.748044428622016</v>
      </c>
      <c r="BN64" s="281">
        <v>47.748044428622016</v>
      </c>
      <c r="BO64" s="281">
        <v>47.748044428622016</v>
      </c>
      <c r="BP64" s="281">
        <v>47.748044428622016</v>
      </c>
      <c r="BR64" s="52">
        <v>2037</v>
      </c>
      <c r="BS64" s="285">
        <f t="shared" si="25"/>
        <v>55.451057410343957</v>
      </c>
      <c r="BT64" s="285">
        <f t="shared" si="25"/>
        <v>55.451057410343957</v>
      </c>
      <c r="BU64" s="285">
        <f t="shared" si="25"/>
        <v>55.451057410343957</v>
      </c>
      <c r="BV64" s="285">
        <f t="shared" si="25"/>
        <v>55.451057410343957</v>
      </c>
      <c r="BW64" s="285">
        <f t="shared" si="25"/>
        <v>55.451057410343957</v>
      </c>
      <c r="BX64" s="285">
        <f t="shared" si="25"/>
        <v>55.451057410343957</v>
      </c>
      <c r="BY64" s="285">
        <f t="shared" si="25"/>
        <v>55.451057410343957</v>
      </c>
      <c r="BZ64" s="285">
        <f t="shared" si="25"/>
        <v>55.451057410343957</v>
      </c>
      <c r="CA64" s="285">
        <f t="shared" si="25"/>
        <v>55.451057410343957</v>
      </c>
      <c r="CB64" s="285">
        <f t="shared" si="25"/>
        <v>55.451057410343957</v>
      </c>
      <c r="CC64" s="285">
        <f t="shared" si="25"/>
        <v>55.451057410343957</v>
      </c>
      <c r="CD64" s="285">
        <f t="shared" si="25"/>
        <v>55.451057410343957</v>
      </c>
    </row>
    <row r="65" spans="1:82">
      <c r="A65" s="48">
        <v>2038</v>
      </c>
      <c r="B65" s="31" cm="1">
        <f t="array" ref="B65">IF(A65&lt;2021,0,SUMPRODUCT(('Project Operational Timelines'!$AO$20:$AO$49=$A65)*('Project Operational Timelines'!$AP$18:$AY$18=$A$4)*('Project Operational Timelines'!$AP$17:$AY$17=$G65)*'Project Operational Timelines'!$AP37:$AY37))</f>
        <v>22.21</v>
      </c>
      <c r="C65" s="84">
        <f t="shared" si="12"/>
        <v>3706.6144253833336</v>
      </c>
      <c r="D65" s="89">
        <f t="shared" si="26"/>
        <v>1577704.27</v>
      </c>
      <c r="E65" s="89"/>
      <c r="F65" s="89" cm="1">
        <f t="array" ref="F65">IF(A65&lt;2021,0,(-(SUMPRODUCT(('Project Operational Timelines'!$AO$20:$AO$49=$A65)*('Project Operational Timelines'!$AP$18:$AY$18=$A$4)*('Project Operational Timelines'!$AP$19:$AY$19="Non-Carve Out")*('Project Operational Timelines'!$AP$17:$AY$17=$G65)*'Project Operational Timelines'!$AP37:$AY37))*1000*('Program Inputs'!$D$14-'Program Inputs'!$D$6)*$F$4*12)+(-(SUMPRODUCT(('Project Operational Timelines'!$AO$20:$AO$49=$A65)*('Project Operational Timelines'!$AP$18:$AY$18=$A$4)*('Project Operational Timelines'!$AP$19:$AY$19="Carve Out")*('Project Operational Timelines'!$AP$17:$AY$17=$G65)*'Project Operational Timelines'!$AP37:$AY37))*1000*('Program Inputs'!$D$14-'Program Inputs'!$D$7)*$F$4*12))</f>
        <v>-43033.200000000004</v>
      </c>
      <c r="G65" s="79">
        <v>1</v>
      </c>
      <c r="H65" s="328">
        <f t="shared" si="27"/>
        <v>1060115.81</v>
      </c>
      <c r="I65" s="69"/>
      <c r="J65" s="69"/>
      <c r="K65" s="104"/>
      <c r="L65" s="75"/>
      <c r="M65">
        <v>20</v>
      </c>
      <c r="N65" s="52">
        <v>2038</v>
      </c>
      <c r="O65" s="18">
        <f t="shared" si="13"/>
        <v>35.470470036441625</v>
      </c>
      <c r="P65" s="18">
        <f t="shared" si="14"/>
        <v>35.470470036441625</v>
      </c>
      <c r="Q65" s="18">
        <f t="shared" si="15"/>
        <v>35.470470036441625</v>
      </c>
      <c r="R65" s="18">
        <f t="shared" si="16"/>
        <v>35.470470036441625</v>
      </c>
      <c r="S65" s="18">
        <f t="shared" si="17"/>
        <v>35.470470036441625</v>
      </c>
      <c r="T65" s="18">
        <f t="shared" si="18"/>
        <v>35.470470036441625</v>
      </c>
      <c r="U65" s="18">
        <f t="shared" si="19"/>
        <v>35.470470036441625</v>
      </c>
      <c r="V65" s="18">
        <f t="shared" si="20"/>
        <v>35.470470036441625</v>
      </c>
      <c r="W65" s="18">
        <f t="shared" si="21"/>
        <v>35.470470036441625</v>
      </c>
      <c r="X65" s="18">
        <f t="shared" si="22"/>
        <v>35.470470036441625</v>
      </c>
      <c r="Y65" s="18">
        <f t="shared" si="23"/>
        <v>35.470470036441625</v>
      </c>
      <c r="Z65" s="18">
        <f t="shared" si="24"/>
        <v>35.470470036441625</v>
      </c>
      <c r="AA65" s="13"/>
      <c r="AB65" s="52">
        <v>2038</v>
      </c>
      <c r="AC65" s="14">
        <f>SUMIFS('Bill Credit Rates'!$K:$K,'Bill Credit Rates'!$A:$A,$A$4,'Bill Credit Rates'!$B:$B,$G65,'Bill Credit Rates'!$C:$C,$M65)</f>
        <v>92.814999999999984</v>
      </c>
      <c r="AD65" s="14">
        <f>SUMIFS('Bill Credit Rates'!$K:$K,'Bill Credit Rates'!$A:$A,$A$4,'Bill Credit Rates'!$B:$B,$G65,'Bill Credit Rates'!$C:$C,$M65)</f>
        <v>92.814999999999984</v>
      </c>
      <c r="AE65" s="14">
        <f>SUMIFS('Bill Credit Rates'!$K:$K,'Bill Credit Rates'!$A:$A,$A$4,'Bill Credit Rates'!$B:$B,$G65,'Bill Credit Rates'!$C:$C,$M65)</f>
        <v>92.814999999999984</v>
      </c>
      <c r="AF65" s="14">
        <f>SUMIFS('Bill Credit Rates'!$K:$K,'Bill Credit Rates'!$A:$A,$A$4,'Bill Credit Rates'!$B:$B,$G65,'Bill Credit Rates'!$C:$C,$M65)</f>
        <v>92.814999999999984</v>
      </c>
      <c r="AG65" s="14">
        <f>SUMIFS('Bill Credit Rates'!$K:$K,'Bill Credit Rates'!$A:$A,$A$4,'Bill Credit Rates'!$B:$B,$G65,'Bill Credit Rates'!$C:$C,$M65)</f>
        <v>92.814999999999984</v>
      </c>
      <c r="AH65" s="14">
        <f>SUMIFS('Bill Credit Rates'!$K:$K,'Bill Credit Rates'!$A:$A,$A$4,'Bill Credit Rates'!$B:$B,$G65,'Bill Credit Rates'!$C:$C,$M65)</f>
        <v>92.814999999999984</v>
      </c>
      <c r="AI65" s="14">
        <f>SUMIFS('Bill Credit Rates'!$K:$K,'Bill Credit Rates'!$A:$A,$A$4,'Bill Credit Rates'!$B:$B,$G65,'Bill Credit Rates'!$C:$C,$M65)</f>
        <v>92.814999999999984</v>
      </c>
      <c r="AJ65" s="14">
        <f>SUMIFS('Bill Credit Rates'!$K:$K,'Bill Credit Rates'!$A:$A,$A$4,'Bill Credit Rates'!$B:$B,$G65,'Bill Credit Rates'!$C:$C,$M65)</f>
        <v>92.814999999999984</v>
      </c>
      <c r="AK65" s="14">
        <f>SUMIFS('Bill Credit Rates'!$K:$K,'Bill Credit Rates'!$A:$A,$A$4,'Bill Credit Rates'!$B:$B,$G65,'Bill Credit Rates'!$C:$C,$M65)</f>
        <v>92.814999999999984</v>
      </c>
      <c r="AL65" s="14">
        <f>SUMIFS('Bill Credit Rates'!$K:$K,'Bill Credit Rates'!$A:$A,$A$4,'Bill Credit Rates'!$B:$B,$G65,'Bill Credit Rates'!$C:$C,$M65)</f>
        <v>92.814999999999984</v>
      </c>
      <c r="AM65" s="14">
        <f>SUMIFS('Bill Credit Rates'!$K:$K,'Bill Credit Rates'!$A:$A,$A$4,'Bill Credit Rates'!$B:$B,$G65,'Bill Credit Rates'!$C:$C,$M65)</f>
        <v>92.814999999999984</v>
      </c>
      <c r="AN65" s="14">
        <f>SUMIFS('Bill Credit Rates'!$K:$K,'Bill Credit Rates'!$A:$A,$A$4,'Bill Credit Rates'!$B:$B,$G65,'Bill Credit Rates'!$C:$C,$M65)</f>
        <v>92.814999999999984</v>
      </c>
      <c r="AP65" s="52">
        <v>2038</v>
      </c>
      <c r="AQ65" s="281">
        <v>58.657495245235999</v>
      </c>
      <c r="AR65" s="281">
        <v>58.657495245235999</v>
      </c>
      <c r="AS65" s="281">
        <v>58.657495245235999</v>
      </c>
      <c r="AT65" s="281">
        <v>58.657495245235999</v>
      </c>
      <c r="AU65" s="281">
        <v>58.657495245235999</v>
      </c>
      <c r="AV65" s="281">
        <v>58.657495245235999</v>
      </c>
      <c r="AW65" s="281">
        <v>58.657495245235999</v>
      </c>
      <c r="AX65" s="281">
        <v>58.657495245235999</v>
      </c>
      <c r="AY65" s="281">
        <v>58.657495245235999</v>
      </c>
      <c r="AZ65" s="281">
        <v>58.657495245235999</v>
      </c>
      <c r="BA65" s="281">
        <v>58.657495245235999</v>
      </c>
      <c r="BB65" s="281">
        <v>58.657495245235999</v>
      </c>
      <c r="BD65" s="52">
        <v>2038</v>
      </c>
      <c r="BE65" s="281">
        <v>49.466738273492524</v>
      </c>
      <c r="BF65" s="281">
        <v>49.466738273492524</v>
      </c>
      <c r="BG65" s="281">
        <v>49.466738273492524</v>
      </c>
      <c r="BH65" s="281">
        <v>49.466738273492524</v>
      </c>
      <c r="BI65" s="281">
        <v>49.466738273492524</v>
      </c>
      <c r="BJ65" s="281">
        <v>49.466738273492524</v>
      </c>
      <c r="BK65" s="281">
        <v>49.466738273492524</v>
      </c>
      <c r="BL65" s="281">
        <v>49.466738273492524</v>
      </c>
      <c r="BM65" s="281">
        <v>49.466738273492524</v>
      </c>
      <c r="BN65" s="281">
        <v>49.466738273492524</v>
      </c>
      <c r="BO65" s="281">
        <v>49.466738273492524</v>
      </c>
      <c r="BP65" s="281">
        <v>49.466738273492524</v>
      </c>
      <c r="BR65" s="52">
        <v>2038</v>
      </c>
      <c r="BS65" s="285">
        <f t="shared" ref="BS65:CD77" si="28">(AQ65*6/7)+(BE65*(1/7))</f>
        <v>57.344529963558358</v>
      </c>
      <c r="BT65" s="285">
        <f t="shared" si="28"/>
        <v>57.344529963558358</v>
      </c>
      <c r="BU65" s="285">
        <f t="shared" si="28"/>
        <v>57.344529963558358</v>
      </c>
      <c r="BV65" s="285">
        <f t="shared" si="28"/>
        <v>57.344529963558358</v>
      </c>
      <c r="BW65" s="285">
        <f t="shared" si="28"/>
        <v>57.344529963558358</v>
      </c>
      <c r="BX65" s="285">
        <f t="shared" si="28"/>
        <v>57.344529963558358</v>
      </c>
      <c r="BY65" s="285">
        <f t="shared" si="28"/>
        <v>57.344529963558358</v>
      </c>
      <c r="BZ65" s="285">
        <f t="shared" si="28"/>
        <v>57.344529963558358</v>
      </c>
      <c r="CA65" s="285">
        <f t="shared" si="28"/>
        <v>57.344529963558358</v>
      </c>
      <c r="CB65" s="285">
        <f t="shared" si="28"/>
        <v>57.344529963558358</v>
      </c>
      <c r="CC65" s="285">
        <f t="shared" si="28"/>
        <v>57.344529963558358</v>
      </c>
      <c r="CD65" s="285">
        <f t="shared" si="28"/>
        <v>57.344529963558358</v>
      </c>
    </row>
    <row r="66" spans="1:82">
      <c r="A66" s="48">
        <v>2039</v>
      </c>
      <c r="B66" s="31" cm="1">
        <f t="array" ref="B66">IF(A66&lt;2021,0,SUMPRODUCT(('Project Operational Timelines'!$AO$20:$AO$49=$A66)*('Project Operational Timelines'!$AP$18:$AY$18=$A$4)*('Project Operational Timelines'!$AP$17:$AY$17=$G66)*'Project Operational Timelines'!$AP38:$AY38))</f>
        <v>22.21</v>
      </c>
      <c r="C66" s="84">
        <f t="shared" si="12"/>
        <v>3706.6144253833336</v>
      </c>
      <c r="D66" s="89">
        <f t="shared" si="26"/>
        <v>1498695.62</v>
      </c>
      <c r="E66" s="89"/>
      <c r="F66" s="89" cm="1">
        <f t="array" ref="F66">IF(A66&lt;2021,0,(-(SUMPRODUCT(('Project Operational Timelines'!$AO$20:$AO$49=$A66)*('Project Operational Timelines'!$AP$18:$AY$18=$A$4)*('Project Operational Timelines'!$AP$19:$AY$19="Non-Carve Out")*('Project Operational Timelines'!$AP$17:$AY$17=$G66)*'Project Operational Timelines'!$AP38:$AY38))*1000*('Program Inputs'!$D$14-'Program Inputs'!$D$6)*$F$4*12)+(-(SUMPRODUCT(('Project Operational Timelines'!$AO$20:$AO$49=$A66)*('Project Operational Timelines'!$AP$18:$AY$18=$A$4)*('Project Operational Timelines'!$AP$19:$AY$19="Carve Out")*('Project Operational Timelines'!$AP$17:$AY$17=$G66)*'Project Operational Timelines'!$AP38:$AY38))*1000*('Program Inputs'!$D$14-'Program Inputs'!$D$7)*$F$4*12))</f>
        <v>-43033.200000000004</v>
      </c>
      <c r="G66" s="79">
        <v>1</v>
      </c>
      <c r="H66" s="328">
        <f t="shared" si="27"/>
        <v>978830.32</v>
      </c>
      <c r="I66" s="69"/>
      <c r="J66" s="69"/>
      <c r="K66" s="104"/>
      <c r="L66" s="75"/>
      <c r="M66">
        <v>21</v>
      </c>
      <c r="N66" s="52">
        <v>2039</v>
      </c>
      <c r="O66" s="18">
        <f t="shared" si="13"/>
        <v>33.694171378553534</v>
      </c>
      <c r="P66" s="18">
        <f t="shared" si="14"/>
        <v>33.694171378553534</v>
      </c>
      <c r="Q66" s="18">
        <f t="shared" si="15"/>
        <v>33.694171378553534</v>
      </c>
      <c r="R66" s="18">
        <f t="shared" si="16"/>
        <v>33.694171378553534</v>
      </c>
      <c r="S66" s="18">
        <f t="shared" si="17"/>
        <v>33.694171378553534</v>
      </c>
      <c r="T66" s="18">
        <f t="shared" si="18"/>
        <v>33.694171378553534</v>
      </c>
      <c r="U66" s="18">
        <f t="shared" si="19"/>
        <v>33.694171378553534</v>
      </c>
      <c r="V66" s="18">
        <f t="shared" si="20"/>
        <v>33.694171378553534</v>
      </c>
      <c r="W66" s="18">
        <f t="shared" si="21"/>
        <v>33.694171378553534</v>
      </c>
      <c r="X66" s="18">
        <f t="shared" si="22"/>
        <v>33.694171378553534</v>
      </c>
      <c r="Y66" s="18">
        <f t="shared" si="23"/>
        <v>33.694171378553534</v>
      </c>
      <c r="Z66" s="18">
        <f t="shared" si="24"/>
        <v>33.694171378553534</v>
      </c>
      <c r="AA66" s="13"/>
      <c r="AB66" s="52">
        <v>2039</v>
      </c>
      <c r="AC66" s="14">
        <f>SUMIFS('Bill Credit Rates'!$K:$K,'Bill Credit Rates'!$A:$A,$A$4,'Bill Credit Rates'!$B:$B,$G66,'Bill Credit Rates'!$C:$C,$M66)</f>
        <v>92.814999999999984</v>
      </c>
      <c r="AD66" s="14">
        <f>SUMIFS('Bill Credit Rates'!$K:$K,'Bill Credit Rates'!$A:$A,$A$4,'Bill Credit Rates'!$B:$B,$G66,'Bill Credit Rates'!$C:$C,$M66)</f>
        <v>92.814999999999984</v>
      </c>
      <c r="AE66" s="14">
        <f>SUMIFS('Bill Credit Rates'!$K:$K,'Bill Credit Rates'!$A:$A,$A$4,'Bill Credit Rates'!$B:$B,$G66,'Bill Credit Rates'!$C:$C,$M66)</f>
        <v>92.814999999999984</v>
      </c>
      <c r="AF66" s="14">
        <f>SUMIFS('Bill Credit Rates'!$K:$K,'Bill Credit Rates'!$A:$A,$A$4,'Bill Credit Rates'!$B:$B,$G66,'Bill Credit Rates'!$C:$C,$M66)</f>
        <v>92.814999999999984</v>
      </c>
      <c r="AG66" s="14">
        <f>SUMIFS('Bill Credit Rates'!$K:$K,'Bill Credit Rates'!$A:$A,$A$4,'Bill Credit Rates'!$B:$B,$G66,'Bill Credit Rates'!$C:$C,$M66)</f>
        <v>92.814999999999984</v>
      </c>
      <c r="AH66" s="14">
        <f>SUMIFS('Bill Credit Rates'!$K:$K,'Bill Credit Rates'!$A:$A,$A$4,'Bill Credit Rates'!$B:$B,$G66,'Bill Credit Rates'!$C:$C,$M66)</f>
        <v>92.814999999999984</v>
      </c>
      <c r="AI66" s="14">
        <f>SUMIFS('Bill Credit Rates'!$K:$K,'Bill Credit Rates'!$A:$A,$A$4,'Bill Credit Rates'!$B:$B,$G66,'Bill Credit Rates'!$C:$C,$M66)</f>
        <v>92.814999999999984</v>
      </c>
      <c r="AJ66" s="14">
        <f>SUMIFS('Bill Credit Rates'!$K:$K,'Bill Credit Rates'!$A:$A,$A$4,'Bill Credit Rates'!$B:$B,$G66,'Bill Credit Rates'!$C:$C,$M66)</f>
        <v>92.814999999999984</v>
      </c>
      <c r="AK66" s="14">
        <f>SUMIFS('Bill Credit Rates'!$K:$K,'Bill Credit Rates'!$A:$A,$A$4,'Bill Credit Rates'!$B:$B,$G66,'Bill Credit Rates'!$C:$C,$M66)</f>
        <v>92.814999999999984</v>
      </c>
      <c r="AL66" s="14">
        <f>SUMIFS('Bill Credit Rates'!$K:$K,'Bill Credit Rates'!$A:$A,$A$4,'Bill Credit Rates'!$B:$B,$G66,'Bill Credit Rates'!$C:$C,$M66)</f>
        <v>92.814999999999984</v>
      </c>
      <c r="AM66" s="14">
        <f>SUMIFS('Bill Credit Rates'!$K:$K,'Bill Credit Rates'!$A:$A,$A$4,'Bill Credit Rates'!$B:$B,$G66,'Bill Credit Rates'!$C:$C,$M66)</f>
        <v>92.814999999999984</v>
      </c>
      <c r="AN66" s="14">
        <f>SUMIFS('Bill Credit Rates'!$K:$K,'Bill Credit Rates'!$A:$A,$A$4,'Bill Credit Rates'!$B:$B,$G66,'Bill Credit Rates'!$C:$C,$M66)</f>
        <v>92.814999999999984</v>
      </c>
      <c r="AP66" s="52">
        <v>2039</v>
      </c>
      <c r="AQ66" s="282">
        <v>60.463632010880872</v>
      </c>
      <c r="AR66" s="282">
        <v>60.463632010880872</v>
      </c>
      <c r="AS66" s="282">
        <v>60.463632010880872</v>
      </c>
      <c r="AT66" s="282">
        <v>60.463632010880872</v>
      </c>
      <c r="AU66" s="282">
        <v>60.463632010880872</v>
      </c>
      <c r="AV66" s="282">
        <v>60.463632010880872</v>
      </c>
      <c r="AW66" s="282">
        <v>60.463632010880872</v>
      </c>
      <c r="AX66" s="282">
        <v>60.463632010880872</v>
      </c>
      <c r="AY66" s="282">
        <v>60.463632010880872</v>
      </c>
      <c r="AZ66" s="282">
        <v>60.463632010880872</v>
      </c>
      <c r="BA66" s="282">
        <v>60.463632010880872</v>
      </c>
      <c r="BB66" s="282">
        <v>60.463632010880872</v>
      </c>
      <c r="BD66" s="52">
        <v>2039</v>
      </c>
      <c r="BE66" s="282">
        <v>51.0640082848399</v>
      </c>
      <c r="BF66" s="282">
        <v>51.0640082848399</v>
      </c>
      <c r="BG66" s="282">
        <v>51.0640082848399</v>
      </c>
      <c r="BH66" s="282">
        <v>51.0640082848399</v>
      </c>
      <c r="BI66" s="282">
        <v>51.0640082848399</v>
      </c>
      <c r="BJ66" s="282">
        <v>51.0640082848399</v>
      </c>
      <c r="BK66" s="282">
        <v>51.0640082848399</v>
      </c>
      <c r="BL66" s="282">
        <v>51.0640082848399</v>
      </c>
      <c r="BM66" s="282">
        <v>51.0640082848399</v>
      </c>
      <c r="BN66" s="282">
        <v>51.0640082848399</v>
      </c>
      <c r="BO66" s="282">
        <v>51.0640082848399</v>
      </c>
      <c r="BP66" s="282">
        <v>51.0640082848399</v>
      </c>
      <c r="BR66" s="52">
        <v>2039</v>
      </c>
      <c r="BS66" s="285">
        <f t="shared" si="28"/>
        <v>59.120828621446449</v>
      </c>
      <c r="BT66" s="285">
        <f t="shared" si="28"/>
        <v>59.120828621446449</v>
      </c>
      <c r="BU66" s="285">
        <f t="shared" si="28"/>
        <v>59.120828621446449</v>
      </c>
      <c r="BV66" s="285">
        <f t="shared" si="28"/>
        <v>59.120828621446449</v>
      </c>
      <c r="BW66" s="285">
        <f t="shared" si="28"/>
        <v>59.120828621446449</v>
      </c>
      <c r="BX66" s="285">
        <f t="shared" si="28"/>
        <v>59.120828621446449</v>
      </c>
      <c r="BY66" s="285">
        <f t="shared" si="28"/>
        <v>59.120828621446449</v>
      </c>
      <c r="BZ66" s="285">
        <f t="shared" si="28"/>
        <v>59.120828621446449</v>
      </c>
      <c r="CA66" s="285">
        <f t="shared" si="28"/>
        <v>59.120828621446449</v>
      </c>
      <c r="CB66" s="285">
        <f t="shared" si="28"/>
        <v>59.120828621446449</v>
      </c>
      <c r="CC66" s="285">
        <f t="shared" si="28"/>
        <v>59.120828621446449</v>
      </c>
      <c r="CD66" s="285">
        <f t="shared" si="28"/>
        <v>59.120828621446449</v>
      </c>
    </row>
    <row r="67" spans="1:82">
      <c r="A67" s="48">
        <v>2040</v>
      </c>
      <c r="B67" s="31" cm="1">
        <f t="array" ref="B67">IF(A67&lt;2021,0,SUMPRODUCT(('Project Operational Timelines'!$AO$20:$AO$49=$A67)*('Project Operational Timelines'!$AP$18:$AY$18=$A$4)*('Project Operational Timelines'!$AP$17:$AY$17=$G67)*'Project Operational Timelines'!$AP39:$AY39))</f>
        <v>22.21</v>
      </c>
      <c r="C67" s="84">
        <f t="shared" si="12"/>
        <v>3706.6144253833336</v>
      </c>
      <c r="D67" s="89">
        <f t="shared" si="26"/>
        <v>1422623.31</v>
      </c>
      <c r="E67" s="89"/>
      <c r="F67" s="89" cm="1">
        <f t="array" ref="F67">IF(A67&lt;2021,0,(-(SUMPRODUCT(('Project Operational Timelines'!$AO$20:$AO$49=$A67)*('Project Operational Timelines'!$AP$18:$AY$18=$A$4)*('Project Operational Timelines'!$AP$19:$AY$19="Non-Carve Out")*('Project Operational Timelines'!$AP$17:$AY$17=$G67)*'Project Operational Timelines'!$AP39:$AY39))*1000*('Program Inputs'!$D$14-'Program Inputs'!$D$6)*$F$4*12)+(-(SUMPRODUCT(('Project Operational Timelines'!$AO$20:$AO$49=$A67)*('Project Operational Timelines'!$AP$18:$AY$18=$A$4)*('Project Operational Timelines'!$AP$19:$AY$19="Carve Out")*('Project Operational Timelines'!$AP$17:$AY$17=$G67)*'Project Operational Timelines'!$AP39:$AY39))*1000*('Program Inputs'!$D$14-'Program Inputs'!$D$7)*$F$4*12))</f>
        <v>-43033.200000000004</v>
      </c>
      <c r="G67" s="79">
        <v>1</v>
      </c>
      <c r="H67" s="328">
        <f t="shared" si="27"/>
        <v>903129.77</v>
      </c>
      <c r="I67" s="69"/>
      <c r="J67" s="69"/>
      <c r="K67" s="104"/>
      <c r="L67" s="75"/>
      <c r="M67">
        <v>22</v>
      </c>
      <c r="N67" s="52">
        <v>2040</v>
      </c>
      <c r="O67" s="18">
        <f t="shared" ref="O67:O71" si="29">(AC67-BS67)</f>
        <v>31.98388850160859</v>
      </c>
      <c r="P67" s="18">
        <f t="shared" ref="P67:P71" si="30">(AD67-BT67)</f>
        <v>31.98388850160859</v>
      </c>
      <c r="Q67" s="18">
        <f t="shared" ref="Q67:Q71" si="31">(AE67-BU67)</f>
        <v>31.98388850160859</v>
      </c>
      <c r="R67" s="18">
        <f t="shared" ref="R67:R71" si="32">(AF67-BV67)</f>
        <v>31.98388850160859</v>
      </c>
      <c r="S67" s="18">
        <f t="shared" ref="S67:S71" si="33">(AG67-BW67)</f>
        <v>31.98388850160859</v>
      </c>
      <c r="T67" s="18">
        <f t="shared" ref="T67:T71" si="34">(AH67-BX67)</f>
        <v>31.98388850160859</v>
      </c>
      <c r="U67" s="18">
        <f t="shared" ref="U67:U71" si="35">(AI67-BY67)</f>
        <v>31.98388850160859</v>
      </c>
      <c r="V67" s="18">
        <f t="shared" ref="V67:V71" si="36">(AJ67-BZ67)</f>
        <v>31.98388850160859</v>
      </c>
      <c r="W67" s="18">
        <f t="shared" ref="W67:W71" si="37">(AK67-CA67)</f>
        <v>31.98388850160859</v>
      </c>
      <c r="X67" s="18">
        <f t="shared" ref="X67:X71" si="38">(AL67-CB67)</f>
        <v>31.98388850160859</v>
      </c>
      <c r="Y67" s="18">
        <f t="shared" ref="Y67:Y71" si="39">(AM67-CC67)</f>
        <v>31.98388850160859</v>
      </c>
      <c r="Z67" s="18">
        <f t="shared" ref="Z67:Z71" si="40">(AN67-CD67)</f>
        <v>31.98388850160859</v>
      </c>
      <c r="AA67" s="13"/>
      <c r="AB67" s="52">
        <v>2040</v>
      </c>
      <c r="AC67" s="14">
        <f>SUMIFS('Bill Credit Rates'!$K:$K,'Bill Credit Rates'!$A:$A,$A$4,'Bill Credit Rates'!$B:$B,$G67,'Bill Credit Rates'!$C:$C,$M67)</f>
        <v>92.814999999999984</v>
      </c>
      <c r="AD67" s="14">
        <f>SUMIFS('Bill Credit Rates'!$K:$K,'Bill Credit Rates'!$A:$A,$A$4,'Bill Credit Rates'!$B:$B,$G67,'Bill Credit Rates'!$C:$C,$M67)</f>
        <v>92.814999999999984</v>
      </c>
      <c r="AE67" s="14">
        <f>SUMIFS('Bill Credit Rates'!$K:$K,'Bill Credit Rates'!$A:$A,$A$4,'Bill Credit Rates'!$B:$B,$G67,'Bill Credit Rates'!$C:$C,$M67)</f>
        <v>92.814999999999984</v>
      </c>
      <c r="AF67" s="14">
        <f>SUMIFS('Bill Credit Rates'!$K:$K,'Bill Credit Rates'!$A:$A,$A$4,'Bill Credit Rates'!$B:$B,$G67,'Bill Credit Rates'!$C:$C,$M67)</f>
        <v>92.814999999999984</v>
      </c>
      <c r="AG67" s="14">
        <f>SUMIFS('Bill Credit Rates'!$K:$K,'Bill Credit Rates'!$A:$A,$A$4,'Bill Credit Rates'!$B:$B,$G67,'Bill Credit Rates'!$C:$C,$M67)</f>
        <v>92.814999999999984</v>
      </c>
      <c r="AH67" s="14">
        <f>SUMIFS('Bill Credit Rates'!$K:$K,'Bill Credit Rates'!$A:$A,$A$4,'Bill Credit Rates'!$B:$B,$G67,'Bill Credit Rates'!$C:$C,$M67)</f>
        <v>92.814999999999984</v>
      </c>
      <c r="AI67" s="14">
        <f>SUMIFS('Bill Credit Rates'!$K:$K,'Bill Credit Rates'!$A:$A,$A$4,'Bill Credit Rates'!$B:$B,$G67,'Bill Credit Rates'!$C:$C,$M67)</f>
        <v>92.814999999999984</v>
      </c>
      <c r="AJ67" s="14">
        <f>SUMIFS('Bill Credit Rates'!$K:$K,'Bill Credit Rates'!$A:$A,$A$4,'Bill Credit Rates'!$B:$B,$G67,'Bill Credit Rates'!$C:$C,$M67)</f>
        <v>92.814999999999984</v>
      </c>
      <c r="AK67" s="14">
        <f>SUMIFS('Bill Credit Rates'!$K:$K,'Bill Credit Rates'!$A:$A,$A$4,'Bill Credit Rates'!$B:$B,$G67,'Bill Credit Rates'!$C:$C,$M67)</f>
        <v>92.814999999999984</v>
      </c>
      <c r="AL67" s="14">
        <f>SUMIFS('Bill Credit Rates'!$K:$K,'Bill Credit Rates'!$A:$A,$A$4,'Bill Credit Rates'!$B:$B,$G67,'Bill Credit Rates'!$C:$C,$M67)</f>
        <v>92.814999999999984</v>
      </c>
      <c r="AM67" s="14">
        <f>SUMIFS('Bill Credit Rates'!$K:$K,'Bill Credit Rates'!$A:$A,$A$4,'Bill Credit Rates'!$B:$B,$G67,'Bill Credit Rates'!$C:$C,$M67)</f>
        <v>92.814999999999984</v>
      </c>
      <c r="AN67" s="14">
        <f>SUMIFS('Bill Credit Rates'!$K:$K,'Bill Credit Rates'!$A:$A,$A$4,'Bill Credit Rates'!$B:$B,$G67,'Bill Credit Rates'!$C:$C,$M67)</f>
        <v>92.814999999999984</v>
      </c>
      <c r="AP67" s="63">
        <v>2040</v>
      </c>
      <c r="AQ67" s="288">
        <v>62.204372778236305</v>
      </c>
      <c r="AR67" s="288">
        <v>62.204372778236305</v>
      </c>
      <c r="AS67" s="288">
        <v>62.204372778236305</v>
      </c>
      <c r="AT67" s="288">
        <v>62.204372778236305</v>
      </c>
      <c r="AU67" s="288">
        <v>62.204372778236305</v>
      </c>
      <c r="AV67" s="288">
        <v>62.204372778236305</v>
      </c>
      <c r="AW67" s="288">
        <v>62.204372778236305</v>
      </c>
      <c r="AX67" s="288">
        <v>62.204372778236305</v>
      </c>
      <c r="AY67" s="288">
        <v>62.204372778236305</v>
      </c>
      <c r="AZ67" s="288">
        <v>62.204372778236305</v>
      </c>
      <c r="BA67" s="288">
        <v>62.204372778236305</v>
      </c>
      <c r="BB67" s="288">
        <v>62.204372778236305</v>
      </c>
      <c r="BD67" s="63">
        <v>2040</v>
      </c>
      <c r="BE67" s="288">
        <v>52.591543819321927</v>
      </c>
      <c r="BF67" s="288">
        <v>52.591543819321927</v>
      </c>
      <c r="BG67" s="288">
        <v>52.591543819321927</v>
      </c>
      <c r="BH67" s="288">
        <v>52.591543819321927</v>
      </c>
      <c r="BI67" s="288">
        <v>52.591543819321927</v>
      </c>
      <c r="BJ67" s="288">
        <v>52.591543819321927</v>
      </c>
      <c r="BK67" s="288">
        <v>52.591543819321927</v>
      </c>
      <c r="BL67" s="288">
        <v>52.591543819321927</v>
      </c>
      <c r="BM67" s="288">
        <v>52.591543819321927</v>
      </c>
      <c r="BN67" s="288">
        <v>52.591543819321927</v>
      </c>
      <c r="BO67" s="288">
        <v>52.591543819321927</v>
      </c>
      <c r="BP67" s="288">
        <v>52.591543819321927</v>
      </c>
      <c r="BR67" s="135">
        <v>2040</v>
      </c>
      <c r="BS67" s="285">
        <f t="shared" si="28"/>
        <v>60.831111498391394</v>
      </c>
      <c r="BT67" s="285">
        <f t="shared" si="28"/>
        <v>60.831111498391394</v>
      </c>
      <c r="BU67" s="285">
        <f t="shared" si="28"/>
        <v>60.831111498391394</v>
      </c>
      <c r="BV67" s="285">
        <f t="shared" si="28"/>
        <v>60.831111498391394</v>
      </c>
      <c r="BW67" s="285">
        <f t="shared" si="28"/>
        <v>60.831111498391394</v>
      </c>
      <c r="BX67" s="285">
        <f t="shared" si="28"/>
        <v>60.831111498391394</v>
      </c>
      <c r="BY67" s="285">
        <f t="shared" si="28"/>
        <v>60.831111498391394</v>
      </c>
      <c r="BZ67" s="285">
        <f t="shared" si="28"/>
        <v>60.831111498391394</v>
      </c>
      <c r="CA67" s="285">
        <f t="shared" si="28"/>
        <v>60.831111498391394</v>
      </c>
      <c r="CB67" s="285">
        <f t="shared" si="28"/>
        <v>60.831111498391394</v>
      </c>
      <c r="CC67" s="285">
        <f t="shared" si="28"/>
        <v>60.831111498391394</v>
      </c>
      <c r="CD67" s="285">
        <f t="shared" si="28"/>
        <v>60.831111498391394</v>
      </c>
    </row>
    <row r="68" spans="1:82">
      <c r="A68" s="48">
        <v>2041</v>
      </c>
      <c r="B68" s="31" cm="1">
        <f t="array" ref="B68">IF(A68&lt;2021,0,SUMPRODUCT(('Project Operational Timelines'!$AO$20:$AO$49=$A68)*('Project Operational Timelines'!$AP$18:$AY$18=$A$4)*('Project Operational Timelines'!$AP$17:$AY$17=$G68)*'Project Operational Timelines'!$AP40:$AY40))</f>
        <v>22.21</v>
      </c>
      <c r="C68" s="84">
        <f t="shared" si="12"/>
        <v>3706.6144253833336</v>
      </c>
      <c r="D68" s="89">
        <f t="shared" si="26"/>
        <v>1339101.8799999999</v>
      </c>
      <c r="E68" s="89"/>
      <c r="F68" s="89" cm="1">
        <f t="array" ref="F68">IF(A68&lt;2021,0,(-(SUMPRODUCT(('Project Operational Timelines'!$AO$20:$AO$49=$A68)*('Project Operational Timelines'!$AP$18:$AY$18=$A$4)*('Project Operational Timelines'!$AP$19:$AY$19="Non-Carve Out")*('Project Operational Timelines'!$AP$17:$AY$17=$G68)*'Project Operational Timelines'!$AP40:$AY40))*1000*('Program Inputs'!$D$14-'Program Inputs'!$D$6)*$F$4*12)+(-(SUMPRODUCT(('Project Operational Timelines'!$AO$20:$AO$49=$A68)*('Project Operational Timelines'!$AP$18:$AY$18=$A$4)*('Project Operational Timelines'!$AP$19:$AY$19="Carve Out")*('Project Operational Timelines'!$AP$17:$AY$17=$G68)*'Project Operational Timelines'!$AP40:$AY40))*1000*('Program Inputs'!$D$14-'Program Inputs'!$D$7)*$F$4*12))</f>
        <v>-43033.200000000004</v>
      </c>
      <c r="G68" s="79">
        <v>1</v>
      </c>
      <c r="H68" s="328">
        <f t="shared" si="27"/>
        <v>826304.51</v>
      </c>
      <c r="I68" s="69"/>
      <c r="J68" s="69"/>
      <c r="K68" s="104"/>
      <c r="L68" s="75"/>
      <c r="M68">
        <v>23</v>
      </c>
      <c r="N68" s="52">
        <v>2041</v>
      </c>
      <c r="O68" s="18">
        <f t="shared" si="29"/>
        <v>30.106132094412864</v>
      </c>
      <c r="P68" s="18">
        <f t="shared" si="30"/>
        <v>30.106132094412864</v>
      </c>
      <c r="Q68" s="18">
        <f t="shared" si="31"/>
        <v>30.106132094412864</v>
      </c>
      <c r="R68" s="18">
        <f t="shared" si="32"/>
        <v>30.106132094412864</v>
      </c>
      <c r="S68" s="18">
        <f t="shared" si="33"/>
        <v>30.106132094412864</v>
      </c>
      <c r="T68" s="18">
        <f t="shared" si="34"/>
        <v>30.106132094412864</v>
      </c>
      <c r="U68" s="18">
        <f t="shared" si="35"/>
        <v>30.106132094412864</v>
      </c>
      <c r="V68" s="18">
        <f t="shared" si="36"/>
        <v>30.106132094412864</v>
      </c>
      <c r="W68" s="18">
        <f t="shared" si="37"/>
        <v>30.106132094412864</v>
      </c>
      <c r="X68" s="18">
        <f t="shared" si="38"/>
        <v>30.106132094412864</v>
      </c>
      <c r="Y68" s="18">
        <f t="shared" si="39"/>
        <v>30.106132094412864</v>
      </c>
      <c r="Z68" s="18">
        <f t="shared" si="40"/>
        <v>30.106132094412864</v>
      </c>
      <c r="AA68" s="13"/>
      <c r="AB68" s="52">
        <v>2041</v>
      </c>
      <c r="AC68" s="14">
        <f>SUMIFS('Bill Credit Rates'!$K:$K,'Bill Credit Rates'!$A:$A,$A$4,'Bill Credit Rates'!$B:$B,$G68,'Bill Credit Rates'!$C:$C,$M68)</f>
        <v>92.814999999999984</v>
      </c>
      <c r="AD68" s="14">
        <f>SUMIFS('Bill Credit Rates'!$K:$K,'Bill Credit Rates'!$A:$A,$A$4,'Bill Credit Rates'!$B:$B,$G68,'Bill Credit Rates'!$C:$C,$M68)</f>
        <v>92.814999999999984</v>
      </c>
      <c r="AE68" s="14">
        <f>SUMIFS('Bill Credit Rates'!$K:$K,'Bill Credit Rates'!$A:$A,$A$4,'Bill Credit Rates'!$B:$B,$G68,'Bill Credit Rates'!$C:$C,$M68)</f>
        <v>92.814999999999984</v>
      </c>
      <c r="AF68" s="14">
        <f>SUMIFS('Bill Credit Rates'!$K:$K,'Bill Credit Rates'!$A:$A,$A$4,'Bill Credit Rates'!$B:$B,$G68,'Bill Credit Rates'!$C:$C,$M68)</f>
        <v>92.814999999999984</v>
      </c>
      <c r="AG68" s="14">
        <f>SUMIFS('Bill Credit Rates'!$K:$K,'Bill Credit Rates'!$A:$A,$A$4,'Bill Credit Rates'!$B:$B,$G68,'Bill Credit Rates'!$C:$C,$M68)</f>
        <v>92.814999999999984</v>
      </c>
      <c r="AH68" s="14">
        <f>SUMIFS('Bill Credit Rates'!$K:$K,'Bill Credit Rates'!$A:$A,$A$4,'Bill Credit Rates'!$B:$B,$G68,'Bill Credit Rates'!$C:$C,$M68)</f>
        <v>92.814999999999984</v>
      </c>
      <c r="AI68" s="14">
        <f>SUMIFS('Bill Credit Rates'!$K:$K,'Bill Credit Rates'!$A:$A,$A$4,'Bill Credit Rates'!$B:$B,$G68,'Bill Credit Rates'!$C:$C,$M68)</f>
        <v>92.814999999999984</v>
      </c>
      <c r="AJ68" s="14">
        <f>SUMIFS('Bill Credit Rates'!$K:$K,'Bill Credit Rates'!$A:$A,$A$4,'Bill Credit Rates'!$B:$B,$G68,'Bill Credit Rates'!$C:$C,$M68)</f>
        <v>92.814999999999984</v>
      </c>
      <c r="AK68" s="14">
        <f>SUMIFS('Bill Credit Rates'!$K:$K,'Bill Credit Rates'!$A:$A,$A$4,'Bill Credit Rates'!$B:$B,$G68,'Bill Credit Rates'!$C:$C,$M68)</f>
        <v>92.814999999999984</v>
      </c>
      <c r="AL68" s="14">
        <f>SUMIFS('Bill Credit Rates'!$K:$K,'Bill Credit Rates'!$A:$A,$A$4,'Bill Credit Rates'!$B:$B,$G68,'Bill Credit Rates'!$C:$C,$M68)</f>
        <v>92.814999999999984</v>
      </c>
      <c r="AM68" s="14">
        <f>SUMIFS('Bill Credit Rates'!$K:$K,'Bill Credit Rates'!$A:$A,$A$4,'Bill Credit Rates'!$B:$B,$G68,'Bill Credit Rates'!$C:$C,$M68)</f>
        <v>92.814999999999984</v>
      </c>
      <c r="AN68" s="14">
        <f>SUMIFS('Bill Credit Rates'!$K:$K,'Bill Credit Rates'!$A:$A,$A$4,'Bill Credit Rates'!$B:$B,$G68,'Bill Credit Rates'!$C:$C,$M68)</f>
        <v>92.814999999999984</v>
      </c>
      <c r="AP68" s="63">
        <v>2041</v>
      </c>
      <c r="AQ68" s="288">
        <v>64.113295398875323</v>
      </c>
      <c r="AR68" s="288">
        <v>64.113295398875323</v>
      </c>
      <c r="AS68" s="288">
        <v>64.113295398875323</v>
      </c>
      <c r="AT68" s="288">
        <v>64.113295398875323</v>
      </c>
      <c r="AU68" s="288">
        <v>64.113295398875323</v>
      </c>
      <c r="AV68" s="288">
        <v>64.113295398875323</v>
      </c>
      <c r="AW68" s="288">
        <v>64.113295398875323</v>
      </c>
      <c r="AX68" s="288">
        <v>64.113295398875323</v>
      </c>
      <c r="AY68" s="288">
        <v>64.113295398875323</v>
      </c>
      <c r="AZ68" s="288">
        <v>64.113295398875323</v>
      </c>
      <c r="BA68" s="288">
        <v>64.113295398875323</v>
      </c>
      <c r="BB68" s="288">
        <v>64.113295398875323</v>
      </c>
      <c r="BD68" s="63">
        <v>2041</v>
      </c>
      <c r="BE68" s="288">
        <v>54.282302945857928</v>
      </c>
      <c r="BF68" s="288">
        <v>54.282302945857928</v>
      </c>
      <c r="BG68" s="288">
        <v>54.282302945857928</v>
      </c>
      <c r="BH68" s="288">
        <v>54.282302945857928</v>
      </c>
      <c r="BI68" s="288">
        <v>54.282302945857928</v>
      </c>
      <c r="BJ68" s="288">
        <v>54.282302945857928</v>
      </c>
      <c r="BK68" s="288">
        <v>54.282302945857928</v>
      </c>
      <c r="BL68" s="288">
        <v>54.282302945857928</v>
      </c>
      <c r="BM68" s="288">
        <v>54.282302945857928</v>
      </c>
      <c r="BN68" s="288">
        <v>54.282302945857928</v>
      </c>
      <c r="BO68" s="288">
        <v>54.282302945857928</v>
      </c>
      <c r="BP68" s="288">
        <v>54.282302945857928</v>
      </c>
      <c r="BR68" s="52">
        <v>2041</v>
      </c>
      <c r="BS68" s="285">
        <f t="shared" si="28"/>
        <v>62.70886790558712</v>
      </c>
      <c r="BT68" s="285">
        <f t="shared" si="28"/>
        <v>62.70886790558712</v>
      </c>
      <c r="BU68" s="285">
        <f t="shared" si="28"/>
        <v>62.70886790558712</v>
      </c>
      <c r="BV68" s="285">
        <f t="shared" si="28"/>
        <v>62.70886790558712</v>
      </c>
      <c r="BW68" s="285">
        <f t="shared" si="28"/>
        <v>62.70886790558712</v>
      </c>
      <c r="BX68" s="285">
        <f t="shared" si="28"/>
        <v>62.70886790558712</v>
      </c>
      <c r="BY68" s="285">
        <f t="shared" si="28"/>
        <v>62.70886790558712</v>
      </c>
      <c r="BZ68" s="285">
        <f t="shared" si="28"/>
        <v>62.70886790558712</v>
      </c>
      <c r="CA68" s="285">
        <f t="shared" si="28"/>
        <v>62.70886790558712</v>
      </c>
      <c r="CB68" s="285">
        <f t="shared" si="28"/>
        <v>62.70886790558712</v>
      </c>
      <c r="CC68" s="285">
        <f t="shared" si="28"/>
        <v>62.70886790558712</v>
      </c>
      <c r="CD68" s="285">
        <f t="shared" si="28"/>
        <v>62.70886790558712</v>
      </c>
    </row>
    <row r="69" spans="1:82">
      <c r="A69" s="48">
        <v>2042</v>
      </c>
      <c r="B69" s="31" cm="1">
        <f t="array" ref="B69">IF(A69&lt;2021,0,SUMPRODUCT(('Project Operational Timelines'!$AO$20:$AO$49=$A69)*('Project Operational Timelines'!$AP$18:$AY$18=$A$4)*('Project Operational Timelines'!$AP$17:$AY$17=$G69)*'Project Operational Timelines'!$AP41:$AY41))</f>
        <v>22.009999999999998</v>
      </c>
      <c r="C69" s="84">
        <f t="shared" si="12"/>
        <v>3673.2365377166666</v>
      </c>
      <c r="D69" s="89">
        <f t="shared" si="26"/>
        <v>1229761.7</v>
      </c>
      <c r="E69" s="89"/>
      <c r="F69" s="89" cm="1">
        <f t="array" ref="F69">IF(A69&lt;2021,0,(-(SUMPRODUCT(('Project Operational Timelines'!$AO$20:$AO$49=$A69)*('Project Operational Timelines'!$AP$18:$AY$18=$A$4)*('Project Operational Timelines'!$AP$19:$AY$19="Non-Carve Out")*('Project Operational Timelines'!$AP$17:$AY$17=$G69)*'Project Operational Timelines'!$AP41:$AY41))*1000*('Program Inputs'!$D$14-'Program Inputs'!$D$6)*$F$4*12)+(-(SUMPRODUCT(('Project Operational Timelines'!$AO$20:$AO$49=$A69)*('Project Operational Timelines'!$AP$18:$AY$18=$A$4)*('Project Operational Timelines'!$AP$19:$AY$19="Carve Out")*('Project Operational Timelines'!$AP$17:$AY$17=$G69)*'Project Operational Timelines'!$AP41:$AY41))*1000*('Program Inputs'!$D$14-'Program Inputs'!$D$7)*$F$4*12))</f>
        <v>-42817.200000000004</v>
      </c>
      <c r="G69" s="79">
        <v>1</v>
      </c>
      <c r="H69" s="328">
        <f t="shared" si="27"/>
        <v>737587.81</v>
      </c>
      <c r="I69" s="69"/>
      <c r="J69" s="69"/>
      <c r="K69" s="104"/>
      <c r="L69" s="75"/>
      <c r="M69">
        <v>24</v>
      </c>
      <c r="N69" s="52">
        <v>2042</v>
      </c>
      <c r="O69" s="18">
        <f t="shared" si="29"/>
        <v>27.899140294916705</v>
      </c>
      <c r="P69" s="18">
        <f t="shared" si="30"/>
        <v>27.899140294916705</v>
      </c>
      <c r="Q69" s="18">
        <f t="shared" si="31"/>
        <v>27.899140294916705</v>
      </c>
      <c r="R69" s="18">
        <f t="shared" si="32"/>
        <v>27.899140294916705</v>
      </c>
      <c r="S69" s="18">
        <f t="shared" si="33"/>
        <v>27.899140294916705</v>
      </c>
      <c r="T69" s="18">
        <f t="shared" si="34"/>
        <v>27.899140294916705</v>
      </c>
      <c r="U69" s="18">
        <f t="shared" si="35"/>
        <v>27.899140294916705</v>
      </c>
      <c r="V69" s="18">
        <f t="shared" si="36"/>
        <v>27.899140294916705</v>
      </c>
      <c r="W69" s="18">
        <f t="shared" si="37"/>
        <v>27.899140294916705</v>
      </c>
      <c r="X69" s="18">
        <f t="shared" si="38"/>
        <v>27.899140294916705</v>
      </c>
      <c r="Y69" s="18">
        <f t="shared" si="39"/>
        <v>27.899140294916705</v>
      </c>
      <c r="Z69" s="18">
        <f t="shared" si="40"/>
        <v>27.899140294916705</v>
      </c>
      <c r="AA69" s="13"/>
      <c r="AB69" s="52">
        <v>2042</v>
      </c>
      <c r="AC69" s="14">
        <f>SUMIFS('Bill Credit Rates'!$K:$K,'Bill Credit Rates'!$A:$A,$A$4,'Bill Credit Rates'!$B:$B,$G69,'Bill Credit Rates'!$C:$C,$M69)</f>
        <v>92.814999999999984</v>
      </c>
      <c r="AD69" s="14">
        <f>SUMIFS('Bill Credit Rates'!$K:$K,'Bill Credit Rates'!$A:$A,$A$4,'Bill Credit Rates'!$B:$B,$G69,'Bill Credit Rates'!$C:$C,$M69)</f>
        <v>92.814999999999984</v>
      </c>
      <c r="AE69" s="14">
        <f>SUMIFS('Bill Credit Rates'!$K:$K,'Bill Credit Rates'!$A:$A,$A$4,'Bill Credit Rates'!$B:$B,$G69,'Bill Credit Rates'!$C:$C,$M69)</f>
        <v>92.814999999999984</v>
      </c>
      <c r="AF69" s="14">
        <f>SUMIFS('Bill Credit Rates'!$K:$K,'Bill Credit Rates'!$A:$A,$A$4,'Bill Credit Rates'!$B:$B,$G69,'Bill Credit Rates'!$C:$C,$M69)</f>
        <v>92.814999999999984</v>
      </c>
      <c r="AG69" s="14">
        <f>SUMIFS('Bill Credit Rates'!$K:$K,'Bill Credit Rates'!$A:$A,$A$4,'Bill Credit Rates'!$B:$B,$G69,'Bill Credit Rates'!$C:$C,$M69)</f>
        <v>92.814999999999984</v>
      </c>
      <c r="AH69" s="14">
        <f>SUMIFS('Bill Credit Rates'!$K:$K,'Bill Credit Rates'!$A:$A,$A$4,'Bill Credit Rates'!$B:$B,$G69,'Bill Credit Rates'!$C:$C,$M69)</f>
        <v>92.814999999999984</v>
      </c>
      <c r="AI69" s="14">
        <f>SUMIFS('Bill Credit Rates'!$K:$K,'Bill Credit Rates'!$A:$A,$A$4,'Bill Credit Rates'!$B:$B,$G69,'Bill Credit Rates'!$C:$C,$M69)</f>
        <v>92.814999999999984</v>
      </c>
      <c r="AJ69" s="14">
        <f>SUMIFS('Bill Credit Rates'!$K:$K,'Bill Credit Rates'!$A:$A,$A$4,'Bill Credit Rates'!$B:$B,$G69,'Bill Credit Rates'!$C:$C,$M69)</f>
        <v>92.814999999999984</v>
      </c>
      <c r="AK69" s="14">
        <f>SUMIFS('Bill Credit Rates'!$K:$K,'Bill Credit Rates'!$A:$A,$A$4,'Bill Credit Rates'!$B:$B,$G69,'Bill Credit Rates'!$C:$C,$M69)</f>
        <v>92.814999999999984</v>
      </c>
      <c r="AL69" s="14">
        <f>SUMIFS('Bill Credit Rates'!$K:$K,'Bill Credit Rates'!$A:$A,$A$4,'Bill Credit Rates'!$B:$B,$G69,'Bill Credit Rates'!$C:$C,$M69)</f>
        <v>92.814999999999984</v>
      </c>
      <c r="AM69" s="14">
        <f>SUMIFS('Bill Credit Rates'!$K:$K,'Bill Credit Rates'!$A:$A,$A$4,'Bill Credit Rates'!$B:$B,$G69,'Bill Credit Rates'!$C:$C,$M69)</f>
        <v>92.814999999999984</v>
      </c>
      <c r="AN69" s="14">
        <f>SUMIFS('Bill Credit Rates'!$K:$K,'Bill Credit Rates'!$A:$A,$A$4,'Bill Credit Rates'!$B:$B,$G69,'Bill Credit Rates'!$C:$C,$M69)</f>
        <v>92.814999999999984</v>
      </c>
      <c r="AP69" s="63">
        <v>2042</v>
      </c>
      <c r="AQ69" s="288">
        <v>66.35216173484757</v>
      </c>
      <c r="AR69" s="288">
        <v>66.35216173484757</v>
      </c>
      <c r="AS69" s="288">
        <v>66.35216173484757</v>
      </c>
      <c r="AT69" s="288">
        <v>66.35216173484757</v>
      </c>
      <c r="AU69" s="288">
        <v>66.35216173484757</v>
      </c>
      <c r="AV69" s="288">
        <v>66.35216173484757</v>
      </c>
      <c r="AW69" s="288">
        <v>66.35216173484757</v>
      </c>
      <c r="AX69" s="288">
        <v>66.35216173484757</v>
      </c>
      <c r="AY69" s="288">
        <v>66.35216173484757</v>
      </c>
      <c r="AZ69" s="288">
        <v>66.35216173484757</v>
      </c>
      <c r="BA69" s="288">
        <v>66.35216173484757</v>
      </c>
      <c r="BB69" s="288">
        <v>66.35216173484757</v>
      </c>
      <c r="BD69" s="63">
        <v>2042</v>
      </c>
      <c r="BE69" s="288">
        <v>56.298047526497534</v>
      </c>
      <c r="BF69" s="288">
        <v>56.298047526497534</v>
      </c>
      <c r="BG69" s="288">
        <v>56.298047526497534</v>
      </c>
      <c r="BH69" s="288">
        <v>56.298047526497534</v>
      </c>
      <c r="BI69" s="288">
        <v>56.298047526497534</v>
      </c>
      <c r="BJ69" s="288">
        <v>56.298047526497534</v>
      </c>
      <c r="BK69" s="288">
        <v>56.298047526497534</v>
      </c>
      <c r="BL69" s="288">
        <v>56.298047526497534</v>
      </c>
      <c r="BM69" s="288">
        <v>56.298047526497534</v>
      </c>
      <c r="BN69" s="288">
        <v>56.298047526497534</v>
      </c>
      <c r="BO69" s="288">
        <v>56.298047526497534</v>
      </c>
      <c r="BP69" s="288">
        <v>56.298047526497534</v>
      </c>
      <c r="BR69" s="135">
        <v>2042</v>
      </c>
      <c r="BS69" s="285">
        <f t="shared" si="28"/>
        <v>64.915859705083278</v>
      </c>
      <c r="BT69" s="285">
        <f t="shared" si="28"/>
        <v>64.915859705083278</v>
      </c>
      <c r="BU69" s="285">
        <f t="shared" si="28"/>
        <v>64.915859705083278</v>
      </c>
      <c r="BV69" s="285">
        <f t="shared" si="28"/>
        <v>64.915859705083278</v>
      </c>
      <c r="BW69" s="285">
        <f t="shared" si="28"/>
        <v>64.915859705083278</v>
      </c>
      <c r="BX69" s="285">
        <f t="shared" si="28"/>
        <v>64.915859705083278</v>
      </c>
      <c r="BY69" s="285">
        <f t="shared" si="28"/>
        <v>64.915859705083278</v>
      </c>
      <c r="BZ69" s="285">
        <f t="shared" si="28"/>
        <v>64.915859705083278</v>
      </c>
      <c r="CA69" s="285">
        <f t="shared" si="28"/>
        <v>64.915859705083278</v>
      </c>
      <c r="CB69" s="285">
        <f t="shared" si="28"/>
        <v>64.915859705083278</v>
      </c>
      <c r="CC69" s="285">
        <f t="shared" si="28"/>
        <v>64.915859705083278</v>
      </c>
      <c r="CD69" s="285">
        <f t="shared" si="28"/>
        <v>64.915859705083278</v>
      </c>
    </row>
    <row r="70" spans="1:82">
      <c r="A70" s="48">
        <v>2043</v>
      </c>
      <c r="B70" s="31" cm="1">
        <f t="array" ref="B70">IF(A70&lt;2021,0,SUMPRODUCT(('Project Operational Timelines'!$AO$20:$AO$49=$A70)*('Project Operational Timelines'!$AP$18:$AY$18=$A$4)*('Project Operational Timelines'!$AP$17:$AY$17=$G70)*'Project Operational Timelines'!$AP42:$AY42))</f>
        <v>21</v>
      </c>
      <c r="C70" s="84">
        <f t="shared" si="12"/>
        <v>3504.6782050000002</v>
      </c>
      <c r="D70" s="89">
        <f t="shared" si="26"/>
        <v>1059639.1299999999</v>
      </c>
      <c r="E70" s="89"/>
      <c r="F70" s="89" cm="1">
        <f t="array" ref="F70">IF(A70&lt;2021,0,(-(SUMPRODUCT(('Project Operational Timelines'!$AO$20:$AO$49=$A70)*('Project Operational Timelines'!$AP$18:$AY$18=$A$4)*('Project Operational Timelines'!$AP$19:$AY$19="Non-Carve Out")*('Project Operational Timelines'!$AP$17:$AY$17=$G70)*'Project Operational Timelines'!$AP42:$AY42))*1000*('Program Inputs'!$D$14-'Program Inputs'!$D$6)*$F$4*12)+(-(SUMPRODUCT(('Project Operational Timelines'!$AO$20:$AO$49=$A70)*('Project Operational Timelines'!$AP$18:$AY$18=$A$4)*('Project Operational Timelines'!$AP$19:$AY$19="Carve Out")*('Project Operational Timelines'!$AP$17:$AY$17=$G70)*'Project Operational Timelines'!$AP42:$AY42))*1000*('Program Inputs'!$D$14-'Program Inputs'!$D$7)*$F$4*12))</f>
        <v>-41236.800000000003</v>
      </c>
      <c r="G70" s="79">
        <v>1</v>
      </c>
      <c r="H70" s="328">
        <f t="shared" si="27"/>
        <v>617756.06999999995</v>
      </c>
      <c r="I70" s="69"/>
      <c r="J70" s="69"/>
      <c r="K70" s="104"/>
      <c r="L70" s="75"/>
      <c r="M70">
        <v>25</v>
      </c>
      <c r="N70" s="52">
        <v>2043</v>
      </c>
      <c r="O70" s="18">
        <f t="shared" si="29"/>
        <v>25.195825620620383</v>
      </c>
      <c r="P70" s="18">
        <f t="shared" si="30"/>
        <v>25.195825620620383</v>
      </c>
      <c r="Q70" s="18">
        <f t="shared" si="31"/>
        <v>25.195825620620383</v>
      </c>
      <c r="R70" s="18">
        <f t="shared" si="32"/>
        <v>25.195825620620383</v>
      </c>
      <c r="S70" s="18">
        <f t="shared" si="33"/>
        <v>25.195825620620383</v>
      </c>
      <c r="T70" s="18">
        <f t="shared" si="34"/>
        <v>25.195825620620383</v>
      </c>
      <c r="U70" s="18">
        <f t="shared" si="35"/>
        <v>25.195825620620383</v>
      </c>
      <c r="V70" s="18">
        <f t="shared" si="36"/>
        <v>25.195825620620383</v>
      </c>
      <c r="W70" s="18">
        <f t="shared" si="37"/>
        <v>25.195825620620383</v>
      </c>
      <c r="X70" s="18">
        <f t="shared" si="38"/>
        <v>25.195825620620383</v>
      </c>
      <c r="Y70" s="18">
        <f t="shared" si="39"/>
        <v>25.195825620620383</v>
      </c>
      <c r="Z70" s="18">
        <f t="shared" si="40"/>
        <v>25.195825620620383</v>
      </c>
      <c r="AA70" s="13"/>
      <c r="AB70" s="52">
        <v>2043</v>
      </c>
      <c r="AC70" s="14">
        <f>SUMIFS('Bill Credit Rates'!$K:$K,'Bill Credit Rates'!$A:$A,$A$4,'Bill Credit Rates'!$B:$B,$G70,'Bill Credit Rates'!$C:$C,$M70)</f>
        <v>92.814999999999984</v>
      </c>
      <c r="AD70" s="14">
        <f>SUMIFS('Bill Credit Rates'!$K:$K,'Bill Credit Rates'!$A:$A,$A$4,'Bill Credit Rates'!$B:$B,$G70,'Bill Credit Rates'!$C:$C,$M70)</f>
        <v>92.814999999999984</v>
      </c>
      <c r="AE70" s="14">
        <f>SUMIFS('Bill Credit Rates'!$K:$K,'Bill Credit Rates'!$A:$A,$A$4,'Bill Credit Rates'!$B:$B,$G70,'Bill Credit Rates'!$C:$C,$M70)</f>
        <v>92.814999999999984</v>
      </c>
      <c r="AF70" s="14">
        <f>SUMIFS('Bill Credit Rates'!$K:$K,'Bill Credit Rates'!$A:$A,$A$4,'Bill Credit Rates'!$B:$B,$G70,'Bill Credit Rates'!$C:$C,$M70)</f>
        <v>92.814999999999984</v>
      </c>
      <c r="AG70" s="14">
        <f>SUMIFS('Bill Credit Rates'!$K:$K,'Bill Credit Rates'!$A:$A,$A$4,'Bill Credit Rates'!$B:$B,$G70,'Bill Credit Rates'!$C:$C,$M70)</f>
        <v>92.814999999999984</v>
      </c>
      <c r="AH70" s="14">
        <f>SUMIFS('Bill Credit Rates'!$K:$K,'Bill Credit Rates'!$A:$A,$A$4,'Bill Credit Rates'!$B:$B,$G70,'Bill Credit Rates'!$C:$C,$M70)</f>
        <v>92.814999999999984</v>
      </c>
      <c r="AI70" s="14">
        <f>SUMIFS('Bill Credit Rates'!$K:$K,'Bill Credit Rates'!$A:$A,$A$4,'Bill Credit Rates'!$B:$B,$G70,'Bill Credit Rates'!$C:$C,$M70)</f>
        <v>92.814999999999984</v>
      </c>
      <c r="AJ70" s="14">
        <f>SUMIFS('Bill Credit Rates'!$K:$K,'Bill Credit Rates'!$A:$A,$A$4,'Bill Credit Rates'!$B:$B,$G70,'Bill Credit Rates'!$C:$C,$M70)</f>
        <v>92.814999999999984</v>
      </c>
      <c r="AK70" s="14">
        <f>SUMIFS('Bill Credit Rates'!$K:$K,'Bill Credit Rates'!$A:$A,$A$4,'Bill Credit Rates'!$B:$B,$G70,'Bill Credit Rates'!$C:$C,$M70)</f>
        <v>92.814999999999984</v>
      </c>
      <c r="AL70" s="14">
        <f>SUMIFS('Bill Credit Rates'!$K:$K,'Bill Credit Rates'!$A:$A,$A$4,'Bill Credit Rates'!$B:$B,$G70,'Bill Credit Rates'!$C:$C,$M70)</f>
        <v>92.814999999999984</v>
      </c>
      <c r="AM70" s="14">
        <f>SUMIFS('Bill Credit Rates'!$K:$K,'Bill Credit Rates'!$A:$A,$A$4,'Bill Credit Rates'!$B:$B,$G70,'Bill Credit Rates'!$C:$C,$M70)</f>
        <v>92.814999999999984</v>
      </c>
      <c r="AN70" s="14">
        <f>SUMIFS('Bill Credit Rates'!$K:$K,'Bill Credit Rates'!$A:$A,$A$4,'Bill Credit Rates'!$B:$B,$G70,'Bill Credit Rates'!$C:$C,$M70)</f>
        <v>92.814999999999984</v>
      </c>
      <c r="AP70" s="63">
        <v>2043</v>
      </c>
      <c r="AQ70" s="288">
        <v>69.088059268652785</v>
      </c>
      <c r="AR70" s="288">
        <v>69.088059268652785</v>
      </c>
      <c r="AS70" s="288">
        <v>69.088059268652785</v>
      </c>
      <c r="AT70" s="288">
        <v>69.088059268652785</v>
      </c>
      <c r="AU70" s="288">
        <v>69.088059268652785</v>
      </c>
      <c r="AV70" s="288">
        <v>69.088059268652785</v>
      </c>
      <c r="AW70" s="288">
        <v>69.088059268652785</v>
      </c>
      <c r="AX70" s="288">
        <v>69.088059268652785</v>
      </c>
      <c r="AY70" s="288">
        <v>69.088059268652785</v>
      </c>
      <c r="AZ70" s="288">
        <v>69.088059268652785</v>
      </c>
      <c r="BA70" s="288">
        <v>69.088059268652785</v>
      </c>
      <c r="BB70" s="288">
        <v>69.088059268652785</v>
      </c>
      <c r="BD70" s="63">
        <v>2043</v>
      </c>
      <c r="BE70" s="288">
        <v>58.805865043740496</v>
      </c>
      <c r="BF70" s="288">
        <v>58.805865043740496</v>
      </c>
      <c r="BG70" s="288">
        <v>58.805865043740496</v>
      </c>
      <c r="BH70" s="288">
        <v>58.805865043740496</v>
      </c>
      <c r="BI70" s="288">
        <v>58.805865043740496</v>
      </c>
      <c r="BJ70" s="288">
        <v>58.805865043740496</v>
      </c>
      <c r="BK70" s="288">
        <v>58.805865043740496</v>
      </c>
      <c r="BL70" s="288">
        <v>58.805865043740496</v>
      </c>
      <c r="BM70" s="288">
        <v>58.805865043740496</v>
      </c>
      <c r="BN70" s="288">
        <v>58.805865043740496</v>
      </c>
      <c r="BO70" s="288">
        <v>58.805865043740496</v>
      </c>
      <c r="BP70" s="288">
        <v>58.805865043740496</v>
      </c>
      <c r="BR70" s="52">
        <v>2043</v>
      </c>
      <c r="BS70" s="285">
        <f t="shared" si="28"/>
        <v>67.619174379379601</v>
      </c>
      <c r="BT70" s="285">
        <f t="shared" si="28"/>
        <v>67.619174379379601</v>
      </c>
      <c r="BU70" s="285">
        <f t="shared" si="28"/>
        <v>67.619174379379601</v>
      </c>
      <c r="BV70" s="285">
        <f t="shared" si="28"/>
        <v>67.619174379379601</v>
      </c>
      <c r="BW70" s="285">
        <f t="shared" si="28"/>
        <v>67.619174379379601</v>
      </c>
      <c r="BX70" s="285">
        <f t="shared" si="28"/>
        <v>67.619174379379601</v>
      </c>
      <c r="BY70" s="285">
        <f t="shared" si="28"/>
        <v>67.619174379379601</v>
      </c>
      <c r="BZ70" s="285">
        <f t="shared" si="28"/>
        <v>67.619174379379601</v>
      </c>
      <c r="CA70" s="285">
        <f t="shared" si="28"/>
        <v>67.619174379379601</v>
      </c>
      <c r="CB70" s="285">
        <f t="shared" si="28"/>
        <v>67.619174379379601</v>
      </c>
      <c r="CC70" s="285">
        <f t="shared" si="28"/>
        <v>67.619174379379601</v>
      </c>
      <c r="CD70" s="285">
        <f t="shared" si="28"/>
        <v>67.619174379379601</v>
      </c>
    </row>
    <row r="71" spans="1:82">
      <c r="A71" s="48">
        <v>2044</v>
      </c>
      <c r="B71" s="31" cm="1">
        <f t="array" ref="B71">IF(A71&lt;2021,0,SUMPRODUCT(('Project Operational Timelines'!$AO$20:$AO$49=$A71)*('Project Operational Timelines'!$AP$18:$AY$18=$A$4)*('Project Operational Timelines'!$AP$17:$AY$17=$G71)*'Project Operational Timelines'!$AP43:$AY43))</f>
        <v>18.439999999999998</v>
      </c>
      <c r="C71" s="84">
        <f t="shared" si="12"/>
        <v>3077.4412428666665</v>
      </c>
      <c r="D71" s="89">
        <f t="shared" si="26"/>
        <v>853536.06</v>
      </c>
      <c r="E71" s="89"/>
      <c r="F71" s="89" cm="1">
        <f t="array" ref="F71">IF(A71&lt;2021,0,(-(SUMPRODUCT(('Project Operational Timelines'!$AO$20:$AO$49=$A71)*('Project Operational Timelines'!$AP$18:$AY$18=$A$4)*('Project Operational Timelines'!$AP$19:$AY$19="Non-Carve Out")*('Project Operational Timelines'!$AP$17:$AY$17=$G71)*'Project Operational Timelines'!$AP43:$AY43))*1000*('Program Inputs'!$D$14-'Program Inputs'!$D$6)*$F$4*12)+(-(SUMPRODUCT(('Project Operational Timelines'!$AO$20:$AO$49=$A71)*('Project Operational Timelines'!$AP$18:$AY$18=$A$4)*('Project Operational Timelines'!$AP$19:$AY$19="Carve Out")*('Project Operational Timelines'!$AP$17:$AY$17=$G71)*'Project Operational Timelines'!$AP43:$AY43))*1000*('Program Inputs'!$D$14-'Program Inputs'!$D$7)*$F$4*12))</f>
        <v>-36312.000000000007</v>
      </c>
      <c r="G71" s="79">
        <v>1</v>
      </c>
      <c r="H71" s="328">
        <f t="shared" si="27"/>
        <v>483667.8</v>
      </c>
      <c r="I71" s="69"/>
      <c r="J71" s="69"/>
      <c r="K71" s="104"/>
      <c r="L71" s="75"/>
      <c r="M71">
        <v>26</v>
      </c>
      <c r="N71" s="52">
        <v>2044</v>
      </c>
      <c r="O71" s="18">
        <f t="shared" si="29"/>
        <v>23.112709219341141</v>
      </c>
      <c r="P71" s="18">
        <f t="shared" si="30"/>
        <v>23.112709219341141</v>
      </c>
      <c r="Q71" s="18">
        <f t="shared" si="31"/>
        <v>23.112709219341141</v>
      </c>
      <c r="R71" s="18">
        <f t="shared" si="32"/>
        <v>23.112709219341141</v>
      </c>
      <c r="S71" s="18">
        <f t="shared" si="33"/>
        <v>23.112709219341141</v>
      </c>
      <c r="T71" s="18">
        <f t="shared" si="34"/>
        <v>23.112709219341141</v>
      </c>
      <c r="U71" s="18">
        <f t="shared" si="35"/>
        <v>23.112709219341141</v>
      </c>
      <c r="V71" s="18">
        <f t="shared" si="36"/>
        <v>23.112709219341141</v>
      </c>
      <c r="W71" s="18">
        <f t="shared" si="37"/>
        <v>23.112709219341141</v>
      </c>
      <c r="X71" s="18">
        <f t="shared" si="38"/>
        <v>23.112709219341141</v>
      </c>
      <c r="Y71" s="18">
        <f t="shared" si="39"/>
        <v>23.112709219341141</v>
      </c>
      <c r="Z71" s="18">
        <f t="shared" si="40"/>
        <v>23.112709219341141</v>
      </c>
      <c r="AA71" s="13"/>
      <c r="AB71" s="52">
        <v>2044</v>
      </c>
      <c r="AC71" s="14">
        <f>SUMIFS('Bill Credit Rates'!$K:$K,'Bill Credit Rates'!$A:$A,$A$4,'Bill Credit Rates'!$B:$B,$G71,'Bill Credit Rates'!$C:$C,$M71)</f>
        <v>92.814999999999984</v>
      </c>
      <c r="AD71" s="14">
        <f>SUMIFS('Bill Credit Rates'!$K:$K,'Bill Credit Rates'!$A:$A,$A$4,'Bill Credit Rates'!$B:$B,$G71,'Bill Credit Rates'!$C:$C,$M71)</f>
        <v>92.814999999999984</v>
      </c>
      <c r="AE71" s="14">
        <f>SUMIFS('Bill Credit Rates'!$K:$K,'Bill Credit Rates'!$A:$A,$A$4,'Bill Credit Rates'!$B:$B,$G71,'Bill Credit Rates'!$C:$C,$M71)</f>
        <v>92.814999999999984</v>
      </c>
      <c r="AF71" s="14">
        <f>SUMIFS('Bill Credit Rates'!$K:$K,'Bill Credit Rates'!$A:$A,$A$4,'Bill Credit Rates'!$B:$B,$G71,'Bill Credit Rates'!$C:$C,$M71)</f>
        <v>92.814999999999984</v>
      </c>
      <c r="AG71" s="14">
        <f>SUMIFS('Bill Credit Rates'!$K:$K,'Bill Credit Rates'!$A:$A,$A$4,'Bill Credit Rates'!$B:$B,$G71,'Bill Credit Rates'!$C:$C,$M71)</f>
        <v>92.814999999999984</v>
      </c>
      <c r="AH71" s="14">
        <f>SUMIFS('Bill Credit Rates'!$K:$K,'Bill Credit Rates'!$A:$A,$A$4,'Bill Credit Rates'!$B:$B,$G71,'Bill Credit Rates'!$C:$C,$M71)</f>
        <v>92.814999999999984</v>
      </c>
      <c r="AI71" s="14">
        <f>SUMIFS('Bill Credit Rates'!$K:$K,'Bill Credit Rates'!$A:$A,$A$4,'Bill Credit Rates'!$B:$B,$G71,'Bill Credit Rates'!$C:$C,$M71)</f>
        <v>92.814999999999984</v>
      </c>
      <c r="AJ71" s="14">
        <f>SUMIFS('Bill Credit Rates'!$K:$K,'Bill Credit Rates'!$A:$A,$A$4,'Bill Credit Rates'!$B:$B,$G71,'Bill Credit Rates'!$C:$C,$M71)</f>
        <v>92.814999999999984</v>
      </c>
      <c r="AK71" s="14">
        <f>SUMIFS('Bill Credit Rates'!$K:$K,'Bill Credit Rates'!$A:$A,$A$4,'Bill Credit Rates'!$B:$B,$G71,'Bill Credit Rates'!$C:$C,$M71)</f>
        <v>92.814999999999984</v>
      </c>
      <c r="AL71" s="14">
        <f>SUMIFS('Bill Credit Rates'!$K:$K,'Bill Credit Rates'!$A:$A,$A$4,'Bill Credit Rates'!$B:$B,$G71,'Bill Credit Rates'!$C:$C,$M71)</f>
        <v>92.814999999999984</v>
      </c>
      <c r="AM71" s="14">
        <f>SUMIFS('Bill Credit Rates'!$K:$K,'Bill Credit Rates'!$A:$A,$A$4,'Bill Credit Rates'!$B:$B,$G71,'Bill Credit Rates'!$C:$C,$M71)</f>
        <v>92.814999999999984</v>
      </c>
      <c r="AN71" s="14">
        <f>SUMIFS('Bill Credit Rates'!$K:$K,'Bill Credit Rates'!$A:$A,$A$4,'Bill Credit Rates'!$B:$B,$G71,'Bill Credit Rates'!$C:$C,$M71)</f>
        <v>92.814999999999984</v>
      </c>
      <c r="AP71" s="63">
        <v>2044</v>
      </c>
      <c r="AQ71" s="288">
        <v>71.204466852473715</v>
      </c>
      <c r="AR71" s="288">
        <v>71.204466852473715</v>
      </c>
      <c r="AS71" s="288">
        <v>71.204466852473715</v>
      </c>
      <c r="AT71" s="288">
        <v>71.204466852473715</v>
      </c>
      <c r="AU71" s="288">
        <v>71.204466852473715</v>
      </c>
      <c r="AV71" s="288">
        <v>71.204466852473715</v>
      </c>
      <c r="AW71" s="288">
        <v>71.204466852473715</v>
      </c>
      <c r="AX71" s="288">
        <v>71.204466852473715</v>
      </c>
      <c r="AY71" s="288">
        <v>71.204466852473715</v>
      </c>
      <c r="AZ71" s="288">
        <v>71.204466852473715</v>
      </c>
      <c r="BA71" s="288">
        <v>71.204466852473715</v>
      </c>
      <c r="BB71" s="288">
        <v>71.204466852473715</v>
      </c>
      <c r="BD71" s="63">
        <v>2044</v>
      </c>
      <c r="BE71" s="288">
        <v>60.689234349769571</v>
      </c>
      <c r="BF71" s="288">
        <v>60.689234349769571</v>
      </c>
      <c r="BG71" s="288">
        <v>60.689234349769571</v>
      </c>
      <c r="BH71" s="288">
        <v>60.689234349769571</v>
      </c>
      <c r="BI71" s="288">
        <v>60.689234349769571</v>
      </c>
      <c r="BJ71" s="288">
        <v>60.689234349769571</v>
      </c>
      <c r="BK71" s="288">
        <v>60.689234349769571</v>
      </c>
      <c r="BL71" s="288">
        <v>60.689234349769571</v>
      </c>
      <c r="BM71" s="288">
        <v>60.689234349769571</v>
      </c>
      <c r="BN71" s="288">
        <v>60.689234349769571</v>
      </c>
      <c r="BO71" s="288">
        <v>60.689234349769571</v>
      </c>
      <c r="BP71" s="288">
        <v>60.689234349769571</v>
      </c>
      <c r="BR71" s="135">
        <v>2044</v>
      </c>
      <c r="BS71" s="285">
        <f t="shared" si="28"/>
        <v>69.702290780658842</v>
      </c>
      <c r="BT71" s="285">
        <f t="shared" si="28"/>
        <v>69.702290780658842</v>
      </c>
      <c r="BU71" s="285">
        <f t="shared" si="28"/>
        <v>69.702290780658842</v>
      </c>
      <c r="BV71" s="285">
        <f t="shared" si="28"/>
        <v>69.702290780658842</v>
      </c>
      <c r="BW71" s="285">
        <f t="shared" si="28"/>
        <v>69.702290780658842</v>
      </c>
      <c r="BX71" s="285">
        <f t="shared" si="28"/>
        <v>69.702290780658842</v>
      </c>
      <c r="BY71" s="285">
        <f t="shared" si="28"/>
        <v>69.702290780658842</v>
      </c>
      <c r="BZ71" s="285">
        <f t="shared" si="28"/>
        <v>69.702290780658842</v>
      </c>
      <c r="CA71" s="285">
        <f t="shared" si="28"/>
        <v>69.702290780658842</v>
      </c>
      <c r="CB71" s="285">
        <f t="shared" si="28"/>
        <v>69.702290780658842</v>
      </c>
      <c r="CC71" s="285">
        <f t="shared" si="28"/>
        <v>69.702290780658842</v>
      </c>
      <c r="CD71" s="285">
        <f t="shared" si="28"/>
        <v>69.702290780658842</v>
      </c>
    </row>
    <row r="72" spans="1:82">
      <c r="A72" s="48">
        <v>2045</v>
      </c>
      <c r="B72" s="31" cm="1">
        <f t="array" ref="B72">IF(A72&lt;2021,0,SUMPRODUCT(('Project Operational Timelines'!$AO$20:$AO$49=$A72)*('Project Operational Timelines'!$AP$18:$AY$18=$A$4)*('Project Operational Timelines'!$AP$17:$AY$17=$G72)*'Project Operational Timelines'!$AP44:$AY44))</f>
        <v>9.629999999999999</v>
      </c>
      <c r="C72" s="84">
        <f t="shared" si="12"/>
        <v>1607.14529115</v>
      </c>
      <c r="D72" s="89">
        <f t="shared" si="26"/>
        <v>387323.01</v>
      </c>
      <c r="E72" s="89"/>
      <c r="F72" s="89" cm="1">
        <f t="array" ref="F72">IF(A72&lt;2021,0,(-(SUMPRODUCT(('Project Operational Timelines'!$AO$20:$AO$49=$A72)*('Project Operational Timelines'!$AP$18:$AY$18=$A$4)*('Project Operational Timelines'!$AP$19:$AY$19="Non-Carve Out")*('Project Operational Timelines'!$AP$17:$AY$17=$G72)*'Project Operational Timelines'!$AP44:$AY44))*1000*('Program Inputs'!$D$14-'Program Inputs'!$D$6)*$F$4*12)+(-(SUMPRODUCT(('Project Operational Timelines'!$AO$20:$AO$49=$A72)*('Project Operational Timelines'!$AP$18:$AY$18=$A$4)*('Project Operational Timelines'!$AP$19:$AY$19="Carve Out")*('Project Operational Timelines'!$AP$17:$AY$17=$G72)*'Project Operational Timelines'!$AP44:$AY44))*1000*('Program Inputs'!$D$14-'Program Inputs'!$D$7)*$F$4*12))</f>
        <v>-18656.400000000001</v>
      </c>
      <c r="G72" s="79">
        <v>1</v>
      </c>
      <c r="H72" s="328">
        <f t="shared" si="27"/>
        <v>213336.35</v>
      </c>
      <c r="I72" s="69"/>
      <c r="J72" s="69"/>
      <c r="K72" s="104"/>
      <c r="L72" s="75"/>
      <c r="M72">
        <v>27</v>
      </c>
      <c r="N72" s="52">
        <v>2045</v>
      </c>
      <c r="O72" s="18">
        <f t="shared" ref="O72:O77" si="41">(AC72-BS72)</f>
        <v>20.08338510937017</v>
      </c>
      <c r="P72" s="18">
        <f t="shared" ref="P72:P77" si="42">(AD72-BT72)</f>
        <v>20.08338510937017</v>
      </c>
      <c r="Q72" s="18">
        <f t="shared" ref="Q72:Q77" si="43">(AE72-BU72)</f>
        <v>20.08338510937017</v>
      </c>
      <c r="R72" s="18">
        <f t="shared" ref="R72:R77" si="44">(AF72-BV72)</f>
        <v>20.08338510937017</v>
      </c>
      <c r="S72" s="18">
        <f t="shared" ref="S72:S77" si="45">(AG72-BW72)</f>
        <v>20.08338510937017</v>
      </c>
      <c r="T72" s="18">
        <f t="shared" ref="T72:T77" si="46">(AH72-BX72)</f>
        <v>20.08338510937017</v>
      </c>
      <c r="U72" s="18">
        <f t="shared" ref="U72:U77" si="47">(AI72-BY72)</f>
        <v>20.08338510937017</v>
      </c>
      <c r="V72" s="18">
        <f t="shared" ref="V72:V77" si="48">(AJ72-BZ72)</f>
        <v>20.08338510937017</v>
      </c>
      <c r="W72" s="18">
        <f t="shared" ref="W72:W77" si="49">(AK72-CA72)</f>
        <v>20.08338510937017</v>
      </c>
      <c r="X72" s="18">
        <f t="shared" ref="X72:X77" si="50">(AL72-CB72)</f>
        <v>20.08338510937017</v>
      </c>
      <c r="Y72" s="18">
        <f t="shared" ref="Y72:Y77" si="51">(AM72-CC72)</f>
        <v>20.08338510937017</v>
      </c>
      <c r="Z72" s="18">
        <f t="shared" ref="Z72:Z77" si="52">(AN72-CD72)</f>
        <v>20.08338510937017</v>
      </c>
      <c r="AA72" s="13"/>
      <c r="AB72" s="52">
        <v>2045</v>
      </c>
      <c r="AC72" s="14">
        <f>SUMIFS('Bill Credit Rates'!$K:$K,'Bill Credit Rates'!$A:$A,$A$4,'Bill Credit Rates'!$B:$B,$G72,'Bill Credit Rates'!$C:$C,$M72)</f>
        <v>92.814999999999984</v>
      </c>
      <c r="AD72" s="14">
        <f>SUMIFS('Bill Credit Rates'!$K:$K,'Bill Credit Rates'!$A:$A,$A$4,'Bill Credit Rates'!$B:$B,$G72,'Bill Credit Rates'!$C:$C,$M72)</f>
        <v>92.814999999999984</v>
      </c>
      <c r="AE72" s="14">
        <f>SUMIFS('Bill Credit Rates'!$K:$K,'Bill Credit Rates'!$A:$A,$A$4,'Bill Credit Rates'!$B:$B,$G72,'Bill Credit Rates'!$C:$C,$M72)</f>
        <v>92.814999999999984</v>
      </c>
      <c r="AF72" s="14">
        <f>SUMIFS('Bill Credit Rates'!$K:$K,'Bill Credit Rates'!$A:$A,$A$4,'Bill Credit Rates'!$B:$B,$G72,'Bill Credit Rates'!$C:$C,$M72)</f>
        <v>92.814999999999984</v>
      </c>
      <c r="AG72" s="14">
        <f>SUMIFS('Bill Credit Rates'!$K:$K,'Bill Credit Rates'!$A:$A,$A$4,'Bill Credit Rates'!$B:$B,$G72,'Bill Credit Rates'!$C:$C,$M72)</f>
        <v>92.814999999999984</v>
      </c>
      <c r="AH72" s="14">
        <f>SUMIFS('Bill Credit Rates'!$K:$K,'Bill Credit Rates'!$A:$A,$A$4,'Bill Credit Rates'!$B:$B,$G72,'Bill Credit Rates'!$C:$C,$M72)</f>
        <v>92.814999999999984</v>
      </c>
      <c r="AI72" s="14">
        <f>SUMIFS('Bill Credit Rates'!$K:$K,'Bill Credit Rates'!$A:$A,$A$4,'Bill Credit Rates'!$B:$B,$G72,'Bill Credit Rates'!$C:$C,$M72)</f>
        <v>92.814999999999984</v>
      </c>
      <c r="AJ72" s="14">
        <f>SUMIFS('Bill Credit Rates'!$K:$K,'Bill Credit Rates'!$A:$A,$A$4,'Bill Credit Rates'!$B:$B,$G72,'Bill Credit Rates'!$C:$C,$M72)</f>
        <v>92.814999999999984</v>
      </c>
      <c r="AK72" s="14">
        <f>SUMIFS('Bill Credit Rates'!$K:$K,'Bill Credit Rates'!$A:$A,$A$4,'Bill Credit Rates'!$B:$B,$G72,'Bill Credit Rates'!$C:$C,$M72)</f>
        <v>92.814999999999984</v>
      </c>
      <c r="AL72" s="14">
        <f>SUMIFS('Bill Credit Rates'!$K:$K,'Bill Credit Rates'!$A:$A,$A$4,'Bill Credit Rates'!$B:$B,$G72,'Bill Credit Rates'!$C:$C,$M72)</f>
        <v>92.814999999999984</v>
      </c>
      <c r="AM72" s="14">
        <f>SUMIFS('Bill Credit Rates'!$K:$K,'Bill Credit Rates'!$A:$A,$A$4,'Bill Credit Rates'!$B:$B,$G72,'Bill Credit Rates'!$C:$C,$M72)</f>
        <v>92.814999999999984</v>
      </c>
      <c r="AN72" s="14">
        <f>SUMIFS('Bill Credit Rates'!$K:$K,'Bill Credit Rates'!$A:$A,$A$4,'Bill Credit Rates'!$B:$B,$G72,'Bill Credit Rates'!$C:$C,$M72)</f>
        <v>92.814999999999984</v>
      </c>
      <c r="AP72" s="63">
        <v>2045</v>
      </c>
      <c r="AQ72" s="286">
        <v>74.267879008398282</v>
      </c>
      <c r="AR72" s="286">
        <v>74.267879008398282</v>
      </c>
      <c r="AS72" s="286">
        <v>74.267879008398282</v>
      </c>
      <c r="AT72" s="286">
        <v>74.267879008398282</v>
      </c>
      <c r="AU72" s="286">
        <v>74.267879008398282</v>
      </c>
      <c r="AV72" s="286">
        <v>74.267879008398282</v>
      </c>
      <c r="AW72" s="286">
        <v>74.267879008398282</v>
      </c>
      <c r="AX72" s="286">
        <v>74.267879008398282</v>
      </c>
      <c r="AY72" s="286">
        <v>74.267879008398282</v>
      </c>
      <c r="AZ72" s="286">
        <v>74.267879008398282</v>
      </c>
      <c r="BA72" s="286">
        <v>74.267879008398282</v>
      </c>
      <c r="BB72" s="286">
        <v>74.267879008398282</v>
      </c>
      <c r="BD72" s="63">
        <v>2045</v>
      </c>
      <c r="BE72" s="286">
        <v>63.514030184018949</v>
      </c>
      <c r="BF72" s="286">
        <v>63.514030184018949</v>
      </c>
      <c r="BG72" s="286">
        <v>63.514030184018949</v>
      </c>
      <c r="BH72" s="286">
        <v>63.514030184018949</v>
      </c>
      <c r="BI72" s="286">
        <v>63.514030184018949</v>
      </c>
      <c r="BJ72" s="286">
        <v>63.514030184018949</v>
      </c>
      <c r="BK72" s="286">
        <v>63.514030184018949</v>
      </c>
      <c r="BL72" s="286">
        <v>63.514030184018949</v>
      </c>
      <c r="BM72" s="286">
        <v>63.514030184018949</v>
      </c>
      <c r="BN72" s="286">
        <v>63.514030184018949</v>
      </c>
      <c r="BO72" s="286">
        <v>63.514030184018949</v>
      </c>
      <c r="BP72" s="286">
        <v>63.514030184018949</v>
      </c>
      <c r="BR72" s="52">
        <v>2045</v>
      </c>
      <c r="BS72" s="285">
        <f t="shared" si="28"/>
        <v>72.731614890629814</v>
      </c>
      <c r="BT72" s="285">
        <f t="shared" si="28"/>
        <v>72.731614890629814</v>
      </c>
      <c r="BU72" s="285">
        <f t="shared" si="28"/>
        <v>72.731614890629814</v>
      </c>
      <c r="BV72" s="285">
        <f t="shared" si="28"/>
        <v>72.731614890629814</v>
      </c>
      <c r="BW72" s="285">
        <f t="shared" si="28"/>
        <v>72.731614890629814</v>
      </c>
      <c r="BX72" s="285">
        <f t="shared" si="28"/>
        <v>72.731614890629814</v>
      </c>
      <c r="BY72" s="285">
        <f t="shared" si="28"/>
        <v>72.731614890629814</v>
      </c>
      <c r="BZ72" s="285">
        <f t="shared" si="28"/>
        <v>72.731614890629814</v>
      </c>
      <c r="CA72" s="285">
        <f t="shared" si="28"/>
        <v>72.731614890629814</v>
      </c>
      <c r="CB72" s="285">
        <f t="shared" si="28"/>
        <v>72.731614890629814</v>
      </c>
      <c r="CC72" s="285">
        <f t="shared" si="28"/>
        <v>72.731614890629814</v>
      </c>
      <c r="CD72" s="285">
        <f t="shared" si="28"/>
        <v>72.731614890629814</v>
      </c>
    </row>
    <row r="73" spans="1:82">
      <c r="A73" s="48">
        <v>2046</v>
      </c>
      <c r="B73" s="31" cm="1">
        <f t="array" ref="B73">IF(A73&lt;2021,0,SUMPRODUCT(('Project Operational Timelines'!$AO$20:$AO$49=$A73)*('Project Operational Timelines'!$AP$18:$AY$18=$A$4)*('Project Operational Timelines'!$AP$17:$AY$17=$G73)*'Project Operational Timelines'!$AP45:$AY45))</f>
        <v>1.43</v>
      </c>
      <c r="C73" s="84">
        <f t="shared" si="12"/>
        <v>238.65189681666666</v>
      </c>
      <c r="D73" s="89">
        <f t="shared" si="26"/>
        <v>51772.87</v>
      </c>
      <c r="E73" s="89"/>
      <c r="F73" s="89" cm="1">
        <f t="array" ref="F73">IF(A73&lt;2021,0,(-(SUMPRODUCT(('Project Operational Timelines'!$AO$20:$AO$49=$A73)*('Project Operational Timelines'!$AP$18:$AY$18=$A$4)*('Project Operational Timelines'!$AP$19:$AY$19="Non-Carve Out")*('Project Operational Timelines'!$AP$17:$AY$17=$G73)*'Project Operational Timelines'!$AP45:$AY45))*1000*('Program Inputs'!$D$14-'Program Inputs'!$D$6)*$F$4*12)+(-(SUMPRODUCT(('Project Operational Timelines'!$AO$20:$AO$49=$A73)*('Project Operational Timelines'!$AP$18:$AY$18=$A$4)*('Project Operational Timelines'!$AP$19:$AY$19="Carve Out")*('Project Operational Timelines'!$AP$17:$AY$17=$G73)*'Project Operational Timelines'!$AP45:$AY45))*1000*('Program Inputs'!$D$14-'Program Inputs'!$D$7)*$F$4*12))</f>
        <v>-2917.2000000000003</v>
      </c>
      <c r="G73" s="79">
        <v>1</v>
      </c>
      <c r="H73" s="328">
        <f t="shared" si="27"/>
        <v>27717.88</v>
      </c>
      <c r="I73" s="69"/>
      <c r="J73" s="69"/>
      <c r="K73" s="104"/>
      <c r="L73" s="75"/>
      <c r="M73">
        <v>28</v>
      </c>
      <c r="N73" s="52">
        <v>2046</v>
      </c>
      <c r="O73" s="18">
        <f t="shared" si="41"/>
        <v>18.078236780641674</v>
      </c>
      <c r="P73" s="18">
        <f t="shared" si="42"/>
        <v>18.078236780641674</v>
      </c>
      <c r="Q73" s="18">
        <f t="shared" si="43"/>
        <v>18.078236780641674</v>
      </c>
      <c r="R73" s="18">
        <f t="shared" si="44"/>
        <v>18.078236780641674</v>
      </c>
      <c r="S73" s="18">
        <f t="shared" si="45"/>
        <v>18.078236780641674</v>
      </c>
      <c r="T73" s="18">
        <f t="shared" si="46"/>
        <v>18.078236780641674</v>
      </c>
      <c r="U73" s="18">
        <f t="shared" si="47"/>
        <v>18.078236780641674</v>
      </c>
      <c r="V73" s="18">
        <f t="shared" si="48"/>
        <v>18.078236780641674</v>
      </c>
      <c r="W73" s="18">
        <f t="shared" si="49"/>
        <v>18.078236780641674</v>
      </c>
      <c r="X73" s="18">
        <f t="shared" si="50"/>
        <v>18.078236780641674</v>
      </c>
      <c r="Y73" s="18">
        <f t="shared" si="51"/>
        <v>18.078236780641674</v>
      </c>
      <c r="Z73" s="18">
        <f t="shared" si="52"/>
        <v>18.078236780641674</v>
      </c>
      <c r="AA73" s="13"/>
      <c r="AB73" s="52">
        <v>2046</v>
      </c>
      <c r="AC73" s="14">
        <f>SUMIFS('Bill Credit Rates'!$K:$K,'Bill Credit Rates'!$A:$A,$A$4,'Bill Credit Rates'!$B:$B,$G73,'Bill Credit Rates'!$C:$C,$M73)</f>
        <v>92.814999999999984</v>
      </c>
      <c r="AD73" s="14">
        <f>SUMIFS('Bill Credit Rates'!$K:$K,'Bill Credit Rates'!$A:$A,$A$4,'Bill Credit Rates'!$B:$B,$G73,'Bill Credit Rates'!$C:$C,$M73)</f>
        <v>92.814999999999984</v>
      </c>
      <c r="AE73" s="14">
        <f>SUMIFS('Bill Credit Rates'!$K:$K,'Bill Credit Rates'!$A:$A,$A$4,'Bill Credit Rates'!$B:$B,$G73,'Bill Credit Rates'!$C:$C,$M73)</f>
        <v>92.814999999999984</v>
      </c>
      <c r="AF73" s="14">
        <f>SUMIFS('Bill Credit Rates'!$K:$K,'Bill Credit Rates'!$A:$A,$A$4,'Bill Credit Rates'!$B:$B,$G73,'Bill Credit Rates'!$C:$C,$M73)</f>
        <v>92.814999999999984</v>
      </c>
      <c r="AG73" s="14">
        <f>SUMIFS('Bill Credit Rates'!$K:$K,'Bill Credit Rates'!$A:$A,$A$4,'Bill Credit Rates'!$B:$B,$G73,'Bill Credit Rates'!$C:$C,$M73)</f>
        <v>92.814999999999984</v>
      </c>
      <c r="AH73" s="14">
        <f>SUMIFS('Bill Credit Rates'!$K:$K,'Bill Credit Rates'!$A:$A,$A$4,'Bill Credit Rates'!$B:$B,$G73,'Bill Credit Rates'!$C:$C,$M73)</f>
        <v>92.814999999999984</v>
      </c>
      <c r="AI73" s="14">
        <f>SUMIFS('Bill Credit Rates'!$K:$K,'Bill Credit Rates'!$A:$A,$A$4,'Bill Credit Rates'!$B:$B,$G73,'Bill Credit Rates'!$C:$C,$M73)</f>
        <v>92.814999999999984</v>
      </c>
      <c r="AJ73" s="14">
        <f>SUMIFS('Bill Credit Rates'!$K:$K,'Bill Credit Rates'!$A:$A,$A$4,'Bill Credit Rates'!$B:$B,$G73,'Bill Credit Rates'!$C:$C,$M73)</f>
        <v>92.814999999999984</v>
      </c>
      <c r="AK73" s="14">
        <f>SUMIFS('Bill Credit Rates'!$K:$K,'Bill Credit Rates'!$A:$A,$A$4,'Bill Credit Rates'!$B:$B,$G73,'Bill Credit Rates'!$C:$C,$M73)</f>
        <v>92.814999999999984</v>
      </c>
      <c r="AL73" s="14">
        <f>SUMIFS('Bill Credit Rates'!$K:$K,'Bill Credit Rates'!$A:$A,$A$4,'Bill Credit Rates'!$B:$B,$G73,'Bill Credit Rates'!$C:$C,$M73)</f>
        <v>92.814999999999984</v>
      </c>
      <c r="AM73" s="14">
        <f>SUMIFS('Bill Credit Rates'!$K:$K,'Bill Credit Rates'!$A:$A,$A$4,'Bill Credit Rates'!$B:$B,$G73,'Bill Credit Rates'!$C:$C,$M73)</f>
        <v>92.814999999999984</v>
      </c>
      <c r="AN73" s="14">
        <f>SUMIFS('Bill Credit Rates'!$K:$K,'Bill Credit Rates'!$A:$A,$A$4,'Bill Credit Rates'!$B:$B,$G73,'Bill Credit Rates'!$C:$C,$M73)</f>
        <v>92.814999999999984</v>
      </c>
      <c r="AP73" s="63">
        <v>2046</v>
      </c>
      <c r="AQ73" s="287" cm="1">
        <f t="array" ref="AQ73:AQ77">TREND(AQ67:AQ72,$AP67:$AP72,$AP73:$AP77)</f>
        <v>76.304400144787905</v>
      </c>
      <c r="AR73" s="287">
        <v>76.304400144787905</v>
      </c>
      <c r="AS73" s="287">
        <v>76.304400144787905</v>
      </c>
      <c r="AT73" s="287">
        <v>76.304400144787905</v>
      </c>
      <c r="AU73" s="287">
        <v>76.304400144787905</v>
      </c>
      <c r="AV73" s="287">
        <v>76.304400144787905</v>
      </c>
      <c r="AW73" s="287">
        <v>76.304400144787905</v>
      </c>
      <c r="AX73" s="287">
        <v>76.304400144787905</v>
      </c>
      <c r="AY73" s="287">
        <v>76.304400144787905</v>
      </c>
      <c r="AZ73" s="287">
        <v>76.304400144787905</v>
      </c>
      <c r="BA73" s="287">
        <v>76.304400144787905</v>
      </c>
      <c r="BB73" s="287">
        <v>76.304400144787905</v>
      </c>
      <c r="BD73" s="63">
        <v>2046</v>
      </c>
      <c r="BE73" s="287" cm="1">
        <f t="array" ref="BE73:BE77">TREND(BE67:BE72,$AP67:$AP72,$AP73:$AP77)</f>
        <v>65.330941666780745</v>
      </c>
      <c r="BF73" s="287">
        <v>65.330941666780745</v>
      </c>
      <c r="BG73" s="287">
        <v>65.330941666780745</v>
      </c>
      <c r="BH73" s="287">
        <v>65.330941666780745</v>
      </c>
      <c r="BI73" s="287">
        <v>65.330941666780745</v>
      </c>
      <c r="BJ73" s="287">
        <v>65.330941666780745</v>
      </c>
      <c r="BK73" s="287">
        <v>65.330941666780745</v>
      </c>
      <c r="BL73" s="287">
        <v>65.330941666780745</v>
      </c>
      <c r="BM73" s="287">
        <v>65.330941666780745</v>
      </c>
      <c r="BN73" s="287">
        <v>65.330941666780745</v>
      </c>
      <c r="BO73" s="287">
        <v>65.330941666780745</v>
      </c>
      <c r="BP73" s="287">
        <v>65.330941666780745</v>
      </c>
      <c r="BR73" s="135">
        <v>2046</v>
      </c>
      <c r="BS73" s="285">
        <f t="shared" si="28"/>
        <v>74.736763219358309</v>
      </c>
      <c r="BT73" s="285">
        <f t="shared" si="28"/>
        <v>74.736763219358309</v>
      </c>
      <c r="BU73" s="285">
        <f t="shared" si="28"/>
        <v>74.736763219358309</v>
      </c>
      <c r="BV73" s="285">
        <f t="shared" si="28"/>
        <v>74.736763219358309</v>
      </c>
      <c r="BW73" s="285">
        <f t="shared" si="28"/>
        <v>74.736763219358309</v>
      </c>
      <c r="BX73" s="285">
        <f t="shared" si="28"/>
        <v>74.736763219358309</v>
      </c>
      <c r="BY73" s="285">
        <f t="shared" si="28"/>
        <v>74.736763219358309</v>
      </c>
      <c r="BZ73" s="285">
        <f t="shared" si="28"/>
        <v>74.736763219358309</v>
      </c>
      <c r="CA73" s="285">
        <f t="shared" si="28"/>
        <v>74.736763219358309</v>
      </c>
      <c r="CB73" s="285">
        <f t="shared" si="28"/>
        <v>74.736763219358309</v>
      </c>
      <c r="CC73" s="285">
        <f t="shared" si="28"/>
        <v>74.736763219358309</v>
      </c>
      <c r="CD73" s="285">
        <f t="shared" si="28"/>
        <v>74.736763219358309</v>
      </c>
    </row>
    <row r="74" spans="1:82">
      <c r="A74" s="48">
        <v>2047</v>
      </c>
      <c r="B74" s="31" cm="1">
        <f t="array" ref="B74">IF(A74&lt;2021,0,SUMPRODUCT(('Project Operational Timelines'!$AO$20:$AO$49=$A74)*('Project Operational Timelines'!$AP$18:$AY$18=$A$4)*('Project Operational Timelines'!$AP$17:$AY$17=$G74)*'Project Operational Timelines'!$AP46:$AY46))</f>
        <v>0</v>
      </c>
      <c r="C74" s="84">
        <f t="shared" si="12"/>
        <v>0</v>
      </c>
      <c r="D74" s="89">
        <f t="shared" si="26"/>
        <v>0</v>
      </c>
      <c r="E74" s="89"/>
      <c r="F74" s="89" cm="1">
        <f t="array" ref="F74">IF(A74&lt;2021,0,(-(SUMPRODUCT(('Project Operational Timelines'!$AO$20:$AO$49=$A74)*('Project Operational Timelines'!$AP$18:$AY$18=$A$4)*('Project Operational Timelines'!$AP$19:$AY$19="Non-Carve Out")*('Project Operational Timelines'!$AP$17:$AY$17=$G74)*'Project Operational Timelines'!$AP46:$AY46))*1000*('Program Inputs'!$D$14-'Program Inputs'!$D$6)*$F$4*12)+(-(SUMPRODUCT(('Project Operational Timelines'!$AO$20:$AO$49=$A74)*('Project Operational Timelines'!$AP$18:$AY$18=$A$4)*('Project Operational Timelines'!$AP$19:$AY$19="Carve Out")*('Project Operational Timelines'!$AP$17:$AY$17=$G74)*'Project Operational Timelines'!$AP46:$AY46))*1000*('Program Inputs'!$D$14-'Program Inputs'!$D$7)*$F$4*12))</f>
        <v>0</v>
      </c>
      <c r="G74" s="79">
        <v>1</v>
      </c>
      <c r="H74" s="328">
        <f t="shared" si="27"/>
        <v>0</v>
      </c>
      <c r="I74" s="69"/>
      <c r="J74" s="69"/>
      <c r="K74" s="104"/>
      <c r="L74" s="75"/>
      <c r="M74">
        <v>29</v>
      </c>
      <c r="N74" s="52">
        <v>2047</v>
      </c>
      <c r="O74" s="18">
        <f t="shared" si="41"/>
        <v>15.701491058907251</v>
      </c>
      <c r="P74" s="18">
        <f t="shared" si="42"/>
        <v>15.701491058907251</v>
      </c>
      <c r="Q74" s="18">
        <f t="shared" si="43"/>
        <v>15.701491058907251</v>
      </c>
      <c r="R74" s="18">
        <f t="shared" si="44"/>
        <v>15.701491058907251</v>
      </c>
      <c r="S74" s="18">
        <f t="shared" si="45"/>
        <v>15.701491058907251</v>
      </c>
      <c r="T74" s="18">
        <f t="shared" si="46"/>
        <v>15.701491058907251</v>
      </c>
      <c r="U74" s="18">
        <f t="shared" si="47"/>
        <v>15.701491058907251</v>
      </c>
      <c r="V74" s="18">
        <f t="shared" si="48"/>
        <v>15.701491058907251</v>
      </c>
      <c r="W74" s="18">
        <f t="shared" si="49"/>
        <v>15.701491058907251</v>
      </c>
      <c r="X74" s="18">
        <f t="shared" si="50"/>
        <v>15.701491058907251</v>
      </c>
      <c r="Y74" s="18">
        <f t="shared" si="51"/>
        <v>15.701491058907251</v>
      </c>
      <c r="Z74" s="18">
        <f t="shared" si="52"/>
        <v>15.701491058907251</v>
      </c>
      <c r="AA74" s="13"/>
      <c r="AB74" s="52">
        <v>2047</v>
      </c>
      <c r="AC74" s="14">
        <f>SUMIFS('Bill Credit Rates'!$K:$K,'Bill Credit Rates'!$A:$A,$A$4,'Bill Credit Rates'!$B:$B,$G74,'Bill Credit Rates'!$C:$C,$M74)</f>
        <v>92.814999999999984</v>
      </c>
      <c r="AD74" s="14">
        <f>SUMIFS('Bill Credit Rates'!$K:$K,'Bill Credit Rates'!$A:$A,$A$4,'Bill Credit Rates'!$B:$B,$G74,'Bill Credit Rates'!$C:$C,$M74)</f>
        <v>92.814999999999984</v>
      </c>
      <c r="AE74" s="14">
        <f>SUMIFS('Bill Credit Rates'!$K:$K,'Bill Credit Rates'!$A:$A,$A$4,'Bill Credit Rates'!$B:$B,$G74,'Bill Credit Rates'!$C:$C,$M74)</f>
        <v>92.814999999999984</v>
      </c>
      <c r="AF74" s="14">
        <f>SUMIFS('Bill Credit Rates'!$K:$K,'Bill Credit Rates'!$A:$A,$A$4,'Bill Credit Rates'!$B:$B,$G74,'Bill Credit Rates'!$C:$C,$M74)</f>
        <v>92.814999999999984</v>
      </c>
      <c r="AG74" s="14">
        <f>SUMIFS('Bill Credit Rates'!$K:$K,'Bill Credit Rates'!$A:$A,$A$4,'Bill Credit Rates'!$B:$B,$G74,'Bill Credit Rates'!$C:$C,$M74)</f>
        <v>92.814999999999984</v>
      </c>
      <c r="AH74" s="14">
        <f>SUMIFS('Bill Credit Rates'!$K:$K,'Bill Credit Rates'!$A:$A,$A$4,'Bill Credit Rates'!$B:$B,$G74,'Bill Credit Rates'!$C:$C,$M74)</f>
        <v>92.814999999999984</v>
      </c>
      <c r="AI74" s="14">
        <f>SUMIFS('Bill Credit Rates'!$K:$K,'Bill Credit Rates'!$A:$A,$A$4,'Bill Credit Rates'!$B:$B,$G74,'Bill Credit Rates'!$C:$C,$M74)</f>
        <v>92.814999999999984</v>
      </c>
      <c r="AJ74" s="14">
        <f>SUMIFS('Bill Credit Rates'!$K:$K,'Bill Credit Rates'!$A:$A,$A$4,'Bill Credit Rates'!$B:$B,$G74,'Bill Credit Rates'!$C:$C,$M74)</f>
        <v>92.814999999999984</v>
      </c>
      <c r="AK74" s="14">
        <f>SUMIFS('Bill Credit Rates'!$K:$K,'Bill Credit Rates'!$A:$A,$A$4,'Bill Credit Rates'!$B:$B,$G74,'Bill Credit Rates'!$C:$C,$M74)</f>
        <v>92.814999999999984</v>
      </c>
      <c r="AL74" s="14">
        <f>SUMIFS('Bill Credit Rates'!$K:$K,'Bill Credit Rates'!$A:$A,$A$4,'Bill Credit Rates'!$B:$B,$G74,'Bill Credit Rates'!$C:$C,$M74)</f>
        <v>92.814999999999984</v>
      </c>
      <c r="AM74" s="14">
        <f>SUMIFS('Bill Credit Rates'!$K:$K,'Bill Credit Rates'!$A:$A,$A$4,'Bill Credit Rates'!$B:$B,$G74,'Bill Credit Rates'!$C:$C,$M74)</f>
        <v>92.814999999999984</v>
      </c>
      <c r="AN74" s="14">
        <f>SUMIFS('Bill Credit Rates'!$K:$K,'Bill Credit Rates'!$A:$A,$A$4,'Bill Credit Rates'!$B:$B,$G74,'Bill Credit Rates'!$C:$C,$M74)</f>
        <v>92.814999999999984</v>
      </c>
      <c r="AP74" s="63">
        <v>2047</v>
      </c>
      <c r="AQ74" s="286">
        <v>78.71374137465682</v>
      </c>
      <c r="AR74" s="286">
        <v>78.71374137465682</v>
      </c>
      <c r="AS74" s="286">
        <v>78.71374137465682</v>
      </c>
      <c r="AT74" s="286">
        <v>78.71374137465682</v>
      </c>
      <c r="AU74" s="286">
        <v>78.71374137465682</v>
      </c>
      <c r="AV74" s="286">
        <v>78.71374137465682</v>
      </c>
      <c r="AW74" s="286">
        <v>78.71374137465682</v>
      </c>
      <c r="AX74" s="286">
        <v>78.71374137465682</v>
      </c>
      <c r="AY74" s="286">
        <v>78.71374137465682</v>
      </c>
      <c r="AZ74" s="286">
        <v>78.71374137465682</v>
      </c>
      <c r="BA74" s="286">
        <v>78.71374137465682</v>
      </c>
      <c r="BB74" s="286">
        <v>78.71374137465682</v>
      </c>
      <c r="BD74" s="63">
        <v>2047</v>
      </c>
      <c r="BE74" s="286">
        <v>67.512114339708205</v>
      </c>
      <c r="BF74" s="286">
        <v>67.512114339708205</v>
      </c>
      <c r="BG74" s="286">
        <v>67.512114339708205</v>
      </c>
      <c r="BH74" s="286">
        <v>67.512114339708205</v>
      </c>
      <c r="BI74" s="286">
        <v>67.512114339708205</v>
      </c>
      <c r="BJ74" s="286">
        <v>67.512114339708205</v>
      </c>
      <c r="BK74" s="286">
        <v>67.512114339708205</v>
      </c>
      <c r="BL74" s="286">
        <v>67.512114339708205</v>
      </c>
      <c r="BM74" s="286">
        <v>67.512114339708205</v>
      </c>
      <c r="BN74" s="286">
        <v>67.512114339708205</v>
      </c>
      <c r="BO74" s="286">
        <v>67.512114339708205</v>
      </c>
      <c r="BP74" s="286">
        <v>67.512114339708205</v>
      </c>
      <c r="BR74" s="52">
        <v>2047</v>
      </c>
      <c r="BS74" s="285">
        <f t="shared" si="28"/>
        <v>77.113508941092732</v>
      </c>
      <c r="BT74" s="285">
        <f t="shared" si="28"/>
        <v>77.113508941092732</v>
      </c>
      <c r="BU74" s="285">
        <f t="shared" si="28"/>
        <v>77.113508941092732</v>
      </c>
      <c r="BV74" s="285">
        <f t="shared" si="28"/>
        <v>77.113508941092732</v>
      </c>
      <c r="BW74" s="285">
        <f t="shared" si="28"/>
        <v>77.113508941092732</v>
      </c>
      <c r="BX74" s="285">
        <f t="shared" si="28"/>
        <v>77.113508941092732</v>
      </c>
      <c r="BY74" s="285">
        <f t="shared" si="28"/>
        <v>77.113508941092732</v>
      </c>
      <c r="BZ74" s="285">
        <f t="shared" si="28"/>
        <v>77.113508941092732</v>
      </c>
      <c r="CA74" s="285">
        <f t="shared" si="28"/>
        <v>77.113508941092732</v>
      </c>
      <c r="CB74" s="285">
        <f t="shared" si="28"/>
        <v>77.113508941092732</v>
      </c>
      <c r="CC74" s="285">
        <f t="shared" si="28"/>
        <v>77.113508941092732</v>
      </c>
      <c r="CD74" s="285">
        <f t="shared" si="28"/>
        <v>77.113508941092732</v>
      </c>
    </row>
    <row r="75" spans="1:82">
      <c r="A75" s="48">
        <v>2048</v>
      </c>
      <c r="B75" s="31" cm="1">
        <f t="array" ref="B75">IF(A75&lt;2021,0,SUMPRODUCT(('Project Operational Timelines'!$AO$20:$AO$49=$A75)*('Project Operational Timelines'!$AP$18:$AY$18=$A$4)*('Project Operational Timelines'!$AP$17:$AY$17=$G75)*'Project Operational Timelines'!$AP47:$AY47))</f>
        <v>0</v>
      </c>
      <c r="C75" s="84">
        <f t="shared" si="12"/>
        <v>0</v>
      </c>
      <c r="D75" s="89">
        <f t="shared" si="26"/>
        <v>0</v>
      </c>
      <c r="E75" s="89"/>
      <c r="F75" s="89" cm="1">
        <f t="array" ref="F75">IF(A75&lt;2021,0,(-(SUMPRODUCT(('Project Operational Timelines'!$AO$20:$AO$49=$A75)*('Project Operational Timelines'!$AP$18:$AY$18=$A$4)*('Project Operational Timelines'!$AP$19:$AY$19="Non-Carve Out")*('Project Operational Timelines'!$AP$17:$AY$17=$G75)*'Project Operational Timelines'!$AP47:$AY47))*1000*('Program Inputs'!$D$14-'Program Inputs'!$D$6)*$F$4*12)+(-(SUMPRODUCT(('Project Operational Timelines'!$AO$20:$AO$49=$A75)*('Project Operational Timelines'!$AP$18:$AY$18=$A$4)*('Project Operational Timelines'!$AP$19:$AY$19="Carve Out")*('Project Operational Timelines'!$AP$17:$AY$17=$G75)*'Project Operational Timelines'!$AP47:$AY47))*1000*('Program Inputs'!$D$14-'Program Inputs'!$D$7)*$F$4*12))</f>
        <v>0</v>
      </c>
      <c r="G75" s="79">
        <v>1</v>
      </c>
      <c r="H75" s="328">
        <f t="shared" si="27"/>
        <v>0</v>
      </c>
      <c r="I75" s="69"/>
      <c r="J75" s="69"/>
      <c r="K75" s="104"/>
      <c r="L75" s="75"/>
      <c r="M75">
        <v>30</v>
      </c>
      <c r="N75" s="52">
        <v>2048</v>
      </c>
      <c r="O75" s="18">
        <f t="shared" si="41"/>
        <v>13.324745337172828</v>
      </c>
      <c r="P75" s="18">
        <f t="shared" si="42"/>
        <v>13.324745337172828</v>
      </c>
      <c r="Q75" s="18">
        <f t="shared" si="43"/>
        <v>13.324745337172828</v>
      </c>
      <c r="R75" s="18">
        <f t="shared" si="44"/>
        <v>13.324745337172828</v>
      </c>
      <c r="S75" s="18">
        <f t="shared" si="45"/>
        <v>13.324745337172828</v>
      </c>
      <c r="T75" s="18">
        <f t="shared" si="46"/>
        <v>13.324745337172828</v>
      </c>
      <c r="U75" s="18">
        <f t="shared" si="47"/>
        <v>13.324745337172828</v>
      </c>
      <c r="V75" s="18">
        <f t="shared" si="48"/>
        <v>13.324745337172828</v>
      </c>
      <c r="W75" s="18">
        <f t="shared" si="49"/>
        <v>13.324745337172828</v>
      </c>
      <c r="X75" s="18">
        <f t="shared" si="50"/>
        <v>13.324745337172828</v>
      </c>
      <c r="Y75" s="18">
        <f t="shared" si="51"/>
        <v>13.324745337172828</v>
      </c>
      <c r="Z75" s="18">
        <f t="shared" si="52"/>
        <v>13.324745337172828</v>
      </c>
      <c r="AA75" s="13"/>
      <c r="AB75" s="52">
        <v>2048</v>
      </c>
      <c r="AC75" s="14">
        <f>SUMIFS('Bill Credit Rates'!$K:$K,'Bill Credit Rates'!$A:$A,$A$4,'Bill Credit Rates'!$B:$B,$G75,'Bill Credit Rates'!$C:$C,$M75)</f>
        <v>92.814999999999984</v>
      </c>
      <c r="AD75" s="14">
        <f>SUMIFS('Bill Credit Rates'!$K:$K,'Bill Credit Rates'!$A:$A,$A$4,'Bill Credit Rates'!$B:$B,$G75,'Bill Credit Rates'!$C:$C,$M75)</f>
        <v>92.814999999999984</v>
      </c>
      <c r="AE75" s="14">
        <f>SUMIFS('Bill Credit Rates'!$K:$K,'Bill Credit Rates'!$A:$A,$A$4,'Bill Credit Rates'!$B:$B,$G75,'Bill Credit Rates'!$C:$C,$M75)</f>
        <v>92.814999999999984</v>
      </c>
      <c r="AF75" s="14">
        <f>SUMIFS('Bill Credit Rates'!$K:$K,'Bill Credit Rates'!$A:$A,$A$4,'Bill Credit Rates'!$B:$B,$G75,'Bill Credit Rates'!$C:$C,$M75)</f>
        <v>92.814999999999984</v>
      </c>
      <c r="AG75" s="14">
        <f>SUMIFS('Bill Credit Rates'!$K:$K,'Bill Credit Rates'!$A:$A,$A$4,'Bill Credit Rates'!$B:$B,$G75,'Bill Credit Rates'!$C:$C,$M75)</f>
        <v>92.814999999999984</v>
      </c>
      <c r="AH75" s="14">
        <f>SUMIFS('Bill Credit Rates'!$K:$K,'Bill Credit Rates'!$A:$A,$A$4,'Bill Credit Rates'!$B:$B,$G75,'Bill Credit Rates'!$C:$C,$M75)</f>
        <v>92.814999999999984</v>
      </c>
      <c r="AI75" s="14">
        <f>SUMIFS('Bill Credit Rates'!$K:$K,'Bill Credit Rates'!$A:$A,$A$4,'Bill Credit Rates'!$B:$B,$G75,'Bill Credit Rates'!$C:$C,$M75)</f>
        <v>92.814999999999984</v>
      </c>
      <c r="AJ75" s="14">
        <f>SUMIFS('Bill Credit Rates'!$K:$K,'Bill Credit Rates'!$A:$A,$A$4,'Bill Credit Rates'!$B:$B,$G75,'Bill Credit Rates'!$C:$C,$M75)</f>
        <v>92.814999999999984</v>
      </c>
      <c r="AK75" s="14">
        <f>SUMIFS('Bill Credit Rates'!$K:$K,'Bill Credit Rates'!$A:$A,$A$4,'Bill Credit Rates'!$B:$B,$G75,'Bill Credit Rates'!$C:$C,$M75)</f>
        <v>92.814999999999984</v>
      </c>
      <c r="AL75" s="14">
        <f>SUMIFS('Bill Credit Rates'!$K:$K,'Bill Credit Rates'!$A:$A,$A$4,'Bill Credit Rates'!$B:$B,$G75,'Bill Credit Rates'!$C:$C,$M75)</f>
        <v>92.814999999999984</v>
      </c>
      <c r="AM75" s="14">
        <f>SUMIFS('Bill Credit Rates'!$K:$K,'Bill Credit Rates'!$A:$A,$A$4,'Bill Credit Rates'!$B:$B,$G75,'Bill Credit Rates'!$C:$C,$M75)</f>
        <v>92.814999999999984</v>
      </c>
      <c r="AN75" s="14">
        <f>SUMIFS('Bill Credit Rates'!$K:$K,'Bill Credit Rates'!$A:$A,$A$4,'Bill Credit Rates'!$B:$B,$G75,'Bill Credit Rates'!$C:$C,$M75)</f>
        <v>92.814999999999984</v>
      </c>
      <c r="AP75" s="63">
        <v>2048</v>
      </c>
      <c r="AQ75" s="286">
        <v>81.123082604525734</v>
      </c>
      <c r="AR75" s="286">
        <v>81.123082604525734</v>
      </c>
      <c r="AS75" s="286">
        <v>81.123082604525734</v>
      </c>
      <c r="AT75" s="286">
        <v>81.123082604525734</v>
      </c>
      <c r="AU75" s="286">
        <v>81.123082604525734</v>
      </c>
      <c r="AV75" s="286">
        <v>81.123082604525734</v>
      </c>
      <c r="AW75" s="286">
        <v>81.123082604525734</v>
      </c>
      <c r="AX75" s="286">
        <v>81.123082604525734</v>
      </c>
      <c r="AY75" s="286">
        <v>81.123082604525734</v>
      </c>
      <c r="AZ75" s="286">
        <v>81.123082604525734</v>
      </c>
      <c r="BA75" s="286">
        <v>81.123082604525734</v>
      </c>
      <c r="BB75" s="286">
        <v>81.123082604525734</v>
      </c>
      <c r="BD75" s="63">
        <v>2048</v>
      </c>
      <c r="BE75" s="286">
        <v>69.693287012635665</v>
      </c>
      <c r="BF75" s="286">
        <v>69.693287012635665</v>
      </c>
      <c r="BG75" s="286">
        <v>69.693287012635665</v>
      </c>
      <c r="BH75" s="286">
        <v>69.693287012635665</v>
      </c>
      <c r="BI75" s="286">
        <v>69.693287012635665</v>
      </c>
      <c r="BJ75" s="286">
        <v>69.693287012635665</v>
      </c>
      <c r="BK75" s="286">
        <v>69.693287012635665</v>
      </c>
      <c r="BL75" s="286">
        <v>69.693287012635665</v>
      </c>
      <c r="BM75" s="286">
        <v>69.693287012635665</v>
      </c>
      <c r="BN75" s="286">
        <v>69.693287012635665</v>
      </c>
      <c r="BO75" s="286">
        <v>69.693287012635665</v>
      </c>
      <c r="BP75" s="286">
        <v>69.693287012635665</v>
      </c>
      <c r="BR75" s="135">
        <v>2048</v>
      </c>
      <c r="BS75" s="285">
        <f t="shared" si="28"/>
        <v>79.490254662827155</v>
      </c>
      <c r="BT75" s="285">
        <f t="shared" si="28"/>
        <v>79.490254662827155</v>
      </c>
      <c r="BU75" s="285">
        <f t="shared" si="28"/>
        <v>79.490254662827155</v>
      </c>
      <c r="BV75" s="285">
        <f t="shared" si="28"/>
        <v>79.490254662827155</v>
      </c>
      <c r="BW75" s="285">
        <f t="shared" si="28"/>
        <v>79.490254662827155</v>
      </c>
      <c r="BX75" s="285">
        <f t="shared" si="28"/>
        <v>79.490254662827155</v>
      </c>
      <c r="BY75" s="285">
        <f t="shared" si="28"/>
        <v>79.490254662827155</v>
      </c>
      <c r="BZ75" s="285">
        <f t="shared" si="28"/>
        <v>79.490254662827155</v>
      </c>
      <c r="CA75" s="285">
        <f t="shared" si="28"/>
        <v>79.490254662827155</v>
      </c>
      <c r="CB75" s="285">
        <f t="shared" si="28"/>
        <v>79.490254662827155</v>
      </c>
      <c r="CC75" s="285">
        <f t="shared" si="28"/>
        <v>79.490254662827155</v>
      </c>
      <c r="CD75" s="285">
        <f t="shared" si="28"/>
        <v>79.490254662827155</v>
      </c>
    </row>
    <row r="76" spans="1:82">
      <c r="A76" s="48">
        <v>2049</v>
      </c>
      <c r="B76" s="31" cm="1">
        <f t="array" ref="B76">IF(A76&lt;2021,0,SUMPRODUCT(('Project Operational Timelines'!$AO$20:$AO$49=$A76)*('Project Operational Timelines'!$AP$18:$AY$18=$A$4)*('Project Operational Timelines'!$AP$17:$AY$17=$G76)*'Project Operational Timelines'!$AP48:$AY48))</f>
        <v>0</v>
      </c>
      <c r="C76" s="84">
        <f t="shared" si="12"/>
        <v>0</v>
      </c>
      <c r="D76" s="89">
        <f t="shared" si="26"/>
        <v>0</v>
      </c>
      <c r="E76" s="89"/>
      <c r="F76" s="89" cm="1">
        <f t="array" ref="F76">IF(A76&lt;2021,0,(-(SUMPRODUCT(('Project Operational Timelines'!$AO$20:$AO$49=$A76)*('Project Operational Timelines'!$AP$18:$AY$18=$A$4)*('Project Operational Timelines'!$AP$19:$AY$19="Non-Carve Out")*('Project Operational Timelines'!$AP$17:$AY$17=$G76)*'Project Operational Timelines'!$AP48:$AY48))*1000*('Program Inputs'!$D$14-'Program Inputs'!$D$6)*$F$4*12)+(-(SUMPRODUCT(('Project Operational Timelines'!$AO$20:$AO$49=$A76)*('Project Operational Timelines'!$AP$18:$AY$18=$A$4)*('Project Operational Timelines'!$AP$19:$AY$19="Carve Out")*('Project Operational Timelines'!$AP$17:$AY$17=$G76)*'Project Operational Timelines'!$AP48:$AY48))*1000*('Program Inputs'!$D$14-'Program Inputs'!$D$7)*$F$4*12))</f>
        <v>0</v>
      </c>
      <c r="G76" s="79">
        <v>1</v>
      </c>
      <c r="H76" s="328">
        <f t="shared" si="27"/>
        <v>0</v>
      </c>
      <c r="I76" s="69"/>
      <c r="J76" s="69"/>
      <c r="K76" s="104"/>
      <c r="L76" s="75"/>
      <c r="M76">
        <v>31</v>
      </c>
      <c r="N76" s="52">
        <v>2049</v>
      </c>
      <c r="O76" s="18">
        <f t="shared" si="41"/>
        <v>10.94799961543842</v>
      </c>
      <c r="P76" s="18">
        <f t="shared" si="42"/>
        <v>10.94799961543842</v>
      </c>
      <c r="Q76" s="18">
        <f t="shared" si="43"/>
        <v>10.94799961543842</v>
      </c>
      <c r="R76" s="18">
        <f t="shared" si="44"/>
        <v>10.94799961543842</v>
      </c>
      <c r="S76" s="18">
        <f t="shared" si="45"/>
        <v>10.94799961543842</v>
      </c>
      <c r="T76" s="18">
        <f t="shared" si="46"/>
        <v>10.94799961543842</v>
      </c>
      <c r="U76" s="18">
        <f t="shared" si="47"/>
        <v>10.94799961543842</v>
      </c>
      <c r="V76" s="18">
        <f t="shared" si="48"/>
        <v>10.94799961543842</v>
      </c>
      <c r="W76" s="18">
        <f t="shared" si="49"/>
        <v>10.94799961543842</v>
      </c>
      <c r="X76" s="18">
        <f t="shared" si="50"/>
        <v>10.94799961543842</v>
      </c>
      <c r="Y76" s="18">
        <f t="shared" si="51"/>
        <v>10.94799961543842</v>
      </c>
      <c r="Z76" s="18">
        <f t="shared" si="52"/>
        <v>10.94799961543842</v>
      </c>
      <c r="AA76" s="13"/>
      <c r="AB76" s="52">
        <v>2049</v>
      </c>
      <c r="AC76" s="14">
        <f>SUMIFS('Bill Credit Rates'!$K:$K,'Bill Credit Rates'!$A:$A,$A$4,'Bill Credit Rates'!$B:$B,$G76,'Bill Credit Rates'!$C:$C,$M76)</f>
        <v>92.814999999999984</v>
      </c>
      <c r="AD76" s="14">
        <f>SUMIFS('Bill Credit Rates'!$K:$K,'Bill Credit Rates'!$A:$A,$A$4,'Bill Credit Rates'!$B:$B,$G76,'Bill Credit Rates'!$C:$C,$M76)</f>
        <v>92.814999999999984</v>
      </c>
      <c r="AE76" s="14">
        <f>SUMIFS('Bill Credit Rates'!$K:$K,'Bill Credit Rates'!$A:$A,$A$4,'Bill Credit Rates'!$B:$B,$G76,'Bill Credit Rates'!$C:$C,$M76)</f>
        <v>92.814999999999984</v>
      </c>
      <c r="AF76" s="14">
        <f>SUMIFS('Bill Credit Rates'!$K:$K,'Bill Credit Rates'!$A:$A,$A$4,'Bill Credit Rates'!$B:$B,$G76,'Bill Credit Rates'!$C:$C,$M76)</f>
        <v>92.814999999999984</v>
      </c>
      <c r="AG76" s="14">
        <f>SUMIFS('Bill Credit Rates'!$K:$K,'Bill Credit Rates'!$A:$A,$A$4,'Bill Credit Rates'!$B:$B,$G76,'Bill Credit Rates'!$C:$C,$M76)</f>
        <v>92.814999999999984</v>
      </c>
      <c r="AH76" s="14">
        <f>SUMIFS('Bill Credit Rates'!$K:$K,'Bill Credit Rates'!$A:$A,$A$4,'Bill Credit Rates'!$B:$B,$G76,'Bill Credit Rates'!$C:$C,$M76)</f>
        <v>92.814999999999984</v>
      </c>
      <c r="AI76" s="14">
        <f>SUMIFS('Bill Credit Rates'!$K:$K,'Bill Credit Rates'!$A:$A,$A$4,'Bill Credit Rates'!$B:$B,$G76,'Bill Credit Rates'!$C:$C,$M76)</f>
        <v>92.814999999999984</v>
      </c>
      <c r="AJ76" s="14">
        <f>SUMIFS('Bill Credit Rates'!$K:$K,'Bill Credit Rates'!$A:$A,$A$4,'Bill Credit Rates'!$B:$B,$G76,'Bill Credit Rates'!$C:$C,$M76)</f>
        <v>92.814999999999984</v>
      </c>
      <c r="AK76" s="14">
        <f>SUMIFS('Bill Credit Rates'!$K:$K,'Bill Credit Rates'!$A:$A,$A$4,'Bill Credit Rates'!$B:$B,$G76,'Bill Credit Rates'!$C:$C,$M76)</f>
        <v>92.814999999999984</v>
      </c>
      <c r="AL76" s="14">
        <f>SUMIFS('Bill Credit Rates'!$K:$K,'Bill Credit Rates'!$A:$A,$A$4,'Bill Credit Rates'!$B:$B,$G76,'Bill Credit Rates'!$C:$C,$M76)</f>
        <v>92.814999999999984</v>
      </c>
      <c r="AM76" s="14">
        <f>SUMIFS('Bill Credit Rates'!$K:$K,'Bill Credit Rates'!$A:$A,$A$4,'Bill Credit Rates'!$B:$B,$G76,'Bill Credit Rates'!$C:$C,$M76)</f>
        <v>92.814999999999984</v>
      </c>
      <c r="AN76" s="14">
        <f>SUMIFS('Bill Credit Rates'!$K:$K,'Bill Credit Rates'!$A:$A,$A$4,'Bill Credit Rates'!$B:$B,$G76,'Bill Credit Rates'!$C:$C,$M76)</f>
        <v>92.814999999999984</v>
      </c>
      <c r="AP76" s="63">
        <v>2049</v>
      </c>
      <c r="AQ76" s="286">
        <v>83.532423834394649</v>
      </c>
      <c r="AR76" s="286">
        <v>83.532423834394649</v>
      </c>
      <c r="AS76" s="286">
        <v>83.532423834394649</v>
      </c>
      <c r="AT76" s="286">
        <v>83.532423834394649</v>
      </c>
      <c r="AU76" s="286">
        <v>83.532423834394649</v>
      </c>
      <c r="AV76" s="286">
        <v>83.532423834394649</v>
      </c>
      <c r="AW76" s="286">
        <v>83.532423834394649</v>
      </c>
      <c r="AX76" s="286">
        <v>83.532423834394649</v>
      </c>
      <c r="AY76" s="286">
        <v>83.532423834394649</v>
      </c>
      <c r="AZ76" s="286">
        <v>83.532423834394649</v>
      </c>
      <c r="BA76" s="286">
        <v>83.532423834394649</v>
      </c>
      <c r="BB76" s="286">
        <v>83.532423834394649</v>
      </c>
      <c r="BD76" s="63">
        <v>2049</v>
      </c>
      <c r="BE76" s="286">
        <v>71.874459685563124</v>
      </c>
      <c r="BF76" s="286">
        <v>71.874459685563124</v>
      </c>
      <c r="BG76" s="286">
        <v>71.874459685563124</v>
      </c>
      <c r="BH76" s="286">
        <v>71.874459685563124</v>
      </c>
      <c r="BI76" s="286">
        <v>71.874459685563124</v>
      </c>
      <c r="BJ76" s="286">
        <v>71.874459685563124</v>
      </c>
      <c r="BK76" s="286">
        <v>71.874459685563124</v>
      </c>
      <c r="BL76" s="286">
        <v>71.874459685563124</v>
      </c>
      <c r="BM76" s="286">
        <v>71.874459685563124</v>
      </c>
      <c r="BN76" s="286">
        <v>71.874459685563124</v>
      </c>
      <c r="BO76" s="286">
        <v>71.874459685563124</v>
      </c>
      <c r="BP76" s="286">
        <v>71.874459685563124</v>
      </c>
      <c r="BR76" s="52">
        <v>2049</v>
      </c>
      <c r="BS76" s="285">
        <f t="shared" si="28"/>
        <v>81.867000384561564</v>
      </c>
      <c r="BT76" s="285">
        <f t="shared" si="28"/>
        <v>81.867000384561564</v>
      </c>
      <c r="BU76" s="285">
        <f t="shared" si="28"/>
        <v>81.867000384561564</v>
      </c>
      <c r="BV76" s="285">
        <f t="shared" si="28"/>
        <v>81.867000384561564</v>
      </c>
      <c r="BW76" s="285">
        <f t="shared" si="28"/>
        <v>81.867000384561564</v>
      </c>
      <c r="BX76" s="285">
        <f t="shared" si="28"/>
        <v>81.867000384561564</v>
      </c>
      <c r="BY76" s="285">
        <f t="shared" si="28"/>
        <v>81.867000384561564</v>
      </c>
      <c r="BZ76" s="285">
        <f t="shared" si="28"/>
        <v>81.867000384561564</v>
      </c>
      <c r="CA76" s="285">
        <f t="shared" si="28"/>
        <v>81.867000384561564</v>
      </c>
      <c r="CB76" s="285">
        <f t="shared" si="28"/>
        <v>81.867000384561564</v>
      </c>
      <c r="CC76" s="285">
        <f t="shared" si="28"/>
        <v>81.867000384561564</v>
      </c>
      <c r="CD76" s="285">
        <f t="shared" si="28"/>
        <v>81.867000384561564</v>
      </c>
    </row>
    <row r="77" spans="1:82">
      <c r="A77" s="48">
        <v>2050</v>
      </c>
      <c r="B77" s="31" cm="1">
        <f t="array" ref="B77">IF(A77&lt;2021,0,SUMPRODUCT(('Project Operational Timelines'!$AO$20:$AO$49=$A77)*('Project Operational Timelines'!$AP$18:$AY$18=$A$4)*('Project Operational Timelines'!$AP$17:$AY$17=$G77)*'Project Operational Timelines'!$AP49:$AY49))</f>
        <v>0</v>
      </c>
      <c r="C77" s="84">
        <f t="shared" si="12"/>
        <v>0</v>
      </c>
      <c r="D77" s="89">
        <f t="shared" si="26"/>
        <v>0</v>
      </c>
      <c r="E77" s="89"/>
      <c r="F77" s="89" cm="1">
        <f t="array" ref="F77">IF(A77&lt;2021,0,(-(SUMPRODUCT(('Project Operational Timelines'!$AO$20:$AO$49=$A77)*('Project Operational Timelines'!$AP$18:$AY$18=$A$4)*('Project Operational Timelines'!$AP$19:$AY$19="Non-Carve Out")*('Project Operational Timelines'!$AP$17:$AY$17=$G77)*'Project Operational Timelines'!$AP49:$AY49))*1000*('Program Inputs'!$D$14-'Program Inputs'!$D$6)*$F$4*12)+(-(SUMPRODUCT(('Project Operational Timelines'!$AO$20:$AO$49=$A77)*('Project Operational Timelines'!$AP$18:$AY$18=$A$4)*('Project Operational Timelines'!$AP$19:$AY$19="Carve Out")*('Project Operational Timelines'!$AP$17:$AY$17=$G77)*'Project Operational Timelines'!$AP49:$AY49))*1000*('Program Inputs'!$D$14-'Program Inputs'!$D$7)*$F$4*12))</f>
        <v>0</v>
      </c>
      <c r="G77" s="79">
        <v>1</v>
      </c>
      <c r="H77" s="328">
        <f t="shared" si="27"/>
        <v>0</v>
      </c>
      <c r="I77" s="69"/>
      <c r="J77" s="69"/>
      <c r="K77" s="104"/>
      <c r="L77" s="75"/>
      <c r="M77">
        <v>32</v>
      </c>
      <c r="N77" s="52">
        <v>2050</v>
      </c>
      <c r="O77" s="18">
        <f t="shared" si="41"/>
        <v>8.5712538937039966</v>
      </c>
      <c r="P77" s="18">
        <f t="shared" si="42"/>
        <v>8.5712538937039966</v>
      </c>
      <c r="Q77" s="18">
        <f t="shared" si="43"/>
        <v>8.5712538937039966</v>
      </c>
      <c r="R77" s="18">
        <f t="shared" si="44"/>
        <v>8.5712538937039966</v>
      </c>
      <c r="S77" s="18">
        <f t="shared" si="45"/>
        <v>8.5712538937039966</v>
      </c>
      <c r="T77" s="18">
        <f t="shared" si="46"/>
        <v>8.5712538937039966</v>
      </c>
      <c r="U77" s="18">
        <f t="shared" si="47"/>
        <v>8.5712538937039966</v>
      </c>
      <c r="V77" s="18">
        <f t="shared" si="48"/>
        <v>8.5712538937039966</v>
      </c>
      <c r="W77" s="18">
        <f t="shared" si="49"/>
        <v>8.5712538937039966</v>
      </c>
      <c r="X77" s="18">
        <f t="shared" si="50"/>
        <v>8.5712538937039966</v>
      </c>
      <c r="Y77" s="18">
        <f t="shared" si="51"/>
        <v>8.5712538937039966</v>
      </c>
      <c r="Z77" s="18">
        <f t="shared" si="52"/>
        <v>8.5712538937039966</v>
      </c>
      <c r="AA77" s="13"/>
      <c r="AB77" s="52">
        <v>2050</v>
      </c>
      <c r="AC77" s="14">
        <f>SUMIFS('Bill Credit Rates'!$K:$K,'Bill Credit Rates'!$A:$A,$A$4,'Bill Credit Rates'!$B:$B,$G77,'Bill Credit Rates'!$C:$C,$M77)</f>
        <v>92.814999999999984</v>
      </c>
      <c r="AD77" s="14">
        <f>SUMIFS('Bill Credit Rates'!$K:$K,'Bill Credit Rates'!$A:$A,$A$4,'Bill Credit Rates'!$B:$B,$G77,'Bill Credit Rates'!$C:$C,$M77)</f>
        <v>92.814999999999984</v>
      </c>
      <c r="AE77" s="14">
        <f>SUMIFS('Bill Credit Rates'!$K:$K,'Bill Credit Rates'!$A:$A,$A$4,'Bill Credit Rates'!$B:$B,$G77,'Bill Credit Rates'!$C:$C,$M77)</f>
        <v>92.814999999999984</v>
      </c>
      <c r="AF77" s="14">
        <f>SUMIFS('Bill Credit Rates'!$K:$K,'Bill Credit Rates'!$A:$A,$A$4,'Bill Credit Rates'!$B:$B,$G77,'Bill Credit Rates'!$C:$C,$M77)</f>
        <v>92.814999999999984</v>
      </c>
      <c r="AG77" s="14">
        <f>SUMIFS('Bill Credit Rates'!$K:$K,'Bill Credit Rates'!$A:$A,$A$4,'Bill Credit Rates'!$B:$B,$G77,'Bill Credit Rates'!$C:$C,$M77)</f>
        <v>92.814999999999984</v>
      </c>
      <c r="AH77" s="14">
        <f>SUMIFS('Bill Credit Rates'!$K:$K,'Bill Credit Rates'!$A:$A,$A$4,'Bill Credit Rates'!$B:$B,$G77,'Bill Credit Rates'!$C:$C,$M77)</f>
        <v>92.814999999999984</v>
      </c>
      <c r="AI77" s="14">
        <f>SUMIFS('Bill Credit Rates'!$K:$K,'Bill Credit Rates'!$A:$A,$A$4,'Bill Credit Rates'!$B:$B,$G77,'Bill Credit Rates'!$C:$C,$M77)</f>
        <v>92.814999999999984</v>
      </c>
      <c r="AJ77" s="14">
        <f>SUMIFS('Bill Credit Rates'!$K:$K,'Bill Credit Rates'!$A:$A,$A$4,'Bill Credit Rates'!$B:$B,$G77,'Bill Credit Rates'!$C:$C,$M77)</f>
        <v>92.814999999999984</v>
      </c>
      <c r="AK77" s="14">
        <f>SUMIFS('Bill Credit Rates'!$K:$K,'Bill Credit Rates'!$A:$A,$A$4,'Bill Credit Rates'!$B:$B,$G77,'Bill Credit Rates'!$C:$C,$M77)</f>
        <v>92.814999999999984</v>
      </c>
      <c r="AL77" s="14">
        <f>SUMIFS('Bill Credit Rates'!$K:$K,'Bill Credit Rates'!$A:$A,$A$4,'Bill Credit Rates'!$B:$B,$G77,'Bill Credit Rates'!$C:$C,$M77)</f>
        <v>92.814999999999984</v>
      </c>
      <c r="AM77" s="14">
        <f>SUMIFS('Bill Credit Rates'!$K:$K,'Bill Credit Rates'!$A:$A,$A$4,'Bill Credit Rates'!$B:$B,$G77,'Bill Credit Rates'!$C:$C,$M77)</f>
        <v>92.814999999999984</v>
      </c>
      <c r="AN77" s="14">
        <f>SUMIFS('Bill Credit Rates'!$K:$K,'Bill Credit Rates'!$A:$A,$A$4,'Bill Credit Rates'!$B:$B,$G77,'Bill Credit Rates'!$C:$C,$M77)</f>
        <v>92.814999999999984</v>
      </c>
      <c r="AP77" s="63">
        <v>2050</v>
      </c>
      <c r="AQ77" s="286">
        <v>85.941765064263564</v>
      </c>
      <c r="AR77" s="286">
        <v>85.941765064263564</v>
      </c>
      <c r="AS77" s="286">
        <v>85.941765064263564</v>
      </c>
      <c r="AT77" s="286">
        <v>85.941765064263564</v>
      </c>
      <c r="AU77" s="286">
        <v>85.941765064263564</v>
      </c>
      <c r="AV77" s="286">
        <v>85.941765064263564</v>
      </c>
      <c r="AW77" s="286">
        <v>85.941765064263564</v>
      </c>
      <c r="AX77" s="286">
        <v>85.941765064263564</v>
      </c>
      <c r="AY77" s="286">
        <v>85.941765064263564</v>
      </c>
      <c r="AZ77" s="286">
        <v>85.941765064263564</v>
      </c>
      <c r="BA77" s="286">
        <v>85.941765064263564</v>
      </c>
      <c r="BB77" s="286">
        <v>85.941765064263564</v>
      </c>
      <c r="BD77" s="63">
        <v>2050</v>
      </c>
      <c r="BE77" s="286">
        <v>74.055632358490584</v>
      </c>
      <c r="BF77" s="286">
        <v>74.055632358490584</v>
      </c>
      <c r="BG77" s="286">
        <v>74.055632358490584</v>
      </c>
      <c r="BH77" s="286">
        <v>74.055632358490584</v>
      </c>
      <c r="BI77" s="286">
        <v>74.055632358490584</v>
      </c>
      <c r="BJ77" s="286">
        <v>74.055632358490584</v>
      </c>
      <c r="BK77" s="286">
        <v>74.055632358490584</v>
      </c>
      <c r="BL77" s="286">
        <v>74.055632358490584</v>
      </c>
      <c r="BM77" s="286">
        <v>74.055632358490584</v>
      </c>
      <c r="BN77" s="286">
        <v>74.055632358490584</v>
      </c>
      <c r="BO77" s="286">
        <v>74.055632358490584</v>
      </c>
      <c r="BP77" s="286">
        <v>74.055632358490584</v>
      </c>
      <c r="BR77" s="52">
        <v>2050</v>
      </c>
      <c r="BS77" s="285">
        <f t="shared" si="28"/>
        <v>84.243746106295987</v>
      </c>
      <c r="BT77" s="285">
        <f t="shared" si="28"/>
        <v>84.243746106295987</v>
      </c>
      <c r="BU77" s="285">
        <f t="shared" si="28"/>
        <v>84.243746106295987</v>
      </c>
      <c r="BV77" s="285">
        <f t="shared" si="28"/>
        <v>84.243746106295987</v>
      </c>
      <c r="BW77" s="285">
        <f t="shared" si="28"/>
        <v>84.243746106295987</v>
      </c>
      <c r="BX77" s="285">
        <f t="shared" si="28"/>
        <v>84.243746106295987</v>
      </c>
      <c r="BY77" s="285">
        <f t="shared" si="28"/>
        <v>84.243746106295987</v>
      </c>
      <c r="BZ77" s="285">
        <f t="shared" si="28"/>
        <v>84.243746106295987</v>
      </c>
      <c r="CA77" s="285">
        <f t="shared" si="28"/>
        <v>84.243746106295987</v>
      </c>
      <c r="CB77" s="285">
        <f t="shared" si="28"/>
        <v>84.243746106295987</v>
      </c>
      <c r="CC77" s="285">
        <f t="shared" si="28"/>
        <v>84.243746106295987</v>
      </c>
      <c r="CD77" s="285">
        <f t="shared" si="28"/>
        <v>84.243746106295987</v>
      </c>
    </row>
    <row r="78" spans="1:82">
      <c r="A78" s="4" t="s">
        <v>10</v>
      </c>
      <c r="B78" s="4"/>
      <c r="C78" s="322"/>
      <c r="D78" s="327">
        <f>SUM(D45:D77)</f>
        <v>34285265.359999985</v>
      </c>
      <c r="E78" s="327"/>
      <c r="F78" s="327">
        <f>SUM(F45:F77)</f>
        <v>-862645.19999999984</v>
      </c>
      <c r="G78" s="5"/>
      <c r="H78" s="327">
        <f>SUM(H45:H77)</f>
        <v>26436844.300000001</v>
      </c>
      <c r="I78" s="105"/>
      <c r="J78" s="105"/>
      <c r="K78" s="104"/>
      <c r="L78" s="73"/>
      <c r="M78" s="10"/>
      <c r="N78" s="16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6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7"/>
    </row>
    <row r="79" spans="1:82">
      <c r="C79" s="32"/>
      <c r="AA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</row>
    <row r="80" spans="1:82" s="9" customFormat="1">
      <c r="A80" s="101" t="str">
        <f>CONCATENATE(A4," Costs - Tier 2")</f>
        <v>PAC Costs - Tier 2</v>
      </c>
      <c r="B80" s="102"/>
      <c r="C80" s="334"/>
      <c r="D80" s="102"/>
      <c r="E80" s="102"/>
      <c r="F80" s="102"/>
      <c r="G80" s="5"/>
      <c r="H80" s="5"/>
      <c r="I80" s="5"/>
      <c r="J80" s="5"/>
      <c r="K80" s="5"/>
      <c r="L80" s="71"/>
      <c r="M80"/>
      <c r="N80" s="365" t="s">
        <v>68</v>
      </c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/>
      <c r="AB80" s="376" t="s">
        <v>69</v>
      </c>
      <c r="AC80" s="377"/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8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</row>
    <row r="81" spans="1:40" ht="45">
      <c r="A81" s="48"/>
      <c r="B81" s="1" t="s">
        <v>18</v>
      </c>
      <c r="C81" s="333" t="s">
        <v>19</v>
      </c>
      <c r="D81" s="1" t="s">
        <v>20</v>
      </c>
      <c r="E81" s="1" t="s">
        <v>53</v>
      </c>
      <c r="F81" s="1" t="s">
        <v>54</v>
      </c>
      <c r="G81" s="72"/>
      <c r="H81" s="1" t="s">
        <v>5</v>
      </c>
      <c r="I81" s="72"/>
      <c r="J81" s="103"/>
      <c r="K81" s="72"/>
      <c r="L81" s="72"/>
      <c r="N81" s="142" t="s">
        <v>55</v>
      </c>
      <c r="O81" s="142" t="s">
        <v>56</v>
      </c>
      <c r="P81" s="12" t="s">
        <v>57</v>
      </c>
      <c r="Q81" s="12" t="s">
        <v>58</v>
      </c>
      <c r="R81" s="12" t="s">
        <v>59</v>
      </c>
      <c r="S81" s="12" t="s">
        <v>60</v>
      </c>
      <c r="T81" s="12" t="s">
        <v>61</v>
      </c>
      <c r="U81" s="12" t="s">
        <v>62</v>
      </c>
      <c r="V81" s="12" t="s">
        <v>63</v>
      </c>
      <c r="W81" s="142" t="s">
        <v>64</v>
      </c>
      <c r="X81" s="142" t="s">
        <v>65</v>
      </c>
      <c r="Y81" s="12" t="s">
        <v>66</v>
      </c>
      <c r="Z81" s="142" t="s">
        <v>67</v>
      </c>
      <c r="AB81" s="49" t="s">
        <v>55</v>
      </c>
      <c r="AC81" s="49" t="s">
        <v>56</v>
      </c>
      <c r="AD81" s="50" t="s">
        <v>57</v>
      </c>
      <c r="AE81" s="50" t="s">
        <v>58</v>
      </c>
      <c r="AF81" s="50" t="s">
        <v>59</v>
      </c>
      <c r="AG81" s="50" t="s">
        <v>60</v>
      </c>
      <c r="AH81" s="50" t="s">
        <v>61</v>
      </c>
      <c r="AI81" s="50" t="s">
        <v>62</v>
      </c>
      <c r="AJ81" s="50" t="s">
        <v>63</v>
      </c>
      <c r="AK81" s="49" t="s">
        <v>64</v>
      </c>
      <c r="AL81" s="49" t="s">
        <v>65</v>
      </c>
      <c r="AM81" s="50" t="s">
        <v>66</v>
      </c>
      <c r="AN81" s="49" t="s">
        <v>67</v>
      </c>
    </row>
    <row r="82" spans="1:40">
      <c r="A82" s="48">
        <v>2018</v>
      </c>
      <c r="B82" s="31" cm="1">
        <f t="array" ref="B82">IF(A82&lt;2021,0,SUMPRODUCT(('Project Operational Timelines'!$AO$20:$AO$49=$A45)*('Project Operational Timelines'!$AP$18:$AY$18=$A$4)*('Project Operational Timelines'!$AP$17:$AY$17=$G82)*'Project Operational Timelines'!$AP17:$AY17))</f>
        <v>0</v>
      </c>
      <c r="C82" s="84">
        <f t="shared" ref="C82:C114" si="53">INDEX($K$3:$K$4,MATCH(G82,$J$3:$J$4,0))/12*B82</f>
        <v>0</v>
      </c>
      <c r="D82" s="89">
        <f>ROUND(C82*SUM(O82:Z82),2)</f>
        <v>0</v>
      </c>
      <c r="E82" s="89"/>
      <c r="F82" s="89" cm="1">
        <f t="array" ref="F82">IF(A82&lt;2021,0,(-(SUMPRODUCT(('Project Operational Timelines'!$AO$20:$AO$49=$A82)*('Project Operational Timelines'!$AP$18:$AY$18=$A$4)*('Project Operational Timelines'!$AP$19:$AY$19="Non-Carve Out")*('Project Operational Timelines'!$AP$17:$AY$17=$G82)*'Project Operational Timelines'!$AP17:$AY17))*1000*('Program Inputs'!$D$14-'Program Inputs'!$D$6)*$F$4*12)+(-(SUMPRODUCT(('Project Operational Timelines'!$AO$20:$AO$49=$A82)*('Project Operational Timelines'!$AP$18:$AY$18=$A$4)*('Project Operational Timelines'!$AP$19:$AY$19="Carve Out")*('Project Operational Timelines'!$AP$17:$AY$17=$G82)*'Project Operational Timelines'!$AP17:$AY17))*1000*('Program Inputs'!$D$14-'Program Inputs'!$D$7)*$F$4*'Program Inputs'!$D$14*12))</f>
        <v>0</v>
      </c>
      <c r="G82" s="335">
        <v>2</v>
      </c>
      <c r="H82" s="328">
        <f>ROUND(SUM(D82)*(1-$C$4)^(A82-$A$88),2)</f>
        <v>0</v>
      </c>
      <c r="I82" s="69"/>
      <c r="J82" s="69"/>
      <c r="K82" s="104"/>
      <c r="L82" s="75">
        <f>IF(AND(A82&gt;=('Program Inputs'!$D$4-1),A82&lt;('Program Inputs'!$D$4+19)),1,0)</f>
        <v>0</v>
      </c>
      <c r="M82">
        <v>0</v>
      </c>
      <c r="N82" s="51">
        <v>2018</v>
      </c>
      <c r="O82" s="18">
        <f t="shared" ref="O82:O103" si="54">(AC82-BS45)</f>
        <v>64.504214285714284</v>
      </c>
      <c r="P82" s="18">
        <f t="shared" ref="P82:P103" si="55">(AD82-BT45)</f>
        <v>64.504214285714284</v>
      </c>
      <c r="Q82" s="18">
        <f t="shared" ref="Q82:Q103" si="56">(AE82-BU45)</f>
        <v>64.504214285714284</v>
      </c>
      <c r="R82" s="18">
        <f t="shared" ref="R82:R103" si="57">(AF82-BV45)</f>
        <v>64.504214285714284</v>
      </c>
      <c r="S82" s="18">
        <f t="shared" ref="S82:S103" si="58">(AG82-BW45)</f>
        <v>64.504214285714284</v>
      </c>
      <c r="T82" s="18">
        <f t="shared" ref="T82:T103" si="59">(AH82-BX45)</f>
        <v>64.504214285714284</v>
      </c>
      <c r="U82" s="18">
        <f t="shared" ref="U82:U103" si="60">(AI82-BY45)</f>
        <v>64.504214285714284</v>
      </c>
      <c r="V82" s="18">
        <f t="shared" ref="V82:V103" si="61">(AJ82-BZ45)</f>
        <v>64.504214285714284</v>
      </c>
      <c r="W82" s="18">
        <f t="shared" ref="W82:W103" si="62">(AK82-CA45)</f>
        <v>64.504214285714284</v>
      </c>
      <c r="X82" s="18">
        <f t="shared" ref="X82:X103" si="63">(AL82-CB45)</f>
        <v>64.504214285714284</v>
      </c>
      <c r="Y82" s="18">
        <f t="shared" ref="Y82:Y103" si="64">(AM82-CC45)</f>
        <v>64.504214285714284</v>
      </c>
      <c r="Z82" s="18">
        <f t="shared" ref="Z82:Z103" si="65">(AN82-CD45)</f>
        <v>64.504214285714284</v>
      </c>
      <c r="AB82" s="52">
        <v>2018</v>
      </c>
      <c r="AC82" s="14">
        <f>SUMIFS('Bill Credit Rates'!$K:$K,'Bill Credit Rates'!$A:$A,$A$4,'Bill Credit Rates'!$B:$B,$G82,'Bill Credit Rates'!$C:$C,$M82)</f>
        <v>88.418499999999995</v>
      </c>
      <c r="AD82" s="14">
        <f>SUMIFS('Bill Credit Rates'!$K:$K,'Bill Credit Rates'!$A:$A,$A$4,'Bill Credit Rates'!$B:$B,$G82,'Bill Credit Rates'!$C:$C,$M82)</f>
        <v>88.418499999999995</v>
      </c>
      <c r="AE82" s="14">
        <f>SUMIFS('Bill Credit Rates'!$K:$K,'Bill Credit Rates'!$A:$A,$A$4,'Bill Credit Rates'!$B:$B,$G82,'Bill Credit Rates'!$C:$C,$M82)</f>
        <v>88.418499999999995</v>
      </c>
      <c r="AF82" s="14">
        <f>SUMIFS('Bill Credit Rates'!$K:$K,'Bill Credit Rates'!$A:$A,$A$4,'Bill Credit Rates'!$B:$B,$G82,'Bill Credit Rates'!$C:$C,$M82)</f>
        <v>88.418499999999995</v>
      </c>
      <c r="AG82" s="14">
        <f>SUMIFS('Bill Credit Rates'!$K:$K,'Bill Credit Rates'!$A:$A,$A$4,'Bill Credit Rates'!$B:$B,$G82,'Bill Credit Rates'!$C:$C,$M82)</f>
        <v>88.418499999999995</v>
      </c>
      <c r="AH82" s="14">
        <f>SUMIFS('Bill Credit Rates'!$K:$K,'Bill Credit Rates'!$A:$A,$A$4,'Bill Credit Rates'!$B:$B,$G82,'Bill Credit Rates'!$C:$C,$M82)</f>
        <v>88.418499999999995</v>
      </c>
      <c r="AI82" s="14">
        <f>SUMIFS('Bill Credit Rates'!$K:$K,'Bill Credit Rates'!$A:$A,$A$4,'Bill Credit Rates'!$B:$B,$G82,'Bill Credit Rates'!$C:$C,$M82)</f>
        <v>88.418499999999995</v>
      </c>
      <c r="AJ82" s="14">
        <f>SUMIFS('Bill Credit Rates'!$K:$K,'Bill Credit Rates'!$A:$A,$A$4,'Bill Credit Rates'!$B:$B,$G82,'Bill Credit Rates'!$C:$C,$M82)</f>
        <v>88.418499999999995</v>
      </c>
      <c r="AK82" s="14">
        <f>SUMIFS('Bill Credit Rates'!$K:$K,'Bill Credit Rates'!$A:$A,$A$4,'Bill Credit Rates'!$B:$B,$G82,'Bill Credit Rates'!$C:$C,$M82)</f>
        <v>88.418499999999995</v>
      </c>
      <c r="AL82" s="14">
        <f>SUMIFS('Bill Credit Rates'!$K:$K,'Bill Credit Rates'!$A:$A,$A$4,'Bill Credit Rates'!$B:$B,$G82,'Bill Credit Rates'!$C:$C,$M82)</f>
        <v>88.418499999999995</v>
      </c>
      <c r="AM82" s="14">
        <f>SUMIFS('Bill Credit Rates'!$K:$K,'Bill Credit Rates'!$A:$A,$A$4,'Bill Credit Rates'!$B:$B,$G82,'Bill Credit Rates'!$C:$C,$M82)</f>
        <v>88.418499999999995</v>
      </c>
      <c r="AN82" s="14">
        <f>SUMIFS('Bill Credit Rates'!$K:$K,'Bill Credit Rates'!$A:$A,$A$4,'Bill Credit Rates'!$B:$B,$G82,'Bill Credit Rates'!$C:$C,$M82)</f>
        <v>88.418499999999995</v>
      </c>
    </row>
    <row r="83" spans="1:40">
      <c r="A83" s="48">
        <v>2019</v>
      </c>
      <c r="B83" s="31" cm="1">
        <f t="array" ref="B83">IF(A83&lt;2021,0,SUMPRODUCT(('Project Operational Timelines'!$AO$20:$AO$49=$A46)*('Project Operational Timelines'!$AP$18:$AY$18=$A$4)*('Project Operational Timelines'!$AP$17:$AY$17=$G83)*'Project Operational Timelines'!$AP18:$AY18))</f>
        <v>0</v>
      </c>
      <c r="C83" s="84">
        <f t="shared" si="53"/>
        <v>0</v>
      </c>
      <c r="D83" s="89">
        <f t="shared" ref="D83:D114" si="66">ROUND(C83*SUM(O83:Z83),2)</f>
        <v>0</v>
      </c>
      <c r="E83" s="89"/>
      <c r="F83" s="89" cm="1">
        <f t="array" ref="F83">IF(A83&lt;2021,0,(-(SUMPRODUCT(('Project Operational Timelines'!$AO$20:$AO$49=$A83)*('Project Operational Timelines'!$AP$18:$AY$18=$A$4)*('Project Operational Timelines'!$AP$19:$AY$19="Non-Carve Out")*('Project Operational Timelines'!$AP$17:$AY$17=$G83)*'Project Operational Timelines'!$AP18:$AY18))*1000*('Program Inputs'!$D$14-'Program Inputs'!$D$6)*$F$4*12)+(-(SUMPRODUCT(('Project Operational Timelines'!$AO$20:$AO$49=$A83)*('Project Operational Timelines'!$AP$18:$AY$18=$A$4)*('Project Operational Timelines'!$AP$19:$AY$19="Carve Out")*('Project Operational Timelines'!$AP$17:$AY$17=$G83)*'Project Operational Timelines'!$AP18:$AY18))*1000*('Program Inputs'!$D$14-'Program Inputs'!$D$7)*$F$4*'Program Inputs'!$D$14*12))</f>
        <v>0</v>
      </c>
      <c r="G83" s="335">
        <v>2</v>
      </c>
      <c r="H83" s="328">
        <f t="shared" ref="H83:H114" si="67">ROUND(SUM(D83)*(1-$C$4)^(A83-$A$88),2)</f>
        <v>0</v>
      </c>
      <c r="I83" s="69"/>
      <c r="J83" s="69"/>
      <c r="K83" s="104"/>
      <c r="L83" s="75">
        <f>IF(AND(A83&gt;=('Program Inputs'!$D$4-1),A83&lt;('Program Inputs'!$D$4+19)),1,0)</f>
        <v>1</v>
      </c>
      <c r="M83">
        <v>1</v>
      </c>
      <c r="N83" s="51">
        <v>2019</v>
      </c>
      <c r="O83" s="18">
        <f t="shared" si="54"/>
        <v>63.918499999999995</v>
      </c>
      <c r="P83" s="18">
        <f t="shared" si="55"/>
        <v>63.918499999999995</v>
      </c>
      <c r="Q83" s="18">
        <f t="shared" si="56"/>
        <v>63.918499999999995</v>
      </c>
      <c r="R83" s="18">
        <f t="shared" si="57"/>
        <v>63.918499999999995</v>
      </c>
      <c r="S83" s="18">
        <f t="shared" si="58"/>
        <v>63.918499999999995</v>
      </c>
      <c r="T83" s="18">
        <f t="shared" si="59"/>
        <v>63.918499999999995</v>
      </c>
      <c r="U83" s="18">
        <f t="shared" si="60"/>
        <v>63.918499999999995</v>
      </c>
      <c r="V83" s="18">
        <f t="shared" si="61"/>
        <v>63.918499999999995</v>
      </c>
      <c r="W83" s="18">
        <f t="shared" si="62"/>
        <v>63.918499999999995</v>
      </c>
      <c r="X83" s="18">
        <f t="shared" si="63"/>
        <v>63.918499999999995</v>
      </c>
      <c r="Y83" s="18">
        <f t="shared" si="64"/>
        <v>63.918499999999995</v>
      </c>
      <c r="Z83" s="18">
        <f t="shared" si="65"/>
        <v>63.918499999999995</v>
      </c>
      <c r="AB83" s="52">
        <v>2019</v>
      </c>
      <c r="AC83" s="14">
        <f>SUMIFS('Bill Credit Rates'!$K:$K,'Bill Credit Rates'!$A:$A,$A$4,'Bill Credit Rates'!$B:$B,$G83,'Bill Credit Rates'!$C:$C,$M83)</f>
        <v>88.418499999999995</v>
      </c>
      <c r="AD83" s="14">
        <f>SUMIFS('Bill Credit Rates'!$K:$K,'Bill Credit Rates'!$A:$A,$A$4,'Bill Credit Rates'!$B:$B,$G83,'Bill Credit Rates'!$C:$C,$M83)</f>
        <v>88.418499999999995</v>
      </c>
      <c r="AE83" s="14">
        <f>SUMIFS('Bill Credit Rates'!$K:$K,'Bill Credit Rates'!$A:$A,$A$4,'Bill Credit Rates'!$B:$B,$G83,'Bill Credit Rates'!$C:$C,$M83)</f>
        <v>88.418499999999995</v>
      </c>
      <c r="AF83" s="14">
        <f>SUMIFS('Bill Credit Rates'!$K:$K,'Bill Credit Rates'!$A:$A,$A$4,'Bill Credit Rates'!$B:$B,$G83,'Bill Credit Rates'!$C:$C,$M83)</f>
        <v>88.418499999999995</v>
      </c>
      <c r="AG83" s="14">
        <f>SUMIFS('Bill Credit Rates'!$K:$K,'Bill Credit Rates'!$A:$A,$A$4,'Bill Credit Rates'!$B:$B,$G83,'Bill Credit Rates'!$C:$C,$M83)</f>
        <v>88.418499999999995</v>
      </c>
      <c r="AH83" s="14">
        <f>SUMIFS('Bill Credit Rates'!$K:$K,'Bill Credit Rates'!$A:$A,$A$4,'Bill Credit Rates'!$B:$B,$G83,'Bill Credit Rates'!$C:$C,$M83)</f>
        <v>88.418499999999995</v>
      </c>
      <c r="AI83" s="14">
        <f>SUMIFS('Bill Credit Rates'!$K:$K,'Bill Credit Rates'!$A:$A,$A$4,'Bill Credit Rates'!$B:$B,$G83,'Bill Credit Rates'!$C:$C,$M83)</f>
        <v>88.418499999999995</v>
      </c>
      <c r="AJ83" s="14">
        <f>SUMIFS('Bill Credit Rates'!$K:$K,'Bill Credit Rates'!$A:$A,$A$4,'Bill Credit Rates'!$B:$B,$G83,'Bill Credit Rates'!$C:$C,$M83)</f>
        <v>88.418499999999995</v>
      </c>
      <c r="AK83" s="14">
        <f>SUMIFS('Bill Credit Rates'!$K:$K,'Bill Credit Rates'!$A:$A,$A$4,'Bill Credit Rates'!$B:$B,$G83,'Bill Credit Rates'!$C:$C,$M83)</f>
        <v>88.418499999999995</v>
      </c>
      <c r="AL83" s="14">
        <f>SUMIFS('Bill Credit Rates'!$K:$K,'Bill Credit Rates'!$A:$A,$A$4,'Bill Credit Rates'!$B:$B,$G83,'Bill Credit Rates'!$C:$C,$M83)</f>
        <v>88.418499999999995</v>
      </c>
      <c r="AM83" s="14">
        <f>SUMIFS('Bill Credit Rates'!$K:$K,'Bill Credit Rates'!$A:$A,$A$4,'Bill Credit Rates'!$B:$B,$G83,'Bill Credit Rates'!$C:$C,$M83)</f>
        <v>88.418499999999995</v>
      </c>
      <c r="AN83" s="14">
        <f>SUMIFS('Bill Credit Rates'!$K:$K,'Bill Credit Rates'!$A:$A,$A$4,'Bill Credit Rates'!$B:$B,$G83,'Bill Credit Rates'!$C:$C,$M83)</f>
        <v>88.418499999999995</v>
      </c>
    </row>
    <row r="84" spans="1:40">
      <c r="A84" s="48">
        <v>2020</v>
      </c>
      <c r="B84" s="31" cm="1">
        <f t="array" ref="B84">IF(A84&lt;2021,0,SUMPRODUCT(('Project Operational Timelines'!$AO$20:$AO$49=$A47)*('Project Operational Timelines'!$AP$18:$AY$18=$A$4)*('Project Operational Timelines'!$AP$17:$AY$17=$G84)*'Project Operational Timelines'!$AP19:$AY19))</f>
        <v>0</v>
      </c>
      <c r="C84" s="84">
        <f t="shared" si="53"/>
        <v>0</v>
      </c>
      <c r="D84" s="89">
        <f t="shared" si="66"/>
        <v>0</v>
      </c>
      <c r="E84" s="89"/>
      <c r="F84" s="89" cm="1">
        <f t="array" ref="F84">IF(A84&lt;2021,0,(-(SUMPRODUCT(('Project Operational Timelines'!$AO$20:$AO$49=$A84)*('Project Operational Timelines'!$AP$18:$AY$18=$A$4)*('Project Operational Timelines'!$AP$19:$AY$19="Non-Carve Out")*('Project Operational Timelines'!$AP$17:$AY$17=$G84)*'Project Operational Timelines'!$AP19:$AY19))*1000*('Program Inputs'!$D$14-'Program Inputs'!$D$6)*$F$4*12)+(-(SUMPRODUCT(('Project Operational Timelines'!$AO$20:$AO$49=$A84)*('Project Operational Timelines'!$AP$18:$AY$18=$A$4)*('Project Operational Timelines'!$AP$19:$AY$19="Carve Out")*('Project Operational Timelines'!$AP$17:$AY$17=$G84)*'Project Operational Timelines'!$AP19:$AY19))*1000*('Program Inputs'!$D$14-'Program Inputs'!$D$7)*$F$4*'Program Inputs'!$D$14*12))</f>
        <v>0</v>
      </c>
      <c r="G84" s="335">
        <v>2</v>
      </c>
      <c r="H84" s="328">
        <f t="shared" si="67"/>
        <v>0</v>
      </c>
      <c r="I84" s="69"/>
      <c r="J84" s="69"/>
      <c r="K84" s="104"/>
      <c r="L84" s="75">
        <f>IF(AND(A84&gt;=('Program Inputs'!$D$4-1),A84&lt;('Program Inputs'!$D$4+19)),1,0)</f>
        <v>1</v>
      </c>
      <c r="M84">
        <v>2</v>
      </c>
      <c r="N84" s="51">
        <v>2020</v>
      </c>
      <c r="O84" s="18">
        <f t="shared" si="54"/>
        <v>66.804214285714281</v>
      </c>
      <c r="P84" s="18">
        <f t="shared" si="55"/>
        <v>66.804214285714281</v>
      </c>
      <c r="Q84" s="18">
        <f t="shared" si="56"/>
        <v>66.804214285714281</v>
      </c>
      <c r="R84" s="18">
        <f t="shared" si="57"/>
        <v>66.804214285714281</v>
      </c>
      <c r="S84" s="18">
        <f t="shared" si="58"/>
        <v>66.804214285714281</v>
      </c>
      <c r="T84" s="18">
        <f t="shared" si="59"/>
        <v>66.804214285714281</v>
      </c>
      <c r="U84" s="18">
        <f t="shared" si="60"/>
        <v>66.804214285714281</v>
      </c>
      <c r="V84" s="18">
        <f t="shared" si="61"/>
        <v>66.804214285714281</v>
      </c>
      <c r="W84" s="18">
        <f t="shared" si="62"/>
        <v>66.804214285714281</v>
      </c>
      <c r="X84" s="18">
        <f t="shared" si="63"/>
        <v>66.804214285714281</v>
      </c>
      <c r="Y84" s="18">
        <f t="shared" si="64"/>
        <v>66.804214285714281</v>
      </c>
      <c r="Z84" s="18">
        <f t="shared" si="65"/>
        <v>66.804214285714281</v>
      </c>
      <c r="AB84" s="52">
        <v>2020</v>
      </c>
      <c r="AC84" s="14">
        <f>SUMIFS('Bill Credit Rates'!$K:$K,'Bill Credit Rates'!$A:$A,$A$4,'Bill Credit Rates'!$B:$B,$G84,'Bill Credit Rates'!$C:$C,$M84)</f>
        <v>88.418499999999995</v>
      </c>
      <c r="AD84" s="14">
        <f>SUMIFS('Bill Credit Rates'!$K:$K,'Bill Credit Rates'!$A:$A,$A$4,'Bill Credit Rates'!$B:$B,$G84,'Bill Credit Rates'!$C:$C,$M84)</f>
        <v>88.418499999999995</v>
      </c>
      <c r="AE84" s="14">
        <f>SUMIFS('Bill Credit Rates'!$K:$K,'Bill Credit Rates'!$A:$A,$A$4,'Bill Credit Rates'!$B:$B,$G84,'Bill Credit Rates'!$C:$C,$M84)</f>
        <v>88.418499999999995</v>
      </c>
      <c r="AF84" s="14">
        <f>SUMIFS('Bill Credit Rates'!$K:$K,'Bill Credit Rates'!$A:$A,$A$4,'Bill Credit Rates'!$B:$B,$G84,'Bill Credit Rates'!$C:$C,$M84)</f>
        <v>88.418499999999995</v>
      </c>
      <c r="AG84" s="14">
        <f>SUMIFS('Bill Credit Rates'!$K:$K,'Bill Credit Rates'!$A:$A,$A$4,'Bill Credit Rates'!$B:$B,$G84,'Bill Credit Rates'!$C:$C,$M84)</f>
        <v>88.418499999999995</v>
      </c>
      <c r="AH84" s="14">
        <f>SUMIFS('Bill Credit Rates'!$K:$K,'Bill Credit Rates'!$A:$A,$A$4,'Bill Credit Rates'!$B:$B,$G84,'Bill Credit Rates'!$C:$C,$M84)</f>
        <v>88.418499999999995</v>
      </c>
      <c r="AI84" s="14">
        <f>SUMIFS('Bill Credit Rates'!$K:$K,'Bill Credit Rates'!$A:$A,$A$4,'Bill Credit Rates'!$B:$B,$G84,'Bill Credit Rates'!$C:$C,$M84)</f>
        <v>88.418499999999995</v>
      </c>
      <c r="AJ84" s="14">
        <f>SUMIFS('Bill Credit Rates'!$K:$K,'Bill Credit Rates'!$A:$A,$A$4,'Bill Credit Rates'!$B:$B,$G84,'Bill Credit Rates'!$C:$C,$M84)</f>
        <v>88.418499999999995</v>
      </c>
      <c r="AK84" s="14">
        <f>SUMIFS('Bill Credit Rates'!$K:$K,'Bill Credit Rates'!$A:$A,$A$4,'Bill Credit Rates'!$B:$B,$G84,'Bill Credit Rates'!$C:$C,$M84)</f>
        <v>88.418499999999995</v>
      </c>
      <c r="AL84" s="14">
        <f>SUMIFS('Bill Credit Rates'!$K:$K,'Bill Credit Rates'!$A:$A,$A$4,'Bill Credit Rates'!$B:$B,$G84,'Bill Credit Rates'!$C:$C,$M84)</f>
        <v>88.418499999999995</v>
      </c>
      <c r="AM84" s="14">
        <f>SUMIFS('Bill Credit Rates'!$K:$K,'Bill Credit Rates'!$A:$A,$A$4,'Bill Credit Rates'!$B:$B,$G84,'Bill Credit Rates'!$C:$C,$M84)</f>
        <v>88.418499999999995</v>
      </c>
      <c r="AN84" s="14">
        <f>SUMIFS('Bill Credit Rates'!$K:$K,'Bill Credit Rates'!$A:$A,$A$4,'Bill Credit Rates'!$B:$B,$G84,'Bill Credit Rates'!$C:$C,$M84)</f>
        <v>88.418499999999995</v>
      </c>
    </row>
    <row r="85" spans="1:40">
      <c r="A85" s="48">
        <v>2021</v>
      </c>
      <c r="B85" s="31" cm="1">
        <f t="array" ref="B85">IF(A85&lt;2021,0,SUMPRODUCT(('Project Operational Timelines'!$AO$20:$AO$49=$A48)*('Project Operational Timelines'!$AP$18:$AY$18=$A$4)*('Project Operational Timelines'!$AP$17:$AY$17=$G85)*'Project Operational Timelines'!$AP20:$AY20))</f>
        <v>0</v>
      </c>
      <c r="C85" s="84">
        <f t="shared" si="53"/>
        <v>0</v>
      </c>
      <c r="D85" s="89">
        <f t="shared" si="66"/>
        <v>0</v>
      </c>
      <c r="E85" s="89"/>
      <c r="F85" s="89" cm="1">
        <f t="array" ref="F85">IF(A85&lt;2021,0,(-(SUMPRODUCT(('Project Operational Timelines'!$AO$20:$AO$49=$A85)*('Project Operational Timelines'!$AP$18:$AY$18=$A$4)*('Project Operational Timelines'!$AP$19:$AY$19="Non-Carve Out")*('Project Operational Timelines'!$AP$17:$AY$17=$G85)*'Project Operational Timelines'!$AP20:$AY20))*1000*('Program Inputs'!$D$14-'Program Inputs'!$D$6)*$F$4*12)+(-(SUMPRODUCT(('Project Operational Timelines'!$AO$20:$AO$49=$A85)*('Project Operational Timelines'!$AP$18:$AY$18=$A$4)*('Project Operational Timelines'!$AP$19:$AY$19="Carve Out")*('Project Operational Timelines'!$AP$17:$AY$17=$G85)*'Project Operational Timelines'!$AP20:$AY20))*1000*('Program Inputs'!$D$14-'Program Inputs'!$D$7)*$F$4*'Program Inputs'!$D$14*12))</f>
        <v>0</v>
      </c>
      <c r="G85" s="335">
        <v>2</v>
      </c>
      <c r="H85" s="328">
        <f t="shared" si="67"/>
        <v>0</v>
      </c>
      <c r="I85" s="69"/>
      <c r="J85" s="69"/>
      <c r="K85" s="104"/>
      <c r="L85" s="75">
        <f>IF(AND(A85&gt;=('Program Inputs'!$D$4-1),A85&lt;('Program Inputs'!$D$4+19)),1,0)</f>
        <v>1</v>
      </c>
      <c r="M85">
        <v>3</v>
      </c>
      <c r="N85" s="51">
        <v>2021</v>
      </c>
      <c r="O85" s="18">
        <f t="shared" si="54"/>
        <v>60.761357142857136</v>
      </c>
      <c r="P85" s="18">
        <f t="shared" si="55"/>
        <v>60.761357142857136</v>
      </c>
      <c r="Q85" s="18">
        <f t="shared" si="56"/>
        <v>60.761357142857136</v>
      </c>
      <c r="R85" s="18">
        <f t="shared" si="57"/>
        <v>60.761357142857136</v>
      </c>
      <c r="S85" s="18">
        <f t="shared" si="58"/>
        <v>60.761357142857136</v>
      </c>
      <c r="T85" s="18">
        <f t="shared" si="59"/>
        <v>60.761357142857136</v>
      </c>
      <c r="U85" s="18">
        <f t="shared" si="60"/>
        <v>60.761357142857136</v>
      </c>
      <c r="V85" s="18">
        <f t="shared" si="61"/>
        <v>60.761357142857136</v>
      </c>
      <c r="W85" s="18">
        <f t="shared" si="62"/>
        <v>60.761357142857136</v>
      </c>
      <c r="X85" s="18">
        <f t="shared" si="63"/>
        <v>60.761357142857136</v>
      </c>
      <c r="Y85" s="18">
        <f t="shared" si="64"/>
        <v>60.761357142857136</v>
      </c>
      <c r="Z85" s="18">
        <f t="shared" si="65"/>
        <v>60.761357142857136</v>
      </c>
      <c r="AB85" s="52">
        <v>2021</v>
      </c>
      <c r="AC85" s="14">
        <f>SUMIFS('Bill Credit Rates'!$K:$K,'Bill Credit Rates'!$A:$A,$A$4,'Bill Credit Rates'!$B:$B,$G85,'Bill Credit Rates'!$C:$C,$M85)</f>
        <v>88.418499999999995</v>
      </c>
      <c r="AD85" s="14">
        <f>SUMIFS('Bill Credit Rates'!$K:$K,'Bill Credit Rates'!$A:$A,$A$4,'Bill Credit Rates'!$B:$B,$G85,'Bill Credit Rates'!$C:$C,$M85)</f>
        <v>88.418499999999995</v>
      </c>
      <c r="AE85" s="14">
        <f>SUMIFS('Bill Credit Rates'!$K:$K,'Bill Credit Rates'!$A:$A,$A$4,'Bill Credit Rates'!$B:$B,$G85,'Bill Credit Rates'!$C:$C,$M85)</f>
        <v>88.418499999999995</v>
      </c>
      <c r="AF85" s="14">
        <f>SUMIFS('Bill Credit Rates'!$K:$K,'Bill Credit Rates'!$A:$A,$A$4,'Bill Credit Rates'!$B:$B,$G85,'Bill Credit Rates'!$C:$C,$M85)</f>
        <v>88.418499999999995</v>
      </c>
      <c r="AG85" s="14">
        <f>SUMIFS('Bill Credit Rates'!$K:$K,'Bill Credit Rates'!$A:$A,$A$4,'Bill Credit Rates'!$B:$B,$G85,'Bill Credit Rates'!$C:$C,$M85)</f>
        <v>88.418499999999995</v>
      </c>
      <c r="AH85" s="14">
        <f>SUMIFS('Bill Credit Rates'!$K:$K,'Bill Credit Rates'!$A:$A,$A$4,'Bill Credit Rates'!$B:$B,$G85,'Bill Credit Rates'!$C:$C,$M85)</f>
        <v>88.418499999999995</v>
      </c>
      <c r="AI85" s="14">
        <f>SUMIFS('Bill Credit Rates'!$K:$K,'Bill Credit Rates'!$A:$A,$A$4,'Bill Credit Rates'!$B:$B,$G85,'Bill Credit Rates'!$C:$C,$M85)</f>
        <v>88.418499999999995</v>
      </c>
      <c r="AJ85" s="14">
        <f>SUMIFS('Bill Credit Rates'!$K:$K,'Bill Credit Rates'!$A:$A,$A$4,'Bill Credit Rates'!$B:$B,$G85,'Bill Credit Rates'!$C:$C,$M85)</f>
        <v>88.418499999999995</v>
      </c>
      <c r="AK85" s="14">
        <f>SUMIFS('Bill Credit Rates'!$K:$K,'Bill Credit Rates'!$A:$A,$A$4,'Bill Credit Rates'!$B:$B,$G85,'Bill Credit Rates'!$C:$C,$M85)</f>
        <v>88.418499999999995</v>
      </c>
      <c r="AL85" s="14">
        <f>SUMIFS('Bill Credit Rates'!$K:$K,'Bill Credit Rates'!$A:$A,$A$4,'Bill Credit Rates'!$B:$B,$G85,'Bill Credit Rates'!$C:$C,$M85)</f>
        <v>88.418499999999995</v>
      </c>
      <c r="AM85" s="14">
        <f>SUMIFS('Bill Credit Rates'!$K:$K,'Bill Credit Rates'!$A:$A,$A$4,'Bill Credit Rates'!$B:$B,$G85,'Bill Credit Rates'!$C:$C,$M85)</f>
        <v>88.418499999999995</v>
      </c>
      <c r="AN85" s="14">
        <f>SUMIFS('Bill Credit Rates'!$K:$K,'Bill Credit Rates'!$A:$A,$A$4,'Bill Credit Rates'!$B:$B,$G85,'Bill Credit Rates'!$C:$C,$M85)</f>
        <v>88.418499999999995</v>
      </c>
    </row>
    <row r="86" spans="1:40">
      <c r="A86" s="48">
        <v>2022</v>
      </c>
      <c r="B86" s="31" cm="1">
        <f t="array" ref="B86">IF(A86&lt;2021,0,SUMPRODUCT(('Project Operational Timelines'!$AO$20:$AO$49=$A49)*('Project Operational Timelines'!$AP$18:$AY$18=$A$4)*('Project Operational Timelines'!$AP$17:$AY$17=$G86)*'Project Operational Timelines'!$AP21:$AY21))</f>
        <v>0</v>
      </c>
      <c r="C86" s="84">
        <f t="shared" si="53"/>
        <v>0</v>
      </c>
      <c r="D86" s="89">
        <f t="shared" si="66"/>
        <v>0</v>
      </c>
      <c r="E86" s="89"/>
      <c r="F86" s="89" cm="1">
        <f t="array" ref="F86">IF(A86&lt;2021,0,(-(SUMPRODUCT(('Project Operational Timelines'!$AO$20:$AO$49=$A86)*('Project Operational Timelines'!$AP$18:$AY$18=$A$4)*('Project Operational Timelines'!$AP$19:$AY$19="Non-Carve Out")*('Project Operational Timelines'!$AP$17:$AY$17=$G86)*'Project Operational Timelines'!$AP21:$AY21))*1000*('Program Inputs'!$D$14-'Program Inputs'!$D$6)*$F$4*12)+(-(SUMPRODUCT(('Project Operational Timelines'!$AO$20:$AO$49=$A86)*('Project Operational Timelines'!$AP$18:$AY$18=$A$4)*('Project Operational Timelines'!$AP$19:$AY$19="Carve Out")*('Project Operational Timelines'!$AP$17:$AY$17=$G86)*'Project Operational Timelines'!$AP21:$AY21))*1000*('Program Inputs'!$D$14-'Program Inputs'!$D$7)*$F$4*'Program Inputs'!$D$14*12))</f>
        <v>0</v>
      </c>
      <c r="G86" s="335">
        <v>2</v>
      </c>
      <c r="H86" s="328">
        <f t="shared" si="67"/>
        <v>0</v>
      </c>
      <c r="I86" s="69"/>
      <c r="J86" s="69"/>
      <c r="K86" s="104"/>
      <c r="L86" s="75">
        <f>IF(AND(A86&gt;=('Program Inputs'!$D$4-1),A86&lt;('Program Inputs'!$D$4+19)),1,0)</f>
        <v>1</v>
      </c>
      <c r="M86">
        <v>4</v>
      </c>
      <c r="N86" s="51">
        <v>2022</v>
      </c>
      <c r="O86" s="18">
        <f t="shared" si="54"/>
        <v>58.532785714285708</v>
      </c>
      <c r="P86" s="18">
        <f t="shared" si="55"/>
        <v>58.532785714285708</v>
      </c>
      <c r="Q86" s="18">
        <f t="shared" si="56"/>
        <v>58.532785714285708</v>
      </c>
      <c r="R86" s="18">
        <f t="shared" si="57"/>
        <v>58.532785714285708</v>
      </c>
      <c r="S86" s="18">
        <f t="shared" si="58"/>
        <v>58.532785714285708</v>
      </c>
      <c r="T86" s="18">
        <f t="shared" si="59"/>
        <v>58.532785714285708</v>
      </c>
      <c r="U86" s="18">
        <f t="shared" si="60"/>
        <v>58.532785714285708</v>
      </c>
      <c r="V86" s="18">
        <f t="shared" si="61"/>
        <v>58.532785714285708</v>
      </c>
      <c r="W86" s="18">
        <f t="shared" si="62"/>
        <v>58.532785714285708</v>
      </c>
      <c r="X86" s="18">
        <f t="shared" si="63"/>
        <v>58.532785714285708</v>
      </c>
      <c r="Y86" s="18">
        <f t="shared" si="64"/>
        <v>58.532785714285708</v>
      </c>
      <c r="Z86" s="18">
        <f t="shared" si="65"/>
        <v>58.532785714285708</v>
      </c>
      <c r="AB86" s="52">
        <v>2022</v>
      </c>
      <c r="AC86" s="14">
        <f>SUMIFS('Bill Credit Rates'!$K:$K,'Bill Credit Rates'!$A:$A,$A$4,'Bill Credit Rates'!$B:$B,$G86,'Bill Credit Rates'!$C:$C,$M86)</f>
        <v>88.418499999999995</v>
      </c>
      <c r="AD86" s="14">
        <f>SUMIFS('Bill Credit Rates'!$K:$K,'Bill Credit Rates'!$A:$A,$A$4,'Bill Credit Rates'!$B:$B,$G86,'Bill Credit Rates'!$C:$C,$M86)</f>
        <v>88.418499999999995</v>
      </c>
      <c r="AE86" s="14">
        <f>SUMIFS('Bill Credit Rates'!$K:$K,'Bill Credit Rates'!$A:$A,$A$4,'Bill Credit Rates'!$B:$B,$G86,'Bill Credit Rates'!$C:$C,$M86)</f>
        <v>88.418499999999995</v>
      </c>
      <c r="AF86" s="14">
        <f>SUMIFS('Bill Credit Rates'!$K:$K,'Bill Credit Rates'!$A:$A,$A$4,'Bill Credit Rates'!$B:$B,$G86,'Bill Credit Rates'!$C:$C,$M86)</f>
        <v>88.418499999999995</v>
      </c>
      <c r="AG86" s="14">
        <f>SUMIFS('Bill Credit Rates'!$K:$K,'Bill Credit Rates'!$A:$A,$A$4,'Bill Credit Rates'!$B:$B,$G86,'Bill Credit Rates'!$C:$C,$M86)</f>
        <v>88.418499999999995</v>
      </c>
      <c r="AH86" s="14">
        <f>SUMIFS('Bill Credit Rates'!$K:$K,'Bill Credit Rates'!$A:$A,$A$4,'Bill Credit Rates'!$B:$B,$G86,'Bill Credit Rates'!$C:$C,$M86)</f>
        <v>88.418499999999995</v>
      </c>
      <c r="AI86" s="14">
        <f>SUMIFS('Bill Credit Rates'!$K:$K,'Bill Credit Rates'!$A:$A,$A$4,'Bill Credit Rates'!$B:$B,$G86,'Bill Credit Rates'!$C:$C,$M86)</f>
        <v>88.418499999999995</v>
      </c>
      <c r="AJ86" s="14">
        <f>SUMIFS('Bill Credit Rates'!$K:$K,'Bill Credit Rates'!$A:$A,$A$4,'Bill Credit Rates'!$B:$B,$G86,'Bill Credit Rates'!$C:$C,$M86)</f>
        <v>88.418499999999995</v>
      </c>
      <c r="AK86" s="14">
        <f>SUMIFS('Bill Credit Rates'!$K:$K,'Bill Credit Rates'!$A:$A,$A$4,'Bill Credit Rates'!$B:$B,$G86,'Bill Credit Rates'!$C:$C,$M86)</f>
        <v>88.418499999999995</v>
      </c>
      <c r="AL86" s="14">
        <f>SUMIFS('Bill Credit Rates'!$K:$K,'Bill Credit Rates'!$A:$A,$A$4,'Bill Credit Rates'!$B:$B,$G86,'Bill Credit Rates'!$C:$C,$M86)</f>
        <v>88.418499999999995</v>
      </c>
      <c r="AM86" s="14">
        <f>SUMIFS('Bill Credit Rates'!$K:$K,'Bill Credit Rates'!$A:$A,$A$4,'Bill Credit Rates'!$B:$B,$G86,'Bill Credit Rates'!$C:$C,$M86)</f>
        <v>88.418499999999995</v>
      </c>
      <c r="AN86" s="14">
        <f>SUMIFS('Bill Credit Rates'!$K:$K,'Bill Credit Rates'!$A:$A,$A$4,'Bill Credit Rates'!$B:$B,$G86,'Bill Credit Rates'!$C:$C,$M86)</f>
        <v>88.418499999999995</v>
      </c>
    </row>
    <row r="87" spans="1:40">
      <c r="A87" s="48">
        <v>2023</v>
      </c>
      <c r="B87" s="31" cm="1">
        <f t="array" ref="B87">IF(A87&lt;2021,0,SUMPRODUCT(('Project Operational Timelines'!$AO$20:$AO$49=$A50)*('Project Operational Timelines'!$AP$18:$AY$18=$A$4)*('Project Operational Timelines'!$AP$17:$AY$17=$G87)*'Project Operational Timelines'!$AP22:$AY22))</f>
        <v>0.24</v>
      </c>
      <c r="C87" s="84">
        <f t="shared" si="53"/>
        <v>40.700642600000002</v>
      </c>
      <c r="D87" s="89">
        <f t="shared" si="66"/>
        <v>28063.08</v>
      </c>
      <c r="E87" s="89"/>
      <c r="F87" s="89" cm="1">
        <f t="array" ref="F87">IF(A87&lt;2021,0,(-(SUMPRODUCT(('Project Operational Timelines'!$AO$20:$AO$49=$A87)*('Project Operational Timelines'!$AP$18:$AY$18=$A$4)*('Project Operational Timelines'!$AP$19:$AY$19="Non-Carve Out")*('Project Operational Timelines'!$AP$17:$AY$17=$G87)*'Project Operational Timelines'!$AP22:$AY22))*1000*('Program Inputs'!$D$14-'Program Inputs'!$D$6)*$F$4*12)+(-(SUMPRODUCT(('Project Operational Timelines'!$AO$20:$AO$49=$A87)*('Project Operational Timelines'!$AP$18:$AY$18=$A$4)*('Project Operational Timelines'!$AP$19:$AY$19="Carve Out")*('Project Operational Timelines'!$AP$17:$AY$17=$G87)*'Project Operational Timelines'!$AP22:$AY22))*1000*('Program Inputs'!$D$14-'Program Inputs'!$D$7)*$F$4*'Program Inputs'!$D$14*12))</f>
        <v>-489.6</v>
      </c>
      <c r="G87" s="335">
        <v>2</v>
      </c>
      <c r="H87" s="328">
        <f t="shared" si="67"/>
        <v>28871.48</v>
      </c>
      <c r="I87" s="69"/>
      <c r="J87" s="69"/>
      <c r="K87" s="104"/>
      <c r="L87" s="75">
        <f>IF(AND(A87&gt;=('Program Inputs'!$D$4-1),A87&lt;('Program Inputs'!$D$4+19)),1,0)</f>
        <v>1</v>
      </c>
      <c r="M87">
        <v>5</v>
      </c>
      <c r="N87" s="51">
        <v>2023</v>
      </c>
      <c r="O87" s="18">
        <f t="shared" si="54"/>
        <v>57.458298571428564</v>
      </c>
      <c r="P87" s="18">
        <f t="shared" si="55"/>
        <v>57.458298571428564</v>
      </c>
      <c r="Q87" s="18">
        <f t="shared" si="56"/>
        <v>57.458298571428564</v>
      </c>
      <c r="R87" s="18">
        <f t="shared" si="57"/>
        <v>57.458298571428564</v>
      </c>
      <c r="S87" s="18">
        <f t="shared" si="58"/>
        <v>57.458298571428564</v>
      </c>
      <c r="T87" s="18">
        <f t="shared" si="59"/>
        <v>57.458298571428564</v>
      </c>
      <c r="U87" s="18">
        <f t="shared" si="60"/>
        <v>57.458298571428564</v>
      </c>
      <c r="V87" s="18">
        <f t="shared" si="61"/>
        <v>57.458298571428564</v>
      </c>
      <c r="W87" s="18">
        <f t="shared" si="62"/>
        <v>57.458298571428564</v>
      </c>
      <c r="X87" s="18">
        <f t="shared" si="63"/>
        <v>57.458298571428564</v>
      </c>
      <c r="Y87" s="18">
        <f t="shared" si="64"/>
        <v>57.458298571428564</v>
      </c>
      <c r="Z87" s="18">
        <f t="shared" si="65"/>
        <v>57.458298571428564</v>
      </c>
      <c r="AB87" s="52">
        <v>2023</v>
      </c>
      <c r="AC87" s="14">
        <f>SUMIFS('Bill Credit Rates'!$K:$K,'Bill Credit Rates'!$A:$A,$A$4,'Bill Credit Rates'!$B:$B,$G87,'Bill Credit Rates'!$C:$C,$M87)</f>
        <v>90.186869999999999</v>
      </c>
      <c r="AD87" s="14">
        <f>SUMIFS('Bill Credit Rates'!$K:$K,'Bill Credit Rates'!$A:$A,$A$4,'Bill Credit Rates'!$B:$B,$G87,'Bill Credit Rates'!$C:$C,$M87)</f>
        <v>90.186869999999999</v>
      </c>
      <c r="AE87" s="14">
        <f>SUMIFS('Bill Credit Rates'!$K:$K,'Bill Credit Rates'!$A:$A,$A$4,'Bill Credit Rates'!$B:$B,$G87,'Bill Credit Rates'!$C:$C,$M87)</f>
        <v>90.186869999999999</v>
      </c>
      <c r="AF87" s="14">
        <f>SUMIFS('Bill Credit Rates'!$K:$K,'Bill Credit Rates'!$A:$A,$A$4,'Bill Credit Rates'!$B:$B,$G87,'Bill Credit Rates'!$C:$C,$M87)</f>
        <v>90.186869999999999</v>
      </c>
      <c r="AG87" s="14">
        <f>SUMIFS('Bill Credit Rates'!$K:$K,'Bill Credit Rates'!$A:$A,$A$4,'Bill Credit Rates'!$B:$B,$G87,'Bill Credit Rates'!$C:$C,$M87)</f>
        <v>90.186869999999999</v>
      </c>
      <c r="AH87" s="14">
        <f>SUMIFS('Bill Credit Rates'!$K:$K,'Bill Credit Rates'!$A:$A,$A$4,'Bill Credit Rates'!$B:$B,$G87,'Bill Credit Rates'!$C:$C,$M87)</f>
        <v>90.186869999999999</v>
      </c>
      <c r="AI87" s="14">
        <f>SUMIFS('Bill Credit Rates'!$K:$K,'Bill Credit Rates'!$A:$A,$A$4,'Bill Credit Rates'!$B:$B,$G87,'Bill Credit Rates'!$C:$C,$M87)</f>
        <v>90.186869999999999</v>
      </c>
      <c r="AJ87" s="14">
        <f>SUMIFS('Bill Credit Rates'!$K:$K,'Bill Credit Rates'!$A:$A,$A$4,'Bill Credit Rates'!$B:$B,$G87,'Bill Credit Rates'!$C:$C,$M87)</f>
        <v>90.186869999999999</v>
      </c>
      <c r="AK87" s="14">
        <f>SUMIFS('Bill Credit Rates'!$K:$K,'Bill Credit Rates'!$A:$A,$A$4,'Bill Credit Rates'!$B:$B,$G87,'Bill Credit Rates'!$C:$C,$M87)</f>
        <v>90.186869999999999</v>
      </c>
      <c r="AL87" s="14">
        <f>SUMIFS('Bill Credit Rates'!$K:$K,'Bill Credit Rates'!$A:$A,$A$4,'Bill Credit Rates'!$B:$B,$G87,'Bill Credit Rates'!$C:$C,$M87)</f>
        <v>90.186869999999999</v>
      </c>
      <c r="AM87" s="14">
        <f>SUMIFS('Bill Credit Rates'!$K:$K,'Bill Credit Rates'!$A:$A,$A$4,'Bill Credit Rates'!$B:$B,$G87,'Bill Credit Rates'!$C:$C,$M87)</f>
        <v>90.186869999999999</v>
      </c>
      <c r="AN87" s="14">
        <f>SUMIFS('Bill Credit Rates'!$K:$K,'Bill Credit Rates'!$A:$A,$A$4,'Bill Credit Rates'!$B:$B,$G87,'Bill Credit Rates'!$C:$C,$M87)</f>
        <v>90.186869999999999</v>
      </c>
    </row>
    <row r="88" spans="1:40">
      <c r="A88" s="48">
        <v>2024</v>
      </c>
      <c r="B88" s="31" cm="1">
        <f t="array" ref="B88">IF(A88&lt;2021,0,SUMPRODUCT(('Project Operational Timelines'!$AO$20:$AO$49=$A51)*('Project Operational Timelines'!$AP$18:$AY$18=$A$4)*('Project Operational Timelines'!$AP$17:$AY$17=$G88)*'Project Operational Timelines'!$AP23:$AY23))</f>
        <v>2.65</v>
      </c>
      <c r="C88" s="84">
        <f t="shared" si="53"/>
        <v>449.40292870833338</v>
      </c>
      <c r="D88" s="89">
        <f t="shared" si="66"/>
        <v>305029.74</v>
      </c>
      <c r="E88" s="89"/>
      <c r="F88" s="89" cm="1">
        <f t="array" ref="F88">IF(A88&lt;2021,0,(-(SUMPRODUCT(('Project Operational Timelines'!$AO$20:$AO$49=$A88)*('Project Operational Timelines'!$AP$18:$AY$18=$A$4)*('Project Operational Timelines'!$AP$19:$AY$19="Non-Carve Out")*('Project Operational Timelines'!$AP$17:$AY$17=$G88)*'Project Operational Timelines'!$AP23:$AY23))*1000*('Program Inputs'!$D$14-'Program Inputs'!$D$6)*$F$4*12)+(-(SUMPRODUCT(('Project Operational Timelines'!$AO$20:$AO$49=$A88)*('Project Operational Timelines'!$AP$18:$AY$18=$A$4)*('Project Operational Timelines'!$AP$19:$AY$19="Carve Out")*('Project Operational Timelines'!$AP$17:$AY$17=$G88)*'Project Operational Timelines'!$AP23:$AY23))*1000*('Program Inputs'!$D$14-'Program Inputs'!$D$7)*$F$4*'Program Inputs'!$D$14*12))</f>
        <v>-5406</v>
      </c>
      <c r="G88" s="335">
        <v>2</v>
      </c>
      <c r="H88" s="328">
        <f t="shared" si="67"/>
        <v>305029.74</v>
      </c>
      <c r="I88" s="69"/>
      <c r="J88" s="69"/>
      <c r="K88" s="104"/>
      <c r="L88" s="75">
        <f>IF(AND(A88&gt;=('Program Inputs'!$D$4-1),A88&lt;('Program Inputs'!$D$4+19)),1,0)</f>
        <v>1</v>
      </c>
      <c r="M88">
        <v>6</v>
      </c>
      <c r="N88" s="51">
        <v>2024</v>
      </c>
      <c r="O88" s="18">
        <f t="shared" si="54"/>
        <v>56.562035971428585</v>
      </c>
      <c r="P88" s="18">
        <f t="shared" si="55"/>
        <v>56.562035971428585</v>
      </c>
      <c r="Q88" s="18">
        <f t="shared" si="56"/>
        <v>56.562035971428585</v>
      </c>
      <c r="R88" s="18">
        <f t="shared" si="57"/>
        <v>56.562035971428585</v>
      </c>
      <c r="S88" s="18">
        <f t="shared" si="58"/>
        <v>56.562035971428585</v>
      </c>
      <c r="T88" s="18">
        <f t="shared" si="59"/>
        <v>56.562035971428585</v>
      </c>
      <c r="U88" s="18">
        <f t="shared" si="60"/>
        <v>56.562035971428585</v>
      </c>
      <c r="V88" s="18">
        <f t="shared" si="61"/>
        <v>56.562035971428585</v>
      </c>
      <c r="W88" s="18">
        <f t="shared" si="62"/>
        <v>56.562035971428585</v>
      </c>
      <c r="X88" s="18">
        <f t="shared" si="63"/>
        <v>56.562035971428585</v>
      </c>
      <c r="Y88" s="18">
        <f t="shared" si="64"/>
        <v>56.562035971428585</v>
      </c>
      <c r="Z88" s="18">
        <f t="shared" si="65"/>
        <v>56.562035971428585</v>
      </c>
      <c r="AB88" s="52">
        <v>2024</v>
      </c>
      <c r="AC88" s="14">
        <f>SUMIFS('Bill Credit Rates'!$K:$K,'Bill Credit Rates'!$A:$A,$A$4,'Bill Credit Rates'!$B:$B,$G88,'Bill Credit Rates'!$C:$C,$M88)</f>
        <v>91.990607400000016</v>
      </c>
      <c r="AD88" s="14">
        <f>SUMIFS('Bill Credit Rates'!$K:$K,'Bill Credit Rates'!$A:$A,$A$4,'Bill Credit Rates'!$B:$B,$G88,'Bill Credit Rates'!$C:$C,$M88)</f>
        <v>91.990607400000016</v>
      </c>
      <c r="AE88" s="14">
        <f>SUMIFS('Bill Credit Rates'!$K:$K,'Bill Credit Rates'!$A:$A,$A$4,'Bill Credit Rates'!$B:$B,$G88,'Bill Credit Rates'!$C:$C,$M88)</f>
        <v>91.990607400000016</v>
      </c>
      <c r="AF88" s="14">
        <f>SUMIFS('Bill Credit Rates'!$K:$K,'Bill Credit Rates'!$A:$A,$A$4,'Bill Credit Rates'!$B:$B,$G88,'Bill Credit Rates'!$C:$C,$M88)</f>
        <v>91.990607400000016</v>
      </c>
      <c r="AG88" s="14">
        <f>SUMIFS('Bill Credit Rates'!$K:$K,'Bill Credit Rates'!$A:$A,$A$4,'Bill Credit Rates'!$B:$B,$G88,'Bill Credit Rates'!$C:$C,$M88)</f>
        <v>91.990607400000016</v>
      </c>
      <c r="AH88" s="14">
        <f>SUMIFS('Bill Credit Rates'!$K:$K,'Bill Credit Rates'!$A:$A,$A$4,'Bill Credit Rates'!$B:$B,$G88,'Bill Credit Rates'!$C:$C,$M88)</f>
        <v>91.990607400000016</v>
      </c>
      <c r="AI88" s="14">
        <f>SUMIFS('Bill Credit Rates'!$K:$K,'Bill Credit Rates'!$A:$A,$A$4,'Bill Credit Rates'!$B:$B,$G88,'Bill Credit Rates'!$C:$C,$M88)</f>
        <v>91.990607400000016</v>
      </c>
      <c r="AJ88" s="14">
        <f>SUMIFS('Bill Credit Rates'!$K:$K,'Bill Credit Rates'!$A:$A,$A$4,'Bill Credit Rates'!$B:$B,$G88,'Bill Credit Rates'!$C:$C,$M88)</f>
        <v>91.990607400000016</v>
      </c>
      <c r="AK88" s="14">
        <f>SUMIFS('Bill Credit Rates'!$K:$K,'Bill Credit Rates'!$A:$A,$A$4,'Bill Credit Rates'!$B:$B,$G88,'Bill Credit Rates'!$C:$C,$M88)</f>
        <v>91.990607400000016</v>
      </c>
      <c r="AL88" s="14">
        <f>SUMIFS('Bill Credit Rates'!$K:$K,'Bill Credit Rates'!$A:$A,$A$4,'Bill Credit Rates'!$B:$B,$G88,'Bill Credit Rates'!$C:$C,$M88)</f>
        <v>91.990607400000016</v>
      </c>
      <c r="AM88" s="14">
        <f>SUMIFS('Bill Credit Rates'!$K:$K,'Bill Credit Rates'!$A:$A,$A$4,'Bill Credit Rates'!$B:$B,$G88,'Bill Credit Rates'!$C:$C,$M88)</f>
        <v>91.990607400000016</v>
      </c>
      <c r="AN88" s="14">
        <f>SUMIFS('Bill Credit Rates'!$K:$K,'Bill Credit Rates'!$A:$A,$A$4,'Bill Credit Rates'!$B:$B,$G88,'Bill Credit Rates'!$C:$C,$M88)</f>
        <v>91.990607400000016</v>
      </c>
    </row>
    <row r="89" spans="1:40">
      <c r="A89" s="48">
        <v>2025</v>
      </c>
      <c r="B89" s="31" cm="1">
        <f t="array" ref="B89">IF(A89&lt;2021,0,SUMPRODUCT(('Project Operational Timelines'!$AO$20:$AO$49=$A52)*('Project Operational Timelines'!$AP$18:$AY$18=$A$4)*('Project Operational Timelines'!$AP$17:$AY$17=$G89)*'Project Operational Timelines'!$AP24:$AY24))</f>
        <v>11.36</v>
      </c>
      <c r="C89" s="84">
        <f t="shared" si="53"/>
        <v>1926.4970830666666</v>
      </c>
      <c r="D89" s="89">
        <f t="shared" si="66"/>
        <v>787307.54</v>
      </c>
      <c r="E89" s="89"/>
      <c r="F89" s="89" cm="1">
        <f t="array" ref="F89">IF(A89&lt;2021,0,(-(SUMPRODUCT(('Project Operational Timelines'!$AO$20:$AO$49=$A89)*('Project Operational Timelines'!$AP$18:$AY$18=$A$4)*('Project Operational Timelines'!$AP$19:$AY$19="Non-Carve Out")*('Project Operational Timelines'!$AP$17:$AY$17=$G89)*'Project Operational Timelines'!$AP24:$AY24))*1000*('Program Inputs'!$D$14-'Program Inputs'!$D$6)*$F$4*12)+(-(SUMPRODUCT(('Project Operational Timelines'!$AO$20:$AO$49=$A89)*('Project Operational Timelines'!$AP$18:$AY$18=$A$4)*('Project Operational Timelines'!$AP$19:$AY$19="Carve Out")*('Project Operational Timelines'!$AP$17:$AY$17=$G89)*'Project Operational Timelines'!$AP24:$AY24))*1000*('Program Inputs'!$D$14-'Program Inputs'!$D$7)*$F$4*'Program Inputs'!$D$14*12))</f>
        <v>-23174.400000000001</v>
      </c>
      <c r="G89" s="335">
        <v>2</v>
      </c>
      <c r="H89" s="328">
        <f t="shared" si="67"/>
        <v>765262.93</v>
      </c>
      <c r="I89" s="69"/>
      <c r="J89" s="69"/>
      <c r="K89" s="104"/>
      <c r="L89" s="75">
        <f>IF(AND(A89&gt;=('Program Inputs'!$D$4-1),A89&lt;('Program Inputs'!$D$4+19)),1,0)</f>
        <v>1</v>
      </c>
      <c r="M89">
        <v>7</v>
      </c>
      <c r="N89" s="51">
        <v>2025</v>
      </c>
      <c r="O89" s="18">
        <f t="shared" si="54"/>
        <v>34.056091677779541</v>
      </c>
      <c r="P89" s="18">
        <f t="shared" si="55"/>
        <v>34.056091677779541</v>
      </c>
      <c r="Q89" s="18">
        <f t="shared" si="56"/>
        <v>34.056091677779541</v>
      </c>
      <c r="R89" s="18">
        <f t="shared" si="57"/>
        <v>34.056091677779541</v>
      </c>
      <c r="S89" s="18">
        <f t="shared" si="58"/>
        <v>34.056091677779541</v>
      </c>
      <c r="T89" s="18">
        <f t="shared" si="59"/>
        <v>34.056091677779541</v>
      </c>
      <c r="U89" s="18">
        <f t="shared" si="60"/>
        <v>34.056091677779541</v>
      </c>
      <c r="V89" s="18">
        <f t="shared" si="61"/>
        <v>34.056091677779541</v>
      </c>
      <c r="W89" s="18">
        <f t="shared" si="62"/>
        <v>34.056091677779541</v>
      </c>
      <c r="X89" s="18">
        <f t="shared" si="63"/>
        <v>34.056091677779541</v>
      </c>
      <c r="Y89" s="18">
        <f t="shared" si="64"/>
        <v>34.056091677779541</v>
      </c>
      <c r="Z89" s="18">
        <f t="shared" si="65"/>
        <v>34.056091677779541</v>
      </c>
      <c r="AB89" s="52">
        <v>2025</v>
      </c>
      <c r="AC89" s="14">
        <f>SUMIFS('Bill Credit Rates'!$K:$K,'Bill Credit Rates'!$A:$A,$A$4,'Bill Credit Rates'!$B:$B,$G89,'Bill Credit Rates'!$C:$C,$M89)</f>
        <v>93.830419548000009</v>
      </c>
      <c r="AD89" s="14">
        <f>SUMIFS('Bill Credit Rates'!$K:$K,'Bill Credit Rates'!$A:$A,$A$4,'Bill Credit Rates'!$B:$B,$G89,'Bill Credit Rates'!$C:$C,$M89)</f>
        <v>93.830419548000009</v>
      </c>
      <c r="AE89" s="14">
        <f>SUMIFS('Bill Credit Rates'!$K:$K,'Bill Credit Rates'!$A:$A,$A$4,'Bill Credit Rates'!$B:$B,$G89,'Bill Credit Rates'!$C:$C,$M89)</f>
        <v>93.830419548000009</v>
      </c>
      <c r="AF89" s="14">
        <f>SUMIFS('Bill Credit Rates'!$K:$K,'Bill Credit Rates'!$A:$A,$A$4,'Bill Credit Rates'!$B:$B,$G89,'Bill Credit Rates'!$C:$C,$M89)</f>
        <v>93.830419548000009</v>
      </c>
      <c r="AG89" s="14">
        <f>SUMIFS('Bill Credit Rates'!$K:$K,'Bill Credit Rates'!$A:$A,$A$4,'Bill Credit Rates'!$B:$B,$G89,'Bill Credit Rates'!$C:$C,$M89)</f>
        <v>93.830419548000009</v>
      </c>
      <c r="AH89" s="14">
        <f>SUMIFS('Bill Credit Rates'!$K:$K,'Bill Credit Rates'!$A:$A,$A$4,'Bill Credit Rates'!$B:$B,$G89,'Bill Credit Rates'!$C:$C,$M89)</f>
        <v>93.830419548000009</v>
      </c>
      <c r="AI89" s="14">
        <f>SUMIFS('Bill Credit Rates'!$K:$K,'Bill Credit Rates'!$A:$A,$A$4,'Bill Credit Rates'!$B:$B,$G89,'Bill Credit Rates'!$C:$C,$M89)</f>
        <v>93.830419548000009</v>
      </c>
      <c r="AJ89" s="14">
        <f>SUMIFS('Bill Credit Rates'!$K:$K,'Bill Credit Rates'!$A:$A,$A$4,'Bill Credit Rates'!$B:$B,$G89,'Bill Credit Rates'!$C:$C,$M89)</f>
        <v>93.830419548000009</v>
      </c>
      <c r="AK89" s="14">
        <f>SUMIFS('Bill Credit Rates'!$K:$K,'Bill Credit Rates'!$A:$A,$A$4,'Bill Credit Rates'!$B:$B,$G89,'Bill Credit Rates'!$C:$C,$M89)</f>
        <v>93.830419548000009</v>
      </c>
      <c r="AL89" s="14">
        <f>SUMIFS('Bill Credit Rates'!$K:$K,'Bill Credit Rates'!$A:$A,$A$4,'Bill Credit Rates'!$B:$B,$G89,'Bill Credit Rates'!$C:$C,$M89)</f>
        <v>93.830419548000009</v>
      </c>
      <c r="AM89" s="14">
        <f>SUMIFS('Bill Credit Rates'!$K:$K,'Bill Credit Rates'!$A:$A,$A$4,'Bill Credit Rates'!$B:$B,$G89,'Bill Credit Rates'!$C:$C,$M89)</f>
        <v>93.830419548000009</v>
      </c>
      <c r="AN89" s="14">
        <f>SUMIFS('Bill Credit Rates'!$K:$K,'Bill Credit Rates'!$A:$A,$A$4,'Bill Credit Rates'!$B:$B,$G89,'Bill Credit Rates'!$C:$C,$M89)</f>
        <v>93.830419548000009</v>
      </c>
    </row>
    <row r="90" spans="1:40">
      <c r="A90" s="48">
        <v>2026</v>
      </c>
      <c r="B90" s="31" cm="1">
        <f t="array" ref="B90">IF(A90&lt;2021,0,SUMPRODUCT(('Project Operational Timelines'!$AO$20:$AO$49=$A53)*('Project Operational Timelines'!$AP$18:$AY$18=$A$4)*('Project Operational Timelines'!$AP$17:$AY$17=$G90)*'Project Operational Timelines'!$AP25:$AY25))</f>
        <v>21.900000000000002</v>
      </c>
      <c r="C90" s="84">
        <f t="shared" si="53"/>
        <v>3713.9336372500006</v>
      </c>
      <c r="D90" s="89">
        <f t="shared" si="66"/>
        <v>1690648.46</v>
      </c>
      <c r="E90" s="89"/>
      <c r="F90" s="89" cm="1">
        <f t="array" ref="F90">IF(A90&lt;2021,0,(-(SUMPRODUCT(('Project Operational Timelines'!$AO$20:$AO$49=$A90)*('Project Operational Timelines'!$AP$18:$AY$18=$A$4)*('Project Operational Timelines'!$AP$19:$AY$19="Non-Carve Out")*('Project Operational Timelines'!$AP$17:$AY$17=$G90)*'Project Operational Timelines'!$AP25:$AY25))*1000*('Program Inputs'!$D$14-'Program Inputs'!$D$6)*$F$4*12)+(-(SUMPRODUCT(('Project Operational Timelines'!$AO$20:$AO$49=$A90)*('Project Operational Timelines'!$AP$18:$AY$18=$A$4)*('Project Operational Timelines'!$AP$19:$AY$19="Carve Out")*('Project Operational Timelines'!$AP$17:$AY$17=$G90)*'Project Operational Timelines'!$AP25:$AY25))*1000*('Program Inputs'!$D$14-'Program Inputs'!$D$7)*$F$4*'Program Inputs'!$D$14*12))</f>
        <v>-44209.560000000005</v>
      </c>
      <c r="G90" s="335">
        <v>2</v>
      </c>
      <c r="H90" s="328">
        <f t="shared" si="67"/>
        <v>1597297.61</v>
      </c>
      <c r="I90" s="69"/>
      <c r="J90" s="69"/>
      <c r="K90" s="104"/>
      <c r="L90" s="75">
        <f>IF(AND(A90&gt;=('Program Inputs'!$D$4-1),A90&lt;('Program Inputs'!$D$4+19)),1,0)</f>
        <v>1</v>
      </c>
      <c r="M90">
        <v>8</v>
      </c>
      <c r="N90" s="51">
        <v>2026</v>
      </c>
      <c r="O90" s="18">
        <f t="shared" si="54"/>
        <v>37.934811330843232</v>
      </c>
      <c r="P90" s="18">
        <f t="shared" si="55"/>
        <v>37.934811330843232</v>
      </c>
      <c r="Q90" s="18">
        <f t="shared" si="56"/>
        <v>37.934811330843232</v>
      </c>
      <c r="R90" s="18">
        <f t="shared" si="57"/>
        <v>37.934811330843232</v>
      </c>
      <c r="S90" s="18">
        <f t="shared" si="58"/>
        <v>37.934811330843232</v>
      </c>
      <c r="T90" s="18">
        <f t="shared" si="59"/>
        <v>37.934811330843232</v>
      </c>
      <c r="U90" s="18">
        <f t="shared" si="60"/>
        <v>37.934811330843232</v>
      </c>
      <c r="V90" s="18">
        <f t="shared" si="61"/>
        <v>37.934811330843232</v>
      </c>
      <c r="W90" s="18">
        <f t="shared" si="62"/>
        <v>37.934811330843232</v>
      </c>
      <c r="X90" s="18">
        <f t="shared" si="63"/>
        <v>37.934811330843232</v>
      </c>
      <c r="Y90" s="18">
        <f t="shared" si="64"/>
        <v>37.934811330843232</v>
      </c>
      <c r="Z90" s="18">
        <f t="shared" si="65"/>
        <v>37.934811330843232</v>
      </c>
      <c r="AB90" s="52">
        <v>2026</v>
      </c>
      <c r="AC90" s="14">
        <f>SUMIFS('Bill Credit Rates'!$K:$K,'Bill Credit Rates'!$A:$A,$A$4,'Bill Credit Rates'!$B:$B,$G90,'Bill Credit Rates'!$C:$C,$M90)</f>
        <v>95.70702793896001</v>
      </c>
      <c r="AD90" s="14">
        <f>SUMIFS('Bill Credit Rates'!$K:$K,'Bill Credit Rates'!$A:$A,$A$4,'Bill Credit Rates'!$B:$B,$G90,'Bill Credit Rates'!$C:$C,$M90)</f>
        <v>95.70702793896001</v>
      </c>
      <c r="AE90" s="14">
        <f>SUMIFS('Bill Credit Rates'!$K:$K,'Bill Credit Rates'!$A:$A,$A$4,'Bill Credit Rates'!$B:$B,$G90,'Bill Credit Rates'!$C:$C,$M90)</f>
        <v>95.70702793896001</v>
      </c>
      <c r="AF90" s="14">
        <f>SUMIFS('Bill Credit Rates'!$K:$K,'Bill Credit Rates'!$A:$A,$A$4,'Bill Credit Rates'!$B:$B,$G90,'Bill Credit Rates'!$C:$C,$M90)</f>
        <v>95.70702793896001</v>
      </c>
      <c r="AG90" s="14">
        <f>SUMIFS('Bill Credit Rates'!$K:$K,'Bill Credit Rates'!$A:$A,$A$4,'Bill Credit Rates'!$B:$B,$G90,'Bill Credit Rates'!$C:$C,$M90)</f>
        <v>95.70702793896001</v>
      </c>
      <c r="AH90" s="14">
        <f>SUMIFS('Bill Credit Rates'!$K:$K,'Bill Credit Rates'!$A:$A,$A$4,'Bill Credit Rates'!$B:$B,$G90,'Bill Credit Rates'!$C:$C,$M90)</f>
        <v>95.70702793896001</v>
      </c>
      <c r="AI90" s="14">
        <f>SUMIFS('Bill Credit Rates'!$K:$K,'Bill Credit Rates'!$A:$A,$A$4,'Bill Credit Rates'!$B:$B,$G90,'Bill Credit Rates'!$C:$C,$M90)</f>
        <v>95.70702793896001</v>
      </c>
      <c r="AJ90" s="14">
        <f>SUMIFS('Bill Credit Rates'!$K:$K,'Bill Credit Rates'!$A:$A,$A$4,'Bill Credit Rates'!$B:$B,$G90,'Bill Credit Rates'!$C:$C,$M90)</f>
        <v>95.70702793896001</v>
      </c>
      <c r="AK90" s="14">
        <f>SUMIFS('Bill Credit Rates'!$K:$K,'Bill Credit Rates'!$A:$A,$A$4,'Bill Credit Rates'!$B:$B,$G90,'Bill Credit Rates'!$C:$C,$M90)</f>
        <v>95.70702793896001</v>
      </c>
      <c r="AL90" s="14">
        <f>SUMIFS('Bill Credit Rates'!$K:$K,'Bill Credit Rates'!$A:$A,$A$4,'Bill Credit Rates'!$B:$B,$G90,'Bill Credit Rates'!$C:$C,$M90)</f>
        <v>95.70702793896001</v>
      </c>
      <c r="AM90" s="14">
        <f>SUMIFS('Bill Credit Rates'!$K:$K,'Bill Credit Rates'!$A:$A,$A$4,'Bill Credit Rates'!$B:$B,$G90,'Bill Credit Rates'!$C:$C,$M90)</f>
        <v>95.70702793896001</v>
      </c>
      <c r="AN90" s="14">
        <f>SUMIFS('Bill Credit Rates'!$K:$K,'Bill Credit Rates'!$A:$A,$A$4,'Bill Credit Rates'!$B:$B,$G90,'Bill Credit Rates'!$C:$C,$M90)</f>
        <v>95.70702793896001</v>
      </c>
    </row>
    <row r="91" spans="1:40">
      <c r="A91" s="48">
        <v>2027</v>
      </c>
      <c r="B91" s="31" cm="1">
        <f t="array" ref="B91">IF(A91&lt;2021,0,SUMPRODUCT(('Project Operational Timelines'!$AO$20:$AO$49=$A54)*('Project Operational Timelines'!$AP$18:$AY$18=$A$4)*('Project Operational Timelines'!$AP$17:$AY$17=$G91)*'Project Operational Timelines'!$AP26:$AY26))</f>
        <v>34.950000000000003</v>
      </c>
      <c r="C91" s="84">
        <f t="shared" si="53"/>
        <v>5927.0310786250011</v>
      </c>
      <c r="D91" s="89">
        <f t="shared" si="66"/>
        <v>4686026.04</v>
      </c>
      <c r="E91" s="89"/>
      <c r="F91" s="89" cm="1">
        <f t="array" ref="F91">IF(A91&lt;2021,0,(-(SUMPRODUCT(('Project Operational Timelines'!$AO$20:$AO$49=$A91)*('Project Operational Timelines'!$AP$18:$AY$18=$A$4)*('Project Operational Timelines'!$AP$19:$AY$19="Non-Carve Out")*('Project Operational Timelines'!$AP$17:$AY$17=$G91)*'Project Operational Timelines'!$AP26:$AY26))*1000*('Program Inputs'!$D$14-'Program Inputs'!$D$6)*$F$4*12)+(-(SUMPRODUCT(('Project Operational Timelines'!$AO$20:$AO$49=$A91)*('Project Operational Timelines'!$AP$18:$AY$18=$A$4)*('Project Operational Timelines'!$AP$19:$AY$19="Carve Out")*('Project Operational Timelines'!$AP$17:$AY$17=$G91)*'Project Operational Timelines'!$AP26:$AY26))*1000*('Program Inputs'!$D$14-'Program Inputs'!$D$7)*$F$4*'Program Inputs'!$D$14*12))</f>
        <v>-64372.380000000005</v>
      </c>
      <c r="G91" s="335">
        <v>2</v>
      </c>
      <c r="H91" s="328">
        <f t="shared" si="67"/>
        <v>4303318.5199999996</v>
      </c>
      <c r="I91" s="69"/>
      <c r="J91" s="69"/>
      <c r="K91" s="104"/>
      <c r="L91" s="75">
        <f>IF(AND(A91&gt;=('Program Inputs'!$D$4-1),A91&lt;('Program Inputs'!$D$4+19)),1,0)</f>
        <v>1</v>
      </c>
      <c r="M91">
        <v>9</v>
      </c>
      <c r="N91" s="51">
        <v>2027</v>
      </c>
      <c r="O91" s="18">
        <f t="shared" si="54"/>
        <v>65.884954002107321</v>
      </c>
      <c r="P91" s="18">
        <f t="shared" si="55"/>
        <v>65.884954002107321</v>
      </c>
      <c r="Q91" s="18">
        <f t="shared" si="56"/>
        <v>65.884954002107321</v>
      </c>
      <c r="R91" s="18">
        <f t="shared" si="57"/>
        <v>65.884954002107321</v>
      </c>
      <c r="S91" s="18">
        <f t="shared" si="58"/>
        <v>65.884954002107321</v>
      </c>
      <c r="T91" s="18">
        <f t="shared" si="59"/>
        <v>65.884954002107321</v>
      </c>
      <c r="U91" s="18">
        <f t="shared" si="60"/>
        <v>65.884954002107321</v>
      </c>
      <c r="V91" s="18">
        <f t="shared" si="61"/>
        <v>65.884954002107321</v>
      </c>
      <c r="W91" s="18">
        <f t="shared" si="62"/>
        <v>65.884954002107321</v>
      </c>
      <c r="X91" s="18">
        <f t="shared" si="63"/>
        <v>65.884954002107321</v>
      </c>
      <c r="Y91" s="18">
        <f t="shared" si="64"/>
        <v>65.884954002107321</v>
      </c>
      <c r="Z91" s="18">
        <f t="shared" si="65"/>
        <v>65.884954002107321</v>
      </c>
      <c r="AB91" s="52">
        <v>2027</v>
      </c>
      <c r="AC91" s="14">
        <f>SUMIFS('Bill Credit Rates'!$K:$K,'Bill Credit Rates'!$A:$A,$A$4,'Bill Credit Rates'!$B:$B,$G91,'Bill Credit Rates'!$C:$C,$M91)</f>
        <v>97.62116849773922</v>
      </c>
      <c r="AD91" s="14">
        <f>SUMIFS('Bill Credit Rates'!$K:$K,'Bill Credit Rates'!$A:$A,$A$4,'Bill Credit Rates'!$B:$B,$G91,'Bill Credit Rates'!$C:$C,$M91)</f>
        <v>97.62116849773922</v>
      </c>
      <c r="AE91" s="14">
        <f>SUMIFS('Bill Credit Rates'!$K:$K,'Bill Credit Rates'!$A:$A,$A$4,'Bill Credit Rates'!$B:$B,$G91,'Bill Credit Rates'!$C:$C,$M91)</f>
        <v>97.62116849773922</v>
      </c>
      <c r="AF91" s="14">
        <f>SUMIFS('Bill Credit Rates'!$K:$K,'Bill Credit Rates'!$A:$A,$A$4,'Bill Credit Rates'!$B:$B,$G91,'Bill Credit Rates'!$C:$C,$M91)</f>
        <v>97.62116849773922</v>
      </c>
      <c r="AG91" s="14">
        <f>SUMIFS('Bill Credit Rates'!$K:$K,'Bill Credit Rates'!$A:$A,$A$4,'Bill Credit Rates'!$B:$B,$G91,'Bill Credit Rates'!$C:$C,$M91)</f>
        <v>97.62116849773922</v>
      </c>
      <c r="AH91" s="14">
        <f>SUMIFS('Bill Credit Rates'!$K:$K,'Bill Credit Rates'!$A:$A,$A$4,'Bill Credit Rates'!$B:$B,$G91,'Bill Credit Rates'!$C:$C,$M91)</f>
        <v>97.62116849773922</v>
      </c>
      <c r="AI91" s="14">
        <f>SUMIFS('Bill Credit Rates'!$K:$K,'Bill Credit Rates'!$A:$A,$A$4,'Bill Credit Rates'!$B:$B,$G91,'Bill Credit Rates'!$C:$C,$M91)</f>
        <v>97.62116849773922</v>
      </c>
      <c r="AJ91" s="14">
        <f>SUMIFS('Bill Credit Rates'!$K:$K,'Bill Credit Rates'!$A:$A,$A$4,'Bill Credit Rates'!$B:$B,$G91,'Bill Credit Rates'!$C:$C,$M91)</f>
        <v>97.62116849773922</v>
      </c>
      <c r="AK91" s="14">
        <f>SUMIFS('Bill Credit Rates'!$K:$K,'Bill Credit Rates'!$A:$A,$A$4,'Bill Credit Rates'!$B:$B,$G91,'Bill Credit Rates'!$C:$C,$M91)</f>
        <v>97.62116849773922</v>
      </c>
      <c r="AL91" s="14">
        <f>SUMIFS('Bill Credit Rates'!$K:$K,'Bill Credit Rates'!$A:$A,$A$4,'Bill Credit Rates'!$B:$B,$G91,'Bill Credit Rates'!$C:$C,$M91)</f>
        <v>97.62116849773922</v>
      </c>
      <c r="AM91" s="14">
        <f>SUMIFS('Bill Credit Rates'!$K:$K,'Bill Credit Rates'!$A:$A,$A$4,'Bill Credit Rates'!$B:$B,$G91,'Bill Credit Rates'!$C:$C,$M91)</f>
        <v>97.62116849773922</v>
      </c>
      <c r="AN91" s="14">
        <f>SUMIFS('Bill Credit Rates'!$K:$K,'Bill Credit Rates'!$A:$A,$A$4,'Bill Credit Rates'!$B:$B,$G91,'Bill Credit Rates'!$C:$C,$M91)</f>
        <v>97.62116849773922</v>
      </c>
    </row>
    <row r="92" spans="1:40">
      <c r="A92" s="48">
        <v>2028</v>
      </c>
      <c r="B92" s="31" cm="1">
        <f t="array" ref="B92">IF(A92&lt;2021,0,SUMPRODUCT(('Project Operational Timelines'!$AO$20:$AO$49=$A55)*('Project Operational Timelines'!$AP$18:$AY$18=$A$4)*('Project Operational Timelines'!$AP$17:$AY$17=$G92)*'Project Operational Timelines'!$AP27:$AY27))</f>
        <v>54.2</v>
      </c>
      <c r="C92" s="84">
        <f t="shared" si="53"/>
        <v>9191.5617871666673</v>
      </c>
      <c r="D92" s="89">
        <f t="shared" si="66"/>
        <v>6596964.04</v>
      </c>
      <c r="E92" s="89"/>
      <c r="F92" s="89" cm="1">
        <f t="array" ref="F92">IF(A92&lt;2021,0,(-(SUMPRODUCT(('Project Operational Timelines'!$AO$20:$AO$49=$A92)*('Project Operational Timelines'!$AP$18:$AY$18=$A$4)*('Project Operational Timelines'!$AP$19:$AY$19="Non-Carve Out")*('Project Operational Timelines'!$AP$17:$AY$17=$G92)*'Project Operational Timelines'!$AP27:$AY27))*1000*('Program Inputs'!$D$14-'Program Inputs'!$D$6)*$F$4*12)+(-(SUMPRODUCT(('Project Operational Timelines'!$AO$20:$AO$49=$A92)*('Project Operational Timelines'!$AP$18:$AY$18=$A$4)*('Project Operational Timelines'!$AP$19:$AY$19="Carve Out")*('Project Operational Timelines'!$AP$17:$AY$17=$G92)*'Project Operational Timelines'!$AP27:$AY27))*1000*('Program Inputs'!$D$14-'Program Inputs'!$D$7)*$F$4*'Program Inputs'!$D$14*12))</f>
        <v>-84366.239999999991</v>
      </c>
      <c r="G92" s="335">
        <v>2</v>
      </c>
      <c r="H92" s="328">
        <f t="shared" si="67"/>
        <v>5888560.9800000004</v>
      </c>
      <c r="I92" s="69"/>
      <c r="J92" s="69"/>
      <c r="K92" s="104"/>
      <c r="L92" s="75">
        <f>IF(AND(A92&gt;=('Program Inputs'!$D$4-1),A92&lt;('Program Inputs'!$D$4+19)),1,0)</f>
        <v>1</v>
      </c>
      <c r="M92">
        <v>10</v>
      </c>
      <c r="N92" s="51">
        <v>2028</v>
      </c>
      <c r="O92" s="18">
        <f t="shared" si="54"/>
        <v>59.809966595994268</v>
      </c>
      <c r="P92" s="18">
        <f t="shared" si="55"/>
        <v>59.809966595994268</v>
      </c>
      <c r="Q92" s="18">
        <f t="shared" si="56"/>
        <v>59.809966595994268</v>
      </c>
      <c r="R92" s="18">
        <f t="shared" si="57"/>
        <v>59.809966595994268</v>
      </c>
      <c r="S92" s="18">
        <f t="shared" si="58"/>
        <v>59.809966595994268</v>
      </c>
      <c r="T92" s="18">
        <f t="shared" si="59"/>
        <v>59.809966595994268</v>
      </c>
      <c r="U92" s="18">
        <f t="shared" si="60"/>
        <v>59.809966595994268</v>
      </c>
      <c r="V92" s="18">
        <f t="shared" si="61"/>
        <v>59.809966595994268</v>
      </c>
      <c r="W92" s="18">
        <f t="shared" si="62"/>
        <v>59.809966595994268</v>
      </c>
      <c r="X92" s="18">
        <f t="shared" si="63"/>
        <v>59.809966595994268</v>
      </c>
      <c r="Y92" s="18">
        <f t="shared" si="64"/>
        <v>59.809966595994268</v>
      </c>
      <c r="Z92" s="18">
        <f t="shared" si="65"/>
        <v>59.809966595994268</v>
      </c>
      <c r="AB92" s="52">
        <v>2028</v>
      </c>
      <c r="AC92" s="14">
        <f>SUMIFS('Bill Credit Rates'!$K:$K,'Bill Credit Rates'!$A:$A,$A$4,'Bill Credit Rates'!$B:$B,$G92,'Bill Credit Rates'!$C:$C,$M92)</f>
        <v>99.573591867694006</v>
      </c>
      <c r="AD92" s="14">
        <f>SUMIFS('Bill Credit Rates'!$K:$K,'Bill Credit Rates'!$A:$A,$A$4,'Bill Credit Rates'!$B:$B,$G92,'Bill Credit Rates'!$C:$C,$M92)</f>
        <v>99.573591867694006</v>
      </c>
      <c r="AE92" s="14">
        <f>SUMIFS('Bill Credit Rates'!$K:$K,'Bill Credit Rates'!$A:$A,$A$4,'Bill Credit Rates'!$B:$B,$G92,'Bill Credit Rates'!$C:$C,$M92)</f>
        <v>99.573591867694006</v>
      </c>
      <c r="AF92" s="14">
        <f>SUMIFS('Bill Credit Rates'!$K:$K,'Bill Credit Rates'!$A:$A,$A$4,'Bill Credit Rates'!$B:$B,$G92,'Bill Credit Rates'!$C:$C,$M92)</f>
        <v>99.573591867694006</v>
      </c>
      <c r="AG92" s="14">
        <f>SUMIFS('Bill Credit Rates'!$K:$K,'Bill Credit Rates'!$A:$A,$A$4,'Bill Credit Rates'!$B:$B,$G92,'Bill Credit Rates'!$C:$C,$M92)</f>
        <v>99.573591867694006</v>
      </c>
      <c r="AH92" s="14">
        <f>SUMIFS('Bill Credit Rates'!$K:$K,'Bill Credit Rates'!$A:$A,$A$4,'Bill Credit Rates'!$B:$B,$G92,'Bill Credit Rates'!$C:$C,$M92)</f>
        <v>99.573591867694006</v>
      </c>
      <c r="AI92" s="14">
        <f>SUMIFS('Bill Credit Rates'!$K:$K,'Bill Credit Rates'!$A:$A,$A$4,'Bill Credit Rates'!$B:$B,$G92,'Bill Credit Rates'!$C:$C,$M92)</f>
        <v>99.573591867694006</v>
      </c>
      <c r="AJ92" s="14">
        <f>SUMIFS('Bill Credit Rates'!$K:$K,'Bill Credit Rates'!$A:$A,$A$4,'Bill Credit Rates'!$B:$B,$G92,'Bill Credit Rates'!$C:$C,$M92)</f>
        <v>99.573591867694006</v>
      </c>
      <c r="AK92" s="14">
        <f>SUMIFS('Bill Credit Rates'!$K:$K,'Bill Credit Rates'!$A:$A,$A$4,'Bill Credit Rates'!$B:$B,$G92,'Bill Credit Rates'!$C:$C,$M92)</f>
        <v>99.573591867694006</v>
      </c>
      <c r="AL92" s="14">
        <f>SUMIFS('Bill Credit Rates'!$K:$K,'Bill Credit Rates'!$A:$A,$A$4,'Bill Credit Rates'!$B:$B,$G92,'Bill Credit Rates'!$C:$C,$M92)</f>
        <v>99.573591867694006</v>
      </c>
      <c r="AM92" s="14">
        <f>SUMIFS('Bill Credit Rates'!$K:$K,'Bill Credit Rates'!$A:$A,$A$4,'Bill Credit Rates'!$B:$B,$G92,'Bill Credit Rates'!$C:$C,$M92)</f>
        <v>99.573591867694006</v>
      </c>
      <c r="AN92" s="14">
        <f>SUMIFS('Bill Credit Rates'!$K:$K,'Bill Credit Rates'!$A:$A,$A$4,'Bill Credit Rates'!$B:$B,$G92,'Bill Credit Rates'!$C:$C,$M92)</f>
        <v>99.573591867694006</v>
      </c>
    </row>
    <row r="93" spans="1:40">
      <c r="A93" s="48">
        <v>2029</v>
      </c>
      <c r="B93" s="31" cm="1">
        <f t="array" ref="B93">IF(A93&lt;2021,0,SUMPRODUCT(('Project Operational Timelines'!$AO$20:$AO$49=$A56)*('Project Operational Timelines'!$AP$18:$AY$18=$A$4)*('Project Operational Timelines'!$AP$17:$AY$17=$G93)*'Project Operational Timelines'!$AP28:$AY28))</f>
        <v>72.39</v>
      </c>
      <c r="C93" s="84">
        <f t="shared" si="53"/>
        <v>12276.331324225001</v>
      </c>
      <c r="D93" s="89">
        <f t="shared" si="66"/>
        <v>7992808.0700000003</v>
      </c>
      <c r="E93" s="89"/>
      <c r="F93" s="89" cm="1">
        <f t="array" ref="F93">IF(A93&lt;2021,0,(-(SUMPRODUCT(('Project Operational Timelines'!$AO$20:$AO$49=$A93)*('Project Operational Timelines'!$AP$18:$AY$18=$A$4)*('Project Operational Timelines'!$AP$19:$AY$19="Non-Carve Out")*('Project Operational Timelines'!$AP$17:$AY$17=$G93)*'Project Operational Timelines'!$AP28:$AY28))*1000*('Program Inputs'!$D$14-'Program Inputs'!$D$6)*$F$4*12)+(-(SUMPRODUCT(('Project Operational Timelines'!$AO$20:$AO$49=$A93)*('Project Operational Timelines'!$AP$18:$AY$18=$A$4)*('Project Operational Timelines'!$AP$19:$AY$19="Carve Out")*('Project Operational Timelines'!$AP$17:$AY$17=$G93)*'Project Operational Timelines'!$AP28:$AY28))*1000*('Program Inputs'!$D$14-'Program Inputs'!$D$7)*$F$4*'Program Inputs'!$D$14*12))</f>
        <v>-103282.68</v>
      </c>
      <c r="G93" s="335">
        <v>2</v>
      </c>
      <c r="H93" s="328">
        <f t="shared" si="67"/>
        <v>6934748.4000000004</v>
      </c>
      <c r="I93" s="69"/>
      <c r="J93" s="69"/>
      <c r="K93" s="104"/>
      <c r="L93" s="75">
        <f>IF(AND(A93&gt;=('Program Inputs'!$D$4-1),A93&lt;('Program Inputs'!$D$4+19)),1,0)</f>
        <v>1</v>
      </c>
      <c r="M93">
        <v>11</v>
      </c>
      <c r="N93" s="51">
        <v>2029</v>
      </c>
      <c r="O93" s="18">
        <f t="shared" si="54"/>
        <v>54.256220520295308</v>
      </c>
      <c r="P93" s="18">
        <f t="shared" si="55"/>
        <v>54.256220520295308</v>
      </c>
      <c r="Q93" s="18">
        <f t="shared" si="56"/>
        <v>54.256220520295308</v>
      </c>
      <c r="R93" s="18">
        <f t="shared" si="57"/>
        <v>54.256220520295308</v>
      </c>
      <c r="S93" s="18">
        <f t="shared" si="58"/>
        <v>54.256220520295308</v>
      </c>
      <c r="T93" s="18">
        <f t="shared" si="59"/>
        <v>54.256220520295308</v>
      </c>
      <c r="U93" s="18">
        <f t="shared" si="60"/>
        <v>54.256220520295308</v>
      </c>
      <c r="V93" s="18">
        <f t="shared" si="61"/>
        <v>54.256220520295308</v>
      </c>
      <c r="W93" s="18">
        <f t="shared" si="62"/>
        <v>54.256220520295308</v>
      </c>
      <c r="X93" s="18">
        <f t="shared" si="63"/>
        <v>54.256220520295308</v>
      </c>
      <c r="Y93" s="18">
        <f t="shared" si="64"/>
        <v>54.256220520295308</v>
      </c>
      <c r="Z93" s="18">
        <f t="shared" si="65"/>
        <v>54.256220520295308</v>
      </c>
      <c r="AB93" s="52">
        <v>2029</v>
      </c>
      <c r="AC93" s="14">
        <f>SUMIFS('Bill Credit Rates'!$K:$K,'Bill Credit Rates'!$A:$A,$A$4,'Bill Credit Rates'!$B:$B,$G93,'Bill Credit Rates'!$C:$C,$M93)</f>
        <v>101.56506370504789</v>
      </c>
      <c r="AD93" s="14">
        <f>SUMIFS('Bill Credit Rates'!$K:$K,'Bill Credit Rates'!$A:$A,$A$4,'Bill Credit Rates'!$B:$B,$G93,'Bill Credit Rates'!$C:$C,$M93)</f>
        <v>101.56506370504789</v>
      </c>
      <c r="AE93" s="14">
        <f>SUMIFS('Bill Credit Rates'!$K:$K,'Bill Credit Rates'!$A:$A,$A$4,'Bill Credit Rates'!$B:$B,$G93,'Bill Credit Rates'!$C:$C,$M93)</f>
        <v>101.56506370504789</v>
      </c>
      <c r="AF93" s="14">
        <f>SUMIFS('Bill Credit Rates'!$K:$K,'Bill Credit Rates'!$A:$A,$A$4,'Bill Credit Rates'!$B:$B,$G93,'Bill Credit Rates'!$C:$C,$M93)</f>
        <v>101.56506370504789</v>
      </c>
      <c r="AG93" s="14">
        <f>SUMIFS('Bill Credit Rates'!$K:$K,'Bill Credit Rates'!$A:$A,$A$4,'Bill Credit Rates'!$B:$B,$G93,'Bill Credit Rates'!$C:$C,$M93)</f>
        <v>101.56506370504789</v>
      </c>
      <c r="AH93" s="14">
        <f>SUMIFS('Bill Credit Rates'!$K:$K,'Bill Credit Rates'!$A:$A,$A$4,'Bill Credit Rates'!$B:$B,$G93,'Bill Credit Rates'!$C:$C,$M93)</f>
        <v>101.56506370504789</v>
      </c>
      <c r="AI93" s="14">
        <f>SUMIFS('Bill Credit Rates'!$K:$K,'Bill Credit Rates'!$A:$A,$A$4,'Bill Credit Rates'!$B:$B,$G93,'Bill Credit Rates'!$C:$C,$M93)</f>
        <v>101.56506370504789</v>
      </c>
      <c r="AJ93" s="14">
        <f>SUMIFS('Bill Credit Rates'!$K:$K,'Bill Credit Rates'!$A:$A,$A$4,'Bill Credit Rates'!$B:$B,$G93,'Bill Credit Rates'!$C:$C,$M93)</f>
        <v>101.56506370504789</v>
      </c>
      <c r="AK93" s="14">
        <f>SUMIFS('Bill Credit Rates'!$K:$K,'Bill Credit Rates'!$A:$A,$A$4,'Bill Credit Rates'!$B:$B,$G93,'Bill Credit Rates'!$C:$C,$M93)</f>
        <v>101.56506370504789</v>
      </c>
      <c r="AL93" s="14">
        <f>SUMIFS('Bill Credit Rates'!$K:$K,'Bill Credit Rates'!$A:$A,$A$4,'Bill Credit Rates'!$B:$B,$G93,'Bill Credit Rates'!$C:$C,$M93)</f>
        <v>101.56506370504789</v>
      </c>
      <c r="AM93" s="14">
        <f>SUMIFS('Bill Credit Rates'!$K:$K,'Bill Credit Rates'!$A:$A,$A$4,'Bill Credit Rates'!$B:$B,$G93,'Bill Credit Rates'!$C:$C,$M93)</f>
        <v>101.56506370504789</v>
      </c>
      <c r="AN93" s="14">
        <f>SUMIFS('Bill Credit Rates'!$K:$K,'Bill Credit Rates'!$A:$A,$A$4,'Bill Credit Rates'!$B:$B,$G93,'Bill Credit Rates'!$C:$C,$M93)</f>
        <v>101.56506370504789</v>
      </c>
    </row>
    <row r="94" spans="1:40">
      <c r="A94" s="48">
        <v>2030</v>
      </c>
      <c r="B94" s="31" cm="1">
        <f t="array" ref="B94">IF(A94&lt;2021,0,SUMPRODUCT(('Project Operational Timelines'!$AO$20:$AO$49=$A57)*('Project Operational Timelines'!$AP$18:$AY$18=$A$4)*('Project Operational Timelines'!$AP$17:$AY$17=$G94)*'Project Operational Timelines'!$AP29:$AY29))</f>
        <v>72.39</v>
      </c>
      <c r="C94" s="84">
        <f t="shared" si="53"/>
        <v>12276.331324225001</v>
      </c>
      <c r="D94" s="89">
        <f t="shared" si="66"/>
        <v>8031359.6299999999</v>
      </c>
      <c r="E94" s="89"/>
      <c r="F94" s="89" cm="1">
        <f t="array" ref="F94">IF(A94&lt;2021,0,(-(SUMPRODUCT(('Project Operational Timelines'!$AO$20:$AO$49=$A94)*('Project Operational Timelines'!$AP$18:$AY$18=$A$4)*('Project Operational Timelines'!$AP$19:$AY$19="Non-Carve Out")*('Project Operational Timelines'!$AP$17:$AY$17=$G94)*'Project Operational Timelines'!$AP29:$AY29))*1000*('Program Inputs'!$D$14-'Program Inputs'!$D$6)*$F$4*12)+(-(SUMPRODUCT(('Project Operational Timelines'!$AO$20:$AO$49=$A94)*('Project Operational Timelines'!$AP$18:$AY$18=$A$4)*('Project Operational Timelines'!$AP$19:$AY$19="Carve Out")*('Project Operational Timelines'!$AP$17:$AY$17=$G94)*'Project Operational Timelines'!$AP29:$AY29))*1000*('Program Inputs'!$D$14-'Program Inputs'!$D$7)*$F$4*'Program Inputs'!$D$14*12))</f>
        <v>-103282.68</v>
      </c>
      <c r="G94" s="335">
        <v>2</v>
      </c>
      <c r="H94" s="328">
        <f t="shared" si="67"/>
        <v>6773087.1399999997</v>
      </c>
      <c r="I94" s="69"/>
      <c r="J94" s="69"/>
      <c r="K94" s="104"/>
      <c r="L94" s="75">
        <f>IF(AND(A94&gt;=('Program Inputs'!$D$4-1),A94&lt;('Program Inputs'!$D$4+19)),1,0)</f>
        <v>1</v>
      </c>
      <c r="M94">
        <v>12</v>
      </c>
      <c r="N94" s="15">
        <v>2030</v>
      </c>
      <c r="O94" s="18">
        <f t="shared" si="54"/>
        <v>54.51791349339851</v>
      </c>
      <c r="P94" s="18">
        <f t="shared" si="55"/>
        <v>54.51791349339851</v>
      </c>
      <c r="Q94" s="18">
        <f t="shared" si="56"/>
        <v>54.51791349339851</v>
      </c>
      <c r="R94" s="18">
        <f t="shared" si="57"/>
        <v>54.51791349339851</v>
      </c>
      <c r="S94" s="18">
        <f t="shared" si="58"/>
        <v>54.51791349339851</v>
      </c>
      <c r="T94" s="18">
        <f t="shared" si="59"/>
        <v>54.51791349339851</v>
      </c>
      <c r="U94" s="18">
        <f t="shared" si="60"/>
        <v>54.51791349339851</v>
      </c>
      <c r="V94" s="18">
        <f t="shared" si="61"/>
        <v>54.51791349339851</v>
      </c>
      <c r="W94" s="18">
        <f t="shared" si="62"/>
        <v>54.51791349339851</v>
      </c>
      <c r="X94" s="18">
        <f t="shared" si="63"/>
        <v>54.51791349339851</v>
      </c>
      <c r="Y94" s="18">
        <f t="shared" si="64"/>
        <v>54.51791349339851</v>
      </c>
      <c r="Z94" s="18">
        <f t="shared" si="65"/>
        <v>54.51791349339851</v>
      </c>
      <c r="AB94" s="52">
        <v>2030</v>
      </c>
      <c r="AC94" s="14">
        <f>SUMIFS('Bill Credit Rates'!$K:$K,'Bill Credit Rates'!$A:$A,$A$4,'Bill Credit Rates'!$B:$B,$G94,'Bill Credit Rates'!$C:$C,$M94)</f>
        <v>103.59636497914883</v>
      </c>
      <c r="AD94" s="14">
        <f>SUMIFS('Bill Credit Rates'!$K:$K,'Bill Credit Rates'!$A:$A,$A$4,'Bill Credit Rates'!$B:$B,$G94,'Bill Credit Rates'!$C:$C,$M94)</f>
        <v>103.59636497914883</v>
      </c>
      <c r="AE94" s="14">
        <f>SUMIFS('Bill Credit Rates'!$K:$K,'Bill Credit Rates'!$A:$A,$A$4,'Bill Credit Rates'!$B:$B,$G94,'Bill Credit Rates'!$C:$C,$M94)</f>
        <v>103.59636497914883</v>
      </c>
      <c r="AF94" s="14">
        <f>SUMIFS('Bill Credit Rates'!$K:$K,'Bill Credit Rates'!$A:$A,$A$4,'Bill Credit Rates'!$B:$B,$G94,'Bill Credit Rates'!$C:$C,$M94)</f>
        <v>103.59636497914883</v>
      </c>
      <c r="AG94" s="14">
        <f>SUMIFS('Bill Credit Rates'!$K:$K,'Bill Credit Rates'!$A:$A,$A$4,'Bill Credit Rates'!$B:$B,$G94,'Bill Credit Rates'!$C:$C,$M94)</f>
        <v>103.59636497914883</v>
      </c>
      <c r="AH94" s="14">
        <f>SUMIFS('Bill Credit Rates'!$K:$K,'Bill Credit Rates'!$A:$A,$A$4,'Bill Credit Rates'!$B:$B,$G94,'Bill Credit Rates'!$C:$C,$M94)</f>
        <v>103.59636497914883</v>
      </c>
      <c r="AI94" s="14">
        <f>SUMIFS('Bill Credit Rates'!$K:$K,'Bill Credit Rates'!$A:$A,$A$4,'Bill Credit Rates'!$B:$B,$G94,'Bill Credit Rates'!$C:$C,$M94)</f>
        <v>103.59636497914883</v>
      </c>
      <c r="AJ94" s="14">
        <f>SUMIFS('Bill Credit Rates'!$K:$K,'Bill Credit Rates'!$A:$A,$A$4,'Bill Credit Rates'!$B:$B,$G94,'Bill Credit Rates'!$C:$C,$M94)</f>
        <v>103.59636497914883</v>
      </c>
      <c r="AK94" s="14">
        <f>SUMIFS('Bill Credit Rates'!$K:$K,'Bill Credit Rates'!$A:$A,$A$4,'Bill Credit Rates'!$B:$B,$G94,'Bill Credit Rates'!$C:$C,$M94)</f>
        <v>103.59636497914883</v>
      </c>
      <c r="AL94" s="14">
        <f>SUMIFS('Bill Credit Rates'!$K:$K,'Bill Credit Rates'!$A:$A,$A$4,'Bill Credit Rates'!$B:$B,$G94,'Bill Credit Rates'!$C:$C,$M94)</f>
        <v>103.59636497914883</v>
      </c>
      <c r="AM94" s="14">
        <f>SUMIFS('Bill Credit Rates'!$K:$K,'Bill Credit Rates'!$A:$A,$A$4,'Bill Credit Rates'!$B:$B,$G94,'Bill Credit Rates'!$C:$C,$M94)</f>
        <v>103.59636497914883</v>
      </c>
      <c r="AN94" s="14">
        <f>SUMIFS('Bill Credit Rates'!$K:$K,'Bill Credit Rates'!$A:$A,$A$4,'Bill Credit Rates'!$B:$B,$G94,'Bill Credit Rates'!$C:$C,$M94)</f>
        <v>103.59636497914883</v>
      </c>
    </row>
    <row r="95" spans="1:40">
      <c r="A95" s="48">
        <v>2031</v>
      </c>
      <c r="B95" s="31" cm="1">
        <f t="array" ref="B95">IF(A95&lt;2021,0,SUMPRODUCT(('Project Operational Timelines'!$AO$20:$AO$49=$A58)*('Project Operational Timelines'!$AP$18:$AY$18=$A$4)*('Project Operational Timelines'!$AP$17:$AY$17=$G95)*'Project Operational Timelines'!$AP30:$AY30))</f>
        <v>72.39</v>
      </c>
      <c r="C95" s="84">
        <f t="shared" si="53"/>
        <v>12276.331324225001</v>
      </c>
      <c r="D95" s="89">
        <f t="shared" si="66"/>
        <v>8317299.0999999996</v>
      </c>
      <c r="E95" s="89"/>
      <c r="F95" s="89" cm="1">
        <f t="array" ref="F95">IF(A95&lt;2021,0,(-(SUMPRODUCT(('Project Operational Timelines'!$AO$20:$AO$49=$A95)*('Project Operational Timelines'!$AP$18:$AY$18=$A$4)*('Project Operational Timelines'!$AP$19:$AY$19="Non-Carve Out")*('Project Operational Timelines'!$AP$17:$AY$17=$G95)*'Project Operational Timelines'!$AP30:$AY30))*1000*('Program Inputs'!$D$14-'Program Inputs'!$D$6)*$F$4*12)+(-(SUMPRODUCT(('Project Operational Timelines'!$AO$20:$AO$49=$A95)*('Project Operational Timelines'!$AP$18:$AY$18=$A$4)*('Project Operational Timelines'!$AP$19:$AY$19="Carve Out")*('Project Operational Timelines'!$AP$17:$AY$17=$G95)*'Project Operational Timelines'!$AP30:$AY30))*1000*('Program Inputs'!$D$14-'Program Inputs'!$D$7)*$F$4*'Program Inputs'!$D$14*12))</f>
        <v>-103282.68</v>
      </c>
      <c r="G95" s="335">
        <v>2</v>
      </c>
      <c r="H95" s="328">
        <f t="shared" si="67"/>
        <v>6817830.0899999999</v>
      </c>
      <c r="I95" s="69"/>
      <c r="J95" s="69"/>
      <c r="K95" s="104"/>
      <c r="L95" s="75">
        <f>IF(AND(A95&gt;=('Program Inputs'!$D$4-1),A95&lt;('Program Inputs'!$D$4+19)),1,0)</f>
        <v>1</v>
      </c>
      <c r="M95">
        <v>13</v>
      </c>
      <c r="N95" s="52">
        <v>2031</v>
      </c>
      <c r="O95" s="18">
        <f t="shared" si="54"/>
        <v>56.458907802374448</v>
      </c>
      <c r="P95" s="18">
        <f t="shared" si="55"/>
        <v>56.458907802374448</v>
      </c>
      <c r="Q95" s="18">
        <f t="shared" si="56"/>
        <v>56.458907802374448</v>
      </c>
      <c r="R95" s="18">
        <f t="shared" si="57"/>
        <v>56.458907802374448</v>
      </c>
      <c r="S95" s="18">
        <f t="shared" si="58"/>
        <v>56.458907802374448</v>
      </c>
      <c r="T95" s="18">
        <f t="shared" si="59"/>
        <v>56.458907802374448</v>
      </c>
      <c r="U95" s="18">
        <f t="shared" si="60"/>
        <v>56.458907802374448</v>
      </c>
      <c r="V95" s="18">
        <f t="shared" si="61"/>
        <v>56.458907802374448</v>
      </c>
      <c r="W95" s="18">
        <f t="shared" si="62"/>
        <v>56.458907802374448</v>
      </c>
      <c r="X95" s="18">
        <f t="shared" si="63"/>
        <v>56.458907802374448</v>
      </c>
      <c r="Y95" s="18">
        <f t="shared" si="64"/>
        <v>56.458907802374448</v>
      </c>
      <c r="Z95" s="18">
        <f t="shared" si="65"/>
        <v>56.458907802374448</v>
      </c>
      <c r="AB95" s="52">
        <v>2031</v>
      </c>
      <c r="AC95" s="14">
        <f>SUMIFS('Bill Credit Rates'!$K:$K,'Bill Credit Rates'!$A:$A,$A$4,'Bill Credit Rates'!$B:$B,$G95,'Bill Credit Rates'!$C:$C,$M95)</f>
        <v>105.66829227873181</v>
      </c>
      <c r="AD95" s="14">
        <f>SUMIFS('Bill Credit Rates'!$K:$K,'Bill Credit Rates'!$A:$A,$A$4,'Bill Credit Rates'!$B:$B,$G95,'Bill Credit Rates'!$C:$C,$M95)</f>
        <v>105.66829227873181</v>
      </c>
      <c r="AE95" s="14">
        <f>SUMIFS('Bill Credit Rates'!$K:$K,'Bill Credit Rates'!$A:$A,$A$4,'Bill Credit Rates'!$B:$B,$G95,'Bill Credit Rates'!$C:$C,$M95)</f>
        <v>105.66829227873181</v>
      </c>
      <c r="AF95" s="14">
        <f>SUMIFS('Bill Credit Rates'!$K:$K,'Bill Credit Rates'!$A:$A,$A$4,'Bill Credit Rates'!$B:$B,$G95,'Bill Credit Rates'!$C:$C,$M95)</f>
        <v>105.66829227873181</v>
      </c>
      <c r="AG95" s="14">
        <f>SUMIFS('Bill Credit Rates'!$K:$K,'Bill Credit Rates'!$A:$A,$A$4,'Bill Credit Rates'!$B:$B,$G95,'Bill Credit Rates'!$C:$C,$M95)</f>
        <v>105.66829227873181</v>
      </c>
      <c r="AH95" s="14">
        <f>SUMIFS('Bill Credit Rates'!$K:$K,'Bill Credit Rates'!$A:$A,$A$4,'Bill Credit Rates'!$B:$B,$G95,'Bill Credit Rates'!$C:$C,$M95)</f>
        <v>105.66829227873181</v>
      </c>
      <c r="AI95" s="14">
        <f>SUMIFS('Bill Credit Rates'!$K:$K,'Bill Credit Rates'!$A:$A,$A$4,'Bill Credit Rates'!$B:$B,$G95,'Bill Credit Rates'!$C:$C,$M95)</f>
        <v>105.66829227873181</v>
      </c>
      <c r="AJ95" s="14">
        <f>SUMIFS('Bill Credit Rates'!$K:$K,'Bill Credit Rates'!$A:$A,$A$4,'Bill Credit Rates'!$B:$B,$G95,'Bill Credit Rates'!$C:$C,$M95)</f>
        <v>105.66829227873181</v>
      </c>
      <c r="AK95" s="14">
        <f>SUMIFS('Bill Credit Rates'!$K:$K,'Bill Credit Rates'!$A:$A,$A$4,'Bill Credit Rates'!$B:$B,$G95,'Bill Credit Rates'!$C:$C,$M95)</f>
        <v>105.66829227873181</v>
      </c>
      <c r="AL95" s="14">
        <f>SUMIFS('Bill Credit Rates'!$K:$K,'Bill Credit Rates'!$A:$A,$A$4,'Bill Credit Rates'!$B:$B,$G95,'Bill Credit Rates'!$C:$C,$M95)</f>
        <v>105.66829227873181</v>
      </c>
      <c r="AM95" s="14">
        <f>SUMIFS('Bill Credit Rates'!$K:$K,'Bill Credit Rates'!$A:$A,$A$4,'Bill Credit Rates'!$B:$B,$G95,'Bill Credit Rates'!$C:$C,$M95)</f>
        <v>105.66829227873181</v>
      </c>
      <c r="AN95" s="14">
        <f>SUMIFS('Bill Credit Rates'!$K:$K,'Bill Credit Rates'!$A:$A,$A$4,'Bill Credit Rates'!$B:$B,$G95,'Bill Credit Rates'!$C:$C,$M95)</f>
        <v>105.66829227873181</v>
      </c>
    </row>
    <row r="96" spans="1:40">
      <c r="A96" s="48">
        <v>2032</v>
      </c>
      <c r="B96" s="31" cm="1">
        <f t="array" ref="B96">IF(A96&lt;2021,0,SUMPRODUCT(('Project Operational Timelines'!$AO$20:$AO$49=$A59)*('Project Operational Timelines'!$AP$18:$AY$18=$A$4)*('Project Operational Timelines'!$AP$17:$AY$17=$G96)*'Project Operational Timelines'!$AP31:$AY31))</f>
        <v>72.39</v>
      </c>
      <c r="C96" s="84">
        <f t="shared" si="53"/>
        <v>12276.331324225001</v>
      </c>
      <c r="D96" s="89">
        <f t="shared" si="66"/>
        <v>8649150.9700000007</v>
      </c>
      <c r="E96" s="89"/>
      <c r="F96" s="89" cm="1">
        <f t="array" ref="F96">IF(A96&lt;2021,0,(-(SUMPRODUCT(('Project Operational Timelines'!$AO$20:$AO$49=$A96)*('Project Operational Timelines'!$AP$18:$AY$18=$A$4)*('Project Operational Timelines'!$AP$19:$AY$19="Non-Carve Out")*('Project Operational Timelines'!$AP$17:$AY$17=$G96)*'Project Operational Timelines'!$AP31:$AY31))*1000*('Program Inputs'!$D$14-'Program Inputs'!$D$6)*$F$4*12)+(-(SUMPRODUCT(('Project Operational Timelines'!$AO$20:$AO$49=$A96)*('Project Operational Timelines'!$AP$18:$AY$18=$A$4)*('Project Operational Timelines'!$AP$19:$AY$19="Carve Out")*('Project Operational Timelines'!$AP$17:$AY$17=$G96)*'Project Operational Timelines'!$AP31:$AY31))*1000*('Program Inputs'!$D$14-'Program Inputs'!$D$7)*$F$4*'Program Inputs'!$D$14*12))</f>
        <v>-103282.68</v>
      </c>
      <c r="G96" s="335">
        <v>2</v>
      </c>
      <c r="H96" s="328">
        <f t="shared" si="67"/>
        <v>6891338.7300000004</v>
      </c>
      <c r="I96" s="69"/>
      <c r="J96" s="69"/>
      <c r="K96" s="104"/>
      <c r="L96" s="75">
        <f>IF(AND(A96&gt;=('Program Inputs'!$D$4-1),A96&lt;('Program Inputs'!$D$4+19)),1,0)</f>
        <v>1</v>
      </c>
      <c r="M96">
        <v>14</v>
      </c>
      <c r="N96" s="52">
        <v>2032</v>
      </c>
      <c r="O96" s="18">
        <f t="shared" si="54"/>
        <v>58.711561422647812</v>
      </c>
      <c r="P96" s="18">
        <f t="shared" si="55"/>
        <v>58.711561422647812</v>
      </c>
      <c r="Q96" s="18">
        <f t="shared" si="56"/>
        <v>58.711561422647812</v>
      </c>
      <c r="R96" s="18">
        <f t="shared" si="57"/>
        <v>58.711561422647812</v>
      </c>
      <c r="S96" s="18">
        <f t="shared" si="58"/>
        <v>58.711561422647812</v>
      </c>
      <c r="T96" s="18">
        <f t="shared" si="59"/>
        <v>58.711561422647812</v>
      </c>
      <c r="U96" s="18">
        <f t="shared" si="60"/>
        <v>58.711561422647812</v>
      </c>
      <c r="V96" s="18">
        <f t="shared" si="61"/>
        <v>58.711561422647812</v>
      </c>
      <c r="W96" s="18">
        <f t="shared" si="62"/>
        <v>58.711561422647812</v>
      </c>
      <c r="X96" s="18">
        <f t="shared" si="63"/>
        <v>58.711561422647812</v>
      </c>
      <c r="Y96" s="18">
        <f t="shared" si="64"/>
        <v>58.711561422647812</v>
      </c>
      <c r="Z96" s="18">
        <f t="shared" si="65"/>
        <v>58.711561422647812</v>
      </c>
      <c r="AB96" s="52">
        <v>2032</v>
      </c>
      <c r="AC96" s="14">
        <f>SUMIFS('Bill Credit Rates'!$K:$K,'Bill Credit Rates'!$A:$A,$A$4,'Bill Credit Rates'!$B:$B,$G96,'Bill Credit Rates'!$C:$C,$M96)</f>
        <v>107.78165812430646</v>
      </c>
      <c r="AD96" s="14">
        <f>SUMIFS('Bill Credit Rates'!$K:$K,'Bill Credit Rates'!$A:$A,$A$4,'Bill Credit Rates'!$B:$B,$G96,'Bill Credit Rates'!$C:$C,$M96)</f>
        <v>107.78165812430646</v>
      </c>
      <c r="AE96" s="14">
        <f>SUMIFS('Bill Credit Rates'!$K:$K,'Bill Credit Rates'!$A:$A,$A$4,'Bill Credit Rates'!$B:$B,$G96,'Bill Credit Rates'!$C:$C,$M96)</f>
        <v>107.78165812430646</v>
      </c>
      <c r="AF96" s="14">
        <f>SUMIFS('Bill Credit Rates'!$K:$K,'Bill Credit Rates'!$A:$A,$A$4,'Bill Credit Rates'!$B:$B,$G96,'Bill Credit Rates'!$C:$C,$M96)</f>
        <v>107.78165812430646</v>
      </c>
      <c r="AG96" s="14">
        <f>SUMIFS('Bill Credit Rates'!$K:$K,'Bill Credit Rates'!$A:$A,$A$4,'Bill Credit Rates'!$B:$B,$G96,'Bill Credit Rates'!$C:$C,$M96)</f>
        <v>107.78165812430646</v>
      </c>
      <c r="AH96" s="14">
        <f>SUMIFS('Bill Credit Rates'!$K:$K,'Bill Credit Rates'!$A:$A,$A$4,'Bill Credit Rates'!$B:$B,$G96,'Bill Credit Rates'!$C:$C,$M96)</f>
        <v>107.78165812430646</v>
      </c>
      <c r="AI96" s="14">
        <f>SUMIFS('Bill Credit Rates'!$K:$K,'Bill Credit Rates'!$A:$A,$A$4,'Bill Credit Rates'!$B:$B,$G96,'Bill Credit Rates'!$C:$C,$M96)</f>
        <v>107.78165812430646</v>
      </c>
      <c r="AJ96" s="14">
        <f>SUMIFS('Bill Credit Rates'!$K:$K,'Bill Credit Rates'!$A:$A,$A$4,'Bill Credit Rates'!$B:$B,$G96,'Bill Credit Rates'!$C:$C,$M96)</f>
        <v>107.78165812430646</v>
      </c>
      <c r="AK96" s="14">
        <f>SUMIFS('Bill Credit Rates'!$K:$K,'Bill Credit Rates'!$A:$A,$A$4,'Bill Credit Rates'!$B:$B,$G96,'Bill Credit Rates'!$C:$C,$M96)</f>
        <v>107.78165812430646</v>
      </c>
      <c r="AL96" s="14">
        <f>SUMIFS('Bill Credit Rates'!$K:$K,'Bill Credit Rates'!$A:$A,$A$4,'Bill Credit Rates'!$B:$B,$G96,'Bill Credit Rates'!$C:$C,$M96)</f>
        <v>107.78165812430646</v>
      </c>
      <c r="AM96" s="14">
        <f>SUMIFS('Bill Credit Rates'!$K:$K,'Bill Credit Rates'!$A:$A,$A$4,'Bill Credit Rates'!$B:$B,$G96,'Bill Credit Rates'!$C:$C,$M96)</f>
        <v>107.78165812430646</v>
      </c>
      <c r="AN96" s="14">
        <f>SUMIFS('Bill Credit Rates'!$K:$K,'Bill Credit Rates'!$A:$A,$A$4,'Bill Credit Rates'!$B:$B,$G96,'Bill Credit Rates'!$C:$C,$M96)</f>
        <v>107.78165812430646</v>
      </c>
    </row>
    <row r="97" spans="1:40">
      <c r="A97" s="48">
        <v>2033</v>
      </c>
      <c r="B97" s="31" cm="1">
        <f t="array" ref="B97">IF(A97&lt;2021,0,SUMPRODUCT(('Project Operational Timelines'!$AO$20:$AO$49=$A60)*('Project Operational Timelines'!$AP$18:$AY$18=$A$4)*('Project Operational Timelines'!$AP$17:$AY$17=$G97)*'Project Operational Timelines'!$AP32:$AY32))</f>
        <v>72.39</v>
      </c>
      <c r="C97" s="84">
        <f t="shared" si="53"/>
        <v>12276.331324225001</v>
      </c>
      <c r="D97" s="89">
        <f t="shared" si="66"/>
        <v>8761339.5600000005</v>
      </c>
      <c r="E97" s="89"/>
      <c r="F97" s="89" cm="1">
        <f t="array" ref="F97">IF(A97&lt;2021,0,(-(SUMPRODUCT(('Project Operational Timelines'!$AO$20:$AO$49=$A97)*('Project Operational Timelines'!$AP$18:$AY$18=$A$4)*('Project Operational Timelines'!$AP$19:$AY$19="Non-Carve Out")*('Project Operational Timelines'!$AP$17:$AY$17=$G97)*'Project Operational Timelines'!$AP32:$AY32))*1000*('Program Inputs'!$D$14-'Program Inputs'!$D$6)*$F$4*12)+(-(SUMPRODUCT(('Project Operational Timelines'!$AO$20:$AO$49=$A97)*('Project Operational Timelines'!$AP$18:$AY$18=$A$4)*('Project Operational Timelines'!$AP$19:$AY$19="Carve Out")*('Project Operational Timelines'!$AP$17:$AY$17=$G97)*'Project Operational Timelines'!$AP32:$AY32))*1000*('Program Inputs'!$D$14-'Program Inputs'!$D$7)*$F$4*'Program Inputs'!$D$14*12))</f>
        <v>-103282.68</v>
      </c>
      <c r="G97" s="335">
        <v>2</v>
      </c>
      <c r="H97" s="328">
        <f t="shared" si="67"/>
        <v>6785266.2999999998</v>
      </c>
      <c r="I97" s="69"/>
      <c r="J97" s="69"/>
      <c r="K97" s="104"/>
      <c r="L97" s="75">
        <f>IF(AND(A97&gt;=('Program Inputs'!$D$4-1),A97&lt;('Program Inputs'!$D$4+19)),1,0)</f>
        <v>1</v>
      </c>
      <c r="M97">
        <v>15</v>
      </c>
      <c r="N97" s="52">
        <v>2033</v>
      </c>
      <c r="O97" s="18">
        <f t="shared" si="54"/>
        <v>59.473112178888599</v>
      </c>
      <c r="P97" s="18">
        <f t="shared" si="55"/>
        <v>59.473112178888599</v>
      </c>
      <c r="Q97" s="18">
        <f t="shared" si="56"/>
        <v>59.473112178888599</v>
      </c>
      <c r="R97" s="18">
        <f t="shared" si="57"/>
        <v>59.473112178888599</v>
      </c>
      <c r="S97" s="18">
        <f t="shared" si="58"/>
        <v>59.473112178888599</v>
      </c>
      <c r="T97" s="18">
        <f t="shared" si="59"/>
        <v>59.473112178888599</v>
      </c>
      <c r="U97" s="18">
        <f t="shared" si="60"/>
        <v>59.473112178888599</v>
      </c>
      <c r="V97" s="18">
        <f t="shared" si="61"/>
        <v>59.473112178888599</v>
      </c>
      <c r="W97" s="18">
        <f t="shared" si="62"/>
        <v>59.473112178888599</v>
      </c>
      <c r="X97" s="18">
        <f t="shared" si="63"/>
        <v>59.473112178888599</v>
      </c>
      <c r="Y97" s="18">
        <f t="shared" si="64"/>
        <v>59.473112178888599</v>
      </c>
      <c r="Z97" s="18">
        <f t="shared" si="65"/>
        <v>59.473112178888599</v>
      </c>
      <c r="AB97" s="52">
        <v>2033</v>
      </c>
      <c r="AC97" s="14">
        <f>SUMIFS('Bill Credit Rates'!$K:$K,'Bill Credit Rates'!$A:$A,$A$4,'Bill Credit Rates'!$B:$B,$G97,'Bill Credit Rates'!$C:$C,$M97)</f>
        <v>109.93729128679259</v>
      </c>
      <c r="AD97" s="14">
        <f>SUMIFS('Bill Credit Rates'!$K:$K,'Bill Credit Rates'!$A:$A,$A$4,'Bill Credit Rates'!$B:$B,$G97,'Bill Credit Rates'!$C:$C,$M97)</f>
        <v>109.93729128679259</v>
      </c>
      <c r="AE97" s="14">
        <f>SUMIFS('Bill Credit Rates'!$K:$K,'Bill Credit Rates'!$A:$A,$A$4,'Bill Credit Rates'!$B:$B,$G97,'Bill Credit Rates'!$C:$C,$M97)</f>
        <v>109.93729128679259</v>
      </c>
      <c r="AF97" s="14">
        <f>SUMIFS('Bill Credit Rates'!$K:$K,'Bill Credit Rates'!$A:$A,$A$4,'Bill Credit Rates'!$B:$B,$G97,'Bill Credit Rates'!$C:$C,$M97)</f>
        <v>109.93729128679259</v>
      </c>
      <c r="AG97" s="14">
        <f>SUMIFS('Bill Credit Rates'!$K:$K,'Bill Credit Rates'!$A:$A,$A$4,'Bill Credit Rates'!$B:$B,$G97,'Bill Credit Rates'!$C:$C,$M97)</f>
        <v>109.93729128679259</v>
      </c>
      <c r="AH97" s="14">
        <f>SUMIFS('Bill Credit Rates'!$K:$K,'Bill Credit Rates'!$A:$A,$A$4,'Bill Credit Rates'!$B:$B,$G97,'Bill Credit Rates'!$C:$C,$M97)</f>
        <v>109.93729128679259</v>
      </c>
      <c r="AI97" s="14">
        <f>SUMIFS('Bill Credit Rates'!$K:$K,'Bill Credit Rates'!$A:$A,$A$4,'Bill Credit Rates'!$B:$B,$G97,'Bill Credit Rates'!$C:$C,$M97)</f>
        <v>109.93729128679259</v>
      </c>
      <c r="AJ97" s="14">
        <f>SUMIFS('Bill Credit Rates'!$K:$K,'Bill Credit Rates'!$A:$A,$A$4,'Bill Credit Rates'!$B:$B,$G97,'Bill Credit Rates'!$C:$C,$M97)</f>
        <v>109.93729128679259</v>
      </c>
      <c r="AK97" s="14">
        <f>SUMIFS('Bill Credit Rates'!$K:$K,'Bill Credit Rates'!$A:$A,$A$4,'Bill Credit Rates'!$B:$B,$G97,'Bill Credit Rates'!$C:$C,$M97)</f>
        <v>109.93729128679259</v>
      </c>
      <c r="AL97" s="14">
        <f>SUMIFS('Bill Credit Rates'!$K:$K,'Bill Credit Rates'!$A:$A,$A$4,'Bill Credit Rates'!$B:$B,$G97,'Bill Credit Rates'!$C:$C,$M97)</f>
        <v>109.93729128679259</v>
      </c>
      <c r="AM97" s="14">
        <f>SUMIFS('Bill Credit Rates'!$K:$K,'Bill Credit Rates'!$A:$A,$A$4,'Bill Credit Rates'!$B:$B,$G97,'Bill Credit Rates'!$C:$C,$M97)</f>
        <v>109.93729128679259</v>
      </c>
      <c r="AN97" s="14">
        <f>SUMIFS('Bill Credit Rates'!$K:$K,'Bill Credit Rates'!$A:$A,$A$4,'Bill Credit Rates'!$B:$B,$G97,'Bill Credit Rates'!$C:$C,$M97)</f>
        <v>109.93729128679259</v>
      </c>
    </row>
    <row r="98" spans="1:40">
      <c r="A98" s="48">
        <v>2034</v>
      </c>
      <c r="B98" s="31" cm="1">
        <f t="array" ref="B98">IF(A98&lt;2021,0,SUMPRODUCT(('Project Operational Timelines'!$AO$20:$AO$49=$A61)*('Project Operational Timelines'!$AP$18:$AY$18=$A$4)*('Project Operational Timelines'!$AP$17:$AY$17=$G98)*'Project Operational Timelines'!$AP33:$AY33))</f>
        <v>72.39</v>
      </c>
      <c r="C98" s="84">
        <f t="shared" si="53"/>
        <v>12276.331324225001</v>
      </c>
      <c r="D98" s="89">
        <f t="shared" si="66"/>
        <v>8974162.8300000001</v>
      </c>
      <c r="E98" s="89"/>
      <c r="F98" s="89" cm="1">
        <f t="array" ref="F98">IF(A98&lt;2021,0,(-(SUMPRODUCT(('Project Operational Timelines'!$AO$20:$AO$49=$A98)*('Project Operational Timelines'!$AP$18:$AY$18=$A$4)*('Project Operational Timelines'!$AP$19:$AY$19="Non-Carve Out")*('Project Operational Timelines'!$AP$17:$AY$17=$G98)*'Project Operational Timelines'!$AP33:$AY33))*1000*('Program Inputs'!$D$14-'Program Inputs'!$D$6)*$F$4*12)+(-(SUMPRODUCT(('Project Operational Timelines'!$AO$20:$AO$49=$A98)*('Project Operational Timelines'!$AP$18:$AY$18=$A$4)*('Project Operational Timelines'!$AP$19:$AY$19="Carve Out")*('Project Operational Timelines'!$AP$17:$AY$17=$G98)*'Project Operational Timelines'!$AP33:$AY33))*1000*('Program Inputs'!$D$14-'Program Inputs'!$D$7)*$F$4*'Program Inputs'!$D$14*12))</f>
        <v>-103282.68</v>
      </c>
      <c r="G98" s="335">
        <v>2</v>
      </c>
      <c r="H98" s="328">
        <f t="shared" si="67"/>
        <v>6755485.9400000004</v>
      </c>
      <c r="I98" s="69"/>
      <c r="J98" s="69"/>
      <c r="K98" s="104"/>
      <c r="L98" s="75">
        <f>IF(AND(A98&gt;=('Program Inputs'!$D$4-1),A98&lt;('Program Inputs'!$D$4+19)),1,0)</f>
        <v>1</v>
      </c>
      <c r="M98">
        <v>16</v>
      </c>
      <c r="N98" s="52">
        <v>2034</v>
      </c>
      <c r="O98" s="18">
        <f t="shared" si="54"/>
        <v>60.917784231150705</v>
      </c>
      <c r="P98" s="18">
        <f t="shared" si="55"/>
        <v>60.917784231150705</v>
      </c>
      <c r="Q98" s="18">
        <f t="shared" si="56"/>
        <v>60.917784231150705</v>
      </c>
      <c r="R98" s="18">
        <f t="shared" si="57"/>
        <v>60.917784231150705</v>
      </c>
      <c r="S98" s="18">
        <f t="shared" si="58"/>
        <v>60.917784231150705</v>
      </c>
      <c r="T98" s="18">
        <f t="shared" si="59"/>
        <v>60.917784231150705</v>
      </c>
      <c r="U98" s="18">
        <f t="shared" si="60"/>
        <v>60.917784231150705</v>
      </c>
      <c r="V98" s="18">
        <f t="shared" si="61"/>
        <v>60.917784231150705</v>
      </c>
      <c r="W98" s="18">
        <f t="shared" si="62"/>
        <v>60.917784231150705</v>
      </c>
      <c r="X98" s="18">
        <f t="shared" si="63"/>
        <v>60.917784231150705</v>
      </c>
      <c r="Y98" s="18">
        <f t="shared" si="64"/>
        <v>60.917784231150705</v>
      </c>
      <c r="Z98" s="18">
        <f t="shared" si="65"/>
        <v>60.917784231150705</v>
      </c>
      <c r="AB98" s="52">
        <v>2034</v>
      </c>
      <c r="AC98" s="14">
        <f>SUMIFS('Bill Credit Rates'!$K:$K,'Bill Credit Rates'!$A:$A,$A$4,'Bill Credit Rates'!$B:$B,$G98,'Bill Credit Rates'!$C:$C,$M98)</f>
        <v>112.13603711252843</v>
      </c>
      <c r="AD98" s="14">
        <f>SUMIFS('Bill Credit Rates'!$K:$K,'Bill Credit Rates'!$A:$A,$A$4,'Bill Credit Rates'!$B:$B,$G98,'Bill Credit Rates'!$C:$C,$M98)</f>
        <v>112.13603711252843</v>
      </c>
      <c r="AE98" s="14">
        <f>SUMIFS('Bill Credit Rates'!$K:$K,'Bill Credit Rates'!$A:$A,$A$4,'Bill Credit Rates'!$B:$B,$G98,'Bill Credit Rates'!$C:$C,$M98)</f>
        <v>112.13603711252843</v>
      </c>
      <c r="AF98" s="14">
        <f>SUMIFS('Bill Credit Rates'!$K:$K,'Bill Credit Rates'!$A:$A,$A$4,'Bill Credit Rates'!$B:$B,$G98,'Bill Credit Rates'!$C:$C,$M98)</f>
        <v>112.13603711252843</v>
      </c>
      <c r="AG98" s="14">
        <f>SUMIFS('Bill Credit Rates'!$K:$K,'Bill Credit Rates'!$A:$A,$A$4,'Bill Credit Rates'!$B:$B,$G98,'Bill Credit Rates'!$C:$C,$M98)</f>
        <v>112.13603711252843</v>
      </c>
      <c r="AH98" s="14">
        <f>SUMIFS('Bill Credit Rates'!$K:$K,'Bill Credit Rates'!$A:$A,$A$4,'Bill Credit Rates'!$B:$B,$G98,'Bill Credit Rates'!$C:$C,$M98)</f>
        <v>112.13603711252843</v>
      </c>
      <c r="AI98" s="14">
        <f>SUMIFS('Bill Credit Rates'!$K:$K,'Bill Credit Rates'!$A:$A,$A$4,'Bill Credit Rates'!$B:$B,$G98,'Bill Credit Rates'!$C:$C,$M98)</f>
        <v>112.13603711252843</v>
      </c>
      <c r="AJ98" s="14">
        <f>SUMIFS('Bill Credit Rates'!$K:$K,'Bill Credit Rates'!$A:$A,$A$4,'Bill Credit Rates'!$B:$B,$G98,'Bill Credit Rates'!$C:$C,$M98)</f>
        <v>112.13603711252843</v>
      </c>
      <c r="AK98" s="14">
        <f>SUMIFS('Bill Credit Rates'!$K:$K,'Bill Credit Rates'!$A:$A,$A$4,'Bill Credit Rates'!$B:$B,$G98,'Bill Credit Rates'!$C:$C,$M98)</f>
        <v>112.13603711252843</v>
      </c>
      <c r="AL98" s="14">
        <f>SUMIFS('Bill Credit Rates'!$K:$K,'Bill Credit Rates'!$A:$A,$A$4,'Bill Credit Rates'!$B:$B,$G98,'Bill Credit Rates'!$C:$C,$M98)</f>
        <v>112.13603711252843</v>
      </c>
      <c r="AM98" s="14">
        <f>SUMIFS('Bill Credit Rates'!$K:$K,'Bill Credit Rates'!$A:$A,$A$4,'Bill Credit Rates'!$B:$B,$G98,'Bill Credit Rates'!$C:$C,$M98)</f>
        <v>112.13603711252843</v>
      </c>
      <c r="AN98" s="14">
        <f>SUMIFS('Bill Credit Rates'!$K:$K,'Bill Credit Rates'!$A:$A,$A$4,'Bill Credit Rates'!$B:$B,$G98,'Bill Credit Rates'!$C:$C,$M98)</f>
        <v>112.13603711252843</v>
      </c>
    </row>
    <row r="99" spans="1:40">
      <c r="A99" s="48">
        <v>2035</v>
      </c>
      <c r="B99" s="31" cm="1">
        <f t="array" ref="B99">IF(A99&lt;2021,0,SUMPRODUCT(('Project Operational Timelines'!$AO$20:$AO$49=$A62)*('Project Operational Timelines'!$AP$18:$AY$18=$A$4)*('Project Operational Timelines'!$AP$17:$AY$17=$G99)*'Project Operational Timelines'!$AP34:$AY34))</f>
        <v>72.39</v>
      </c>
      <c r="C99" s="84">
        <f t="shared" si="53"/>
        <v>12276.331324225001</v>
      </c>
      <c r="D99" s="89">
        <f t="shared" si="66"/>
        <v>9129095.4100000001</v>
      </c>
      <c r="E99" s="89"/>
      <c r="F99" s="89" cm="1">
        <f t="array" ref="F99">IF(A99&lt;2021,0,(-(SUMPRODUCT(('Project Operational Timelines'!$AO$20:$AO$49=$A99)*('Project Operational Timelines'!$AP$18:$AY$18=$A$4)*('Project Operational Timelines'!$AP$19:$AY$19="Non-Carve Out")*('Project Operational Timelines'!$AP$17:$AY$17=$G99)*'Project Operational Timelines'!$AP34:$AY34))*1000*('Program Inputs'!$D$14-'Program Inputs'!$D$6)*$F$4*12)+(-(SUMPRODUCT(('Project Operational Timelines'!$AO$20:$AO$49=$A99)*('Project Operational Timelines'!$AP$18:$AY$18=$A$4)*('Project Operational Timelines'!$AP$19:$AY$19="Carve Out")*('Project Operational Timelines'!$AP$17:$AY$17=$G99)*'Project Operational Timelines'!$AP34:$AY34))*1000*('Program Inputs'!$D$14-'Program Inputs'!$D$7)*$F$4*'Program Inputs'!$D$14*12))</f>
        <v>-103282.68</v>
      </c>
      <c r="G99" s="335">
        <v>2</v>
      </c>
      <c r="H99" s="328">
        <f t="shared" si="67"/>
        <v>6679695.4199999999</v>
      </c>
      <c r="I99" s="69"/>
      <c r="J99" s="69"/>
      <c r="K99" s="104"/>
      <c r="L99" s="75">
        <f>IF(AND(A99&gt;=('Program Inputs'!$D$4-1),A99&lt;('Program Inputs'!$D$4+19)),1,0)</f>
        <v>1</v>
      </c>
      <c r="M99">
        <v>17</v>
      </c>
      <c r="N99" s="52">
        <v>2035</v>
      </c>
      <c r="O99" s="18">
        <f t="shared" si="54"/>
        <v>61.969486705232697</v>
      </c>
      <c r="P99" s="18">
        <f t="shared" si="55"/>
        <v>61.969486705232697</v>
      </c>
      <c r="Q99" s="18">
        <f t="shared" si="56"/>
        <v>61.969486705232697</v>
      </c>
      <c r="R99" s="18">
        <f t="shared" si="57"/>
        <v>61.969486705232697</v>
      </c>
      <c r="S99" s="18">
        <f t="shared" si="58"/>
        <v>61.969486705232697</v>
      </c>
      <c r="T99" s="18">
        <f t="shared" si="59"/>
        <v>61.969486705232697</v>
      </c>
      <c r="U99" s="18">
        <f t="shared" si="60"/>
        <v>61.969486705232697</v>
      </c>
      <c r="V99" s="18">
        <f t="shared" si="61"/>
        <v>61.969486705232697</v>
      </c>
      <c r="W99" s="18">
        <f t="shared" si="62"/>
        <v>61.969486705232697</v>
      </c>
      <c r="X99" s="18">
        <f t="shared" si="63"/>
        <v>61.969486705232697</v>
      </c>
      <c r="Y99" s="18">
        <f t="shared" si="64"/>
        <v>61.969486705232697</v>
      </c>
      <c r="Z99" s="18">
        <f t="shared" si="65"/>
        <v>61.969486705232697</v>
      </c>
      <c r="AB99" s="52">
        <v>2035</v>
      </c>
      <c r="AC99" s="14">
        <f>SUMIFS('Bill Credit Rates'!$K:$K,'Bill Credit Rates'!$A:$A,$A$4,'Bill Credit Rates'!$B:$B,$G99,'Bill Credit Rates'!$C:$C,$M99)</f>
        <v>114.378757854779</v>
      </c>
      <c r="AD99" s="14">
        <f>SUMIFS('Bill Credit Rates'!$K:$K,'Bill Credit Rates'!$A:$A,$A$4,'Bill Credit Rates'!$B:$B,$G99,'Bill Credit Rates'!$C:$C,$M99)</f>
        <v>114.378757854779</v>
      </c>
      <c r="AE99" s="14">
        <f>SUMIFS('Bill Credit Rates'!$K:$K,'Bill Credit Rates'!$A:$A,$A$4,'Bill Credit Rates'!$B:$B,$G99,'Bill Credit Rates'!$C:$C,$M99)</f>
        <v>114.378757854779</v>
      </c>
      <c r="AF99" s="14">
        <f>SUMIFS('Bill Credit Rates'!$K:$K,'Bill Credit Rates'!$A:$A,$A$4,'Bill Credit Rates'!$B:$B,$G99,'Bill Credit Rates'!$C:$C,$M99)</f>
        <v>114.378757854779</v>
      </c>
      <c r="AG99" s="14">
        <f>SUMIFS('Bill Credit Rates'!$K:$K,'Bill Credit Rates'!$A:$A,$A$4,'Bill Credit Rates'!$B:$B,$G99,'Bill Credit Rates'!$C:$C,$M99)</f>
        <v>114.378757854779</v>
      </c>
      <c r="AH99" s="14">
        <f>SUMIFS('Bill Credit Rates'!$K:$K,'Bill Credit Rates'!$A:$A,$A$4,'Bill Credit Rates'!$B:$B,$G99,'Bill Credit Rates'!$C:$C,$M99)</f>
        <v>114.378757854779</v>
      </c>
      <c r="AI99" s="14">
        <f>SUMIFS('Bill Credit Rates'!$K:$K,'Bill Credit Rates'!$A:$A,$A$4,'Bill Credit Rates'!$B:$B,$G99,'Bill Credit Rates'!$C:$C,$M99)</f>
        <v>114.378757854779</v>
      </c>
      <c r="AJ99" s="14">
        <f>SUMIFS('Bill Credit Rates'!$K:$K,'Bill Credit Rates'!$A:$A,$A$4,'Bill Credit Rates'!$B:$B,$G99,'Bill Credit Rates'!$C:$C,$M99)</f>
        <v>114.378757854779</v>
      </c>
      <c r="AK99" s="14">
        <f>SUMIFS('Bill Credit Rates'!$K:$K,'Bill Credit Rates'!$A:$A,$A$4,'Bill Credit Rates'!$B:$B,$G99,'Bill Credit Rates'!$C:$C,$M99)</f>
        <v>114.378757854779</v>
      </c>
      <c r="AL99" s="14">
        <f>SUMIFS('Bill Credit Rates'!$K:$K,'Bill Credit Rates'!$A:$A,$A$4,'Bill Credit Rates'!$B:$B,$G99,'Bill Credit Rates'!$C:$C,$M99)</f>
        <v>114.378757854779</v>
      </c>
      <c r="AM99" s="14">
        <f>SUMIFS('Bill Credit Rates'!$K:$K,'Bill Credit Rates'!$A:$A,$A$4,'Bill Credit Rates'!$B:$B,$G99,'Bill Credit Rates'!$C:$C,$M99)</f>
        <v>114.378757854779</v>
      </c>
      <c r="AN99" s="14">
        <f>SUMIFS('Bill Credit Rates'!$K:$K,'Bill Credit Rates'!$A:$A,$A$4,'Bill Credit Rates'!$B:$B,$G99,'Bill Credit Rates'!$C:$C,$M99)</f>
        <v>114.378757854779</v>
      </c>
    </row>
    <row r="100" spans="1:40">
      <c r="A100" s="48">
        <v>2036</v>
      </c>
      <c r="B100" s="31" cm="1">
        <f t="array" ref="B100">IF(A100&lt;2021,0,SUMPRODUCT(('Project Operational Timelines'!$AO$20:$AO$49=$A63)*('Project Operational Timelines'!$AP$18:$AY$18=$A$4)*('Project Operational Timelines'!$AP$17:$AY$17=$G100)*'Project Operational Timelines'!$AP35:$AY35))</f>
        <v>72.39</v>
      </c>
      <c r="C100" s="84">
        <f t="shared" si="53"/>
        <v>12276.331324225001</v>
      </c>
      <c r="D100" s="89">
        <f t="shared" si="66"/>
        <v>9299471.5899999999</v>
      </c>
      <c r="E100" s="89"/>
      <c r="F100" s="89" cm="1">
        <f t="array" ref="F100">IF(A100&lt;2021,0,(-(SUMPRODUCT(('Project Operational Timelines'!$AO$20:$AO$49=$A100)*('Project Operational Timelines'!$AP$18:$AY$18=$A$4)*('Project Operational Timelines'!$AP$19:$AY$19="Non-Carve Out")*('Project Operational Timelines'!$AP$17:$AY$17=$G100)*'Project Operational Timelines'!$AP35:$AY35))*1000*('Program Inputs'!$D$14-'Program Inputs'!$D$6)*$F$4*12)+(-(SUMPRODUCT(('Project Operational Timelines'!$AO$20:$AO$49=$A100)*('Project Operational Timelines'!$AP$18:$AY$18=$A$4)*('Project Operational Timelines'!$AP$19:$AY$19="Carve Out")*('Project Operational Timelines'!$AP$17:$AY$17=$G100)*'Project Operational Timelines'!$AP35:$AY35))*1000*('Program Inputs'!$D$14-'Program Inputs'!$D$7)*$F$4*'Program Inputs'!$D$14*12))</f>
        <v>-103282.68</v>
      </c>
      <c r="G100" s="335">
        <v>2</v>
      </c>
      <c r="H100" s="328">
        <f t="shared" si="67"/>
        <v>6613836.4500000002</v>
      </c>
      <c r="I100" s="69"/>
      <c r="J100" s="69"/>
      <c r="K100" s="104"/>
      <c r="L100" s="75">
        <f>IF(AND(A100&gt;=('Program Inputs'!$D$4-1),A100&lt;('Program Inputs'!$D$4+19)),1,0)</f>
        <v>1</v>
      </c>
      <c r="M100">
        <v>18</v>
      </c>
      <c r="N100" s="52">
        <v>2036</v>
      </c>
      <c r="O100" s="18">
        <f t="shared" si="54"/>
        <v>63.126022386021255</v>
      </c>
      <c r="P100" s="18">
        <f t="shared" si="55"/>
        <v>63.126022386021255</v>
      </c>
      <c r="Q100" s="18">
        <f t="shared" si="56"/>
        <v>63.126022386021255</v>
      </c>
      <c r="R100" s="18">
        <f t="shared" si="57"/>
        <v>63.126022386021255</v>
      </c>
      <c r="S100" s="18">
        <f t="shared" si="58"/>
        <v>63.126022386021255</v>
      </c>
      <c r="T100" s="18">
        <f t="shared" si="59"/>
        <v>63.126022386021255</v>
      </c>
      <c r="U100" s="18">
        <f t="shared" si="60"/>
        <v>63.126022386021255</v>
      </c>
      <c r="V100" s="18">
        <f t="shared" si="61"/>
        <v>63.126022386021255</v>
      </c>
      <c r="W100" s="18">
        <f t="shared" si="62"/>
        <v>63.126022386021255</v>
      </c>
      <c r="X100" s="18">
        <f t="shared" si="63"/>
        <v>63.126022386021255</v>
      </c>
      <c r="Y100" s="18">
        <f t="shared" si="64"/>
        <v>63.126022386021255</v>
      </c>
      <c r="Z100" s="18">
        <f t="shared" si="65"/>
        <v>63.126022386021255</v>
      </c>
      <c r="AB100" s="52">
        <v>2036</v>
      </c>
      <c r="AC100" s="14">
        <f>SUMIFS('Bill Credit Rates'!$K:$K,'Bill Credit Rates'!$A:$A,$A$4,'Bill Credit Rates'!$B:$B,$G100,'Bill Credit Rates'!$C:$C,$M100)</f>
        <v>116.66633301187457</v>
      </c>
      <c r="AD100" s="14">
        <f>SUMIFS('Bill Credit Rates'!$K:$K,'Bill Credit Rates'!$A:$A,$A$4,'Bill Credit Rates'!$B:$B,$G100,'Bill Credit Rates'!$C:$C,$M100)</f>
        <v>116.66633301187457</v>
      </c>
      <c r="AE100" s="14">
        <f>SUMIFS('Bill Credit Rates'!$K:$K,'Bill Credit Rates'!$A:$A,$A$4,'Bill Credit Rates'!$B:$B,$G100,'Bill Credit Rates'!$C:$C,$M100)</f>
        <v>116.66633301187457</v>
      </c>
      <c r="AF100" s="14">
        <f>SUMIFS('Bill Credit Rates'!$K:$K,'Bill Credit Rates'!$A:$A,$A$4,'Bill Credit Rates'!$B:$B,$G100,'Bill Credit Rates'!$C:$C,$M100)</f>
        <v>116.66633301187457</v>
      </c>
      <c r="AG100" s="14">
        <f>SUMIFS('Bill Credit Rates'!$K:$K,'Bill Credit Rates'!$A:$A,$A$4,'Bill Credit Rates'!$B:$B,$G100,'Bill Credit Rates'!$C:$C,$M100)</f>
        <v>116.66633301187457</v>
      </c>
      <c r="AH100" s="14">
        <f>SUMIFS('Bill Credit Rates'!$K:$K,'Bill Credit Rates'!$A:$A,$A$4,'Bill Credit Rates'!$B:$B,$G100,'Bill Credit Rates'!$C:$C,$M100)</f>
        <v>116.66633301187457</v>
      </c>
      <c r="AI100" s="14">
        <f>SUMIFS('Bill Credit Rates'!$K:$K,'Bill Credit Rates'!$A:$A,$A$4,'Bill Credit Rates'!$B:$B,$G100,'Bill Credit Rates'!$C:$C,$M100)</f>
        <v>116.66633301187457</v>
      </c>
      <c r="AJ100" s="14">
        <f>SUMIFS('Bill Credit Rates'!$K:$K,'Bill Credit Rates'!$A:$A,$A$4,'Bill Credit Rates'!$B:$B,$G100,'Bill Credit Rates'!$C:$C,$M100)</f>
        <v>116.66633301187457</v>
      </c>
      <c r="AK100" s="14">
        <f>SUMIFS('Bill Credit Rates'!$K:$K,'Bill Credit Rates'!$A:$A,$A$4,'Bill Credit Rates'!$B:$B,$G100,'Bill Credit Rates'!$C:$C,$M100)</f>
        <v>116.66633301187457</v>
      </c>
      <c r="AL100" s="14">
        <f>SUMIFS('Bill Credit Rates'!$K:$K,'Bill Credit Rates'!$A:$A,$A$4,'Bill Credit Rates'!$B:$B,$G100,'Bill Credit Rates'!$C:$C,$M100)</f>
        <v>116.66633301187457</v>
      </c>
      <c r="AM100" s="14">
        <f>SUMIFS('Bill Credit Rates'!$K:$K,'Bill Credit Rates'!$A:$A,$A$4,'Bill Credit Rates'!$B:$B,$G100,'Bill Credit Rates'!$C:$C,$M100)</f>
        <v>116.66633301187457</v>
      </c>
      <c r="AN100" s="14">
        <f>SUMIFS('Bill Credit Rates'!$K:$K,'Bill Credit Rates'!$A:$A,$A$4,'Bill Credit Rates'!$B:$B,$G100,'Bill Credit Rates'!$C:$C,$M100)</f>
        <v>116.66633301187457</v>
      </c>
    </row>
    <row r="101" spans="1:40">
      <c r="A101" s="48">
        <v>2037</v>
      </c>
      <c r="B101" s="31" cm="1">
        <f t="array" ref="B101">IF(A101&lt;2021,0,SUMPRODUCT(('Project Operational Timelines'!$AO$20:$AO$49=$A64)*('Project Operational Timelines'!$AP$18:$AY$18=$A$4)*('Project Operational Timelines'!$AP$17:$AY$17=$G101)*'Project Operational Timelines'!$AP36:$AY36))</f>
        <v>72.39</v>
      </c>
      <c r="C101" s="84">
        <f t="shared" si="53"/>
        <v>12276.331324225001</v>
      </c>
      <c r="D101" s="89">
        <f t="shared" si="66"/>
        <v>9361724.3599999994</v>
      </c>
      <c r="E101" s="89"/>
      <c r="F101" s="89" cm="1">
        <f t="array" ref="F101">IF(A101&lt;2021,0,(-(SUMPRODUCT(('Project Operational Timelines'!$AO$20:$AO$49=$A101)*('Project Operational Timelines'!$AP$18:$AY$18=$A$4)*('Project Operational Timelines'!$AP$19:$AY$19="Non-Carve Out")*('Project Operational Timelines'!$AP$17:$AY$17=$G101)*'Project Operational Timelines'!$AP36:$AY36))*1000*('Program Inputs'!$D$14-'Program Inputs'!$D$6)*$F$4*12)+(-(SUMPRODUCT(('Project Operational Timelines'!$AO$20:$AO$49=$A101)*('Project Operational Timelines'!$AP$18:$AY$18=$A$4)*('Project Operational Timelines'!$AP$19:$AY$19="Carve Out")*('Project Operational Timelines'!$AP$17:$AY$17=$G101)*'Project Operational Timelines'!$AP36:$AY36))*1000*('Program Inputs'!$D$14-'Program Inputs'!$D$7)*$F$4*'Program Inputs'!$D$14*12))</f>
        <v>-103282.68</v>
      </c>
      <c r="G101" s="335">
        <v>2</v>
      </c>
      <c r="H101" s="328">
        <f t="shared" si="67"/>
        <v>6471683.8600000003</v>
      </c>
      <c r="I101" s="69"/>
      <c r="J101" s="69"/>
      <c r="K101" s="104"/>
      <c r="L101" s="75">
        <f>IF(AND(A101&gt;=('Program Inputs'!$D$4-1),A101&lt;('Program Inputs'!$D$4+19)),1,0)</f>
        <v>1</v>
      </c>
      <c r="M101">
        <v>19</v>
      </c>
      <c r="N101" s="52">
        <v>2037</v>
      </c>
      <c r="O101" s="18">
        <f t="shared" si="54"/>
        <v>63.548602261768117</v>
      </c>
      <c r="P101" s="18">
        <f t="shared" si="55"/>
        <v>63.548602261768117</v>
      </c>
      <c r="Q101" s="18">
        <f t="shared" si="56"/>
        <v>63.548602261768117</v>
      </c>
      <c r="R101" s="18">
        <f t="shared" si="57"/>
        <v>63.548602261768117</v>
      </c>
      <c r="S101" s="18">
        <f t="shared" si="58"/>
        <v>63.548602261768117</v>
      </c>
      <c r="T101" s="18">
        <f t="shared" si="59"/>
        <v>63.548602261768117</v>
      </c>
      <c r="U101" s="18">
        <f t="shared" si="60"/>
        <v>63.548602261768117</v>
      </c>
      <c r="V101" s="18">
        <f t="shared" si="61"/>
        <v>63.548602261768117</v>
      </c>
      <c r="W101" s="18">
        <f t="shared" si="62"/>
        <v>63.548602261768117</v>
      </c>
      <c r="X101" s="18">
        <f t="shared" si="63"/>
        <v>63.548602261768117</v>
      </c>
      <c r="Y101" s="18">
        <f t="shared" si="64"/>
        <v>63.548602261768117</v>
      </c>
      <c r="Z101" s="18">
        <f t="shared" si="65"/>
        <v>63.548602261768117</v>
      </c>
      <c r="AB101" s="52">
        <v>2037</v>
      </c>
      <c r="AC101" s="14">
        <f>SUMIFS('Bill Credit Rates'!$K:$K,'Bill Credit Rates'!$A:$A,$A$4,'Bill Credit Rates'!$B:$B,$G101,'Bill Credit Rates'!$C:$C,$M101)</f>
        <v>118.99965967211207</v>
      </c>
      <c r="AD101" s="14">
        <f>SUMIFS('Bill Credit Rates'!$K:$K,'Bill Credit Rates'!$A:$A,$A$4,'Bill Credit Rates'!$B:$B,$G101,'Bill Credit Rates'!$C:$C,$M101)</f>
        <v>118.99965967211207</v>
      </c>
      <c r="AE101" s="14">
        <f>SUMIFS('Bill Credit Rates'!$K:$K,'Bill Credit Rates'!$A:$A,$A$4,'Bill Credit Rates'!$B:$B,$G101,'Bill Credit Rates'!$C:$C,$M101)</f>
        <v>118.99965967211207</v>
      </c>
      <c r="AF101" s="14">
        <f>SUMIFS('Bill Credit Rates'!$K:$K,'Bill Credit Rates'!$A:$A,$A$4,'Bill Credit Rates'!$B:$B,$G101,'Bill Credit Rates'!$C:$C,$M101)</f>
        <v>118.99965967211207</v>
      </c>
      <c r="AG101" s="14">
        <f>SUMIFS('Bill Credit Rates'!$K:$K,'Bill Credit Rates'!$A:$A,$A$4,'Bill Credit Rates'!$B:$B,$G101,'Bill Credit Rates'!$C:$C,$M101)</f>
        <v>118.99965967211207</v>
      </c>
      <c r="AH101" s="14">
        <f>SUMIFS('Bill Credit Rates'!$K:$K,'Bill Credit Rates'!$A:$A,$A$4,'Bill Credit Rates'!$B:$B,$G101,'Bill Credit Rates'!$C:$C,$M101)</f>
        <v>118.99965967211207</v>
      </c>
      <c r="AI101" s="14">
        <f>SUMIFS('Bill Credit Rates'!$K:$K,'Bill Credit Rates'!$A:$A,$A$4,'Bill Credit Rates'!$B:$B,$G101,'Bill Credit Rates'!$C:$C,$M101)</f>
        <v>118.99965967211207</v>
      </c>
      <c r="AJ101" s="14">
        <f>SUMIFS('Bill Credit Rates'!$K:$K,'Bill Credit Rates'!$A:$A,$A$4,'Bill Credit Rates'!$B:$B,$G101,'Bill Credit Rates'!$C:$C,$M101)</f>
        <v>118.99965967211207</v>
      </c>
      <c r="AK101" s="14">
        <f>SUMIFS('Bill Credit Rates'!$K:$K,'Bill Credit Rates'!$A:$A,$A$4,'Bill Credit Rates'!$B:$B,$G101,'Bill Credit Rates'!$C:$C,$M101)</f>
        <v>118.99965967211207</v>
      </c>
      <c r="AL101" s="14">
        <f>SUMIFS('Bill Credit Rates'!$K:$K,'Bill Credit Rates'!$A:$A,$A$4,'Bill Credit Rates'!$B:$B,$G101,'Bill Credit Rates'!$C:$C,$M101)</f>
        <v>118.99965967211207</v>
      </c>
      <c r="AM101" s="14">
        <f>SUMIFS('Bill Credit Rates'!$K:$K,'Bill Credit Rates'!$A:$A,$A$4,'Bill Credit Rates'!$B:$B,$G101,'Bill Credit Rates'!$C:$C,$M101)</f>
        <v>118.99965967211207</v>
      </c>
      <c r="AN101" s="14">
        <f>SUMIFS('Bill Credit Rates'!$K:$K,'Bill Credit Rates'!$A:$A,$A$4,'Bill Credit Rates'!$B:$B,$G101,'Bill Credit Rates'!$C:$C,$M101)</f>
        <v>118.99965967211207</v>
      </c>
    </row>
    <row r="102" spans="1:40">
      <c r="A102" s="48">
        <v>2038</v>
      </c>
      <c r="B102" s="31" cm="1">
        <f t="array" ref="B102">IF(A102&lt;2021,0,SUMPRODUCT(('Project Operational Timelines'!$AO$20:$AO$49=$A65)*('Project Operational Timelines'!$AP$18:$AY$18=$A$4)*('Project Operational Timelines'!$AP$17:$AY$17=$G102)*'Project Operational Timelines'!$AP37:$AY37))</f>
        <v>72.39</v>
      </c>
      <c r="C102" s="84">
        <f t="shared" si="53"/>
        <v>12276.331324225001</v>
      </c>
      <c r="D102" s="89">
        <f t="shared" si="66"/>
        <v>9433396.6199999992</v>
      </c>
      <c r="E102" s="89"/>
      <c r="F102" s="89" cm="1">
        <f t="array" ref="F102">IF(A102&lt;2021,0,(-(SUMPRODUCT(('Project Operational Timelines'!$AO$20:$AO$49=$A102)*('Project Operational Timelines'!$AP$18:$AY$18=$A$4)*('Project Operational Timelines'!$AP$19:$AY$19="Non-Carve Out")*('Project Operational Timelines'!$AP$17:$AY$17=$G102)*'Project Operational Timelines'!$AP37:$AY37))*1000*('Program Inputs'!$D$14-'Program Inputs'!$D$6)*$F$4*12)+(-(SUMPRODUCT(('Project Operational Timelines'!$AO$20:$AO$49=$A102)*('Project Operational Timelines'!$AP$18:$AY$18=$A$4)*('Project Operational Timelines'!$AP$19:$AY$19="Carve Out")*('Project Operational Timelines'!$AP$17:$AY$17=$G102)*'Project Operational Timelines'!$AP37:$AY37))*1000*('Program Inputs'!$D$14-'Program Inputs'!$D$7)*$F$4*'Program Inputs'!$D$14*12))</f>
        <v>-103282.68</v>
      </c>
      <c r="G102" s="335">
        <v>2</v>
      </c>
      <c r="H102" s="328">
        <f t="shared" si="67"/>
        <v>6338635.8600000003</v>
      </c>
      <c r="I102" s="69"/>
      <c r="J102" s="69"/>
      <c r="K102" s="104"/>
      <c r="L102" s="75">
        <f>IF(AND(A102&gt;=('Program Inputs'!$D$4-1),A102&lt;('Program Inputs'!$D$4+19)),1,0)</f>
        <v>1</v>
      </c>
      <c r="M102">
        <v>20</v>
      </c>
      <c r="N102" s="52">
        <v>2038</v>
      </c>
      <c r="O102" s="18">
        <f t="shared" si="54"/>
        <v>64.035122901995976</v>
      </c>
      <c r="P102" s="18">
        <f t="shared" si="55"/>
        <v>64.035122901995976</v>
      </c>
      <c r="Q102" s="18">
        <f t="shared" si="56"/>
        <v>64.035122901995976</v>
      </c>
      <c r="R102" s="18">
        <f t="shared" si="57"/>
        <v>64.035122901995976</v>
      </c>
      <c r="S102" s="18">
        <f t="shared" si="58"/>
        <v>64.035122901995976</v>
      </c>
      <c r="T102" s="18">
        <f t="shared" si="59"/>
        <v>64.035122901995976</v>
      </c>
      <c r="U102" s="18">
        <f t="shared" si="60"/>
        <v>64.035122901995976</v>
      </c>
      <c r="V102" s="18">
        <f t="shared" si="61"/>
        <v>64.035122901995976</v>
      </c>
      <c r="W102" s="18">
        <f t="shared" si="62"/>
        <v>64.035122901995976</v>
      </c>
      <c r="X102" s="18">
        <f t="shared" si="63"/>
        <v>64.035122901995976</v>
      </c>
      <c r="Y102" s="18">
        <f t="shared" si="64"/>
        <v>64.035122901995976</v>
      </c>
      <c r="Z102" s="18">
        <f t="shared" si="65"/>
        <v>64.035122901995976</v>
      </c>
      <c r="AB102" s="52">
        <v>2038</v>
      </c>
      <c r="AC102" s="14">
        <f>SUMIFS('Bill Credit Rates'!$K:$K,'Bill Credit Rates'!$A:$A,$A$4,'Bill Credit Rates'!$B:$B,$G102,'Bill Credit Rates'!$C:$C,$M102)</f>
        <v>121.37965286555433</v>
      </c>
      <c r="AD102" s="14">
        <f>SUMIFS('Bill Credit Rates'!$K:$K,'Bill Credit Rates'!$A:$A,$A$4,'Bill Credit Rates'!$B:$B,$G102,'Bill Credit Rates'!$C:$C,$M102)</f>
        <v>121.37965286555433</v>
      </c>
      <c r="AE102" s="14">
        <f>SUMIFS('Bill Credit Rates'!$K:$K,'Bill Credit Rates'!$A:$A,$A$4,'Bill Credit Rates'!$B:$B,$G102,'Bill Credit Rates'!$C:$C,$M102)</f>
        <v>121.37965286555433</v>
      </c>
      <c r="AF102" s="14">
        <f>SUMIFS('Bill Credit Rates'!$K:$K,'Bill Credit Rates'!$A:$A,$A$4,'Bill Credit Rates'!$B:$B,$G102,'Bill Credit Rates'!$C:$C,$M102)</f>
        <v>121.37965286555433</v>
      </c>
      <c r="AG102" s="14">
        <f>SUMIFS('Bill Credit Rates'!$K:$K,'Bill Credit Rates'!$A:$A,$A$4,'Bill Credit Rates'!$B:$B,$G102,'Bill Credit Rates'!$C:$C,$M102)</f>
        <v>121.37965286555433</v>
      </c>
      <c r="AH102" s="14">
        <f>SUMIFS('Bill Credit Rates'!$K:$K,'Bill Credit Rates'!$A:$A,$A$4,'Bill Credit Rates'!$B:$B,$G102,'Bill Credit Rates'!$C:$C,$M102)</f>
        <v>121.37965286555433</v>
      </c>
      <c r="AI102" s="14">
        <f>SUMIFS('Bill Credit Rates'!$K:$K,'Bill Credit Rates'!$A:$A,$A$4,'Bill Credit Rates'!$B:$B,$G102,'Bill Credit Rates'!$C:$C,$M102)</f>
        <v>121.37965286555433</v>
      </c>
      <c r="AJ102" s="14">
        <f>SUMIFS('Bill Credit Rates'!$K:$K,'Bill Credit Rates'!$A:$A,$A$4,'Bill Credit Rates'!$B:$B,$G102,'Bill Credit Rates'!$C:$C,$M102)</f>
        <v>121.37965286555433</v>
      </c>
      <c r="AK102" s="14">
        <f>SUMIFS('Bill Credit Rates'!$K:$K,'Bill Credit Rates'!$A:$A,$A$4,'Bill Credit Rates'!$B:$B,$G102,'Bill Credit Rates'!$C:$C,$M102)</f>
        <v>121.37965286555433</v>
      </c>
      <c r="AL102" s="14">
        <f>SUMIFS('Bill Credit Rates'!$K:$K,'Bill Credit Rates'!$A:$A,$A$4,'Bill Credit Rates'!$B:$B,$G102,'Bill Credit Rates'!$C:$C,$M102)</f>
        <v>121.37965286555433</v>
      </c>
      <c r="AM102" s="14">
        <f>SUMIFS('Bill Credit Rates'!$K:$K,'Bill Credit Rates'!$A:$A,$A$4,'Bill Credit Rates'!$B:$B,$G102,'Bill Credit Rates'!$C:$C,$M102)</f>
        <v>121.37965286555433</v>
      </c>
      <c r="AN102" s="14">
        <f>SUMIFS('Bill Credit Rates'!$K:$K,'Bill Credit Rates'!$A:$A,$A$4,'Bill Credit Rates'!$B:$B,$G102,'Bill Credit Rates'!$C:$C,$M102)</f>
        <v>121.37965286555433</v>
      </c>
    </row>
    <row r="103" spans="1:40">
      <c r="A103" s="48">
        <v>2039</v>
      </c>
      <c r="B103" s="31" cm="1">
        <f t="array" ref="B103">IF(A103&lt;2021,0,SUMPRODUCT(('Project Operational Timelines'!$AO$20:$AO$49=$A66)*('Project Operational Timelines'!$AP$18:$AY$18=$A$4)*('Project Operational Timelines'!$AP$17:$AY$17=$G103)*'Project Operational Timelines'!$AP38:$AY38))</f>
        <v>72.39</v>
      </c>
      <c r="C103" s="84">
        <f t="shared" si="53"/>
        <v>12276.331324225001</v>
      </c>
      <c r="D103" s="89">
        <f t="shared" si="66"/>
        <v>9529342.6899999995</v>
      </c>
      <c r="E103" s="89"/>
      <c r="F103" s="89" cm="1">
        <f t="array" ref="F103">IF(A103&lt;2021,0,(-(SUMPRODUCT(('Project Operational Timelines'!$AO$20:$AO$49=$A103)*('Project Operational Timelines'!$AP$18:$AY$18=$A$4)*('Project Operational Timelines'!$AP$19:$AY$19="Non-Carve Out")*('Project Operational Timelines'!$AP$17:$AY$17=$G103)*'Project Operational Timelines'!$AP38:$AY38))*1000*('Program Inputs'!$D$14-'Program Inputs'!$D$6)*$F$4*12)+(-(SUMPRODUCT(('Project Operational Timelines'!$AO$20:$AO$49=$A103)*('Project Operational Timelines'!$AP$18:$AY$18=$A$4)*('Project Operational Timelines'!$AP$19:$AY$19="Carve Out")*('Project Operational Timelines'!$AP$17:$AY$17=$G103)*'Project Operational Timelines'!$AP38:$AY38))*1000*('Program Inputs'!$D$14-'Program Inputs'!$D$7)*$F$4*'Program Inputs'!$D$14*12))</f>
        <v>-103282.68</v>
      </c>
      <c r="G103" s="335">
        <v>2</v>
      </c>
      <c r="H103" s="328">
        <f t="shared" si="67"/>
        <v>6223818.5</v>
      </c>
      <c r="I103" s="69"/>
      <c r="J103" s="69"/>
      <c r="K103" s="104"/>
      <c r="L103" s="75">
        <f>IF(AND(A103&gt;=('Program Inputs'!$D$4-1),A103&lt;('Program Inputs'!$D$4+19)),1,0)</f>
        <v>0</v>
      </c>
      <c r="M103">
        <v>21</v>
      </c>
      <c r="N103" s="52">
        <v>2039</v>
      </c>
      <c r="O103" s="18">
        <f t="shared" si="54"/>
        <v>64.686417301418984</v>
      </c>
      <c r="P103" s="18">
        <f t="shared" si="55"/>
        <v>64.686417301418984</v>
      </c>
      <c r="Q103" s="18">
        <f t="shared" si="56"/>
        <v>64.686417301418984</v>
      </c>
      <c r="R103" s="18">
        <f t="shared" si="57"/>
        <v>64.686417301418984</v>
      </c>
      <c r="S103" s="18">
        <f t="shared" si="58"/>
        <v>64.686417301418984</v>
      </c>
      <c r="T103" s="18">
        <f t="shared" si="59"/>
        <v>64.686417301418984</v>
      </c>
      <c r="U103" s="18">
        <f t="shared" si="60"/>
        <v>64.686417301418984</v>
      </c>
      <c r="V103" s="18">
        <f t="shared" si="61"/>
        <v>64.686417301418984</v>
      </c>
      <c r="W103" s="18">
        <f t="shared" si="62"/>
        <v>64.686417301418984</v>
      </c>
      <c r="X103" s="18">
        <f t="shared" si="63"/>
        <v>64.686417301418984</v>
      </c>
      <c r="Y103" s="18">
        <f t="shared" si="64"/>
        <v>64.686417301418984</v>
      </c>
      <c r="Z103" s="18">
        <f t="shared" si="65"/>
        <v>64.686417301418984</v>
      </c>
      <c r="AB103" s="52">
        <v>2039</v>
      </c>
      <c r="AC103" s="14">
        <f>SUMIFS('Bill Credit Rates'!$K:$K,'Bill Credit Rates'!$A:$A,$A$4,'Bill Credit Rates'!$B:$B,$G103,'Bill Credit Rates'!$C:$C,$M103)</f>
        <v>123.80724592286543</v>
      </c>
      <c r="AD103" s="14">
        <f>SUMIFS('Bill Credit Rates'!$K:$K,'Bill Credit Rates'!$A:$A,$A$4,'Bill Credit Rates'!$B:$B,$G103,'Bill Credit Rates'!$C:$C,$M103)</f>
        <v>123.80724592286543</v>
      </c>
      <c r="AE103" s="14">
        <f>SUMIFS('Bill Credit Rates'!$K:$K,'Bill Credit Rates'!$A:$A,$A$4,'Bill Credit Rates'!$B:$B,$G103,'Bill Credit Rates'!$C:$C,$M103)</f>
        <v>123.80724592286543</v>
      </c>
      <c r="AF103" s="14">
        <f>SUMIFS('Bill Credit Rates'!$K:$K,'Bill Credit Rates'!$A:$A,$A$4,'Bill Credit Rates'!$B:$B,$G103,'Bill Credit Rates'!$C:$C,$M103)</f>
        <v>123.80724592286543</v>
      </c>
      <c r="AG103" s="14">
        <f>SUMIFS('Bill Credit Rates'!$K:$K,'Bill Credit Rates'!$A:$A,$A$4,'Bill Credit Rates'!$B:$B,$G103,'Bill Credit Rates'!$C:$C,$M103)</f>
        <v>123.80724592286543</v>
      </c>
      <c r="AH103" s="14">
        <f>SUMIFS('Bill Credit Rates'!$K:$K,'Bill Credit Rates'!$A:$A,$A$4,'Bill Credit Rates'!$B:$B,$G103,'Bill Credit Rates'!$C:$C,$M103)</f>
        <v>123.80724592286543</v>
      </c>
      <c r="AI103" s="14">
        <f>SUMIFS('Bill Credit Rates'!$K:$K,'Bill Credit Rates'!$A:$A,$A$4,'Bill Credit Rates'!$B:$B,$G103,'Bill Credit Rates'!$C:$C,$M103)</f>
        <v>123.80724592286543</v>
      </c>
      <c r="AJ103" s="14">
        <f>SUMIFS('Bill Credit Rates'!$K:$K,'Bill Credit Rates'!$A:$A,$A$4,'Bill Credit Rates'!$B:$B,$G103,'Bill Credit Rates'!$C:$C,$M103)</f>
        <v>123.80724592286543</v>
      </c>
      <c r="AK103" s="14">
        <f>SUMIFS('Bill Credit Rates'!$K:$K,'Bill Credit Rates'!$A:$A,$A$4,'Bill Credit Rates'!$B:$B,$G103,'Bill Credit Rates'!$C:$C,$M103)</f>
        <v>123.80724592286543</v>
      </c>
      <c r="AL103" s="14">
        <f>SUMIFS('Bill Credit Rates'!$K:$K,'Bill Credit Rates'!$A:$A,$A$4,'Bill Credit Rates'!$B:$B,$G103,'Bill Credit Rates'!$C:$C,$M103)</f>
        <v>123.80724592286543</v>
      </c>
      <c r="AM103" s="14">
        <f>SUMIFS('Bill Credit Rates'!$K:$K,'Bill Credit Rates'!$A:$A,$A$4,'Bill Credit Rates'!$B:$B,$G103,'Bill Credit Rates'!$C:$C,$M103)</f>
        <v>123.80724592286543</v>
      </c>
      <c r="AN103" s="14">
        <f>SUMIFS('Bill Credit Rates'!$K:$K,'Bill Credit Rates'!$A:$A,$A$4,'Bill Credit Rates'!$B:$B,$G103,'Bill Credit Rates'!$C:$C,$M103)</f>
        <v>123.80724592286543</v>
      </c>
    </row>
    <row r="104" spans="1:40">
      <c r="A104" s="48">
        <v>2040</v>
      </c>
      <c r="B104" s="31" cm="1">
        <f t="array" ref="B104">IF(A104&lt;2021,0,SUMPRODUCT(('Project Operational Timelines'!$AO$20:$AO$49=$A67)*('Project Operational Timelines'!$AP$18:$AY$18=$A$4)*('Project Operational Timelines'!$AP$17:$AY$17=$G104)*'Project Operational Timelines'!$AP39:$AY39))</f>
        <v>72.39</v>
      </c>
      <c r="C104" s="84">
        <f t="shared" si="53"/>
        <v>12276.331324225001</v>
      </c>
      <c r="D104" s="89">
        <f t="shared" si="66"/>
        <v>9642166.4100000001</v>
      </c>
      <c r="E104" s="89"/>
      <c r="F104" s="89" cm="1">
        <f t="array" ref="F104">IF(A104&lt;2021,0,(-(SUMPRODUCT(('Project Operational Timelines'!$AO$20:$AO$49=$A104)*('Project Operational Timelines'!$AP$18:$AY$18=$A$4)*('Project Operational Timelines'!$AP$19:$AY$19="Non-Carve Out")*('Project Operational Timelines'!$AP$17:$AY$17=$G104)*'Project Operational Timelines'!$AP39:$AY39))*1000*('Program Inputs'!$D$14-'Program Inputs'!$D$6)*$F$4*12)+(-(SUMPRODUCT(('Project Operational Timelines'!$AO$20:$AO$49=$A104)*('Project Operational Timelines'!$AP$18:$AY$18=$A$4)*('Project Operational Timelines'!$AP$19:$AY$19="Carve Out")*('Project Operational Timelines'!$AP$17:$AY$17=$G104)*'Project Operational Timelines'!$AP39:$AY39))*1000*('Program Inputs'!$D$14-'Program Inputs'!$D$7)*$F$4*'Program Inputs'!$D$14*12))</f>
        <v>-103282.68</v>
      </c>
      <c r="G104" s="335">
        <v>2</v>
      </c>
      <c r="H104" s="328">
        <f t="shared" si="67"/>
        <v>6121175.9199999999</v>
      </c>
      <c r="I104" s="69"/>
      <c r="J104" s="69"/>
      <c r="K104" s="104"/>
      <c r="L104" s="75">
        <f>IF(AND(A104&gt;=('Program Inputs'!$D$4-1),A104&lt;('Program Inputs'!$D$4+19)),1,0)</f>
        <v>0</v>
      </c>
      <c r="M104">
        <v>22</v>
      </c>
      <c r="N104" s="52">
        <v>2040</v>
      </c>
      <c r="O104" s="18">
        <f t="shared" ref="O104:Z104" si="68">(AC104-BS67)</f>
        <v>65.452279342931334</v>
      </c>
      <c r="P104" s="18">
        <f t="shared" si="68"/>
        <v>65.452279342931334</v>
      </c>
      <c r="Q104" s="18">
        <f t="shared" si="68"/>
        <v>65.452279342931334</v>
      </c>
      <c r="R104" s="18">
        <f t="shared" si="68"/>
        <v>65.452279342931334</v>
      </c>
      <c r="S104" s="18">
        <f t="shared" si="68"/>
        <v>65.452279342931334</v>
      </c>
      <c r="T104" s="18">
        <f t="shared" si="68"/>
        <v>65.452279342931334</v>
      </c>
      <c r="U104" s="18">
        <f t="shared" si="68"/>
        <v>65.452279342931334</v>
      </c>
      <c r="V104" s="18">
        <f t="shared" si="68"/>
        <v>65.452279342931334</v>
      </c>
      <c r="W104" s="18">
        <f t="shared" si="68"/>
        <v>65.452279342931334</v>
      </c>
      <c r="X104" s="18">
        <f t="shared" si="68"/>
        <v>65.452279342931334</v>
      </c>
      <c r="Y104" s="18">
        <f t="shared" si="68"/>
        <v>65.452279342931334</v>
      </c>
      <c r="Z104" s="18">
        <f t="shared" si="68"/>
        <v>65.452279342931334</v>
      </c>
      <c r="AB104" s="52">
        <v>2040</v>
      </c>
      <c r="AC104" s="14">
        <f>SUMIFS('Bill Credit Rates'!$K:$K,'Bill Credit Rates'!$A:$A,$A$4,'Bill Credit Rates'!$B:$B,$G104,'Bill Credit Rates'!$C:$C,$M104)</f>
        <v>126.28339084132273</v>
      </c>
      <c r="AD104" s="14">
        <f>SUMIFS('Bill Credit Rates'!$K:$K,'Bill Credit Rates'!$A:$A,$A$4,'Bill Credit Rates'!$B:$B,$G104,'Bill Credit Rates'!$C:$C,$M104)</f>
        <v>126.28339084132273</v>
      </c>
      <c r="AE104" s="14">
        <f>SUMIFS('Bill Credit Rates'!$K:$K,'Bill Credit Rates'!$A:$A,$A$4,'Bill Credit Rates'!$B:$B,$G104,'Bill Credit Rates'!$C:$C,$M104)</f>
        <v>126.28339084132273</v>
      </c>
      <c r="AF104" s="14">
        <f>SUMIFS('Bill Credit Rates'!$K:$K,'Bill Credit Rates'!$A:$A,$A$4,'Bill Credit Rates'!$B:$B,$G104,'Bill Credit Rates'!$C:$C,$M104)</f>
        <v>126.28339084132273</v>
      </c>
      <c r="AG104" s="14">
        <f>SUMIFS('Bill Credit Rates'!$K:$K,'Bill Credit Rates'!$A:$A,$A$4,'Bill Credit Rates'!$B:$B,$G104,'Bill Credit Rates'!$C:$C,$M104)</f>
        <v>126.28339084132273</v>
      </c>
      <c r="AH104" s="14">
        <f>SUMIFS('Bill Credit Rates'!$K:$K,'Bill Credit Rates'!$A:$A,$A$4,'Bill Credit Rates'!$B:$B,$G104,'Bill Credit Rates'!$C:$C,$M104)</f>
        <v>126.28339084132273</v>
      </c>
      <c r="AI104" s="14">
        <f>SUMIFS('Bill Credit Rates'!$K:$K,'Bill Credit Rates'!$A:$A,$A$4,'Bill Credit Rates'!$B:$B,$G104,'Bill Credit Rates'!$C:$C,$M104)</f>
        <v>126.28339084132273</v>
      </c>
      <c r="AJ104" s="14">
        <f>SUMIFS('Bill Credit Rates'!$K:$K,'Bill Credit Rates'!$A:$A,$A$4,'Bill Credit Rates'!$B:$B,$G104,'Bill Credit Rates'!$C:$C,$M104)</f>
        <v>126.28339084132273</v>
      </c>
      <c r="AK104" s="14">
        <f>SUMIFS('Bill Credit Rates'!$K:$K,'Bill Credit Rates'!$A:$A,$A$4,'Bill Credit Rates'!$B:$B,$G104,'Bill Credit Rates'!$C:$C,$M104)</f>
        <v>126.28339084132273</v>
      </c>
      <c r="AL104" s="14">
        <f>SUMIFS('Bill Credit Rates'!$K:$K,'Bill Credit Rates'!$A:$A,$A$4,'Bill Credit Rates'!$B:$B,$G104,'Bill Credit Rates'!$C:$C,$M104)</f>
        <v>126.28339084132273</v>
      </c>
      <c r="AM104" s="14">
        <f>SUMIFS('Bill Credit Rates'!$K:$K,'Bill Credit Rates'!$A:$A,$A$4,'Bill Credit Rates'!$B:$B,$G104,'Bill Credit Rates'!$C:$C,$M104)</f>
        <v>126.28339084132273</v>
      </c>
      <c r="AN104" s="14">
        <f>SUMIFS('Bill Credit Rates'!$K:$K,'Bill Credit Rates'!$A:$A,$A$4,'Bill Credit Rates'!$B:$B,$G104,'Bill Credit Rates'!$C:$C,$M104)</f>
        <v>126.28339084132273</v>
      </c>
    </row>
    <row r="105" spans="1:40">
      <c r="A105" s="48">
        <v>2041</v>
      </c>
      <c r="B105" s="31" cm="1">
        <f t="array" ref="B105">IF(A105&lt;2021,0,SUMPRODUCT(('Project Operational Timelines'!$AO$20:$AO$49=$A68)*('Project Operational Timelines'!$AP$18:$AY$18=$A$4)*('Project Operational Timelines'!$AP$17:$AY$17=$G105)*'Project Operational Timelines'!$AP40:$AY40))</f>
        <v>72.39</v>
      </c>
      <c r="C105" s="84">
        <f t="shared" si="53"/>
        <v>12276.331324225001</v>
      </c>
      <c r="D105" s="89">
        <f t="shared" si="66"/>
        <v>9737614.1099999994</v>
      </c>
      <c r="E105" s="89"/>
      <c r="F105" s="89" cm="1">
        <f t="array" ref="F105">IF(A105&lt;2021,0,(-(SUMPRODUCT(('Project Operational Timelines'!$AO$20:$AO$49=$A105)*('Project Operational Timelines'!$AP$18:$AY$18=$A$4)*('Project Operational Timelines'!$AP$19:$AY$19="Non-Carve Out")*('Project Operational Timelines'!$AP$17:$AY$17=$G105)*'Project Operational Timelines'!$AP40:$AY40))*1000*('Program Inputs'!$D$14-'Program Inputs'!$D$6)*$F$4*12)+(-(SUMPRODUCT(('Project Operational Timelines'!$AO$20:$AO$49=$A105)*('Project Operational Timelines'!$AP$18:$AY$18=$A$4)*('Project Operational Timelines'!$AP$19:$AY$19="Carve Out")*('Project Operational Timelines'!$AP$17:$AY$17=$G105)*'Project Operational Timelines'!$AP40:$AY40))*1000*('Program Inputs'!$D$14-'Program Inputs'!$D$7)*$F$4*'Program Inputs'!$D$14*12))</f>
        <v>-103282.68</v>
      </c>
      <c r="G105" s="335">
        <v>2</v>
      </c>
      <c r="H105" s="328">
        <f t="shared" si="67"/>
        <v>6008679.8300000001</v>
      </c>
      <c r="I105" s="69"/>
      <c r="J105" s="69"/>
      <c r="K105" s="104"/>
      <c r="L105" s="75">
        <f>IF(AND(A105&gt;=('Program Inputs'!$D$4-1),A105&lt;('Program Inputs'!$D$4+19)),1,0)</f>
        <v>0</v>
      </c>
      <c r="M105">
        <v>23</v>
      </c>
      <c r="N105" s="52">
        <v>2041</v>
      </c>
      <c r="O105" s="18">
        <f t="shared" ref="O105:Z105" si="69">(AC105-BS68)</f>
        <v>66.100190752562071</v>
      </c>
      <c r="P105" s="18">
        <f t="shared" si="69"/>
        <v>66.100190752562071</v>
      </c>
      <c r="Q105" s="18">
        <f t="shared" si="69"/>
        <v>66.100190752562071</v>
      </c>
      <c r="R105" s="18">
        <f t="shared" si="69"/>
        <v>66.100190752562071</v>
      </c>
      <c r="S105" s="18">
        <f t="shared" si="69"/>
        <v>66.100190752562071</v>
      </c>
      <c r="T105" s="18">
        <f t="shared" si="69"/>
        <v>66.100190752562071</v>
      </c>
      <c r="U105" s="18">
        <f t="shared" si="69"/>
        <v>66.100190752562071</v>
      </c>
      <c r="V105" s="18">
        <f t="shared" si="69"/>
        <v>66.100190752562071</v>
      </c>
      <c r="W105" s="18">
        <f t="shared" si="69"/>
        <v>66.100190752562071</v>
      </c>
      <c r="X105" s="18">
        <f t="shared" si="69"/>
        <v>66.100190752562071</v>
      </c>
      <c r="Y105" s="18">
        <f t="shared" si="69"/>
        <v>66.100190752562071</v>
      </c>
      <c r="Z105" s="18">
        <f t="shared" si="69"/>
        <v>66.100190752562071</v>
      </c>
      <c r="AB105" s="52">
        <v>2041</v>
      </c>
      <c r="AC105" s="14">
        <f>SUMIFS('Bill Credit Rates'!$K:$K,'Bill Credit Rates'!$A:$A,$A$4,'Bill Credit Rates'!$B:$B,$G105,'Bill Credit Rates'!$C:$C,$M105)</f>
        <v>128.80905865814918</v>
      </c>
      <c r="AD105" s="14">
        <f>SUMIFS('Bill Credit Rates'!$K:$K,'Bill Credit Rates'!$A:$A,$A$4,'Bill Credit Rates'!$B:$B,$G105,'Bill Credit Rates'!$C:$C,$M105)</f>
        <v>128.80905865814918</v>
      </c>
      <c r="AE105" s="14">
        <f>SUMIFS('Bill Credit Rates'!$K:$K,'Bill Credit Rates'!$A:$A,$A$4,'Bill Credit Rates'!$B:$B,$G105,'Bill Credit Rates'!$C:$C,$M105)</f>
        <v>128.80905865814918</v>
      </c>
      <c r="AF105" s="14">
        <f>SUMIFS('Bill Credit Rates'!$K:$K,'Bill Credit Rates'!$A:$A,$A$4,'Bill Credit Rates'!$B:$B,$G105,'Bill Credit Rates'!$C:$C,$M105)</f>
        <v>128.80905865814918</v>
      </c>
      <c r="AG105" s="14">
        <f>SUMIFS('Bill Credit Rates'!$K:$K,'Bill Credit Rates'!$A:$A,$A$4,'Bill Credit Rates'!$B:$B,$G105,'Bill Credit Rates'!$C:$C,$M105)</f>
        <v>128.80905865814918</v>
      </c>
      <c r="AH105" s="14">
        <f>SUMIFS('Bill Credit Rates'!$K:$K,'Bill Credit Rates'!$A:$A,$A$4,'Bill Credit Rates'!$B:$B,$G105,'Bill Credit Rates'!$C:$C,$M105)</f>
        <v>128.80905865814918</v>
      </c>
      <c r="AI105" s="14">
        <f>SUMIFS('Bill Credit Rates'!$K:$K,'Bill Credit Rates'!$A:$A,$A$4,'Bill Credit Rates'!$B:$B,$G105,'Bill Credit Rates'!$C:$C,$M105)</f>
        <v>128.80905865814918</v>
      </c>
      <c r="AJ105" s="14">
        <f>SUMIFS('Bill Credit Rates'!$K:$K,'Bill Credit Rates'!$A:$A,$A$4,'Bill Credit Rates'!$B:$B,$G105,'Bill Credit Rates'!$C:$C,$M105)</f>
        <v>128.80905865814918</v>
      </c>
      <c r="AK105" s="14">
        <f>SUMIFS('Bill Credit Rates'!$K:$K,'Bill Credit Rates'!$A:$A,$A$4,'Bill Credit Rates'!$B:$B,$G105,'Bill Credit Rates'!$C:$C,$M105)</f>
        <v>128.80905865814918</v>
      </c>
      <c r="AL105" s="14">
        <f>SUMIFS('Bill Credit Rates'!$K:$K,'Bill Credit Rates'!$A:$A,$A$4,'Bill Credit Rates'!$B:$B,$G105,'Bill Credit Rates'!$C:$C,$M105)</f>
        <v>128.80905865814918</v>
      </c>
      <c r="AM105" s="14">
        <f>SUMIFS('Bill Credit Rates'!$K:$K,'Bill Credit Rates'!$A:$A,$A$4,'Bill Credit Rates'!$B:$B,$G105,'Bill Credit Rates'!$C:$C,$M105)</f>
        <v>128.80905865814918</v>
      </c>
      <c r="AN105" s="14">
        <f>SUMIFS('Bill Credit Rates'!$K:$K,'Bill Credit Rates'!$A:$A,$A$4,'Bill Credit Rates'!$B:$B,$G105,'Bill Credit Rates'!$C:$C,$M105)</f>
        <v>128.80905865814918</v>
      </c>
    </row>
    <row r="106" spans="1:40">
      <c r="A106" s="48">
        <v>2042</v>
      </c>
      <c r="B106" s="31" cm="1">
        <f t="array" ref="B106">IF(A106&lt;2021,0,SUMPRODUCT(('Project Operational Timelines'!$AO$20:$AO$49=$A69)*('Project Operational Timelines'!$AP$18:$AY$18=$A$4)*('Project Operational Timelines'!$AP$17:$AY$17=$G106)*'Project Operational Timelines'!$AP41:$AY41))</f>
        <v>72.39</v>
      </c>
      <c r="C106" s="84">
        <f t="shared" si="53"/>
        <v>12276.331324225001</v>
      </c>
      <c r="D106" s="89">
        <f t="shared" si="66"/>
        <v>9792001.5999999996</v>
      </c>
      <c r="E106" s="89"/>
      <c r="F106" s="89" cm="1">
        <f t="array" ref="F106">IF(A106&lt;2021,0,(-(SUMPRODUCT(('Project Operational Timelines'!$AO$20:$AO$49=$A106)*('Project Operational Timelines'!$AP$18:$AY$18=$A$4)*('Project Operational Timelines'!$AP$19:$AY$19="Non-Carve Out")*('Project Operational Timelines'!$AP$17:$AY$17=$G106)*'Project Operational Timelines'!$AP41:$AY41))*1000*('Program Inputs'!$D$14-'Program Inputs'!$D$6)*$F$4*12)+(-(SUMPRODUCT(('Project Operational Timelines'!$AO$20:$AO$49=$A106)*('Project Operational Timelines'!$AP$18:$AY$18=$A$4)*('Project Operational Timelines'!$AP$19:$AY$19="Carve Out")*('Project Operational Timelines'!$AP$17:$AY$17=$G106)*'Project Operational Timelines'!$AP41:$AY41))*1000*('Program Inputs'!$D$14-'Program Inputs'!$D$7)*$F$4*'Program Inputs'!$D$14*12))</f>
        <v>-103282.68</v>
      </c>
      <c r="G106" s="335">
        <v>2</v>
      </c>
      <c r="H106" s="328">
        <f t="shared" si="67"/>
        <v>5873057.3899999997</v>
      </c>
      <c r="I106" s="69"/>
      <c r="J106" s="69"/>
      <c r="K106" s="104"/>
      <c r="L106" s="75">
        <f>IF(AND(A106&gt;=('Program Inputs'!$D$4-1),A106&lt;('Program Inputs'!$D$4+19)),1,0)</f>
        <v>0</v>
      </c>
      <c r="M106">
        <v>24</v>
      </c>
      <c r="N106" s="52">
        <v>2042</v>
      </c>
      <c r="O106" s="18">
        <f t="shared" ref="O106:Z106" si="70">(AC106-BS69)</f>
        <v>66.469380126228884</v>
      </c>
      <c r="P106" s="18">
        <f t="shared" si="70"/>
        <v>66.469380126228884</v>
      </c>
      <c r="Q106" s="18">
        <f t="shared" si="70"/>
        <v>66.469380126228884</v>
      </c>
      <c r="R106" s="18">
        <f t="shared" si="70"/>
        <v>66.469380126228884</v>
      </c>
      <c r="S106" s="18">
        <f t="shared" si="70"/>
        <v>66.469380126228884</v>
      </c>
      <c r="T106" s="18">
        <f t="shared" si="70"/>
        <v>66.469380126228884</v>
      </c>
      <c r="U106" s="18">
        <f t="shared" si="70"/>
        <v>66.469380126228884</v>
      </c>
      <c r="V106" s="18">
        <f t="shared" si="70"/>
        <v>66.469380126228884</v>
      </c>
      <c r="W106" s="18">
        <f t="shared" si="70"/>
        <v>66.469380126228884</v>
      </c>
      <c r="X106" s="18">
        <f t="shared" si="70"/>
        <v>66.469380126228884</v>
      </c>
      <c r="Y106" s="18">
        <f t="shared" si="70"/>
        <v>66.469380126228884</v>
      </c>
      <c r="Z106" s="18">
        <f t="shared" si="70"/>
        <v>66.469380126228884</v>
      </c>
      <c r="AB106" s="52">
        <v>2042</v>
      </c>
      <c r="AC106" s="14">
        <f>SUMIFS('Bill Credit Rates'!$K:$K,'Bill Credit Rates'!$A:$A,$A$4,'Bill Credit Rates'!$B:$B,$G106,'Bill Credit Rates'!$C:$C,$M106)</f>
        <v>131.38523983131216</v>
      </c>
      <c r="AD106" s="14">
        <f>SUMIFS('Bill Credit Rates'!$K:$K,'Bill Credit Rates'!$A:$A,$A$4,'Bill Credit Rates'!$B:$B,$G106,'Bill Credit Rates'!$C:$C,$M106)</f>
        <v>131.38523983131216</v>
      </c>
      <c r="AE106" s="14">
        <f>SUMIFS('Bill Credit Rates'!$K:$K,'Bill Credit Rates'!$A:$A,$A$4,'Bill Credit Rates'!$B:$B,$G106,'Bill Credit Rates'!$C:$C,$M106)</f>
        <v>131.38523983131216</v>
      </c>
      <c r="AF106" s="14">
        <f>SUMIFS('Bill Credit Rates'!$K:$K,'Bill Credit Rates'!$A:$A,$A$4,'Bill Credit Rates'!$B:$B,$G106,'Bill Credit Rates'!$C:$C,$M106)</f>
        <v>131.38523983131216</v>
      </c>
      <c r="AG106" s="14">
        <f>SUMIFS('Bill Credit Rates'!$K:$K,'Bill Credit Rates'!$A:$A,$A$4,'Bill Credit Rates'!$B:$B,$G106,'Bill Credit Rates'!$C:$C,$M106)</f>
        <v>131.38523983131216</v>
      </c>
      <c r="AH106" s="14">
        <f>SUMIFS('Bill Credit Rates'!$K:$K,'Bill Credit Rates'!$A:$A,$A$4,'Bill Credit Rates'!$B:$B,$G106,'Bill Credit Rates'!$C:$C,$M106)</f>
        <v>131.38523983131216</v>
      </c>
      <c r="AI106" s="14">
        <f>SUMIFS('Bill Credit Rates'!$K:$K,'Bill Credit Rates'!$A:$A,$A$4,'Bill Credit Rates'!$B:$B,$G106,'Bill Credit Rates'!$C:$C,$M106)</f>
        <v>131.38523983131216</v>
      </c>
      <c r="AJ106" s="14">
        <f>SUMIFS('Bill Credit Rates'!$K:$K,'Bill Credit Rates'!$A:$A,$A$4,'Bill Credit Rates'!$B:$B,$G106,'Bill Credit Rates'!$C:$C,$M106)</f>
        <v>131.38523983131216</v>
      </c>
      <c r="AK106" s="14">
        <f>SUMIFS('Bill Credit Rates'!$K:$K,'Bill Credit Rates'!$A:$A,$A$4,'Bill Credit Rates'!$B:$B,$G106,'Bill Credit Rates'!$C:$C,$M106)</f>
        <v>131.38523983131216</v>
      </c>
      <c r="AL106" s="14">
        <f>SUMIFS('Bill Credit Rates'!$K:$K,'Bill Credit Rates'!$A:$A,$A$4,'Bill Credit Rates'!$B:$B,$G106,'Bill Credit Rates'!$C:$C,$M106)</f>
        <v>131.38523983131216</v>
      </c>
      <c r="AM106" s="14">
        <f>SUMIFS('Bill Credit Rates'!$K:$K,'Bill Credit Rates'!$A:$A,$A$4,'Bill Credit Rates'!$B:$B,$G106,'Bill Credit Rates'!$C:$C,$M106)</f>
        <v>131.38523983131216</v>
      </c>
      <c r="AN106" s="14">
        <f>SUMIFS('Bill Credit Rates'!$K:$K,'Bill Credit Rates'!$A:$A,$A$4,'Bill Credit Rates'!$B:$B,$G106,'Bill Credit Rates'!$C:$C,$M106)</f>
        <v>131.38523983131216</v>
      </c>
    </row>
    <row r="107" spans="1:40">
      <c r="A107" s="48">
        <v>2043</v>
      </c>
      <c r="B107" s="31" cm="1">
        <f t="array" ref="B107">IF(A107&lt;2021,0,SUMPRODUCT(('Project Operational Timelines'!$AO$20:$AO$49=$A70)*('Project Operational Timelines'!$AP$18:$AY$18=$A$4)*('Project Operational Timelines'!$AP$17:$AY$17=$G107)*'Project Operational Timelines'!$AP42:$AY42))</f>
        <v>72.06</v>
      </c>
      <c r="C107" s="84">
        <f t="shared" si="53"/>
        <v>12220.367940650001</v>
      </c>
      <c r="D107" s="89">
        <f t="shared" si="66"/>
        <v>9736275.6199999992</v>
      </c>
      <c r="E107" s="89"/>
      <c r="F107" s="89" cm="1">
        <f t="array" ref="F107">IF(A107&lt;2021,0,(-(SUMPRODUCT(('Project Operational Timelines'!$AO$20:$AO$49=$A107)*('Project Operational Timelines'!$AP$18:$AY$18=$A$4)*('Project Operational Timelines'!$AP$19:$AY$19="Non-Carve Out")*('Project Operational Timelines'!$AP$17:$AY$17=$G107)*'Project Operational Timelines'!$AP42:$AY42))*1000*('Program Inputs'!$D$14-'Program Inputs'!$D$6)*$F$4*12)+(-(SUMPRODUCT(('Project Operational Timelines'!$AO$20:$AO$49=$A107)*('Project Operational Timelines'!$AP$18:$AY$18=$A$4)*('Project Operational Timelines'!$AP$19:$AY$19="Carve Out")*('Project Operational Timelines'!$AP$17:$AY$17=$G107)*'Project Operational Timelines'!$AP42:$AY42))*1000*('Program Inputs'!$D$14-'Program Inputs'!$D$7)*$F$4*'Program Inputs'!$D$14*12))</f>
        <v>-102609.47999999998</v>
      </c>
      <c r="G107" s="335">
        <v>2</v>
      </c>
      <c r="H107" s="328">
        <f t="shared" si="67"/>
        <v>5676124.25</v>
      </c>
      <c r="I107" s="69"/>
      <c r="J107" s="69"/>
      <c r="K107" s="104"/>
      <c r="L107" s="75">
        <f>IF(AND(A107&gt;=('Program Inputs'!$D$4-1),A107&lt;('Program Inputs'!$D$4+19)),1,0)</f>
        <v>0</v>
      </c>
      <c r="M107">
        <v>25</v>
      </c>
      <c r="N107" s="52">
        <v>2043</v>
      </c>
      <c r="O107" s="18">
        <f t="shared" ref="O107:Z107" si="71">(AC107-BS70)</f>
        <v>66.393770248558823</v>
      </c>
      <c r="P107" s="18">
        <f t="shared" si="71"/>
        <v>66.393770248558823</v>
      </c>
      <c r="Q107" s="18">
        <f t="shared" si="71"/>
        <v>66.393770248558823</v>
      </c>
      <c r="R107" s="18">
        <f t="shared" si="71"/>
        <v>66.393770248558823</v>
      </c>
      <c r="S107" s="18">
        <f t="shared" si="71"/>
        <v>66.393770248558823</v>
      </c>
      <c r="T107" s="18">
        <f t="shared" si="71"/>
        <v>66.393770248558823</v>
      </c>
      <c r="U107" s="18">
        <f t="shared" si="71"/>
        <v>66.393770248558823</v>
      </c>
      <c r="V107" s="18">
        <f t="shared" si="71"/>
        <v>66.393770248558823</v>
      </c>
      <c r="W107" s="18">
        <f t="shared" si="71"/>
        <v>66.393770248558823</v>
      </c>
      <c r="X107" s="18">
        <f t="shared" si="71"/>
        <v>66.393770248558823</v>
      </c>
      <c r="Y107" s="18">
        <f t="shared" si="71"/>
        <v>66.393770248558823</v>
      </c>
      <c r="Z107" s="18">
        <f t="shared" si="71"/>
        <v>66.393770248558823</v>
      </c>
      <c r="AB107" s="52">
        <v>2043</v>
      </c>
      <c r="AC107" s="14">
        <f>SUMIFS('Bill Credit Rates'!$K:$K,'Bill Credit Rates'!$A:$A,$A$4,'Bill Credit Rates'!$B:$B,$G107,'Bill Credit Rates'!$C:$C,$M107)</f>
        <v>134.01294462793842</v>
      </c>
      <c r="AD107" s="14">
        <f>SUMIFS('Bill Credit Rates'!$K:$K,'Bill Credit Rates'!$A:$A,$A$4,'Bill Credit Rates'!$B:$B,$G107,'Bill Credit Rates'!$C:$C,$M107)</f>
        <v>134.01294462793842</v>
      </c>
      <c r="AE107" s="14">
        <f>SUMIFS('Bill Credit Rates'!$K:$K,'Bill Credit Rates'!$A:$A,$A$4,'Bill Credit Rates'!$B:$B,$G107,'Bill Credit Rates'!$C:$C,$M107)</f>
        <v>134.01294462793842</v>
      </c>
      <c r="AF107" s="14">
        <f>SUMIFS('Bill Credit Rates'!$K:$K,'Bill Credit Rates'!$A:$A,$A$4,'Bill Credit Rates'!$B:$B,$G107,'Bill Credit Rates'!$C:$C,$M107)</f>
        <v>134.01294462793842</v>
      </c>
      <c r="AG107" s="14">
        <f>SUMIFS('Bill Credit Rates'!$K:$K,'Bill Credit Rates'!$A:$A,$A$4,'Bill Credit Rates'!$B:$B,$G107,'Bill Credit Rates'!$C:$C,$M107)</f>
        <v>134.01294462793842</v>
      </c>
      <c r="AH107" s="14">
        <f>SUMIFS('Bill Credit Rates'!$K:$K,'Bill Credit Rates'!$A:$A,$A$4,'Bill Credit Rates'!$B:$B,$G107,'Bill Credit Rates'!$C:$C,$M107)</f>
        <v>134.01294462793842</v>
      </c>
      <c r="AI107" s="14">
        <f>SUMIFS('Bill Credit Rates'!$K:$K,'Bill Credit Rates'!$A:$A,$A$4,'Bill Credit Rates'!$B:$B,$G107,'Bill Credit Rates'!$C:$C,$M107)</f>
        <v>134.01294462793842</v>
      </c>
      <c r="AJ107" s="14">
        <f>SUMIFS('Bill Credit Rates'!$K:$K,'Bill Credit Rates'!$A:$A,$A$4,'Bill Credit Rates'!$B:$B,$G107,'Bill Credit Rates'!$C:$C,$M107)</f>
        <v>134.01294462793842</v>
      </c>
      <c r="AK107" s="14">
        <f>SUMIFS('Bill Credit Rates'!$K:$K,'Bill Credit Rates'!$A:$A,$A$4,'Bill Credit Rates'!$B:$B,$G107,'Bill Credit Rates'!$C:$C,$M107)</f>
        <v>134.01294462793842</v>
      </c>
      <c r="AL107" s="14">
        <f>SUMIFS('Bill Credit Rates'!$K:$K,'Bill Credit Rates'!$A:$A,$A$4,'Bill Credit Rates'!$B:$B,$G107,'Bill Credit Rates'!$C:$C,$M107)</f>
        <v>134.01294462793842</v>
      </c>
      <c r="AM107" s="14">
        <f>SUMIFS('Bill Credit Rates'!$K:$K,'Bill Credit Rates'!$A:$A,$A$4,'Bill Credit Rates'!$B:$B,$G107,'Bill Credit Rates'!$C:$C,$M107)</f>
        <v>134.01294462793842</v>
      </c>
      <c r="AN107" s="14">
        <f>SUMIFS('Bill Credit Rates'!$K:$K,'Bill Credit Rates'!$A:$A,$A$4,'Bill Credit Rates'!$B:$B,$G107,'Bill Credit Rates'!$C:$C,$M107)</f>
        <v>134.01294462793842</v>
      </c>
    </row>
    <row r="108" spans="1:40">
      <c r="A108" s="48">
        <v>2044</v>
      </c>
      <c r="B108" s="31" cm="1">
        <f t="array" ref="B108">IF(A108&lt;2021,0,SUMPRODUCT(('Project Operational Timelines'!$AO$20:$AO$49=$A71)*('Project Operational Timelines'!$AP$18:$AY$18=$A$4)*('Project Operational Timelines'!$AP$17:$AY$17=$G108)*'Project Operational Timelines'!$AP43:$AY43))</f>
        <v>68.789999999999992</v>
      </c>
      <c r="C108" s="84">
        <f t="shared" si="53"/>
        <v>11665.821685224999</v>
      </c>
      <c r="D108" s="89">
        <f t="shared" si="66"/>
        <v>9378048.5099999998</v>
      </c>
      <c r="E108" s="89"/>
      <c r="F108" s="89" cm="1">
        <f t="array" ref="F108">IF(A108&lt;2021,0,(-(SUMPRODUCT(('Project Operational Timelines'!$AO$20:$AO$49=$A108)*('Project Operational Timelines'!$AP$18:$AY$18=$A$4)*('Project Operational Timelines'!$AP$19:$AY$19="Non-Carve Out")*('Project Operational Timelines'!$AP$17:$AY$17=$G108)*'Project Operational Timelines'!$AP43:$AY43))*1000*('Program Inputs'!$D$14-'Program Inputs'!$D$6)*$F$4*12)+(-(SUMPRODUCT(('Project Operational Timelines'!$AO$20:$AO$49=$A108)*('Project Operational Timelines'!$AP$18:$AY$18=$A$4)*('Project Operational Timelines'!$AP$19:$AY$19="Carve Out")*('Project Operational Timelines'!$AP$17:$AY$17=$G108)*'Project Operational Timelines'!$AP43:$AY43))*1000*('Program Inputs'!$D$14-'Program Inputs'!$D$7)*$F$4*'Program Inputs'!$D$14*12))</f>
        <v>-95938.68</v>
      </c>
      <c r="G108" s="335">
        <v>2</v>
      </c>
      <c r="H108" s="328">
        <f t="shared" si="67"/>
        <v>5314198.51</v>
      </c>
      <c r="I108" s="69"/>
      <c r="J108" s="69"/>
      <c r="K108" s="104"/>
      <c r="L108" s="75">
        <f>IF(AND(A108&gt;=('Program Inputs'!$D$4-1),A108&lt;('Program Inputs'!$D$4+19)),1,0)</f>
        <v>0</v>
      </c>
      <c r="M108">
        <v>26</v>
      </c>
      <c r="N108" s="52">
        <v>2044</v>
      </c>
      <c r="O108" s="18">
        <f t="shared" ref="O108:Z108" si="72">(AC108-BS71)</f>
        <v>66.990912739838365</v>
      </c>
      <c r="P108" s="18">
        <f t="shared" si="72"/>
        <v>66.990912739838365</v>
      </c>
      <c r="Q108" s="18">
        <f t="shared" si="72"/>
        <v>66.990912739838365</v>
      </c>
      <c r="R108" s="18">
        <f t="shared" si="72"/>
        <v>66.990912739838365</v>
      </c>
      <c r="S108" s="18">
        <f t="shared" si="72"/>
        <v>66.990912739838365</v>
      </c>
      <c r="T108" s="18">
        <f t="shared" si="72"/>
        <v>66.990912739838365</v>
      </c>
      <c r="U108" s="18">
        <f t="shared" si="72"/>
        <v>66.990912739838365</v>
      </c>
      <c r="V108" s="18">
        <f t="shared" si="72"/>
        <v>66.990912739838365</v>
      </c>
      <c r="W108" s="18">
        <f t="shared" si="72"/>
        <v>66.990912739838365</v>
      </c>
      <c r="X108" s="18">
        <f t="shared" si="72"/>
        <v>66.990912739838365</v>
      </c>
      <c r="Y108" s="18">
        <f t="shared" si="72"/>
        <v>66.990912739838365</v>
      </c>
      <c r="Z108" s="18">
        <f t="shared" si="72"/>
        <v>66.990912739838365</v>
      </c>
      <c r="AB108" s="52">
        <v>2044</v>
      </c>
      <c r="AC108" s="14">
        <f>SUMIFS('Bill Credit Rates'!$K:$K,'Bill Credit Rates'!$A:$A,$A$4,'Bill Credit Rates'!$B:$B,$G108,'Bill Credit Rates'!$C:$C,$M108)</f>
        <v>136.69320352049721</v>
      </c>
      <c r="AD108" s="14">
        <f>SUMIFS('Bill Credit Rates'!$K:$K,'Bill Credit Rates'!$A:$A,$A$4,'Bill Credit Rates'!$B:$B,$G108,'Bill Credit Rates'!$C:$C,$M108)</f>
        <v>136.69320352049721</v>
      </c>
      <c r="AE108" s="14">
        <f>SUMIFS('Bill Credit Rates'!$K:$K,'Bill Credit Rates'!$A:$A,$A$4,'Bill Credit Rates'!$B:$B,$G108,'Bill Credit Rates'!$C:$C,$M108)</f>
        <v>136.69320352049721</v>
      </c>
      <c r="AF108" s="14">
        <f>SUMIFS('Bill Credit Rates'!$K:$K,'Bill Credit Rates'!$A:$A,$A$4,'Bill Credit Rates'!$B:$B,$G108,'Bill Credit Rates'!$C:$C,$M108)</f>
        <v>136.69320352049721</v>
      </c>
      <c r="AG108" s="14">
        <f>SUMIFS('Bill Credit Rates'!$K:$K,'Bill Credit Rates'!$A:$A,$A$4,'Bill Credit Rates'!$B:$B,$G108,'Bill Credit Rates'!$C:$C,$M108)</f>
        <v>136.69320352049721</v>
      </c>
      <c r="AH108" s="14">
        <f>SUMIFS('Bill Credit Rates'!$K:$K,'Bill Credit Rates'!$A:$A,$A$4,'Bill Credit Rates'!$B:$B,$G108,'Bill Credit Rates'!$C:$C,$M108)</f>
        <v>136.69320352049721</v>
      </c>
      <c r="AI108" s="14">
        <f>SUMIFS('Bill Credit Rates'!$K:$K,'Bill Credit Rates'!$A:$A,$A$4,'Bill Credit Rates'!$B:$B,$G108,'Bill Credit Rates'!$C:$C,$M108)</f>
        <v>136.69320352049721</v>
      </c>
      <c r="AJ108" s="14">
        <f>SUMIFS('Bill Credit Rates'!$K:$K,'Bill Credit Rates'!$A:$A,$A$4,'Bill Credit Rates'!$B:$B,$G108,'Bill Credit Rates'!$C:$C,$M108)</f>
        <v>136.69320352049721</v>
      </c>
      <c r="AK108" s="14">
        <f>SUMIFS('Bill Credit Rates'!$K:$K,'Bill Credit Rates'!$A:$A,$A$4,'Bill Credit Rates'!$B:$B,$G108,'Bill Credit Rates'!$C:$C,$M108)</f>
        <v>136.69320352049721</v>
      </c>
      <c r="AL108" s="14">
        <f>SUMIFS('Bill Credit Rates'!$K:$K,'Bill Credit Rates'!$A:$A,$A$4,'Bill Credit Rates'!$B:$B,$G108,'Bill Credit Rates'!$C:$C,$M108)</f>
        <v>136.69320352049721</v>
      </c>
      <c r="AM108" s="14">
        <f>SUMIFS('Bill Credit Rates'!$K:$K,'Bill Credit Rates'!$A:$A,$A$4,'Bill Credit Rates'!$B:$B,$G108,'Bill Credit Rates'!$C:$C,$M108)</f>
        <v>136.69320352049721</v>
      </c>
      <c r="AN108" s="14">
        <f>SUMIFS('Bill Credit Rates'!$K:$K,'Bill Credit Rates'!$A:$A,$A$4,'Bill Credit Rates'!$B:$B,$G108,'Bill Credit Rates'!$C:$C,$M108)</f>
        <v>136.69320352049721</v>
      </c>
    </row>
    <row r="109" spans="1:40">
      <c r="A109" s="48">
        <v>2045</v>
      </c>
      <c r="B109" s="31" cm="1">
        <f t="array" ref="B109">IF(A109&lt;2021,0,SUMPRODUCT(('Project Operational Timelines'!$AO$20:$AO$49=$A72)*('Project Operational Timelines'!$AP$18:$AY$18=$A$4)*('Project Operational Timelines'!$AP$17:$AY$17=$G109)*'Project Operational Timelines'!$AP44:$AY44))</f>
        <v>63.83</v>
      </c>
      <c r="C109" s="84">
        <f t="shared" si="53"/>
        <v>10824.675071491667</v>
      </c>
      <c r="D109" s="89">
        <f t="shared" si="66"/>
        <v>8663479.25</v>
      </c>
      <c r="E109" s="89"/>
      <c r="F109" s="89" cm="1">
        <f t="array" ref="F109">IF(A109&lt;2021,0,(-(SUMPRODUCT(('Project Operational Timelines'!$AO$20:$AO$49=$A109)*('Project Operational Timelines'!$AP$18:$AY$18=$A$4)*('Project Operational Timelines'!$AP$19:$AY$19="Non-Carve Out")*('Project Operational Timelines'!$AP$17:$AY$17=$G109)*'Project Operational Timelines'!$AP44:$AY44))*1000*('Program Inputs'!$D$14-'Program Inputs'!$D$6)*$F$4*12)+(-(SUMPRODUCT(('Project Operational Timelines'!$AO$20:$AO$49=$A109)*('Project Operational Timelines'!$AP$18:$AY$18=$A$4)*('Project Operational Timelines'!$AP$19:$AY$19="Carve Out")*('Project Operational Timelines'!$AP$17:$AY$17=$G109)*'Project Operational Timelines'!$AP44:$AY44))*1000*('Program Inputs'!$D$14-'Program Inputs'!$D$7)*$F$4*'Program Inputs'!$D$14*12))</f>
        <v>-85820.279999999984</v>
      </c>
      <c r="G109" s="335">
        <v>2</v>
      </c>
      <c r="H109" s="328">
        <f t="shared" si="67"/>
        <v>4771818.3499999996</v>
      </c>
      <c r="I109" s="69"/>
      <c r="J109" s="69"/>
      <c r="K109" s="104"/>
      <c r="L109" s="75">
        <f>IF(AND(A109&gt;=('Program Inputs'!$D$4-1),A109&lt;('Program Inputs'!$D$4+19)),1,0)</f>
        <v>0</v>
      </c>
      <c r="M109">
        <v>27</v>
      </c>
      <c r="N109" s="52">
        <v>2045</v>
      </c>
      <c r="O109" s="18">
        <f t="shared" ref="O109:O114" si="73">(AC109-BS72)</f>
        <v>66.695452700277329</v>
      </c>
      <c r="P109" s="18">
        <f t="shared" ref="P109:P114" si="74">(AD109-BT72)</f>
        <v>66.695452700277329</v>
      </c>
      <c r="Q109" s="18">
        <f t="shared" ref="Q109:Q114" si="75">(AE109-BU72)</f>
        <v>66.695452700277329</v>
      </c>
      <c r="R109" s="18">
        <f t="shared" ref="R109:R114" si="76">(AF109-BV72)</f>
        <v>66.695452700277329</v>
      </c>
      <c r="S109" s="18">
        <f t="shared" ref="S109:S114" si="77">(AG109-BW72)</f>
        <v>66.695452700277329</v>
      </c>
      <c r="T109" s="18">
        <f t="shared" ref="T109:T114" si="78">(AH109-BX72)</f>
        <v>66.695452700277329</v>
      </c>
      <c r="U109" s="18">
        <f t="shared" ref="U109:U114" si="79">(AI109-BY72)</f>
        <v>66.695452700277329</v>
      </c>
      <c r="V109" s="18">
        <f t="shared" ref="V109:V114" si="80">(AJ109-BZ72)</f>
        <v>66.695452700277329</v>
      </c>
      <c r="W109" s="18">
        <f t="shared" ref="W109:W114" si="81">(AK109-CA72)</f>
        <v>66.695452700277329</v>
      </c>
      <c r="X109" s="18">
        <f t="shared" ref="X109:X114" si="82">(AL109-CB72)</f>
        <v>66.695452700277329</v>
      </c>
      <c r="Y109" s="18">
        <f t="shared" ref="Y109:Y114" si="83">(AM109-CC72)</f>
        <v>66.695452700277329</v>
      </c>
      <c r="Z109" s="18">
        <f t="shared" ref="Z109:Z114" si="84">(AN109-CD72)</f>
        <v>66.695452700277329</v>
      </c>
      <c r="AB109" s="52">
        <v>2045</v>
      </c>
      <c r="AC109" s="14">
        <f>SUMIFS('Bill Credit Rates'!$K:$K,'Bill Credit Rates'!$A:$A,$A$4,'Bill Credit Rates'!$B:$B,$G109,'Bill Credit Rates'!$C:$C,$M109)</f>
        <v>139.42706759090714</v>
      </c>
      <c r="AD109" s="14">
        <f>SUMIFS('Bill Credit Rates'!$K:$K,'Bill Credit Rates'!$A:$A,$A$4,'Bill Credit Rates'!$B:$B,$G109,'Bill Credit Rates'!$C:$C,$M109)</f>
        <v>139.42706759090714</v>
      </c>
      <c r="AE109" s="14">
        <f>SUMIFS('Bill Credit Rates'!$K:$K,'Bill Credit Rates'!$A:$A,$A$4,'Bill Credit Rates'!$B:$B,$G109,'Bill Credit Rates'!$C:$C,$M109)</f>
        <v>139.42706759090714</v>
      </c>
      <c r="AF109" s="14">
        <f>SUMIFS('Bill Credit Rates'!$K:$K,'Bill Credit Rates'!$A:$A,$A$4,'Bill Credit Rates'!$B:$B,$G109,'Bill Credit Rates'!$C:$C,$M109)</f>
        <v>139.42706759090714</v>
      </c>
      <c r="AG109" s="14">
        <f>SUMIFS('Bill Credit Rates'!$K:$K,'Bill Credit Rates'!$A:$A,$A$4,'Bill Credit Rates'!$B:$B,$G109,'Bill Credit Rates'!$C:$C,$M109)</f>
        <v>139.42706759090714</v>
      </c>
      <c r="AH109" s="14">
        <f>SUMIFS('Bill Credit Rates'!$K:$K,'Bill Credit Rates'!$A:$A,$A$4,'Bill Credit Rates'!$B:$B,$G109,'Bill Credit Rates'!$C:$C,$M109)</f>
        <v>139.42706759090714</v>
      </c>
      <c r="AI109" s="14">
        <f>SUMIFS('Bill Credit Rates'!$K:$K,'Bill Credit Rates'!$A:$A,$A$4,'Bill Credit Rates'!$B:$B,$G109,'Bill Credit Rates'!$C:$C,$M109)</f>
        <v>139.42706759090714</v>
      </c>
      <c r="AJ109" s="14">
        <f>SUMIFS('Bill Credit Rates'!$K:$K,'Bill Credit Rates'!$A:$A,$A$4,'Bill Credit Rates'!$B:$B,$G109,'Bill Credit Rates'!$C:$C,$M109)</f>
        <v>139.42706759090714</v>
      </c>
      <c r="AK109" s="14">
        <f>SUMIFS('Bill Credit Rates'!$K:$K,'Bill Credit Rates'!$A:$A,$A$4,'Bill Credit Rates'!$B:$B,$G109,'Bill Credit Rates'!$C:$C,$M109)</f>
        <v>139.42706759090714</v>
      </c>
      <c r="AL109" s="14">
        <f>SUMIFS('Bill Credit Rates'!$K:$K,'Bill Credit Rates'!$A:$A,$A$4,'Bill Credit Rates'!$B:$B,$G109,'Bill Credit Rates'!$C:$C,$M109)</f>
        <v>139.42706759090714</v>
      </c>
      <c r="AM109" s="14">
        <f>SUMIFS('Bill Credit Rates'!$K:$K,'Bill Credit Rates'!$A:$A,$A$4,'Bill Credit Rates'!$B:$B,$G109,'Bill Credit Rates'!$C:$C,$M109)</f>
        <v>139.42706759090714</v>
      </c>
      <c r="AN109" s="14">
        <f>SUMIFS('Bill Credit Rates'!$K:$K,'Bill Credit Rates'!$A:$A,$A$4,'Bill Credit Rates'!$B:$B,$G109,'Bill Credit Rates'!$C:$C,$M109)</f>
        <v>139.42706759090714</v>
      </c>
    </row>
    <row r="110" spans="1:40">
      <c r="A110" s="48">
        <v>2046</v>
      </c>
      <c r="B110" s="31" cm="1">
        <f t="array" ref="B110">IF(A110&lt;2021,0,SUMPRODUCT(('Project Operational Timelines'!$AO$20:$AO$49=$A73)*('Project Operational Timelines'!$AP$18:$AY$18=$A$4)*('Project Operational Timelines'!$AP$17:$AY$17=$G110)*'Project Operational Timelines'!$AP45:$AY45))</f>
        <v>48.59</v>
      </c>
      <c r="C110" s="84">
        <f t="shared" si="53"/>
        <v>8240.1842663916686</v>
      </c>
      <c r="D110" s="89">
        <f t="shared" si="66"/>
        <v>6672457.4699999997</v>
      </c>
      <c r="E110" s="89"/>
      <c r="F110" s="89" cm="1">
        <f t="array" ref="F110">IF(A110&lt;2021,0,(-(SUMPRODUCT(('Project Operational Timelines'!$AO$20:$AO$49=$A110)*('Project Operational Timelines'!$AP$18:$AY$18=$A$4)*('Project Operational Timelines'!$AP$19:$AY$19="Non-Carve Out")*('Project Operational Timelines'!$AP$17:$AY$17=$G110)*'Project Operational Timelines'!$AP45:$AY45))*1000*('Program Inputs'!$D$14-'Program Inputs'!$D$6)*$F$4*12)+(-(SUMPRODUCT(('Project Operational Timelines'!$AO$20:$AO$49=$A110)*('Project Operational Timelines'!$AP$18:$AY$18=$A$4)*('Project Operational Timelines'!$AP$19:$AY$19="Carve Out")*('Project Operational Timelines'!$AP$17:$AY$17=$G110)*'Project Operational Timelines'!$AP45:$AY45))*1000*('Program Inputs'!$D$14-'Program Inputs'!$D$7)*$F$4*'Program Inputs'!$D$14*12))</f>
        <v>-57661.14</v>
      </c>
      <c r="G110" s="335">
        <v>2</v>
      </c>
      <c r="H110" s="328">
        <f t="shared" si="67"/>
        <v>3572264.79</v>
      </c>
      <c r="I110" s="69"/>
      <c r="J110" s="69"/>
      <c r="K110" s="104"/>
      <c r="L110" s="75">
        <f>IF(AND(A110&gt;=('Program Inputs'!$D$4-1),A110&lt;('Program Inputs'!$D$4+19)),1,0)</f>
        <v>0</v>
      </c>
      <c r="M110">
        <v>28</v>
      </c>
      <c r="N110" s="52">
        <v>2046</v>
      </c>
      <c r="O110" s="18">
        <f t="shared" si="73"/>
        <v>67.478845723366973</v>
      </c>
      <c r="P110" s="18">
        <f t="shared" si="74"/>
        <v>67.478845723366973</v>
      </c>
      <c r="Q110" s="18">
        <f t="shared" si="75"/>
        <v>67.478845723366973</v>
      </c>
      <c r="R110" s="18">
        <f t="shared" si="76"/>
        <v>67.478845723366973</v>
      </c>
      <c r="S110" s="18">
        <f t="shared" si="77"/>
        <v>67.478845723366973</v>
      </c>
      <c r="T110" s="18">
        <f t="shared" si="78"/>
        <v>67.478845723366973</v>
      </c>
      <c r="U110" s="18">
        <f t="shared" si="79"/>
        <v>67.478845723366973</v>
      </c>
      <c r="V110" s="18">
        <f t="shared" si="80"/>
        <v>67.478845723366973</v>
      </c>
      <c r="W110" s="18">
        <f t="shared" si="81"/>
        <v>67.478845723366973</v>
      </c>
      <c r="X110" s="18">
        <f t="shared" si="82"/>
        <v>67.478845723366973</v>
      </c>
      <c r="Y110" s="18">
        <f t="shared" si="83"/>
        <v>67.478845723366973</v>
      </c>
      <c r="Z110" s="18">
        <f t="shared" si="84"/>
        <v>67.478845723366973</v>
      </c>
      <c r="AB110" s="52">
        <v>2046</v>
      </c>
      <c r="AC110" s="14">
        <f>SUMIFS('Bill Credit Rates'!$K:$K,'Bill Credit Rates'!$A:$A,$A$4,'Bill Credit Rates'!$B:$B,$G110,'Bill Credit Rates'!$C:$C,$M110)</f>
        <v>142.21560894272528</v>
      </c>
      <c r="AD110" s="14">
        <f>SUMIFS('Bill Credit Rates'!$K:$K,'Bill Credit Rates'!$A:$A,$A$4,'Bill Credit Rates'!$B:$B,$G110,'Bill Credit Rates'!$C:$C,$M110)</f>
        <v>142.21560894272528</v>
      </c>
      <c r="AE110" s="14">
        <f>SUMIFS('Bill Credit Rates'!$K:$K,'Bill Credit Rates'!$A:$A,$A$4,'Bill Credit Rates'!$B:$B,$G110,'Bill Credit Rates'!$C:$C,$M110)</f>
        <v>142.21560894272528</v>
      </c>
      <c r="AF110" s="14">
        <f>SUMIFS('Bill Credit Rates'!$K:$K,'Bill Credit Rates'!$A:$A,$A$4,'Bill Credit Rates'!$B:$B,$G110,'Bill Credit Rates'!$C:$C,$M110)</f>
        <v>142.21560894272528</v>
      </c>
      <c r="AG110" s="14">
        <f>SUMIFS('Bill Credit Rates'!$K:$K,'Bill Credit Rates'!$A:$A,$A$4,'Bill Credit Rates'!$B:$B,$G110,'Bill Credit Rates'!$C:$C,$M110)</f>
        <v>142.21560894272528</v>
      </c>
      <c r="AH110" s="14">
        <f>SUMIFS('Bill Credit Rates'!$K:$K,'Bill Credit Rates'!$A:$A,$A$4,'Bill Credit Rates'!$B:$B,$G110,'Bill Credit Rates'!$C:$C,$M110)</f>
        <v>142.21560894272528</v>
      </c>
      <c r="AI110" s="14">
        <f>SUMIFS('Bill Credit Rates'!$K:$K,'Bill Credit Rates'!$A:$A,$A$4,'Bill Credit Rates'!$B:$B,$G110,'Bill Credit Rates'!$C:$C,$M110)</f>
        <v>142.21560894272528</v>
      </c>
      <c r="AJ110" s="14">
        <f>SUMIFS('Bill Credit Rates'!$K:$K,'Bill Credit Rates'!$A:$A,$A$4,'Bill Credit Rates'!$B:$B,$G110,'Bill Credit Rates'!$C:$C,$M110)</f>
        <v>142.21560894272528</v>
      </c>
      <c r="AK110" s="14">
        <f>SUMIFS('Bill Credit Rates'!$K:$K,'Bill Credit Rates'!$A:$A,$A$4,'Bill Credit Rates'!$B:$B,$G110,'Bill Credit Rates'!$C:$C,$M110)</f>
        <v>142.21560894272528</v>
      </c>
      <c r="AL110" s="14">
        <f>SUMIFS('Bill Credit Rates'!$K:$K,'Bill Credit Rates'!$A:$A,$A$4,'Bill Credit Rates'!$B:$B,$G110,'Bill Credit Rates'!$C:$C,$M110)</f>
        <v>142.21560894272528</v>
      </c>
      <c r="AM110" s="14">
        <f>SUMIFS('Bill Credit Rates'!$K:$K,'Bill Credit Rates'!$A:$A,$A$4,'Bill Credit Rates'!$B:$B,$G110,'Bill Credit Rates'!$C:$C,$M110)</f>
        <v>142.21560894272528</v>
      </c>
      <c r="AN110" s="14">
        <f>SUMIFS('Bill Credit Rates'!$K:$K,'Bill Credit Rates'!$A:$A,$A$4,'Bill Credit Rates'!$B:$B,$G110,'Bill Credit Rates'!$C:$C,$M110)</f>
        <v>142.21560894272528</v>
      </c>
    </row>
    <row r="111" spans="1:40">
      <c r="A111" s="48">
        <v>2047</v>
      </c>
      <c r="B111" s="31" cm="1">
        <f t="array" ref="B111">IF(A111&lt;2021,0,SUMPRODUCT(('Project Operational Timelines'!$AO$20:$AO$49=$A74)*('Project Operational Timelines'!$AP$18:$AY$18=$A$4)*('Project Operational Timelines'!$AP$17:$AY$17=$G111)*'Project Operational Timelines'!$AP46:$AY46))</f>
        <v>39.85</v>
      </c>
      <c r="C111" s="84">
        <f t="shared" si="53"/>
        <v>6758.0025317083346</v>
      </c>
      <c r="D111" s="89">
        <f t="shared" si="66"/>
        <v>5510184.3099999996</v>
      </c>
      <c r="E111" s="89"/>
      <c r="F111" s="89" cm="1">
        <f t="array" ref="F111">IF(A111&lt;2021,0,(-(SUMPRODUCT(('Project Operational Timelines'!$AO$20:$AO$49=$A111)*('Project Operational Timelines'!$AP$18:$AY$18=$A$4)*('Project Operational Timelines'!$AP$19:$AY$19="Non-Carve Out")*('Project Operational Timelines'!$AP$17:$AY$17=$G111)*'Project Operational Timelines'!$AP46:$AY46))*1000*('Program Inputs'!$D$14-'Program Inputs'!$D$6)*$F$4*12)+(-(SUMPRODUCT(('Project Operational Timelines'!$AO$20:$AO$49=$A111)*('Project Operational Timelines'!$AP$18:$AY$18=$A$4)*('Project Operational Timelines'!$AP$19:$AY$19="Carve Out")*('Project Operational Timelines'!$AP$17:$AY$17=$G111)*'Project Operational Timelines'!$AP46:$AY46))*1000*('Program Inputs'!$D$14-'Program Inputs'!$D$7)*$F$4*'Program Inputs'!$D$14*12))</f>
        <v>-41382.959999999999</v>
      </c>
      <c r="G111" s="335">
        <v>2</v>
      </c>
      <c r="H111" s="328">
        <f t="shared" si="67"/>
        <v>2867412.8</v>
      </c>
      <c r="I111" s="69"/>
      <c r="J111" s="69"/>
      <c r="K111" s="104"/>
      <c r="L111" s="75">
        <f>IF(AND(A111&gt;=('Program Inputs'!$D$4-1),A111&lt;('Program Inputs'!$D$4+19)),1,0)</f>
        <v>0</v>
      </c>
      <c r="M111">
        <v>29</v>
      </c>
      <c r="N111" s="52">
        <v>2047</v>
      </c>
      <c r="O111" s="18">
        <f t="shared" si="73"/>
        <v>67.946412180487073</v>
      </c>
      <c r="P111" s="18">
        <f t="shared" si="74"/>
        <v>67.946412180487073</v>
      </c>
      <c r="Q111" s="18">
        <f t="shared" si="75"/>
        <v>67.946412180487073</v>
      </c>
      <c r="R111" s="18">
        <f t="shared" si="76"/>
        <v>67.946412180487073</v>
      </c>
      <c r="S111" s="18">
        <f t="shared" si="77"/>
        <v>67.946412180487073</v>
      </c>
      <c r="T111" s="18">
        <f t="shared" si="78"/>
        <v>67.946412180487073</v>
      </c>
      <c r="U111" s="18">
        <f t="shared" si="79"/>
        <v>67.946412180487073</v>
      </c>
      <c r="V111" s="18">
        <f t="shared" si="80"/>
        <v>67.946412180487073</v>
      </c>
      <c r="W111" s="18">
        <f t="shared" si="81"/>
        <v>67.946412180487073</v>
      </c>
      <c r="X111" s="18">
        <f t="shared" si="82"/>
        <v>67.946412180487073</v>
      </c>
      <c r="Y111" s="18">
        <f t="shared" si="83"/>
        <v>67.946412180487073</v>
      </c>
      <c r="Z111" s="18">
        <f t="shared" si="84"/>
        <v>67.946412180487073</v>
      </c>
      <c r="AB111" s="52">
        <v>2047</v>
      </c>
      <c r="AC111" s="14">
        <f>SUMIFS('Bill Credit Rates'!$K:$K,'Bill Credit Rates'!$A:$A,$A$4,'Bill Credit Rates'!$B:$B,$G111,'Bill Credit Rates'!$C:$C,$M111)</f>
        <v>145.05992112157981</v>
      </c>
      <c r="AD111" s="14">
        <f>SUMIFS('Bill Credit Rates'!$K:$K,'Bill Credit Rates'!$A:$A,$A$4,'Bill Credit Rates'!$B:$B,$G111,'Bill Credit Rates'!$C:$C,$M111)</f>
        <v>145.05992112157981</v>
      </c>
      <c r="AE111" s="14">
        <f>SUMIFS('Bill Credit Rates'!$K:$K,'Bill Credit Rates'!$A:$A,$A$4,'Bill Credit Rates'!$B:$B,$G111,'Bill Credit Rates'!$C:$C,$M111)</f>
        <v>145.05992112157981</v>
      </c>
      <c r="AF111" s="14">
        <f>SUMIFS('Bill Credit Rates'!$K:$K,'Bill Credit Rates'!$A:$A,$A$4,'Bill Credit Rates'!$B:$B,$G111,'Bill Credit Rates'!$C:$C,$M111)</f>
        <v>145.05992112157981</v>
      </c>
      <c r="AG111" s="14">
        <f>SUMIFS('Bill Credit Rates'!$K:$K,'Bill Credit Rates'!$A:$A,$A$4,'Bill Credit Rates'!$B:$B,$G111,'Bill Credit Rates'!$C:$C,$M111)</f>
        <v>145.05992112157981</v>
      </c>
      <c r="AH111" s="14">
        <f>SUMIFS('Bill Credit Rates'!$K:$K,'Bill Credit Rates'!$A:$A,$A$4,'Bill Credit Rates'!$B:$B,$G111,'Bill Credit Rates'!$C:$C,$M111)</f>
        <v>145.05992112157981</v>
      </c>
      <c r="AI111" s="14">
        <f>SUMIFS('Bill Credit Rates'!$K:$K,'Bill Credit Rates'!$A:$A,$A$4,'Bill Credit Rates'!$B:$B,$G111,'Bill Credit Rates'!$C:$C,$M111)</f>
        <v>145.05992112157981</v>
      </c>
      <c r="AJ111" s="14">
        <f>SUMIFS('Bill Credit Rates'!$K:$K,'Bill Credit Rates'!$A:$A,$A$4,'Bill Credit Rates'!$B:$B,$G111,'Bill Credit Rates'!$C:$C,$M111)</f>
        <v>145.05992112157981</v>
      </c>
      <c r="AK111" s="14">
        <f>SUMIFS('Bill Credit Rates'!$K:$K,'Bill Credit Rates'!$A:$A,$A$4,'Bill Credit Rates'!$B:$B,$G111,'Bill Credit Rates'!$C:$C,$M111)</f>
        <v>145.05992112157981</v>
      </c>
      <c r="AL111" s="14">
        <f>SUMIFS('Bill Credit Rates'!$K:$K,'Bill Credit Rates'!$A:$A,$A$4,'Bill Credit Rates'!$B:$B,$G111,'Bill Credit Rates'!$C:$C,$M111)</f>
        <v>145.05992112157981</v>
      </c>
      <c r="AM111" s="14">
        <f>SUMIFS('Bill Credit Rates'!$K:$K,'Bill Credit Rates'!$A:$A,$A$4,'Bill Credit Rates'!$B:$B,$G111,'Bill Credit Rates'!$C:$C,$M111)</f>
        <v>145.05992112157981</v>
      </c>
      <c r="AN111" s="14">
        <f>SUMIFS('Bill Credit Rates'!$K:$K,'Bill Credit Rates'!$A:$A,$A$4,'Bill Credit Rates'!$B:$B,$G111,'Bill Credit Rates'!$C:$C,$M111)</f>
        <v>145.05992112157981</v>
      </c>
    </row>
    <row r="112" spans="1:40">
      <c r="A112" s="48">
        <v>2048</v>
      </c>
      <c r="B112" s="31" cm="1">
        <f t="array" ref="B112">IF(A112&lt;2021,0,SUMPRODUCT(('Project Operational Timelines'!$AO$20:$AO$49=$A75)*('Project Operational Timelines'!$AP$18:$AY$18=$A$4)*('Project Operational Timelines'!$AP$17:$AY$17=$G112)*'Project Operational Timelines'!$AP47:$AY47))</f>
        <v>36.370000000000005</v>
      </c>
      <c r="C112" s="84">
        <f t="shared" si="53"/>
        <v>6167.8432140083351</v>
      </c>
      <c r="D112" s="89">
        <f t="shared" si="66"/>
        <v>5067810.71</v>
      </c>
      <c r="E112" s="89"/>
      <c r="F112" s="89" cm="1">
        <f t="array" ref="F112">IF(A112&lt;2021,0,(-(SUMPRODUCT(('Project Operational Timelines'!$AO$20:$AO$49=$A112)*('Project Operational Timelines'!$AP$18:$AY$18=$A$4)*('Project Operational Timelines'!$AP$19:$AY$19="Non-Carve Out")*('Project Operational Timelines'!$AP$17:$AY$17=$G112)*'Project Operational Timelines'!$AP47:$AY47))*1000*('Program Inputs'!$D$14-'Program Inputs'!$D$6)*$F$4*12)+(-(SUMPRODUCT(('Project Operational Timelines'!$AO$20:$AO$49=$A112)*('Project Operational Timelines'!$AP$18:$AY$18=$A$4)*('Project Operational Timelines'!$AP$19:$AY$19="Carve Out")*('Project Operational Timelines'!$AP$17:$AY$17=$G112)*'Project Operational Timelines'!$AP47:$AY47))*1000*('Program Inputs'!$D$14-'Program Inputs'!$D$7)*$F$4*'Program Inputs'!$D$14*12))</f>
        <v>-37812.479999999996</v>
      </c>
      <c r="G112" s="335">
        <v>2</v>
      </c>
      <c r="H112" s="328">
        <f t="shared" si="67"/>
        <v>2563366.73</v>
      </c>
      <c r="I112" s="69"/>
      <c r="J112" s="69"/>
      <c r="K112" s="104"/>
      <c r="L112" s="75">
        <f>IF(AND(A112&gt;=('Program Inputs'!$D$4-1),A112&lt;('Program Inputs'!$D$4+19)),1,0)</f>
        <v>0</v>
      </c>
      <c r="M112">
        <v>30</v>
      </c>
      <c r="N112" s="52">
        <v>2048</v>
      </c>
      <c r="O112" s="18">
        <f t="shared" si="73"/>
        <v>68.470864881184227</v>
      </c>
      <c r="P112" s="18">
        <f t="shared" si="74"/>
        <v>68.470864881184227</v>
      </c>
      <c r="Q112" s="18">
        <f t="shared" si="75"/>
        <v>68.470864881184227</v>
      </c>
      <c r="R112" s="18">
        <f t="shared" si="76"/>
        <v>68.470864881184227</v>
      </c>
      <c r="S112" s="18">
        <f t="shared" si="77"/>
        <v>68.470864881184227</v>
      </c>
      <c r="T112" s="18">
        <f t="shared" si="78"/>
        <v>68.470864881184227</v>
      </c>
      <c r="U112" s="18">
        <f t="shared" si="79"/>
        <v>68.470864881184227</v>
      </c>
      <c r="V112" s="18">
        <f t="shared" si="80"/>
        <v>68.470864881184227</v>
      </c>
      <c r="W112" s="18">
        <f t="shared" si="81"/>
        <v>68.470864881184227</v>
      </c>
      <c r="X112" s="18">
        <f t="shared" si="82"/>
        <v>68.470864881184227</v>
      </c>
      <c r="Y112" s="18">
        <f t="shared" si="83"/>
        <v>68.470864881184227</v>
      </c>
      <c r="Z112" s="18">
        <f t="shared" si="84"/>
        <v>68.470864881184227</v>
      </c>
      <c r="AB112" s="52">
        <v>2048</v>
      </c>
      <c r="AC112" s="14">
        <f>SUMIFS('Bill Credit Rates'!$K:$K,'Bill Credit Rates'!$A:$A,$A$4,'Bill Credit Rates'!$B:$B,$G112,'Bill Credit Rates'!$C:$C,$M112)</f>
        <v>147.96111954401138</v>
      </c>
      <c r="AD112" s="14">
        <f>SUMIFS('Bill Credit Rates'!$K:$K,'Bill Credit Rates'!$A:$A,$A$4,'Bill Credit Rates'!$B:$B,$G112,'Bill Credit Rates'!$C:$C,$M112)</f>
        <v>147.96111954401138</v>
      </c>
      <c r="AE112" s="14">
        <f>SUMIFS('Bill Credit Rates'!$K:$K,'Bill Credit Rates'!$A:$A,$A$4,'Bill Credit Rates'!$B:$B,$G112,'Bill Credit Rates'!$C:$C,$M112)</f>
        <v>147.96111954401138</v>
      </c>
      <c r="AF112" s="14">
        <f>SUMIFS('Bill Credit Rates'!$K:$K,'Bill Credit Rates'!$A:$A,$A$4,'Bill Credit Rates'!$B:$B,$G112,'Bill Credit Rates'!$C:$C,$M112)</f>
        <v>147.96111954401138</v>
      </c>
      <c r="AG112" s="14">
        <f>SUMIFS('Bill Credit Rates'!$K:$K,'Bill Credit Rates'!$A:$A,$A$4,'Bill Credit Rates'!$B:$B,$G112,'Bill Credit Rates'!$C:$C,$M112)</f>
        <v>147.96111954401138</v>
      </c>
      <c r="AH112" s="14">
        <f>SUMIFS('Bill Credit Rates'!$K:$K,'Bill Credit Rates'!$A:$A,$A$4,'Bill Credit Rates'!$B:$B,$G112,'Bill Credit Rates'!$C:$C,$M112)</f>
        <v>147.96111954401138</v>
      </c>
      <c r="AI112" s="14">
        <f>SUMIFS('Bill Credit Rates'!$K:$K,'Bill Credit Rates'!$A:$A,$A$4,'Bill Credit Rates'!$B:$B,$G112,'Bill Credit Rates'!$C:$C,$M112)</f>
        <v>147.96111954401138</v>
      </c>
      <c r="AJ112" s="14">
        <f>SUMIFS('Bill Credit Rates'!$K:$K,'Bill Credit Rates'!$A:$A,$A$4,'Bill Credit Rates'!$B:$B,$G112,'Bill Credit Rates'!$C:$C,$M112)</f>
        <v>147.96111954401138</v>
      </c>
      <c r="AK112" s="14">
        <f>SUMIFS('Bill Credit Rates'!$K:$K,'Bill Credit Rates'!$A:$A,$A$4,'Bill Credit Rates'!$B:$B,$G112,'Bill Credit Rates'!$C:$C,$M112)</f>
        <v>147.96111954401138</v>
      </c>
      <c r="AL112" s="14">
        <f>SUMIFS('Bill Credit Rates'!$K:$K,'Bill Credit Rates'!$A:$A,$A$4,'Bill Credit Rates'!$B:$B,$G112,'Bill Credit Rates'!$C:$C,$M112)</f>
        <v>147.96111954401138</v>
      </c>
      <c r="AM112" s="14">
        <f>SUMIFS('Bill Credit Rates'!$K:$K,'Bill Credit Rates'!$A:$A,$A$4,'Bill Credit Rates'!$B:$B,$G112,'Bill Credit Rates'!$C:$C,$M112)</f>
        <v>147.96111954401138</v>
      </c>
      <c r="AN112" s="14">
        <f>SUMIFS('Bill Credit Rates'!$K:$K,'Bill Credit Rates'!$A:$A,$A$4,'Bill Credit Rates'!$B:$B,$G112,'Bill Credit Rates'!$C:$C,$M112)</f>
        <v>147.96111954401138</v>
      </c>
    </row>
    <row r="113" spans="1:40">
      <c r="A113" s="48">
        <v>2049</v>
      </c>
      <c r="B113" s="31" cm="1">
        <f t="array" ref="B113">IF(A113&lt;2021,0,SUMPRODUCT(('Project Operational Timelines'!$AO$20:$AO$49=$A76)*('Project Operational Timelines'!$AP$18:$AY$18=$A$4)*('Project Operational Timelines'!$AP$17:$AY$17=$G113)*'Project Operational Timelines'!$AP48:$AY48))</f>
        <v>36.370000000000005</v>
      </c>
      <c r="C113" s="84">
        <f t="shared" si="53"/>
        <v>6167.8432140083351</v>
      </c>
      <c r="D113" s="89">
        <f t="shared" si="66"/>
        <v>5110922.21</v>
      </c>
      <c r="E113" s="89"/>
      <c r="F113" s="89" cm="1">
        <f t="array" ref="F113">IF(A113&lt;2021,0,(-(SUMPRODUCT(('Project Operational Timelines'!$AO$20:$AO$49=$A113)*('Project Operational Timelines'!$AP$18:$AY$18=$A$4)*('Project Operational Timelines'!$AP$19:$AY$19="Non-Carve Out")*('Project Operational Timelines'!$AP$17:$AY$17=$G113)*'Project Operational Timelines'!$AP48:$AY48))*1000*('Program Inputs'!$D$14-'Program Inputs'!$D$6)*$F$4*12)+(-(SUMPRODUCT(('Project Operational Timelines'!$AO$20:$AO$49=$A113)*('Project Operational Timelines'!$AP$18:$AY$18=$A$4)*('Project Operational Timelines'!$AP$19:$AY$19="Carve Out")*('Project Operational Timelines'!$AP$17:$AY$17=$G113)*'Project Operational Timelines'!$AP48:$AY48))*1000*('Program Inputs'!$D$14-'Program Inputs'!$D$7)*$F$4*'Program Inputs'!$D$14*12))</f>
        <v>-37812.479999999996</v>
      </c>
      <c r="G113" s="335">
        <v>2</v>
      </c>
      <c r="H113" s="328">
        <f t="shared" si="67"/>
        <v>2512788.2599999998</v>
      </c>
      <c r="I113" s="69"/>
      <c r="J113" s="69"/>
      <c r="K113" s="104"/>
      <c r="L113" s="75">
        <f>IF(AND(A113&gt;=('Program Inputs'!$D$4-1),A113&lt;('Program Inputs'!$D$4+19)),1,0)</f>
        <v>0</v>
      </c>
      <c r="M113">
        <v>31</v>
      </c>
      <c r="N113" s="52">
        <v>2049</v>
      </c>
      <c r="O113" s="18">
        <f t="shared" si="73"/>
        <v>69.053341550330074</v>
      </c>
      <c r="P113" s="18">
        <f t="shared" si="74"/>
        <v>69.053341550330074</v>
      </c>
      <c r="Q113" s="18">
        <f t="shared" si="75"/>
        <v>69.053341550330074</v>
      </c>
      <c r="R113" s="18">
        <f t="shared" si="76"/>
        <v>69.053341550330074</v>
      </c>
      <c r="S113" s="18">
        <f t="shared" si="77"/>
        <v>69.053341550330074</v>
      </c>
      <c r="T113" s="18">
        <f t="shared" si="78"/>
        <v>69.053341550330074</v>
      </c>
      <c r="U113" s="18">
        <f t="shared" si="79"/>
        <v>69.053341550330074</v>
      </c>
      <c r="V113" s="18">
        <f t="shared" si="80"/>
        <v>69.053341550330074</v>
      </c>
      <c r="W113" s="18">
        <f t="shared" si="81"/>
        <v>69.053341550330074</v>
      </c>
      <c r="X113" s="18">
        <f t="shared" si="82"/>
        <v>69.053341550330074</v>
      </c>
      <c r="Y113" s="18">
        <f t="shared" si="83"/>
        <v>69.053341550330074</v>
      </c>
      <c r="Z113" s="18">
        <f t="shared" si="84"/>
        <v>69.053341550330074</v>
      </c>
      <c r="AB113" s="52">
        <v>2049</v>
      </c>
      <c r="AC113" s="14">
        <f>SUMIFS('Bill Credit Rates'!$K:$K,'Bill Credit Rates'!$A:$A,$A$4,'Bill Credit Rates'!$B:$B,$G113,'Bill Credit Rates'!$C:$C,$M113)</f>
        <v>150.92034193489164</v>
      </c>
      <c r="AD113" s="14">
        <f>SUMIFS('Bill Credit Rates'!$K:$K,'Bill Credit Rates'!$A:$A,$A$4,'Bill Credit Rates'!$B:$B,$G113,'Bill Credit Rates'!$C:$C,$M113)</f>
        <v>150.92034193489164</v>
      </c>
      <c r="AE113" s="14">
        <f>SUMIFS('Bill Credit Rates'!$K:$K,'Bill Credit Rates'!$A:$A,$A$4,'Bill Credit Rates'!$B:$B,$G113,'Bill Credit Rates'!$C:$C,$M113)</f>
        <v>150.92034193489164</v>
      </c>
      <c r="AF113" s="14">
        <f>SUMIFS('Bill Credit Rates'!$K:$K,'Bill Credit Rates'!$A:$A,$A$4,'Bill Credit Rates'!$B:$B,$G113,'Bill Credit Rates'!$C:$C,$M113)</f>
        <v>150.92034193489164</v>
      </c>
      <c r="AG113" s="14">
        <f>SUMIFS('Bill Credit Rates'!$K:$K,'Bill Credit Rates'!$A:$A,$A$4,'Bill Credit Rates'!$B:$B,$G113,'Bill Credit Rates'!$C:$C,$M113)</f>
        <v>150.92034193489164</v>
      </c>
      <c r="AH113" s="14">
        <f>SUMIFS('Bill Credit Rates'!$K:$K,'Bill Credit Rates'!$A:$A,$A$4,'Bill Credit Rates'!$B:$B,$G113,'Bill Credit Rates'!$C:$C,$M113)</f>
        <v>150.92034193489164</v>
      </c>
      <c r="AI113" s="14">
        <f>SUMIFS('Bill Credit Rates'!$K:$K,'Bill Credit Rates'!$A:$A,$A$4,'Bill Credit Rates'!$B:$B,$G113,'Bill Credit Rates'!$C:$C,$M113)</f>
        <v>150.92034193489164</v>
      </c>
      <c r="AJ113" s="14">
        <f>SUMIFS('Bill Credit Rates'!$K:$K,'Bill Credit Rates'!$A:$A,$A$4,'Bill Credit Rates'!$B:$B,$G113,'Bill Credit Rates'!$C:$C,$M113)</f>
        <v>150.92034193489164</v>
      </c>
      <c r="AK113" s="14">
        <f>SUMIFS('Bill Credit Rates'!$K:$K,'Bill Credit Rates'!$A:$A,$A$4,'Bill Credit Rates'!$B:$B,$G113,'Bill Credit Rates'!$C:$C,$M113)</f>
        <v>150.92034193489164</v>
      </c>
      <c r="AL113" s="14">
        <f>SUMIFS('Bill Credit Rates'!$K:$K,'Bill Credit Rates'!$A:$A,$A$4,'Bill Credit Rates'!$B:$B,$G113,'Bill Credit Rates'!$C:$C,$M113)</f>
        <v>150.92034193489164</v>
      </c>
      <c r="AM113" s="14">
        <f>SUMIFS('Bill Credit Rates'!$K:$K,'Bill Credit Rates'!$A:$A,$A$4,'Bill Credit Rates'!$B:$B,$G113,'Bill Credit Rates'!$C:$C,$M113)</f>
        <v>150.92034193489164</v>
      </c>
      <c r="AN113" s="14">
        <f>SUMIFS('Bill Credit Rates'!$K:$K,'Bill Credit Rates'!$A:$A,$A$4,'Bill Credit Rates'!$B:$B,$G113,'Bill Credit Rates'!$C:$C,$M113)</f>
        <v>150.92034193489164</v>
      </c>
    </row>
    <row r="114" spans="1:40">
      <c r="A114" s="48">
        <v>2050</v>
      </c>
      <c r="B114" s="31" cm="1">
        <f t="array" ref="B114">IF(A114&lt;2021,0,SUMPRODUCT(('Project Operational Timelines'!$AO$20:$AO$49=$A77)*('Project Operational Timelines'!$AP$18:$AY$18=$A$4)*('Project Operational Timelines'!$AP$17:$AY$17=$G114)*'Project Operational Timelines'!$AP49:$AY49))</f>
        <v>36.370000000000005</v>
      </c>
      <c r="C114" s="84">
        <f t="shared" si="53"/>
        <v>6167.8432140083351</v>
      </c>
      <c r="D114" s="89">
        <f t="shared" si="66"/>
        <v>5158414.1900000004</v>
      </c>
      <c r="E114" s="89"/>
      <c r="F114" s="89" cm="1">
        <f t="array" ref="F114">IF(A114&lt;2021,0,(-(SUMPRODUCT(('Project Operational Timelines'!$AO$20:$AO$49=$A114)*('Project Operational Timelines'!$AP$18:$AY$18=$A$4)*('Project Operational Timelines'!$AP$19:$AY$19="Non-Carve Out")*('Project Operational Timelines'!$AP$17:$AY$17=$G114)*'Project Operational Timelines'!$AP49:$AY49))*1000*('Program Inputs'!$D$14-'Program Inputs'!$D$6)*$F$4*12)+(-(SUMPRODUCT(('Project Operational Timelines'!$AO$20:$AO$49=$A114)*('Project Operational Timelines'!$AP$18:$AY$18=$A$4)*('Project Operational Timelines'!$AP$19:$AY$19="Carve Out")*('Project Operational Timelines'!$AP$17:$AY$17=$G114)*'Project Operational Timelines'!$AP49:$AY49))*1000*('Program Inputs'!$D$14-'Program Inputs'!$D$7)*$F$4*'Program Inputs'!$D$14*12))</f>
        <v>-37812.479999999996</v>
      </c>
      <c r="G114" s="335">
        <v>2</v>
      </c>
      <c r="H114" s="328">
        <f t="shared" si="67"/>
        <v>2465125.87</v>
      </c>
      <c r="I114" s="69"/>
      <c r="J114" s="69"/>
      <c r="K114" s="104"/>
      <c r="L114" s="75">
        <f>IF(AND(A114&gt;=('Program Inputs'!$D$4-1),A114&lt;('Program Inputs'!$D$4+19)),1,0)</f>
        <v>0</v>
      </c>
      <c r="M114">
        <v>32</v>
      </c>
      <c r="N114" s="52">
        <v>2050</v>
      </c>
      <c r="O114" s="18">
        <f t="shared" si="73"/>
        <v>69.695002667293465</v>
      </c>
      <c r="P114" s="18">
        <f t="shared" si="74"/>
        <v>69.695002667293465</v>
      </c>
      <c r="Q114" s="18">
        <f t="shared" si="75"/>
        <v>69.695002667293465</v>
      </c>
      <c r="R114" s="18">
        <f t="shared" si="76"/>
        <v>69.695002667293465</v>
      </c>
      <c r="S114" s="18">
        <f t="shared" si="77"/>
        <v>69.695002667293465</v>
      </c>
      <c r="T114" s="18">
        <f t="shared" si="78"/>
        <v>69.695002667293465</v>
      </c>
      <c r="U114" s="18">
        <f t="shared" si="79"/>
        <v>69.695002667293465</v>
      </c>
      <c r="V114" s="18">
        <f t="shared" si="80"/>
        <v>69.695002667293465</v>
      </c>
      <c r="W114" s="18">
        <f t="shared" si="81"/>
        <v>69.695002667293465</v>
      </c>
      <c r="X114" s="18">
        <f t="shared" si="82"/>
        <v>69.695002667293465</v>
      </c>
      <c r="Y114" s="18">
        <f t="shared" si="83"/>
        <v>69.695002667293465</v>
      </c>
      <c r="Z114" s="18">
        <f t="shared" si="84"/>
        <v>69.695002667293465</v>
      </c>
      <c r="AB114" s="52">
        <v>2050</v>
      </c>
      <c r="AC114" s="14">
        <f>SUMIFS('Bill Credit Rates'!$K:$K,'Bill Credit Rates'!$A:$A,$A$4,'Bill Credit Rates'!$B:$B,$G114,'Bill Credit Rates'!$C:$C,$M114)</f>
        <v>153.93874877358945</v>
      </c>
      <c r="AD114" s="14">
        <f>SUMIFS('Bill Credit Rates'!$K:$K,'Bill Credit Rates'!$A:$A,$A$4,'Bill Credit Rates'!$B:$B,$G114,'Bill Credit Rates'!$C:$C,$M114)</f>
        <v>153.93874877358945</v>
      </c>
      <c r="AE114" s="14">
        <f>SUMIFS('Bill Credit Rates'!$K:$K,'Bill Credit Rates'!$A:$A,$A$4,'Bill Credit Rates'!$B:$B,$G114,'Bill Credit Rates'!$C:$C,$M114)</f>
        <v>153.93874877358945</v>
      </c>
      <c r="AF114" s="14">
        <f>SUMIFS('Bill Credit Rates'!$K:$K,'Bill Credit Rates'!$A:$A,$A$4,'Bill Credit Rates'!$B:$B,$G114,'Bill Credit Rates'!$C:$C,$M114)</f>
        <v>153.93874877358945</v>
      </c>
      <c r="AG114" s="14">
        <f>SUMIFS('Bill Credit Rates'!$K:$K,'Bill Credit Rates'!$A:$A,$A$4,'Bill Credit Rates'!$B:$B,$G114,'Bill Credit Rates'!$C:$C,$M114)</f>
        <v>153.93874877358945</v>
      </c>
      <c r="AH114" s="14">
        <f>SUMIFS('Bill Credit Rates'!$K:$K,'Bill Credit Rates'!$A:$A,$A$4,'Bill Credit Rates'!$B:$B,$G114,'Bill Credit Rates'!$C:$C,$M114)</f>
        <v>153.93874877358945</v>
      </c>
      <c r="AI114" s="14">
        <f>SUMIFS('Bill Credit Rates'!$K:$K,'Bill Credit Rates'!$A:$A,$A$4,'Bill Credit Rates'!$B:$B,$G114,'Bill Credit Rates'!$C:$C,$M114)</f>
        <v>153.93874877358945</v>
      </c>
      <c r="AJ114" s="14">
        <f>SUMIFS('Bill Credit Rates'!$K:$K,'Bill Credit Rates'!$A:$A,$A$4,'Bill Credit Rates'!$B:$B,$G114,'Bill Credit Rates'!$C:$C,$M114)</f>
        <v>153.93874877358945</v>
      </c>
      <c r="AK114" s="14">
        <f>SUMIFS('Bill Credit Rates'!$K:$K,'Bill Credit Rates'!$A:$A,$A$4,'Bill Credit Rates'!$B:$B,$G114,'Bill Credit Rates'!$C:$C,$M114)</f>
        <v>153.93874877358945</v>
      </c>
      <c r="AL114" s="14">
        <f>SUMIFS('Bill Credit Rates'!$K:$K,'Bill Credit Rates'!$A:$A,$A$4,'Bill Credit Rates'!$B:$B,$G114,'Bill Credit Rates'!$C:$C,$M114)</f>
        <v>153.93874877358945</v>
      </c>
      <c r="AM114" s="14">
        <f>SUMIFS('Bill Credit Rates'!$K:$K,'Bill Credit Rates'!$A:$A,$A$4,'Bill Credit Rates'!$B:$B,$G114,'Bill Credit Rates'!$C:$C,$M114)</f>
        <v>153.93874877358945</v>
      </c>
      <c r="AN114" s="14">
        <f>SUMIFS('Bill Credit Rates'!$K:$K,'Bill Credit Rates'!$A:$A,$A$4,'Bill Credit Rates'!$B:$B,$G114,'Bill Credit Rates'!$C:$C,$M114)</f>
        <v>153.93874877358945</v>
      </c>
    </row>
    <row r="115" spans="1:40">
      <c r="A115" s="3" t="s">
        <v>10</v>
      </c>
      <c r="B115" s="3"/>
      <c r="C115" s="330"/>
      <c r="D115" s="327">
        <f>SUM(D82:D114)</f>
        <v>196042564.12</v>
      </c>
      <c r="E115" s="327"/>
      <c r="F115" s="327">
        <f>SUM(F82:F114)</f>
        <v>-2164825.6799999992</v>
      </c>
      <c r="G115" s="336"/>
      <c r="H115" s="327">
        <f>SUM(H82:H114)</f>
        <v>133919780.65000002</v>
      </c>
      <c r="I115" s="105"/>
      <c r="J115" s="105"/>
      <c r="K115" s="73"/>
      <c r="L115" s="73"/>
      <c r="M115" s="5"/>
    </row>
    <row r="116" spans="1:40">
      <c r="AA116" s="9"/>
    </row>
  </sheetData>
  <mergeCells count="14">
    <mergeCell ref="N80:Z80"/>
    <mergeCell ref="AB80:AN80"/>
    <mergeCell ref="BR43:CD43"/>
    <mergeCell ref="A6:K6"/>
    <mergeCell ref="AP41:BB41"/>
    <mergeCell ref="BD41:BP41"/>
    <mergeCell ref="BR41:CD41"/>
    <mergeCell ref="AP42:BB42"/>
    <mergeCell ref="BD42:BP42"/>
    <mergeCell ref="BR42:CD42"/>
    <mergeCell ref="N43:Z43"/>
    <mergeCell ref="AB43:AN43"/>
    <mergeCell ref="AP43:BB43"/>
    <mergeCell ref="BD43:BP43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A470-50AE-4361-BBE9-54F176EB3BC5}">
  <sheetPr codeName="Sheet10">
    <tabColor theme="5" tint="0.39997558519241921"/>
  </sheetPr>
  <dimension ref="A2:CD80"/>
  <sheetViews>
    <sheetView workbookViewId="0">
      <selection activeCell="C4" sqref="C4"/>
    </sheetView>
  </sheetViews>
  <sheetFormatPr defaultColWidth="9.140625" defaultRowHeight="15"/>
  <cols>
    <col min="1" max="2" width="9.42578125" bestFit="1" customWidth="1"/>
    <col min="3" max="3" width="19.28515625" bestFit="1" customWidth="1"/>
    <col min="4" max="4" width="19.42578125" bestFit="1" customWidth="1"/>
    <col min="5" max="6" width="16.42578125" customWidth="1"/>
    <col min="7" max="7" width="18.85546875" bestFit="1" customWidth="1"/>
    <col min="8" max="9" width="16.42578125" customWidth="1"/>
    <col min="10" max="10" width="23.140625" bestFit="1" customWidth="1"/>
    <col min="11" max="11" width="20.5703125" bestFit="1" customWidth="1"/>
    <col min="12" max="12" width="19.5703125" customWidth="1"/>
    <col min="13" max="13" width="15.5703125" customWidth="1"/>
    <col min="15" max="16" width="11.5703125" bestFit="1" customWidth="1"/>
    <col min="17" max="17" width="15" customWidth="1"/>
    <col min="18" max="18" width="18" customWidth="1"/>
    <col min="19" max="19" width="9.140625" customWidth="1"/>
    <col min="20" max="26" width="11.5703125" bestFit="1" customWidth="1"/>
    <col min="29" max="40" width="11.5703125" bestFit="1" customWidth="1"/>
  </cols>
  <sheetData>
    <row r="2" spans="1:82">
      <c r="G2" s="126"/>
      <c r="H2" s="126"/>
      <c r="L2" s="76"/>
    </row>
    <row r="3" spans="1:82" ht="30">
      <c r="A3" s="4" t="s">
        <v>35</v>
      </c>
      <c r="B3" s="1" t="s">
        <v>36</v>
      </c>
      <c r="C3" s="4" t="s">
        <v>37</v>
      </c>
      <c r="D3" s="1" t="s">
        <v>38</v>
      </c>
      <c r="E3" s="1"/>
      <c r="F3" s="1" t="s">
        <v>39</v>
      </c>
      <c r="G3" s="1" t="s">
        <v>40</v>
      </c>
      <c r="H3" s="4" t="s">
        <v>41</v>
      </c>
      <c r="J3" s="4" t="s">
        <v>33</v>
      </c>
      <c r="K3" s="4" t="s">
        <v>34</v>
      </c>
    </row>
    <row r="4" spans="1:82">
      <c r="A4" s="48" t="s">
        <v>13</v>
      </c>
      <c r="B4" s="21">
        <f>'Program Inputs'!D49</f>
        <v>4.41E-2</v>
      </c>
      <c r="C4" s="21">
        <f>'Program Inputs'!D50</f>
        <v>2.8000000000000001E-2</v>
      </c>
      <c r="D4" s="8">
        <f>((1+B4)/(1+C4))-1</f>
        <v>1.5661478599221734E-2</v>
      </c>
      <c r="E4" s="8"/>
      <c r="F4" s="31">
        <f>'Program Inputs'!I45</f>
        <v>0.48</v>
      </c>
      <c r="G4" s="121">
        <f>'Program Inputs'!J45</f>
        <v>3700</v>
      </c>
      <c r="H4" s="48">
        <f>'Program Inputs'!F45</f>
        <v>2.0315641569047561E-2</v>
      </c>
      <c r="J4" s="48">
        <v>1</v>
      </c>
      <c r="K4" s="84">
        <v>2376.1091000000001</v>
      </c>
      <c r="AA4" s="11"/>
    </row>
    <row r="5" spans="1:8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11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</row>
    <row r="6" spans="1:82">
      <c r="A6" s="361" t="str">
        <f>CONCATENATE(A4," Ratepayer Costs (Entire Program)")</f>
        <v>IP Ratepayer Costs (Entire Program)</v>
      </c>
      <c r="B6" s="362"/>
      <c r="C6" s="362"/>
      <c r="D6" s="362"/>
      <c r="E6" s="362"/>
      <c r="F6" s="362"/>
      <c r="G6" s="362"/>
      <c r="H6" s="362"/>
      <c r="I6" s="362"/>
      <c r="J6" s="362"/>
      <c r="K6" s="363"/>
      <c r="L6" s="5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11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</row>
    <row r="7" spans="1:82" ht="45">
      <c r="A7" s="48"/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5</v>
      </c>
      <c r="H7" s="1" t="s">
        <v>43</v>
      </c>
      <c r="I7" s="1" t="s">
        <v>4</v>
      </c>
      <c r="J7" s="2" t="s">
        <v>26</v>
      </c>
      <c r="K7" s="1" t="s">
        <v>27</v>
      </c>
      <c r="L7" s="5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11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</row>
    <row r="8" spans="1:82">
      <c r="A8" s="48">
        <v>2018</v>
      </c>
      <c r="B8" s="31">
        <f>B45</f>
        <v>0</v>
      </c>
      <c r="C8" s="84">
        <f>C45</f>
        <v>0</v>
      </c>
      <c r="D8" s="89">
        <f>D45</f>
        <v>0</v>
      </c>
      <c r="E8" s="89">
        <f>IFERROR(INDEX('PA Costs 2019-2050'!$H$6:$H$37,MATCH(M8,'PA Costs 2019-2050'!$K$6:$K$37,0))*$H$4,0)</f>
        <v>0</v>
      </c>
      <c r="F8" s="89">
        <v>0</v>
      </c>
      <c r="G8" s="89">
        <f>SUM(D8)*(1-$C$4)^(A8-$A$14)</f>
        <v>0</v>
      </c>
      <c r="H8" s="89">
        <f>SUM(E8:F8)*(1-$C$4)^(A8-$A$14)</f>
        <v>0</v>
      </c>
      <c r="I8" s="89">
        <f>SUM(G8:H8)</f>
        <v>0</v>
      </c>
      <c r="J8" s="328">
        <f>'Program Inputs'!E43</f>
        <v>1937818036</v>
      </c>
      <c r="K8" s="7">
        <f>I8/J8</f>
        <v>0</v>
      </c>
      <c r="L8" s="75"/>
      <c r="M8">
        <v>0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11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</row>
    <row r="9" spans="1:82">
      <c r="A9" s="48">
        <v>2019</v>
      </c>
      <c r="B9" s="31">
        <f t="shared" ref="B9:B40" si="0">B46</f>
        <v>0</v>
      </c>
      <c r="C9" s="84">
        <f t="shared" ref="C9:D40" si="1">C46</f>
        <v>0</v>
      </c>
      <c r="D9" s="89">
        <f t="shared" si="1"/>
        <v>0</v>
      </c>
      <c r="E9" s="89">
        <f>IFERROR(INDEX('PA Costs 2019-2050'!$H$6:$H$37,MATCH(M9,'PA Costs 2019-2050'!$K$6:$K$37,0))*$H$4,0)</f>
        <v>34016.919603390845</v>
      </c>
      <c r="F9" s="89">
        <f>MAX(0,$G$4+(F46))</f>
        <v>3700</v>
      </c>
      <c r="G9" s="89">
        <f t="shared" ref="G9:G40" si="2">SUM(D9)*(1-$C$4)^(A9-$A$14)</f>
        <v>0</v>
      </c>
      <c r="H9" s="89">
        <f t="shared" ref="H9:H40" si="3">SUM(E9:F9)*(1-$C$4)^(A9-$A$14)</f>
        <v>43471.526572745985</v>
      </c>
      <c r="I9" s="89">
        <f t="shared" ref="I9:I29" si="4">SUM(G9:H9)</f>
        <v>43471.526572745985</v>
      </c>
      <c r="J9" s="328">
        <f t="shared" ref="J9:J40" si="5">J8+(J8*$D$4)</f>
        <v>1968167131.6999998</v>
      </c>
      <c r="K9" s="7">
        <f t="shared" ref="K9:K41" si="6">I9/J9</f>
        <v>2.2087314574345905E-5</v>
      </c>
      <c r="L9" s="75"/>
      <c r="M9">
        <v>1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1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</row>
    <row r="10" spans="1:82">
      <c r="A10" s="48">
        <v>2020</v>
      </c>
      <c r="B10" s="31">
        <f t="shared" si="0"/>
        <v>0</v>
      </c>
      <c r="C10" s="84">
        <f t="shared" si="1"/>
        <v>0</v>
      </c>
      <c r="D10" s="89">
        <f t="shared" si="1"/>
        <v>0</v>
      </c>
      <c r="E10" s="89">
        <f>IFERROR(INDEX('PA Costs 2019-2050'!$H$6:$H$37,MATCH(M10,'PA Costs 2019-2050'!$K$6:$K$37,0))*$H$4,0)</f>
        <v>54757.581662358236</v>
      </c>
      <c r="F10" s="89">
        <f t="shared" ref="F10:F40" si="7">MAX(0,$G$4+(F47))</f>
        <v>3700</v>
      </c>
      <c r="G10" s="89">
        <f t="shared" si="2"/>
        <v>0</v>
      </c>
      <c r="H10" s="89">
        <f t="shared" si="3"/>
        <v>65490.119866056746</v>
      </c>
      <c r="I10" s="89">
        <f t="shared" si="4"/>
        <v>65490.119866056746</v>
      </c>
      <c r="J10" s="328">
        <f t="shared" si="5"/>
        <v>1998991539.1128111</v>
      </c>
      <c r="K10" s="7">
        <f t="shared" si="6"/>
        <v>3.2761579318701097E-5</v>
      </c>
      <c r="L10" s="75"/>
      <c r="M10">
        <v>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1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</row>
    <row r="11" spans="1:82">
      <c r="A11" s="48">
        <v>2021</v>
      </c>
      <c r="B11" s="31">
        <f t="shared" si="0"/>
        <v>0</v>
      </c>
      <c r="C11" s="84">
        <f t="shared" si="1"/>
        <v>0</v>
      </c>
      <c r="D11" s="89">
        <f t="shared" si="1"/>
        <v>0</v>
      </c>
      <c r="E11" s="89">
        <f>IFERROR(INDEX('PA Costs 2019-2050'!$H$6:$H$37,MATCH(M11,'PA Costs 2019-2050'!$K$6:$K$37,0))*$H$4,0)</f>
        <v>41251.387217215117</v>
      </c>
      <c r="F11" s="89">
        <f t="shared" si="7"/>
        <v>3700</v>
      </c>
      <c r="G11" s="89">
        <f t="shared" si="2"/>
        <v>0</v>
      </c>
      <c r="H11" s="89">
        <f t="shared" si="3"/>
        <v>48949.054117431122</v>
      </c>
      <c r="I11" s="89">
        <f t="shared" si="4"/>
        <v>48949.054117431122</v>
      </c>
      <c r="J11" s="328">
        <f t="shared" si="5"/>
        <v>2030298702.3226516</v>
      </c>
      <c r="K11" s="7">
        <f t="shared" si="6"/>
        <v>2.4109287003648107E-5</v>
      </c>
      <c r="L11" s="75"/>
      <c r="M11">
        <v>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1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</row>
    <row r="12" spans="1:82">
      <c r="A12" s="48">
        <v>2022</v>
      </c>
      <c r="B12" s="31">
        <f t="shared" si="0"/>
        <v>0</v>
      </c>
      <c r="C12" s="84">
        <f t="shared" si="1"/>
        <v>0</v>
      </c>
      <c r="D12" s="89">
        <f t="shared" si="1"/>
        <v>0</v>
      </c>
      <c r="E12" s="89">
        <f>IFERROR(INDEX('PA Costs 2019-2050'!$H$6:$H$37,MATCH(M12,'PA Costs 2019-2050'!$K$6:$K$37,0))*$H$4,0)</f>
        <v>62610.484628503997</v>
      </c>
      <c r="F12" s="89">
        <f t="shared" si="7"/>
        <v>3700</v>
      </c>
      <c r="G12" s="89">
        <f t="shared" si="2"/>
        <v>0</v>
      </c>
      <c r="H12" s="89">
        <f t="shared" si="3"/>
        <v>70185.867487705138</v>
      </c>
      <c r="I12" s="89">
        <f t="shared" si="4"/>
        <v>70185.867487705138</v>
      </c>
      <c r="J12" s="328">
        <f t="shared" si="5"/>
        <v>2062096181.9991055</v>
      </c>
      <c r="K12" s="7">
        <f t="shared" si="6"/>
        <v>3.4036175470565701E-5</v>
      </c>
      <c r="L12" s="75"/>
      <c r="M12">
        <v>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1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</row>
    <row r="13" spans="1:82">
      <c r="A13" s="48">
        <v>2023</v>
      </c>
      <c r="B13" s="31">
        <f t="shared" si="0"/>
        <v>0</v>
      </c>
      <c r="C13" s="84">
        <f t="shared" si="1"/>
        <v>0</v>
      </c>
      <c r="D13" s="89">
        <f t="shared" si="1"/>
        <v>0</v>
      </c>
      <c r="E13" s="89">
        <f>IFERROR(INDEX('PA Costs 2019-2050'!$H$6:$H$37,MATCH(M13,'PA Costs 2019-2050'!$K$6:$K$37,0))*$H$4,0)</f>
        <v>55729.028103588811</v>
      </c>
      <c r="F13" s="89">
        <f t="shared" si="7"/>
        <v>3700</v>
      </c>
      <c r="G13" s="89">
        <f t="shared" si="2"/>
        <v>0</v>
      </c>
      <c r="H13" s="89">
        <f t="shared" si="3"/>
        <v>61140.975415214823</v>
      </c>
      <c r="I13" s="89">
        <f t="shared" si="4"/>
        <v>61140.975415214823</v>
      </c>
      <c r="J13" s="328">
        <f t="shared" si="5"/>
        <v>2094391657.2230213</v>
      </c>
      <c r="K13" s="7">
        <f t="shared" si="6"/>
        <v>2.9192713408858001E-5</v>
      </c>
      <c r="L13" s="75"/>
      <c r="M13">
        <v>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1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</row>
    <row r="14" spans="1:82">
      <c r="A14" s="48">
        <v>2024</v>
      </c>
      <c r="B14" s="31">
        <f t="shared" si="0"/>
        <v>1.63</v>
      </c>
      <c r="C14" s="84">
        <f t="shared" si="1"/>
        <v>322.75481941666663</v>
      </c>
      <c r="D14" s="89">
        <f t="shared" si="1"/>
        <v>107051.32</v>
      </c>
      <c r="E14" s="89">
        <f>IFERROR(INDEX('PA Costs 2019-2050'!$H$6:$H$37,MATCH(M14,'PA Costs 2019-2050'!$K$6:$K$37,0))*$H$4,0)</f>
        <v>48432.030367109932</v>
      </c>
      <c r="F14" s="89">
        <f t="shared" si="7"/>
        <v>0</v>
      </c>
      <c r="G14" s="89">
        <f t="shared" si="2"/>
        <v>107051.32</v>
      </c>
      <c r="H14" s="89">
        <f t="shared" si="3"/>
        <v>48432.030367109932</v>
      </c>
      <c r="I14" s="89">
        <f t="shared" si="4"/>
        <v>155483.35036710993</v>
      </c>
      <c r="J14" s="328">
        <f t="shared" si="5"/>
        <v>2127192927.3410082</v>
      </c>
      <c r="K14" s="7">
        <f t="shared" si="6"/>
        <v>7.309320577774963E-5</v>
      </c>
      <c r="L14" s="75"/>
      <c r="M14">
        <v>6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1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</row>
    <row r="15" spans="1:82">
      <c r="A15" s="48">
        <v>2025</v>
      </c>
      <c r="B15" s="31">
        <f t="shared" si="0"/>
        <v>2.95</v>
      </c>
      <c r="C15" s="84">
        <f t="shared" si="1"/>
        <v>584.12682041666676</v>
      </c>
      <c r="D15" s="89">
        <f t="shared" si="1"/>
        <v>233467.96</v>
      </c>
      <c r="E15" s="89">
        <f>IFERROR(INDEX('PA Costs 2019-2050'!$H$6:$H$37,MATCH(M15,'PA Costs 2019-2050'!$K$6:$K$37,0))*$H$4,0)</f>
        <v>40677.950041921293</v>
      </c>
      <c r="F15" s="89">
        <f t="shared" si="7"/>
        <v>0</v>
      </c>
      <c r="G15" s="89">
        <f t="shared" si="2"/>
        <v>226930.85712</v>
      </c>
      <c r="H15" s="89">
        <f t="shared" si="3"/>
        <v>39538.967440747496</v>
      </c>
      <c r="I15" s="89">
        <f t="shared" si="4"/>
        <v>266469.82456074748</v>
      </c>
      <c r="J15" s="328">
        <f t="shared" si="5"/>
        <v>2160507913.8489752</v>
      </c>
      <c r="K15" s="7">
        <f t="shared" si="6"/>
        <v>1.2333665748348393E-4</v>
      </c>
      <c r="L15" s="75"/>
      <c r="M15">
        <v>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1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</row>
    <row r="16" spans="1:82">
      <c r="A16" s="48">
        <v>2026</v>
      </c>
      <c r="B16" s="31">
        <f t="shared" si="0"/>
        <v>2.95</v>
      </c>
      <c r="C16" s="84">
        <f t="shared" si="1"/>
        <v>584.12682041666676</v>
      </c>
      <c r="D16" s="89">
        <f t="shared" si="1"/>
        <v>159143.22</v>
      </c>
      <c r="E16" s="89">
        <f>IFERROR(INDEX('PA Costs 2019-2050'!$H$6:$H$37,MATCH(M16,'PA Costs 2019-2050'!$K$6:$K$37,0))*$H$4,0)</f>
        <v>36635.304942226176</v>
      </c>
      <c r="F16" s="89">
        <f t="shared" si="7"/>
        <v>0</v>
      </c>
      <c r="G16" s="89">
        <f t="shared" si="2"/>
        <v>150355.96796447999</v>
      </c>
      <c r="H16" s="89">
        <f t="shared" si="3"/>
        <v>34612.449944536216</v>
      </c>
      <c r="I16" s="89">
        <f t="shared" si="4"/>
        <v>184968.41790901619</v>
      </c>
      <c r="J16" s="328">
        <f t="shared" si="5"/>
        <v>2194344662.3051701</v>
      </c>
      <c r="K16" s="7">
        <f t="shared" si="6"/>
        <v>8.4293238471802297E-5</v>
      </c>
      <c r="L16" s="75"/>
      <c r="M16">
        <v>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11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</row>
    <row r="17" spans="1:82">
      <c r="A17" s="48">
        <v>2027</v>
      </c>
      <c r="B17" s="31">
        <f t="shared" si="0"/>
        <v>2.95</v>
      </c>
      <c r="C17" s="84">
        <f t="shared" si="1"/>
        <v>584.12682041666676</v>
      </c>
      <c r="D17" s="89">
        <f t="shared" si="1"/>
        <v>148881.51999999999</v>
      </c>
      <c r="E17" s="89">
        <f>IFERROR(INDEX('PA Costs 2019-2050'!$H$6:$H$37,MATCH(M17,'PA Costs 2019-2050'!$K$6:$K$37,0))*$H$4,0)</f>
        <v>33202.404132924225</v>
      </c>
      <c r="F17" s="89">
        <f t="shared" si="7"/>
        <v>0</v>
      </c>
      <c r="G17" s="89">
        <f t="shared" si="2"/>
        <v>136722.37340791294</v>
      </c>
      <c r="H17" s="89">
        <f t="shared" si="3"/>
        <v>30490.765381103702</v>
      </c>
      <c r="I17" s="89">
        <f t="shared" si="4"/>
        <v>167213.13878901664</v>
      </c>
      <c r="J17" s="328">
        <f t="shared" si="5"/>
        <v>2228711344.2731791</v>
      </c>
      <c r="K17" s="7">
        <f t="shared" si="6"/>
        <v>7.5026826250371924E-5</v>
      </c>
      <c r="L17" s="75"/>
      <c r="M17">
        <v>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1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</row>
    <row r="18" spans="1:82">
      <c r="A18" s="48">
        <v>2028</v>
      </c>
      <c r="B18" s="31">
        <f t="shared" si="0"/>
        <v>3.12</v>
      </c>
      <c r="C18" s="84">
        <f t="shared" si="1"/>
        <v>617.78836600000011</v>
      </c>
      <c r="D18" s="89">
        <f t="shared" si="1"/>
        <v>188458.53</v>
      </c>
      <c r="E18" s="89">
        <f>IFERROR(INDEX('PA Costs 2019-2050'!$H$6:$H$37,MATCH(M18,'PA Costs 2019-2050'!$K$6:$K$37,0))*$H$4,0)</f>
        <v>24169.643669165558</v>
      </c>
      <c r="F18" s="89">
        <f t="shared" si="7"/>
        <v>0</v>
      </c>
      <c r="G18" s="89">
        <f t="shared" si="2"/>
        <v>168221.25123568397</v>
      </c>
      <c r="H18" s="89">
        <f t="shared" si="3"/>
        <v>21574.230149983967</v>
      </c>
      <c r="I18" s="89">
        <f t="shared" si="4"/>
        <v>189795.48138566792</v>
      </c>
      <c r="J18" s="328">
        <f t="shared" si="5"/>
        <v>2263616259.2953563</v>
      </c>
      <c r="K18" s="7">
        <f t="shared" si="6"/>
        <v>8.384613805731788E-5</v>
      </c>
      <c r="L18" s="75"/>
      <c r="M18">
        <v>10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11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</row>
    <row r="19" spans="1:82">
      <c r="A19" s="48">
        <v>2029</v>
      </c>
      <c r="B19" s="31">
        <f t="shared" si="0"/>
        <v>3.2800000000000002</v>
      </c>
      <c r="C19" s="84">
        <f t="shared" si="1"/>
        <v>649.46982066666681</v>
      </c>
      <c r="D19" s="89">
        <f t="shared" si="1"/>
        <v>238845.26</v>
      </c>
      <c r="E19" s="89">
        <f>IFERROR(INDEX('PA Costs 2019-2050'!$H$6:$H$37,MATCH(M19,'PA Costs 2019-2050'!$K$6:$K$37,0))*$H$4,0)</f>
        <v>20663.990476225183</v>
      </c>
      <c r="F19" s="89">
        <f t="shared" si="7"/>
        <v>0</v>
      </c>
      <c r="G19" s="89">
        <f t="shared" si="2"/>
        <v>207227.76905467061</v>
      </c>
      <c r="H19" s="89">
        <f t="shared" si="3"/>
        <v>17928.564486291692</v>
      </c>
      <c r="I19" s="89">
        <f t="shared" si="4"/>
        <v>225156.33354096231</v>
      </c>
      <c r="J19" s="328">
        <f t="shared" si="5"/>
        <v>2299067836.897161</v>
      </c>
      <c r="K19" s="7">
        <f t="shared" si="6"/>
        <v>9.7933749464667802E-5</v>
      </c>
      <c r="L19" s="75"/>
      <c r="M19">
        <v>11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1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</row>
    <row r="20" spans="1:82">
      <c r="A20" s="48">
        <v>2030</v>
      </c>
      <c r="B20" s="31">
        <f t="shared" si="0"/>
        <v>3.2800000000000002</v>
      </c>
      <c r="C20" s="84">
        <f t="shared" si="1"/>
        <v>649.46982066666681</v>
      </c>
      <c r="D20" s="89">
        <f t="shared" si="1"/>
        <v>256239.01</v>
      </c>
      <c r="E20" s="89">
        <f>IFERROR(INDEX('PA Costs 2019-2050'!$H$6:$H$37,MATCH(M20,'PA Costs 2019-2050'!$K$6:$K$37,0))*$H$4,0)</f>
        <v>12089.957605408441</v>
      </c>
      <c r="F20" s="89">
        <f t="shared" si="7"/>
        <v>0</v>
      </c>
      <c r="G20" s="89">
        <f t="shared" si="2"/>
        <v>216094.06404899669</v>
      </c>
      <c r="H20" s="89">
        <f t="shared" si="3"/>
        <v>10195.824879017391</v>
      </c>
      <c r="I20" s="89">
        <f t="shared" si="4"/>
        <v>226289.88892801409</v>
      </c>
      <c r="J20" s="328">
        <f t="shared" si="5"/>
        <v>2335074638.6228848</v>
      </c>
      <c r="K20" s="7">
        <f t="shared" si="6"/>
        <v>9.6909060286599243E-5</v>
      </c>
      <c r="L20" s="75"/>
      <c r="M20">
        <v>12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1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</row>
    <row r="21" spans="1:82">
      <c r="A21" s="48">
        <v>2031</v>
      </c>
      <c r="B21" s="31">
        <f t="shared" si="0"/>
        <v>3.2800000000000002</v>
      </c>
      <c r="C21" s="84">
        <f t="shared" si="1"/>
        <v>649.46982066666681</v>
      </c>
      <c r="D21" s="89">
        <f t="shared" si="1"/>
        <v>237489.82</v>
      </c>
      <c r="E21" s="89">
        <f>IFERROR(INDEX('PA Costs 2019-2050'!$H$6:$H$37,MATCH(M21,'PA Costs 2019-2050'!$K$6:$K$37,0))*$H$4,0)</f>
        <v>6080.1032538865147</v>
      </c>
      <c r="F21" s="89">
        <f t="shared" si="7"/>
        <v>0</v>
      </c>
      <c r="G21" s="89">
        <f t="shared" si="2"/>
        <v>194674.40357184832</v>
      </c>
      <c r="H21" s="89">
        <f t="shared" si="3"/>
        <v>4983.9629951532725</v>
      </c>
      <c r="I21" s="89">
        <f t="shared" si="4"/>
        <v>199658.36656700159</v>
      </c>
      <c r="J21" s="328">
        <f t="shared" si="5"/>
        <v>2371645360.1032624</v>
      </c>
      <c r="K21" s="7">
        <f t="shared" si="6"/>
        <v>8.4185591119874845E-5</v>
      </c>
      <c r="L21" s="75"/>
      <c r="M21">
        <v>13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1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</row>
    <row r="22" spans="1:82">
      <c r="A22" s="48">
        <v>2032</v>
      </c>
      <c r="B22" s="31">
        <f t="shared" si="0"/>
        <v>3.2800000000000002</v>
      </c>
      <c r="C22" s="84">
        <f t="shared" si="1"/>
        <v>649.46982066666681</v>
      </c>
      <c r="D22" s="89">
        <f t="shared" si="1"/>
        <v>217157.34</v>
      </c>
      <c r="E22" s="89">
        <f>IFERROR(INDEX('PA Costs 2019-2050'!$H$6:$H$37,MATCH(M22,'PA Costs 2019-2050'!$K$6:$K$37,0))*$H$4,0)</f>
        <v>-326.14989593066707</v>
      </c>
      <c r="F22" s="89">
        <f t="shared" si="7"/>
        <v>0</v>
      </c>
      <c r="G22" s="89">
        <f t="shared" si="2"/>
        <v>173023.31665276477</v>
      </c>
      <c r="H22" s="89">
        <f t="shared" si="3"/>
        <v>-259.86474470482131</v>
      </c>
      <c r="I22" s="89">
        <f t="shared" si="4"/>
        <v>172763.45190805994</v>
      </c>
      <c r="J22" s="328">
        <f t="shared" si="5"/>
        <v>2408788833.1554632</v>
      </c>
      <c r="K22" s="7">
        <f t="shared" si="6"/>
        <v>7.1722124218644528E-5</v>
      </c>
      <c r="L22" s="75"/>
      <c r="M22">
        <v>14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11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</row>
    <row r="23" spans="1:82">
      <c r="A23" s="48">
        <v>2033</v>
      </c>
      <c r="B23" s="31">
        <f t="shared" si="0"/>
        <v>3.2800000000000002</v>
      </c>
      <c r="C23" s="84">
        <f t="shared" si="1"/>
        <v>649.46982066666681</v>
      </c>
      <c r="D23" s="89">
        <f t="shared" si="1"/>
        <v>206832.28</v>
      </c>
      <c r="E23" s="89">
        <f>IFERROR(INDEX('PA Costs 2019-2050'!$H$6:$H$37,MATCH(M23,'PA Costs 2019-2050'!$K$6:$K$37,0))*$H$4,0)</f>
        <v>-2010.2353194384336</v>
      </c>
      <c r="F23" s="89">
        <f t="shared" si="7"/>
        <v>0</v>
      </c>
      <c r="G23" s="89">
        <f t="shared" si="2"/>
        <v>160182.36582890825</v>
      </c>
      <c r="H23" s="89">
        <f t="shared" si="3"/>
        <v>-1556.837498191672</v>
      </c>
      <c r="I23" s="89">
        <f t="shared" si="4"/>
        <v>158625.52833071657</v>
      </c>
      <c r="J23" s="328">
        <f t="shared" si="5"/>
        <v>2446514027.9159718</v>
      </c>
      <c r="K23" s="7">
        <f t="shared" si="6"/>
        <v>6.4837367176610666E-5</v>
      </c>
      <c r="L23" s="75"/>
      <c r="M23">
        <v>15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11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</row>
    <row r="24" spans="1:82">
      <c r="A24" s="48">
        <v>2034</v>
      </c>
      <c r="B24" s="31">
        <f t="shared" si="0"/>
        <v>3.2800000000000002</v>
      </c>
      <c r="C24" s="84">
        <f t="shared" si="1"/>
        <v>649.46982066666681</v>
      </c>
      <c r="D24" s="89">
        <f t="shared" si="1"/>
        <v>187509.78</v>
      </c>
      <c r="E24" s="89">
        <f>IFERROR(INDEX('PA Costs 2019-2050'!$H$6:$H$37,MATCH(M24,'PA Costs 2019-2050'!$K$6:$K$37,0))*$H$4,0)</f>
        <v>-1071.896466647265</v>
      </c>
      <c r="F24" s="89">
        <f t="shared" si="7"/>
        <v>0</v>
      </c>
      <c r="G24" s="89">
        <f t="shared" si="2"/>
        <v>141151.84966059108</v>
      </c>
      <c r="H24" s="89">
        <f t="shared" si="3"/>
        <v>-806.8921467025001</v>
      </c>
      <c r="I24" s="89">
        <f t="shared" si="4"/>
        <v>140344.95751388857</v>
      </c>
      <c r="J24" s="328">
        <f t="shared" si="5"/>
        <v>2484830055.0068736</v>
      </c>
      <c r="K24" s="7">
        <f t="shared" si="6"/>
        <v>5.6480706691025734E-5</v>
      </c>
      <c r="L24" s="75"/>
      <c r="M24">
        <v>16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1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</row>
    <row r="25" spans="1:82">
      <c r="A25" s="48">
        <v>2035</v>
      </c>
      <c r="B25" s="31">
        <f t="shared" si="0"/>
        <v>3.2800000000000002</v>
      </c>
      <c r="C25" s="84">
        <f t="shared" si="1"/>
        <v>649.46982066666681</v>
      </c>
      <c r="D25" s="89">
        <f t="shared" si="1"/>
        <v>163398.87</v>
      </c>
      <c r="E25" s="89">
        <f>IFERROR(INDEX('PA Costs 2019-2050'!$H$6:$H$37,MATCH(M25,'PA Costs 2019-2050'!$K$6:$K$37,0))*$H$4,0)</f>
        <v>-82.849772499753456</v>
      </c>
      <c r="F25" s="89">
        <f t="shared" si="7"/>
        <v>0</v>
      </c>
      <c r="G25" s="89">
        <f t="shared" si="2"/>
        <v>119557.81323207701</v>
      </c>
      <c r="H25" s="89">
        <f t="shared" si="3"/>
        <v>-60.620600539315809</v>
      </c>
      <c r="I25" s="89">
        <f t="shared" si="4"/>
        <v>119497.19263153769</v>
      </c>
      <c r="J25" s="328">
        <f t="shared" si="5"/>
        <v>2523746167.7360668</v>
      </c>
      <c r="K25" s="7">
        <f t="shared" si="6"/>
        <v>4.7349132872079987E-5</v>
      </c>
      <c r="L25" s="75"/>
      <c r="M25">
        <v>17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1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</row>
    <row r="26" spans="1:82">
      <c r="A26" s="48">
        <v>2036</v>
      </c>
      <c r="B26" s="31">
        <f t="shared" si="0"/>
        <v>3.2800000000000002</v>
      </c>
      <c r="C26" s="84">
        <f t="shared" si="1"/>
        <v>649.46982066666681</v>
      </c>
      <c r="D26" s="89">
        <f t="shared" si="1"/>
        <v>150621.75</v>
      </c>
      <c r="E26" s="89">
        <f>IFERROR(INDEX('PA Costs 2019-2050'!$H$6:$H$37,MATCH(M26,'PA Costs 2019-2050'!$K$6:$K$37,0))*$H$4,0)</f>
        <v>937.88932249547224</v>
      </c>
      <c r="F26" s="89">
        <f t="shared" si="7"/>
        <v>0</v>
      </c>
      <c r="G26" s="89">
        <f t="shared" si="2"/>
        <v>107123.03492455803</v>
      </c>
      <c r="H26" s="89">
        <f t="shared" si="3"/>
        <v>667.03215604023012</v>
      </c>
      <c r="I26" s="89">
        <f t="shared" si="4"/>
        <v>107790.06708059827</v>
      </c>
      <c r="J26" s="328">
        <f t="shared" si="5"/>
        <v>2563271764.331933</v>
      </c>
      <c r="K26" s="7">
        <f t="shared" si="6"/>
        <v>4.205175142975589E-5</v>
      </c>
      <c r="L26" s="75"/>
      <c r="M26">
        <v>18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1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</row>
    <row r="27" spans="1:82">
      <c r="A27" s="48">
        <v>2037</v>
      </c>
      <c r="B27" s="31">
        <f t="shared" si="0"/>
        <v>3.2800000000000002</v>
      </c>
      <c r="C27" s="84">
        <f t="shared" si="1"/>
        <v>649.46982066666681</v>
      </c>
      <c r="D27" s="89">
        <f t="shared" si="1"/>
        <v>129327.41</v>
      </c>
      <c r="E27" s="89">
        <f>IFERROR(INDEX('PA Costs 2019-2050'!$H$6:$H$37,MATCH(M27,'PA Costs 2019-2050'!$K$6:$K$37,0))*$H$4,0)</f>
        <v>2002.9977786774978</v>
      </c>
      <c r="F27" s="89">
        <f t="shared" si="7"/>
        <v>0</v>
      </c>
      <c r="G27" s="89">
        <f t="shared" si="2"/>
        <v>89402.986007697575</v>
      </c>
      <c r="H27" s="89">
        <f t="shared" si="3"/>
        <v>1384.6560630925312</v>
      </c>
      <c r="I27" s="89">
        <f t="shared" si="4"/>
        <v>90787.642070790112</v>
      </c>
      <c r="J27" s="328">
        <f t="shared" si="5"/>
        <v>2603416390.213007</v>
      </c>
      <c r="K27" s="7">
        <f t="shared" si="6"/>
        <v>3.4872501537628418E-5</v>
      </c>
      <c r="L27" s="75"/>
      <c r="M27">
        <v>19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1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</row>
    <row r="28" spans="1:82">
      <c r="A28" s="48">
        <v>2038</v>
      </c>
      <c r="B28" s="31">
        <f t="shared" si="0"/>
        <v>3.2800000000000002</v>
      </c>
      <c r="C28" s="84">
        <f t="shared" si="1"/>
        <v>649.46982066666681</v>
      </c>
      <c r="D28" s="89">
        <f t="shared" si="1"/>
        <v>120080.44</v>
      </c>
      <c r="E28" s="89">
        <f>IFERROR(INDEX('PA Costs 2019-2050'!$H$6:$H$37,MATCH(M28,'PA Costs 2019-2050'!$K$6:$K$37,0))*$H$4,0)</f>
        <v>3124.9087686865805</v>
      </c>
      <c r="F28" s="89">
        <f t="shared" si="7"/>
        <v>0</v>
      </c>
      <c r="G28" s="89">
        <f t="shared" si="2"/>
        <v>80686.333237469604</v>
      </c>
      <c r="H28" s="89">
        <f t="shared" si="3"/>
        <v>2099.7377278675549</v>
      </c>
      <c r="I28" s="89">
        <f t="shared" si="4"/>
        <v>82786.07096533716</v>
      </c>
      <c r="J28" s="328">
        <f t="shared" si="5"/>
        <v>2644189740.293191</v>
      </c>
      <c r="K28" s="7">
        <f t="shared" si="6"/>
        <v>3.1308672635632318E-5</v>
      </c>
      <c r="L28" s="75"/>
      <c r="M28">
        <v>20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11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</row>
    <row r="29" spans="1:82">
      <c r="A29" s="48">
        <v>2039</v>
      </c>
      <c r="B29" s="31">
        <f t="shared" si="0"/>
        <v>3.2800000000000002</v>
      </c>
      <c r="C29" s="84">
        <f t="shared" si="1"/>
        <v>649.46982066666681</v>
      </c>
      <c r="D29" s="89">
        <f t="shared" si="1"/>
        <v>111658.52</v>
      </c>
      <c r="E29" s="89">
        <f>IFERROR(INDEX('PA Costs 2019-2050'!$H$6:$H$37,MATCH(M29,'PA Costs 2019-2050'!$K$6:$K$37,0))*$H$4,0)</f>
        <v>4285.8257905082337</v>
      </c>
      <c r="F29" s="89">
        <f t="shared" si="7"/>
        <v>0</v>
      </c>
      <c r="G29" s="89">
        <f t="shared" si="2"/>
        <v>72926.578966766188</v>
      </c>
      <c r="H29" s="89">
        <f t="shared" si="3"/>
        <v>2799.1649266827271</v>
      </c>
      <c r="I29" s="89">
        <f t="shared" si="4"/>
        <v>75725.743893448918</v>
      </c>
      <c r="J29" s="328">
        <f t="shared" si="5"/>
        <v>2685601661.3230743</v>
      </c>
      <c r="K29" s="7">
        <f t="shared" si="6"/>
        <v>2.8196938132717074E-5</v>
      </c>
      <c r="L29" s="75"/>
      <c r="M29">
        <v>21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11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</row>
    <row r="30" spans="1:82">
      <c r="A30" s="48">
        <v>2040</v>
      </c>
      <c r="B30" s="31">
        <f t="shared" si="0"/>
        <v>3.2800000000000002</v>
      </c>
      <c r="C30" s="84">
        <f t="shared" si="1"/>
        <v>649.46982066666681</v>
      </c>
      <c r="D30" s="89">
        <f t="shared" si="1"/>
        <v>104841.55</v>
      </c>
      <c r="E30" s="89">
        <f>IFERROR(INDEX('PA Costs 2019-2050'!$H$6:$H$37,MATCH(M30,'PA Costs 2019-2050'!$K$6:$K$37,0))*$H$4,0)</f>
        <v>5494.7689889991161</v>
      </c>
      <c r="F30" s="89">
        <f t="shared" si="7"/>
        <v>0</v>
      </c>
      <c r="G30" s="89">
        <f t="shared" si="2"/>
        <v>66556.989820132992</v>
      </c>
      <c r="H30" s="89">
        <f t="shared" si="3"/>
        <v>3488.2666620704927</v>
      </c>
      <c r="I30" s="89">
        <f t="shared" ref="I30:I34" si="8">SUM(G30:H30)</f>
        <v>70045.256482203491</v>
      </c>
      <c r="J30" s="328">
        <f t="shared" si="5"/>
        <v>2727662154.26792</v>
      </c>
      <c r="K30" s="7">
        <f t="shared" ref="K30:K34" si="9">I30/J30</f>
        <v>2.5679593923538161E-5</v>
      </c>
      <c r="L30" s="75"/>
      <c r="M30">
        <v>22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11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</row>
    <row r="31" spans="1:82">
      <c r="A31" s="48">
        <v>2041</v>
      </c>
      <c r="B31" s="31">
        <f t="shared" si="0"/>
        <v>3.2800000000000002</v>
      </c>
      <c r="C31" s="84">
        <f t="shared" si="1"/>
        <v>649.46982066666681</v>
      </c>
      <c r="D31" s="89">
        <f t="shared" si="1"/>
        <v>94720.1</v>
      </c>
      <c r="E31" s="89">
        <f>IFERROR(INDEX('PA Costs 2019-2050'!$H$6:$H$37,MATCH(M31,'PA Costs 2019-2050'!$K$6:$K$37,0))*$H$4,0)</f>
        <v>7556.2858167858258</v>
      </c>
      <c r="F31" s="89">
        <f t="shared" si="7"/>
        <v>0</v>
      </c>
      <c r="G31" s="89">
        <f t="shared" si="2"/>
        <v>58447.864982738662</v>
      </c>
      <c r="H31" s="89">
        <f t="shared" si="3"/>
        <v>4662.6721592405529</v>
      </c>
      <c r="I31" s="89">
        <f t="shared" si="8"/>
        <v>63110.537141979214</v>
      </c>
      <c r="J31" s="328">
        <f t="shared" si="5"/>
        <v>2770381376.7228942</v>
      </c>
      <c r="K31" s="7">
        <f t="shared" si="9"/>
        <v>2.2780450977703713E-5</v>
      </c>
      <c r="L31" s="75"/>
      <c r="M31">
        <v>23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1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</row>
    <row r="32" spans="1:82">
      <c r="A32" s="48">
        <v>2042</v>
      </c>
      <c r="B32" s="31">
        <f t="shared" si="0"/>
        <v>3.2800000000000002</v>
      </c>
      <c r="C32" s="84">
        <f t="shared" si="1"/>
        <v>649.46982066666681</v>
      </c>
      <c r="D32" s="89">
        <f t="shared" si="1"/>
        <v>82152.039999999994</v>
      </c>
      <c r="E32" s="89">
        <f>IFERROR(INDEX('PA Costs 2019-2050'!$H$6:$H$37,MATCH(M32,'PA Costs 2019-2050'!$K$6:$K$37,0))*$H$4,0)</f>
        <v>9682.649888041944</v>
      </c>
      <c r="F32" s="89">
        <f t="shared" si="7"/>
        <v>0</v>
      </c>
      <c r="G32" s="89">
        <f t="shared" si="2"/>
        <v>49273.240045156213</v>
      </c>
      <c r="H32" s="89">
        <f t="shared" si="3"/>
        <v>5807.4702978367386</v>
      </c>
      <c r="I32" s="89">
        <f t="shared" si="8"/>
        <v>55080.710342992956</v>
      </c>
      <c r="J32" s="328">
        <f t="shared" si="5"/>
        <v>2813769645.3661222</v>
      </c>
      <c r="K32" s="7">
        <f t="shared" si="9"/>
        <v>1.9575415647013977E-5</v>
      </c>
      <c r="L32" s="75"/>
      <c r="M32">
        <v>24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1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</row>
    <row r="33" spans="1:82">
      <c r="A33" s="48">
        <v>2043</v>
      </c>
      <c r="B33" s="31">
        <f t="shared" si="0"/>
        <v>3.2800000000000002</v>
      </c>
      <c r="C33" s="84">
        <f t="shared" si="1"/>
        <v>649.46982066666681</v>
      </c>
      <c r="D33" s="89">
        <f t="shared" si="1"/>
        <v>63007.29</v>
      </c>
      <c r="E33" s="89">
        <f>IFERROR(INDEX('PA Costs 2019-2050'!$H$6:$H$37,MATCH(M33,'PA Costs 2019-2050'!$K$6:$K$37,0))*$H$4,0)</f>
        <v>13948.224494448712</v>
      </c>
      <c r="F33" s="89">
        <f t="shared" si="7"/>
        <v>0</v>
      </c>
      <c r="G33" s="89">
        <f t="shared" si="2"/>
        <v>36732.44476547822</v>
      </c>
      <c r="H33" s="89">
        <f t="shared" si="3"/>
        <v>8131.6366061582348</v>
      </c>
      <c r="I33" s="89">
        <f t="shared" si="8"/>
        <v>44864.081371636457</v>
      </c>
      <c r="J33" s="328">
        <f t="shared" si="5"/>
        <v>2857837438.4501634</v>
      </c>
      <c r="K33" s="7">
        <f t="shared" si="9"/>
        <v>1.5698612093194057E-5</v>
      </c>
      <c r="L33" s="75"/>
      <c r="M33">
        <v>25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11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</row>
    <row r="34" spans="1:82">
      <c r="A34" s="48">
        <v>2044</v>
      </c>
      <c r="B34" s="31">
        <f t="shared" si="0"/>
        <v>1.96</v>
      </c>
      <c r="C34" s="84">
        <f t="shared" si="1"/>
        <v>388.09781966666668</v>
      </c>
      <c r="D34" s="89">
        <f t="shared" si="1"/>
        <v>26758.48</v>
      </c>
      <c r="E34" s="89">
        <f>IFERROR(INDEX('PA Costs 2019-2050'!$H$6:$H$37,MATCH(M34,'PA Costs 2019-2050'!$K$6:$K$37,0))*$H$4,0)</f>
        <v>16495.344121885304</v>
      </c>
      <c r="F34" s="89">
        <f t="shared" si="7"/>
        <v>0</v>
      </c>
      <c r="G34" s="89">
        <f t="shared" si="2"/>
        <v>15163.055984904689</v>
      </c>
      <c r="H34" s="89">
        <f t="shared" si="3"/>
        <v>9347.3106996516744</v>
      </c>
      <c r="I34" s="89">
        <f t="shared" si="8"/>
        <v>24510.366684556364</v>
      </c>
      <c r="J34" s="328">
        <f t="shared" si="5"/>
        <v>2902595398.3325052</v>
      </c>
      <c r="K34" s="7">
        <f t="shared" si="9"/>
        <v>8.4442932344746294E-6</v>
      </c>
      <c r="L34" s="75"/>
      <c r="M34">
        <v>26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11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</row>
    <row r="35" spans="1:82">
      <c r="A35" s="48">
        <v>2045</v>
      </c>
      <c r="B35" s="31">
        <f t="shared" si="0"/>
        <v>0.33</v>
      </c>
      <c r="C35" s="84">
        <f t="shared" si="1"/>
        <v>65.343000250000003</v>
      </c>
      <c r="D35" s="89">
        <f t="shared" si="1"/>
        <v>3084.04</v>
      </c>
      <c r="E35" s="89">
        <f>IFERROR(INDEX('PA Costs 2019-2050'!$H$6:$H$37,MATCH(M35,'PA Costs 2019-2050'!$K$6:$K$37,0))*$H$4,0)</f>
        <v>16805.92736468323</v>
      </c>
      <c r="F35" s="89">
        <f t="shared" si="7"/>
        <v>2084.3200000000002</v>
      </c>
      <c r="G35" s="89">
        <f t="shared" si="2"/>
        <v>1698.6799693650114</v>
      </c>
      <c r="H35" s="89">
        <f t="shared" si="3"/>
        <v>10404.691513319411</v>
      </c>
      <c r="I35" s="89">
        <f t="shared" ref="I35:I40" si="10">SUM(G35:H35)</f>
        <v>12103.371482684423</v>
      </c>
      <c r="J35" s="328">
        <f t="shared" si="5"/>
        <v>2948054334.0456891</v>
      </c>
      <c r="K35" s="7">
        <f t="shared" ref="K35:K40" si="11">I35/J35</f>
        <v>4.1055455942274511E-6</v>
      </c>
      <c r="L35" s="75"/>
      <c r="M35">
        <v>27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1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</row>
    <row r="36" spans="1:82">
      <c r="A36" s="48">
        <v>2046</v>
      </c>
      <c r="B36" s="31">
        <f t="shared" si="0"/>
        <v>0.33</v>
      </c>
      <c r="C36" s="84">
        <f t="shared" si="1"/>
        <v>65.343000250000003</v>
      </c>
      <c r="D36" s="89">
        <f t="shared" si="1"/>
        <v>1535.65</v>
      </c>
      <c r="E36" s="89">
        <f>IFERROR(INDEX('PA Costs 2019-2050'!$H$6:$H$37,MATCH(M36,'PA Costs 2019-2050'!$K$6:$K$37,0))*$H$4,0)</f>
        <v>23360.980613430871</v>
      </c>
      <c r="F36" s="89">
        <f t="shared" si="7"/>
        <v>2084.3200000000002</v>
      </c>
      <c r="G36" s="89">
        <f t="shared" si="2"/>
        <v>822.14812839542583</v>
      </c>
      <c r="H36" s="89">
        <f t="shared" si="3"/>
        <v>13622.769690874333</v>
      </c>
      <c r="I36" s="89">
        <f t="shared" si="10"/>
        <v>14444.917819269758</v>
      </c>
      <c r="J36" s="328">
        <f t="shared" si="5"/>
        <v>2994225223.9076886</v>
      </c>
      <c r="K36" s="7">
        <f t="shared" si="11"/>
        <v>4.8242589448291587E-6</v>
      </c>
      <c r="L36" s="75"/>
      <c r="M36">
        <v>28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1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</row>
    <row r="37" spans="1:82">
      <c r="A37" s="48">
        <v>2047</v>
      </c>
      <c r="B37" s="31">
        <f t="shared" si="0"/>
        <v>0.33</v>
      </c>
      <c r="C37" s="84">
        <f t="shared" si="1"/>
        <v>65.343000250000003</v>
      </c>
      <c r="D37" s="89">
        <f t="shared" si="1"/>
        <v>-776.1</v>
      </c>
      <c r="E37" s="89">
        <f>IFERROR(INDEX('PA Costs 2019-2050'!$H$6:$H$37,MATCH(M37,'PA Costs 2019-2050'!$K$6:$K$37,0))*$H$4,0)</f>
        <v>28638.615874496376</v>
      </c>
      <c r="F37" s="89">
        <f t="shared" si="7"/>
        <v>2084.3200000000002</v>
      </c>
      <c r="G37" s="89">
        <f t="shared" si="2"/>
        <v>-403.87016956933849</v>
      </c>
      <c r="H37" s="89">
        <f t="shared" si="3"/>
        <v>15987.730088005106</v>
      </c>
      <c r="I37" s="89">
        <f t="shared" si="10"/>
        <v>15583.859918435768</v>
      </c>
      <c r="J37" s="328">
        <f t="shared" si="5"/>
        <v>3041119218.1731687</v>
      </c>
      <c r="K37" s="7">
        <f t="shared" si="11"/>
        <v>5.1243830972851998E-6</v>
      </c>
      <c r="L37" s="75"/>
      <c r="M37">
        <v>29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11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</row>
    <row r="38" spans="1:82">
      <c r="A38" s="48">
        <v>2048</v>
      </c>
      <c r="B38" s="31">
        <f t="shared" si="0"/>
        <v>0.33</v>
      </c>
      <c r="C38" s="84">
        <f t="shared" si="1"/>
        <v>65.343000250000003</v>
      </c>
      <c r="D38" s="89">
        <f t="shared" si="1"/>
        <v>-1740.77</v>
      </c>
      <c r="E38" s="89">
        <f>IFERROR(INDEX('PA Costs 2019-2050'!$H$6:$H$37,MATCH(M38,'PA Costs 2019-2050'!$K$6:$K$37,0))*$H$4,0)</f>
        <v>33168.281824914411</v>
      </c>
      <c r="F38" s="89">
        <f t="shared" si="7"/>
        <v>2084.3200000000002</v>
      </c>
      <c r="G38" s="89">
        <f t="shared" si="2"/>
        <v>-880.50484857485276</v>
      </c>
      <c r="H38" s="89">
        <f t="shared" si="3"/>
        <v>17831.239527172369</v>
      </c>
      <c r="I38" s="89">
        <f t="shared" si="10"/>
        <v>16950.734678597517</v>
      </c>
      <c r="J38" s="328">
        <f t="shared" si="5"/>
        <v>3088747641.7262697</v>
      </c>
      <c r="K38" s="7">
        <f t="shared" si="11"/>
        <v>5.487898865419748E-6</v>
      </c>
      <c r="L38" s="75"/>
      <c r="M38">
        <v>30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11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</row>
    <row r="39" spans="1:82">
      <c r="A39" s="48">
        <v>2049</v>
      </c>
      <c r="B39" s="31">
        <f t="shared" si="0"/>
        <v>0.33</v>
      </c>
      <c r="C39" s="84">
        <f t="shared" si="1"/>
        <v>65.343000250000003</v>
      </c>
      <c r="D39" s="89">
        <f t="shared" si="1"/>
        <v>-2982.52</v>
      </c>
      <c r="E39" s="89">
        <f>IFERROR(INDEX('PA Costs 2019-2050'!$H$6:$H$37,MATCH(M39,'PA Costs 2019-2050'!$K$6:$K$37,0))*$H$4,0)</f>
        <v>37150.606401212572</v>
      </c>
      <c r="F39" s="89">
        <f t="shared" si="7"/>
        <v>2084.3200000000002</v>
      </c>
      <c r="G39" s="89">
        <f t="shared" si="2"/>
        <v>-1466.3579151664312</v>
      </c>
      <c r="H39" s="89">
        <f t="shared" si="3"/>
        <v>19289.877311599063</v>
      </c>
      <c r="I39" s="89">
        <f t="shared" si="10"/>
        <v>17823.519396432632</v>
      </c>
      <c r="J39" s="328">
        <f t="shared" si="5"/>
        <v>3137121996.8155622</v>
      </c>
      <c r="K39" s="7">
        <f t="shared" si="11"/>
        <v>5.6814874953938591E-6</v>
      </c>
      <c r="L39" s="75"/>
      <c r="M39">
        <v>31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11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</row>
    <row r="40" spans="1:82">
      <c r="A40" s="48">
        <v>2050</v>
      </c>
      <c r="B40" s="31">
        <f t="shared" si="0"/>
        <v>0.33</v>
      </c>
      <c r="C40" s="84">
        <f t="shared" si="1"/>
        <v>65.343000250000003</v>
      </c>
      <c r="D40" s="89">
        <f t="shared" si="1"/>
        <v>-4798.8</v>
      </c>
      <c r="E40" s="89">
        <f>IFERROR(INDEX('PA Costs 2019-2050'!$H$6:$H$37,MATCH(M40,'PA Costs 2019-2050'!$K$6:$K$37,0))*$H$4,0)</f>
        <v>39649.956387743849</v>
      </c>
      <c r="F40" s="89">
        <f t="shared" si="7"/>
        <v>2084.3200000000002</v>
      </c>
      <c r="G40" s="89">
        <f t="shared" si="2"/>
        <v>-2293.2718402988921</v>
      </c>
      <c r="H40" s="89">
        <f t="shared" si="3"/>
        <v>19944.161210149188</v>
      </c>
      <c r="I40" s="89">
        <f t="shared" si="10"/>
        <v>17650.889369850294</v>
      </c>
      <c r="J40" s="328">
        <f t="shared" si="5"/>
        <v>3186253965.8318367</v>
      </c>
      <c r="K40" s="7">
        <f t="shared" si="11"/>
        <v>5.5396994587159877E-6</v>
      </c>
      <c r="L40" s="75"/>
      <c r="M40">
        <v>32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11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</row>
    <row r="41" spans="1:82">
      <c r="A41" s="4" t="s">
        <v>10</v>
      </c>
      <c r="B41" s="4"/>
      <c r="C41" s="322"/>
      <c r="D41" s="327">
        <f>SUM(D8:D40)</f>
        <v>3221963.99</v>
      </c>
      <c r="E41" s="327">
        <f t="shared" ref="E41:J41" si="12">SUM(E8:E40)</f>
        <v>709128.91768641816</v>
      </c>
      <c r="F41" s="327">
        <f t="shared" si="12"/>
        <v>31005.919999999998</v>
      </c>
      <c r="G41" s="327">
        <f t="shared" si="12"/>
        <v>2574982.7038369868</v>
      </c>
      <c r="H41" s="327">
        <f t="shared" si="12"/>
        <v>629778.54075271939</v>
      </c>
      <c r="I41" s="327">
        <f t="shared" si="12"/>
        <v>3204761.2445897064</v>
      </c>
      <c r="J41" s="327">
        <f t="shared" si="12"/>
        <v>82900051224.659988</v>
      </c>
      <c r="K41" s="7">
        <f t="shared" si="6"/>
        <v>3.8658133466103303E-5</v>
      </c>
      <c r="L41" s="73"/>
      <c r="M41" s="10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11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P41" s="364" t="s">
        <v>44</v>
      </c>
      <c r="AQ41" s="364"/>
      <c r="AR41" s="364"/>
      <c r="AS41" s="364"/>
      <c r="AT41" s="364"/>
      <c r="AU41" s="364"/>
      <c r="AV41" s="364"/>
      <c r="AW41" s="364"/>
      <c r="AX41" s="364"/>
      <c r="AY41" s="364"/>
      <c r="AZ41" s="364"/>
      <c r="BA41" s="364"/>
      <c r="BB41" s="364"/>
      <c r="BD41" s="364" t="s">
        <v>45</v>
      </c>
      <c r="BE41" s="364"/>
      <c r="BF41" s="364"/>
      <c r="BG41" s="364"/>
      <c r="BH41" s="364"/>
      <c r="BI41" s="364"/>
      <c r="BJ41" s="364"/>
      <c r="BK41" s="364"/>
      <c r="BL41" s="364"/>
      <c r="BM41" s="364"/>
      <c r="BN41" s="364"/>
      <c r="BO41" s="364"/>
      <c r="BP41" s="364"/>
      <c r="BR41" s="364" t="s">
        <v>46</v>
      </c>
      <c r="BS41" s="364"/>
      <c r="BT41" s="364"/>
      <c r="BU41" s="364"/>
      <c r="BV41" s="364"/>
      <c r="BW41" s="364"/>
      <c r="BX41" s="364"/>
      <c r="BY41" s="364"/>
      <c r="BZ41" s="364"/>
      <c r="CA41" s="364"/>
      <c r="CB41" s="364"/>
      <c r="CC41" s="364"/>
      <c r="CD41" s="364"/>
    </row>
    <row r="42" spans="1:82">
      <c r="A42" s="5"/>
      <c r="B42" s="5"/>
      <c r="C42" s="331"/>
      <c r="D42" s="5"/>
      <c r="E42" s="5"/>
      <c r="F42" s="5"/>
      <c r="G42" s="5"/>
      <c r="H42" s="5"/>
      <c r="I42" s="5"/>
      <c r="J42" s="5"/>
      <c r="K42" s="5"/>
      <c r="L42" s="5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11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P42" s="366" t="s">
        <v>47</v>
      </c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8"/>
      <c r="BD42" s="366" t="s">
        <v>47</v>
      </c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8"/>
      <c r="BR42" s="366" t="s">
        <v>48</v>
      </c>
      <c r="BS42" s="367"/>
      <c r="BT42" s="367"/>
      <c r="BU42" s="367"/>
      <c r="BV42" s="367"/>
      <c r="BW42" s="367"/>
      <c r="BX42" s="367"/>
      <c r="BY42" s="367"/>
      <c r="BZ42" s="367"/>
      <c r="CA42" s="367"/>
      <c r="CB42" s="367"/>
      <c r="CC42" s="367"/>
      <c r="CD42" s="368"/>
    </row>
    <row r="43" spans="1:82">
      <c r="A43" s="99" t="str">
        <f>CONCATENATE(A4," Costs - Tier 1")</f>
        <v>IP Costs - Tier 1</v>
      </c>
      <c r="B43" s="100"/>
      <c r="C43" s="332"/>
      <c r="D43" s="100"/>
      <c r="E43" s="100"/>
      <c r="F43" s="100"/>
      <c r="G43" s="5"/>
      <c r="H43" s="5"/>
      <c r="I43" s="5"/>
      <c r="J43" s="5"/>
      <c r="K43" s="5"/>
      <c r="L43" s="71"/>
      <c r="N43" s="372" t="s">
        <v>49</v>
      </c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11"/>
      <c r="AB43" s="373" t="s">
        <v>71</v>
      </c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5"/>
      <c r="AP43" s="369" t="s">
        <v>51</v>
      </c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1"/>
      <c r="BD43" s="369" t="s">
        <v>52</v>
      </c>
      <c r="BE43" s="370"/>
      <c r="BF43" s="370"/>
      <c r="BG43" s="370"/>
      <c r="BH43" s="370"/>
      <c r="BI43" s="370"/>
      <c r="BJ43" s="370"/>
      <c r="BK43" s="370"/>
      <c r="BL43" s="370"/>
      <c r="BM43" s="370"/>
      <c r="BN43" s="370"/>
      <c r="BO43" s="370"/>
      <c r="BP43" s="371"/>
      <c r="BR43" s="369" t="s">
        <v>51</v>
      </c>
      <c r="BS43" s="370"/>
      <c r="BT43" s="370"/>
      <c r="BU43" s="370"/>
      <c r="BV43" s="370"/>
      <c r="BW43" s="370"/>
      <c r="BX43" s="370"/>
      <c r="BY43" s="370"/>
      <c r="BZ43" s="370"/>
      <c r="CA43" s="370"/>
      <c r="CB43" s="370"/>
      <c r="CC43" s="370"/>
      <c r="CD43" s="371"/>
    </row>
    <row r="44" spans="1:82" ht="45">
      <c r="A44" s="48"/>
      <c r="B44" s="1" t="s">
        <v>18</v>
      </c>
      <c r="C44" s="333" t="s">
        <v>19</v>
      </c>
      <c r="D44" s="1" t="s">
        <v>20</v>
      </c>
      <c r="E44" s="1" t="s">
        <v>53</v>
      </c>
      <c r="F44" s="1" t="s">
        <v>54</v>
      </c>
      <c r="G44" s="72"/>
      <c r="H44" s="1" t="s">
        <v>5</v>
      </c>
      <c r="I44" s="133">
        <f>H78</f>
        <v>2574982.7000000007</v>
      </c>
      <c r="J44" s="103"/>
      <c r="K44" s="72"/>
      <c r="L44" s="72"/>
      <c r="N44" s="26" t="s">
        <v>55</v>
      </c>
      <c r="O44" s="26" t="s">
        <v>56</v>
      </c>
      <c r="P44" s="27" t="s">
        <v>57</v>
      </c>
      <c r="Q44" s="27" t="s">
        <v>58</v>
      </c>
      <c r="R44" s="27" t="s">
        <v>59</v>
      </c>
      <c r="S44" s="27" t="s">
        <v>60</v>
      </c>
      <c r="T44" s="27" t="s">
        <v>61</v>
      </c>
      <c r="U44" s="27" t="s">
        <v>62</v>
      </c>
      <c r="V44" s="27" t="s">
        <v>63</v>
      </c>
      <c r="W44" s="26" t="s">
        <v>64</v>
      </c>
      <c r="X44" s="26" t="s">
        <v>65</v>
      </c>
      <c r="Y44" s="27" t="s">
        <v>66</v>
      </c>
      <c r="Z44" s="26" t="s">
        <v>67</v>
      </c>
      <c r="AA44" s="11"/>
      <c r="AB44" s="24" t="s">
        <v>55</v>
      </c>
      <c r="AC44" s="24" t="s">
        <v>56</v>
      </c>
      <c r="AD44" s="25" t="s">
        <v>57</v>
      </c>
      <c r="AE44" s="25" t="s">
        <v>58</v>
      </c>
      <c r="AF44" s="25" t="s">
        <v>59</v>
      </c>
      <c r="AG44" s="25" t="s">
        <v>60</v>
      </c>
      <c r="AH44" s="25" t="s">
        <v>61</v>
      </c>
      <c r="AI44" s="25" t="s">
        <v>62</v>
      </c>
      <c r="AJ44" s="25" t="s">
        <v>63</v>
      </c>
      <c r="AK44" s="24" t="s">
        <v>64</v>
      </c>
      <c r="AL44" s="24" t="s">
        <v>65</v>
      </c>
      <c r="AM44" s="25" t="s">
        <v>66</v>
      </c>
      <c r="AN44" s="24" t="s">
        <v>67</v>
      </c>
      <c r="AP44" s="49" t="s">
        <v>55</v>
      </c>
      <c r="AQ44" s="50" t="s">
        <v>56</v>
      </c>
      <c r="AR44" s="50" t="s">
        <v>57</v>
      </c>
      <c r="AS44" s="50" t="s">
        <v>58</v>
      </c>
      <c r="AT44" s="50" t="s">
        <v>59</v>
      </c>
      <c r="AU44" s="50" t="s">
        <v>60</v>
      </c>
      <c r="AV44" s="50" t="s">
        <v>61</v>
      </c>
      <c r="AW44" s="49" t="s">
        <v>62</v>
      </c>
      <c r="AX44" s="49" t="s">
        <v>63</v>
      </c>
      <c r="AY44" s="50" t="s">
        <v>64</v>
      </c>
      <c r="AZ44" s="50" t="s">
        <v>65</v>
      </c>
      <c r="BA44" s="50" t="s">
        <v>66</v>
      </c>
      <c r="BB44" s="50" t="s">
        <v>67</v>
      </c>
      <c r="BD44" s="49" t="s">
        <v>55</v>
      </c>
      <c r="BE44" s="50" t="s">
        <v>56</v>
      </c>
      <c r="BF44" s="50" t="s">
        <v>57</v>
      </c>
      <c r="BG44" s="50" t="s">
        <v>58</v>
      </c>
      <c r="BH44" s="50" t="s">
        <v>59</v>
      </c>
      <c r="BI44" s="50" t="s">
        <v>60</v>
      </c>
      <c r="BJ44" s="50" t="s">
        <v>61</v>
      </c>
      <c r="BK44" s="49" t="s">
        <v>62</v>
      </c>
      <c r="BL44" s="49" t="s">
        <v>63</v>
      </c>
      <c r="BM44" s="50" t="s">
        <v>64</v>
      </c>
      <c r="BN44" s="50" t="s">
        <v>65</v>
      </c>
      <c r="BO44" s="50" t="s">
        <v>66</v>
      </c>
      <c r="BP44" s="50" t="s">
        <v>67</v>
      </c>
      <c r="BR44" s="49" t="s">
        <v>55</v>
      </c>
      <c r="BS44" s="50" t="s">
        <v>56</v>
      </c>
      <c r="BT44" s="50" t="s">
        <v>57</v>
      </c>
      <c r="BU44" s="50" t="s">
        <v>58</v>
      </c>
      <c r="BV44" s="50" t="s">
        <v>59</v>
      </c>
      <c r="BW44" s="50" t="s">
        <v>60</v>
      </c>
      <c r="BX44" s="50" t="s">
        <v>61</v>
      </c>
      <c r="BY44" s="49" t="s">
        <v>62</v>
      </c>
      <c r="BZ44" s="49" t="s">
        <v>63</v>
      </c>
      <c r="CA44" s="50" t="s">
        <v>64</v>
      </c>
      <c r="CB44" s="50" t="s">
        <v>65</v>
      </c>
      <c r="CC44" s="50" t="s">
        <v>66</v>
      </c>
      <c r="CD44" s="50" t="s">
        <v>67</v>
      </c>
    </row>
    <row r="45" spans="1:82">
      <c r="A45" s="48">
        <v>2018</v>
      </c>
      <c r="B45" s="31" cm="1">
        <f t="array" ref="B45">IF(A45&lt;2021,0,SUMPRODUCT(('Project Operational Timelines'!$AO$20:$AO$49=$A45)*('Project Operational Timelines'!$AP$18:$AY$18=$A$4)*('Project Operational Timelines'!$AP$17:$AY$17=$G45)*'Project Operational Timelines'!$AP17:$AY17))</f>
        <v>0</v>
      </c>
      <c r="C45" s="84">
        <f t="shared" ref="C45:C77" si="13">INDEX($K$2:$K$4,MATCH(G45,$J$2:$J$4,0))/12*B45</f>
        <v>0</v>
      </c>
      <c r="D45" s="89">
        <f>ROUND(C45*SUM(O45:Z45),2)</f>
        <v>0</v>
      </c>
      <c r="E45" s="89"/>
      <c r="F45" s="89">
        <f>-B45*1000*('Program Inputs'!$D$14-'Program Inputs'!$D$6)*$F$4*12</f>
        <v>0</v>
      </c>
      <c r="G45" s="335">
        <v>1</v>
      </c>
      <c r="H45" s="328">
        <f>ROUND(SUM(D45)*(1-$C$4)^(A45-$A$51),2)</f>
        <v>0</v>
      </c>
      <c r="I45" s="69"/>
      <c r="J45" s="69"/>
      <c r="K45" s="104"/>
      <c r="L45" s="75"/>
      <c r="M45">
        <v>0</v>
      </c>
      <c r="N45" s="51">
        <v>2018</v>
      </c>
      <c r="O45" s="18">
        <f>(AC45-BS45)</f>
        <v>56.831428571428575</v>
      </c>
      <c r="P45" s="18">
        <f t="shared" ref="P45:Z45" si="14">(AD45-BT45)</f>
        <v>56.831428571428575</v>
      </c>
      <c r="Q45" s="18">
        <f t="shared" si="14"/>
        <v>56.831428571428575</v>
      </c>
      <c r="R45" s="18">
        <f t="shared" si="14"/>
        <v>56.831428571428575</v>
      </c>
      <c r="S45" s="18">
        <f t="shared" si="14"/>
        <v>56.831428571428575</v>
      </c>
      <c r="T45" s="18">
        <f t="shared" si="14"/>
        <v>56.831428571428575</v>
      </c>
      <c r="U45" s="18">
        <f t="shared" si="14"/>
        <v>56.831428571428575</v>
      </c>
      <c r="V45" s="18">
        <f t="shared" si="14"/>
        <v>56.831428571428575</v>
      </c>
      <c r="W45" s="18">
        <f t="shared" si="14"/>
        <v>56.831428571428575</v>
      </c>
      <c r="X45" s="18">
        <f t="shared" si="14"/>
        <v>56.831428571428575</v>
      </c>
      <c r="Y45" s="18">
        <f t="shared" si="14"/>
        <v>56.831428571428575</v>
      </c>
      <c r="Z45" s="18">
        <f t="shared" si="14"/>
        <v>56.831428571428575</v>
      </c>
      <c r="AA45" s="13"/>
      <c r="AB45" s="52">
        <v>2018</v>
      </c>
      <c r="AC45" s="14">
        <f>SUMIFS('Bill Credit Rates'!$K:$K,'Bill Credit Rates'!$A:$A,$A$4,'Bill Credit Rates'!$B:$B,$G45,'Bill Credit Rates'!$C:$C,$M45)</f>
        <v>80.56</v>
      </c>
      <c r="AD45" s="14">
        <f>SUMIFS('Bill Credit Rates'!$K:$K,'Bill Credit Rates'!$A:$A,$A$4,'Bill Credit Rates'!$B:$B,$G45,'Bill Credit Rates'!$C:$C,$M45)</f>
        <v>80.56</v>
      </c>
      <c r="AE45" s="14">
        <f>SUMIFS('Bill Credit Rates'!$K:$K,'Bill Credit Rates'!$A:$A,$A$4,'Bill Credit Rates'!$B:$B,$G45,'Bill Credit Rates'!$C:$C,$M45)</f>
        <v>80.56</v>
      </c>
      <c r="AF45" s="14">
        <f>SUMIFS('Bill Credit Rates'!$K:$K,'Bill Credit Rates'!$A:$A,$A$4,'Bill Credit Rates'!$B:$B,$G45,'Bill Credit Rates'!$C:$C,$M45)</f>
        <v>80.56</v>
      </c>
      <c r="AG45" s="14">
        <f>SUMIFS('Bill Credit Rates'!$K:$K,'Bill Credit Rates'!$A:$A,$A$4,'Bill Credit Rates'!$B:$B,$G45,'Bill Credit Rates'!$C:$C,$M45)</f>
        <v>80.56</v>
      </c>
      <c r="AH45" s="14">
        <f>SUMIFS('Bill Credit Rates'!$K:$K,'Bill Credit Rates'!$A:$A,$A$4,'Bill Credit Rates'!$B:$B,$G45,'Bill Credit Rates'!$C:$C,$M45)</f>
        <v>80.56</v>
      </c>
      <c r="AI45" s="14">
        <f>SUMIFS('Bill Credit Rates'!$K:$K,'Bill Credit Rates'!$A:$A,$A$4,'Bill Credit Rates'!$B:$B,$G45,'Bill Credit Rates'!$C:$C,$M45)</f>
        <v>80.56</v>
      </c>
      <c r="AJ45" s="14">
        <f>SUMIFS('Bill Credit Rates'!$K:$K,'Bill Credit Rates'!$A:$A,$A$4,'Bill Credit Rates'!$B:$B,$G45,'Bill Credit Rates'!$C:$C,$M45)</f>
        <v>80.56</v>
      </c>
      <c r="AK45" s="14">
        <f>SUMIFS('Bill Credit Rates'!$K:$K,'Bill Credit Rates'!$A:$A,$A$4,'Bill Credit Rates'!$B:$B,$G45,'Bill Credit Rates'!$C:$C,$M45)</f>
        <v>80.56</v>
      </c>
      <c r="AL45" s="14">
        <f>SUMIFS('Bill Credit Rates'!$K:$K,'Bill Credit Rates'!$A:$A,$A$4,'Bill Credit Rates'!$B:$B,$G45,'Bill Credit Rates'!$C:$C,$M45)</f>
        <v>80.56</v>
      </c>
      <c r="AM45" s="14">
        <f>SUMIFS('Bill Credit Rates'!$K:$K,'Bill Credit Rates'!$A:$A,$A$4,'Bill Credit Rates'!$B:$B,$G45,'Bill Credit Rates'!$C:$C,$M45)</f>
        <v>80.56</v>
      </c>
      <c r="AN45" s="14">
        <f>SUMIFS('Bill Credit Rates'!$K:$K,'Bill Credit Rates'!$A:$A,$A$4,'Bill Credit Rates'!$B:$B,$G45,'Bill Credit Rates'!$C:$C,$M45)</f>
        <v>80.56</v>
      </c>
      <c r="AP45" s="52">
        <v>2018</v>
      </c>
      <c r="AQ45" s="291">
        <v>24.61</v>
      </c>
      <c r="AR45" s="291">
        <v>24.61</v>
      </c>
      <c r="AS45" s="291">
        <v>24.61</v>
      </c>
      <c r="AT45" s="291">
        <v>24.61</v>
      </c>
      <c r="AU45" s="291">
        <v>24.61</v>
      </c>
      <c r="AV45" s="291">
        <v>24.61</v>
      </c>
      <c r="AW45" s="281">
        <v>24.61</v>
      </c>
      <c r="AX45" s="281">
        <v>24.61</v>
      </c>
      <c r="AY45" s="291">
        <v>24.61</v>
      </c>
      <c r="AZ45" s="291">
        <v>24.61</v>
      </c>
      <c r="BA45" s="291">
        <v>24.61</v>
      </c>
      <c r="BB45" s="291">
        <v>24.61</v>
      </c>
      <c r="BD45" s="52">
        <v>2018</v>
      </c>
      <c r="BE45" s="291">
        <v>18.440000000000001</v>
      </c>
      <c r="BF45" s="291">
        <v>18.440000000000001</v>
      </c>
      <c r="BG45" s="291">
        <v>18.440000000000001</v>
      </c>
      <c r="BH45" s="291">
        <v>18.440000000000001</v>
      </c>
      <c r="BI45" s="291">
        <v>18.440000000000001</v>
      </c>
      <c r="BJ45" s="291">
        <v>18.440000000000001</v>
      </c>
      <c r="BK45" s="281">
        <v>18.440000000000001</v>
      </c>
      <c r="BL45" s="281">
        <v>18.440000000000001</v>
      </c>
      <c r="BM45" s="291">
        <v>18.440000000000001</v>
      </c>
      <c r="BN45" s="291">
        <v>18.440000000000001</v>
      </c>
      <c r="BO45" s="291">
        <v>18.440000000000001</v>
      </c>
      <c r="BP45" s="291">
        <v>18.440000000000001</v>
      </c>
      <c r="BR45" s="52">
        <v>2018</v>
      </c>
      <c r="BS45" s="53">
        <f t="shared" ref="BS45" si="15">(AQ45*6/7)+(BE45*(1/7))</f>
        <v>23.728571428571428</v>
      </c>
      <c r="BT45" s="53">
        <f t="shared" ref="BT45" si="16">(AR45*6/7)+(BF45*(1/7))</f>
        <v>23.728571428571428</v>
      </c>
      <c r="BU45" s="53">
        <f t="shared" ref="BU45" si="17">(AS45*6/7)+(BG45*(1/7))</f>
        <v>23.728571428571428</v>
      </c>
      <c r="BV45" s="53">
        <f t="shared" ref="BV45" si="18">(AT45*6/7)+(BH45*(1/7))</f>
        <v>23.728571428571428</v>
      </c>
      <c r="BW45" s="53">
        <f t="shared" ref="BW45" si="19">(AU45*6/7)+(BI45*(1/7))</f>
        <v>23.728571428571428</v>
      </c>
      <c r="BX45" s="53">
        <f t="shared" ref="BX45" si="20">(AV45*6/7)+(BJ45*(1/7))</f>
        <v>23.728571428571428</v>
      </c>
      <c r="BY45" s="53">
        <f t="shared" ref="BY45" si="21">(AW45*6/7)+(BK45*(1/7))</f>
        <v>23.728571428571428</v>
      </c>
      <c r="BZ45" s="53">
        <f t="shared" ref="BZ45" si="22">(AX45*6/7)+(BL45*(1/7))</f>
        <v>23.728571428571428</v>
      </c>
      <c r="CA45" s="53">
        <f t="shared" ref="CA45" si="23">(AY45*6/7)+(BM45*(1/7))</f>
        <v>23.728571428571428</v>
      </c>
      <c r="CB45" s="53">
        <f t="shared" ref="CB45" si="24">(AZ45*6/7)+(BN45*(1/7))</f>
        <v>23.728571428571428</v>
      </c>
      <c r="CC45" s="53">
        <f t="shared" ref="CC45" si="25">(BA45*6/7)+(BO45*(1/7))</f>
        <v>23.728571428571428</v>
      </c>
      <c r="CD45" s="53">
        <f t="shared" ref="CD45" si="26">(BB45*6/7)+(BP45*(1/7))</f>
        <v>23.728571428571428</v>
      </c>
    </row>
    <row r="46" spans="1:82">
      <c r="A46" s="48">
        <v>2019</v>
      </c>
      <c r="B46" s="31" cm="1">
        <f t="array" ref="B46">IF(A46&lt;2021,0,SUMPRODUCT(('Project Operational Timelines'!$AO$20:$AO$49=$A46)*('Project Operational Timelines'!$AP$18:$AY$18=$A$4)*('Project Operational Timelines'!$AP$17:$AY$17=$G46)*'Project Operational Timelines'!$AP18:$AY18))</f>
        <v>0</v>
      </c>
      <c r="C46" s="84">
        <f t="shared" si="13"/>
        <v>0</v>
      </c>
      <c r="D46" s="89">
        <f t="shared" ref="D46:D77" si="27">ROUND(C46*SUM(O46:Z46),2)</f>
        <v>0</v>
      </c>
      <c r="E46" s="89"/>
      <c r="F46" s="89">
        <f>-B46*1000*('Program Inputs'!$D$14-'Program Inputs'!$D$6)*$F$4*12</f>
        <v>0</v>
      </c>
      <c r="G46" s="335">
        <v>1</v>
      </c>
      <c r="H46" s="328">
        <f t="shared" ref="H46:H77" si="28">ROUND(SUM(D46)*(1-$C$4)^(A46-$A$51),2)</f>
        <v>0</v>
      </c>
      <c r="I46" s="69"/>
      <c r="J46" s="69"/>
      <c r="K46" s="104"/>
      <c r="L46" s="75"/>
      <c r="M46">
        <v>1</v>
      </c>
      <c r="N46" s="51">
        <v>2019</v>
      </c>
      <c r="O46" s="18">
        <f t="shared" ref="O46:O66" si="29">(AC46-BS46)</f>
        <v>57.457142857142856</v>
      </c>
      <c r="P46" s="18">
        <f t="shared" ref="P46:P66" si="30">(AD46-BT46)</f>
        <v>57.457142857142856</v>
      </c>
      <c r="Q46" s="18">
        <f t="shared" ref="Q46:Q66" si="31">(AE46-BU46)</f>
        <v>57.457142857142856</v>
      </c>
      <c r="R46" s="18">
        <f t="shared" ref="R46:R66" si="32">(AF46-BV46)</f>
        <v>57.457142857142856</v>
      </c>
      <c r="S46" s="18">
        <f t="shared" ref="S46:S66" si="33">(AG46-BW46)</f>
        <v>57.457142857142856</v>
      </c>
      <c r="T46" s="18">
        <f t="shared" ref="T46:T66" si="34">(AH46-BX46)</f>
        <v>57.457142857142856</v>
      </c>
      <c r="U46" s="18">
        <f t="shared" ref="U46:U66" si="35">(AI46-BY46)</f>
        <v>57.457142857142856</v>
      </c>
      <c r="V46" s="18">
        <f t="shared" ref="V46:V66" si="36">(AJ46-BZ46)</f>
        <v>57.457142857142856</v>
      </c>
      <c r="W46" s="18">
        <f t="shared" ref="W46:W66" si="37">(AK46-CA46)</f>
        <v>57.457142857142856</v>
      </c>
      <c r="X46" s="18">
        <f t="shared" ref="X46:X66" si="38">(AL46-CB46)</f>
        <v>57.457142857142856</v>
      </c>
      <c r="Y46" s="18">
        <f t="shared" ref="Y46:Y66" si="39">(AM46-CC46)</f>
        <v>57.457142857142856</v>
      </c>
      <c r="Z46" s="18">
        <f t="shared" ref="Z46:Z66" si="40">(AN46-CD46)</f>
        <v>57.457142857142856</v>
      </c>
      <c r="AA46" s="13"/>
      <c r="AB46" s="52">
        <v>2019</v>
      </c>
      <c r="AC46" s="14">
        <f>SUMIFS('Bill Credit Rates'!$K:$K,'Bill Credit Rates'!$A:$A,$A$4,'Bill Credit Rates'!$B:$B,$G46,'Bill Credit Rates'!$C:$C,$M46)</f>
        <v>80.56</v>
      </c>
      <c r="AD46" s="14">
        <f>SUMIFS('Bill Credit Rates'!$K:$K,'Bill Credit Rates'!$A:$A,$A$4,'Bill Credit Rates'!$B:$B,$G46,'Bill Credit Rates'!$C:$C,$M46)</f>
        <v>80.56</v>
      </c>
      <c r="AE46" s="14">
        <f>SUMIFS('Bill Credit Rates'!$K:$K,'Bill Credit Rates'!$A:$A,$A$4,'Bill Credit Rates'!$B:$B,$G46,'Bill Credit Rates'!$C:$C,$M46)</f>
        <v>80.56</v>
      </c>
      <c r="AF46" s="14">
        <f>SUMIFS('Bill Credit Rates'!$K:$K,'Bill Credit Rates'!$A:$A,$A$4,'Bill Credit Rates'!$B:$B,$G46,'Bill Credit Rates'!$C:$C,$M46)</f>
        <v>80.56</v>
      </c>
      <c r="AG46" s="14">
        <f>SUMIFS('Bill Credit Rates'!$K:$K,'Bill Credit Rates'!$A:$A,$A$4,'Bill Credit Rates'!$B:$B,$G46,'Bill Credit Rates'!$C:$C,$M46)</f>
        <v>80.56</v>
      </c>
      <c r="AH46" s="14">
        <f>SUMIFS('Bill Credit Rates'!$K:$K,'Bill Credit Rates'!$A:$A,$A$4,'Bill Credit Rates'!$B:$B,$G46,'Bill Credit Rates'!$C:$C,$M46)</f>
        <v>80.56</v>
      </c>
      <c r="AI46" s="14">
        <f>SUMIFS('Bill Credit Rates'!$K:$K,'Bill Credit Rates'!$A:$A,$A$4,'Bill Credit Rates'!$B:$B,$G46,'Bill Credit Rates'!$C:$C,$M46)</f>
        <v>80.56</v>
      </c>
      <c r="AJ46" s="14">
        <f>SUMIFS('Bill Credit Rates'!$K:$K,'Bill Credit Rates'!$A:$A,$A$4,'Bill Credit Rates'!$B:$B,$G46,'Bill Credit Rates'!$C:$C,$M46)</f>
        <v>80.56</v>
      </c>
      <c r="AK46" s="14">
        <f>SUMIFS('Bill Credit Rates'!$K:$K,'Bill Credit Rates'!$A:$A,$A$4,'Bill Credit Rates'!$B:$B,$G46,'Bill Credit Rates'!$C:$C,$M46)</f>
        <v>80.56</v>
      </c>
      <c r="AL46" s="14">
        <f>SUMIFS('Bill Credit Rates'!$K:$K,'Bill Credit Rates'!$A:$A,$A$4,'Bill Credit Rates'!$B:$B,$G46,'Bill Credit Rates'!$C:$C,$M46)</f>
        <v>80.56</v>
      </c>
      <c r="AM46" s="14">
        <f>SUMIFS('Bill Credit Rates'!$K:$K,'Bill Credit Rates'!$A:$A,$A$4,'Bill Credit Rates'!$B:$B,$G46,'Bill Credit Rates'!$C:$C,$M46)</f>
        <v>80.56</v>
      </c>
      <c r="AN46" s="14">
        <f>SUMIFS('Bill Credit Rates'!$K:$K,'Bill Credit Rates'!$A:$A,$A$4,'Bill Credit Rates'!$B:$B,$G46,'Bill Credit Rates'!$C:$C,$M46)</f>
        <v>80.56</v>
      </c>
      <c r="AP46" s="52">
        <v>2019</v>
      </c>
      <c r="AQ46" s="291">
        <v>24.03</v>
      </c>
      <c r="AR46" s="291">
        <v>24.03</v>
      </c>
      <c r="AS46" s="291">
        <v>24.03</v>
      </c>
      <c r="AT46" s="291">
        <v>24.03</v>
      </c>
      <c r="AU46" s="291">
        <v>24.03</v>
      </c>
      <c r="AV46" s="291">
        <v>24.03</v>
      </c>
      <c r="AW46" s="281">
        <v>24.03</v>
      </c>
      <c r="AX46" s="281">
        <v>24.03</v>
      </c>
      <c r="AY46" s="291">
        <v>24.03</v>
      </c>
      <c r="AZ46" s="291">
        <v>24.03</v>
      </c>
      <c r="BA46" s="291">
        <v>24.03</v>
      </c>
      <c r="BB46" s="291">
        <v>24.03</v>
      </c>
      <c r="BD46" s="52">
        <v>2019</v>
      </c>
      <c r="BE46" s="291">
        <v>17.54</v>
      </c>
      <c r="BF46" s="291">
        <v>17.54</v>
      </c>
      <c r="BG46" s="291">
        <v>17.54</v>
      </c>
      <c r="BH46" s="291">
        <v>17.54</v>
      </c>
      <c r="BI46" s="291">
        <v>17.54</v>
      </c>
      <c r="BJ46" s="291">
        <v>17.54</v>
      </c>
      <c r="BK46" s="281">
        <v>17.54</v>
      </c>
      <c r="BL46" s="281">
        <v>17.54</v>
      </c>
      <c r="BM46" s="291">
        <v>17.54</v>
      </c>
      <c r="BN46" s="291">
        <v>17.54</v>
      </c>
      <c r="BO46" s="291">
        <v>17.54</v>
      </c>
      <c r="BP46" s="291">
        <v>17.54</v>
      </c>
      <c r="BR46" s="52">
        <v>2019</v>
      </c>
      <c r="BS46" s="53">
        <f t="shared" ref="BS46:BS77" si="41">(AQ46*6/7)+(BE46*(1/7))</f>
        <v>23.102857142857147</v>
      </c>
      <c r="BT46" s="53">
        <f t="shared" ref="BT46:BT77" si="42">(AR46*6/7)+(BF46*(1/7))</f>
        <v>23.102857142857147</v>
      </c>
      <c r="BU46" s="53">
        <f t="shared" ref="BU46:BU77" si="43">(AS46*6/7)+(BG46*(1/7))</f>
        <v>23.102857142857147</v>
      </c>
      <c r="BV46" s="53">
        <f t="shared" ref="BV46:BV77" si="44">(AT46*6/7)+(BH46*(1/7))</f>
        <v>23.102857142857147</v>
      </c>
      <c r="BW46" s="53">
        <f t="shared" ref="BW46:BW77" si="45">(AU46*6/7)+(BI46*(1/7))</f>
        <v>23.102857142857147</v>
      </c>
      <c r="BX46" s="53">
        <f t="shared" ref="BX46:BX77" si="46">(AV46*6/7)+(BJ46*(1/7))</f>
        <v>23.102857142857147</v>
      </c>
      <c r="BY46" s="53">
        <f t="shared" ref="BY46:BY77" si="47">(AW46*6/7)+(BK46*(1/7))</f>
        <v>23.102857142857147</v>
      </c>
      <c r="BZ46" s="53">
        <f t="shared" ref="BZ46:BZ77" si="48">(AX46*6/7)+(BL46*(1/7))</f>
        <v>23.102857142857147</v>
      </c>
      <c r="CA46" s="53">
        <f t="shared" ref="CA46:CA77" si="49">(AY46*6/7)+(BM46*(1/7))</f>
        <v>23.102857142857147</v>
      </c>
      <c r="CB46" s="53">
        <f t="shared" ref="CB46:CB77" si="50">(AZ46*6/7)+(BN46*(1/7))</f>
        <v>23.102857142857147</v>
      </c>
      <c r="CC46" s="53">
        <f t="shared" ref="CC46:CC77" si="51">(BA46*6/7)+(BO46*(1/7))</f>
        <v>23.102857142857147</v>
      </c>
      <c r="CD46" s="53">
        <f t="shared" ref="CD46:CD77" si="52">(BB46*6/7)+(BP46*(1/7))</f>
        <v>23.102857142857147</v>
      </c>
    </row>
    <row r="47" spans="1:82">
      <c r="A47" s="48">
        <v>2020</v>
      </c>
      <c r="B47" s="31" cm="1">
        <f t="array" ref="B47">IF(A47&lt;2021,0,SUMPRODUCT(('Project Operational Timelines'!$AO$20:$AO$49=$A47)*('Project Operational Timelines'!$AP$18:$AY$18=$A$4)*('Project Operational Timelines'!$AP$17:$AY$17=$G47)*'Project Operational Timelines'!$AP19:$AY19))</f>
        <v>0</v>
      </c>
      <c r="C47" s="84">
        <f t="shared" si="13"/>
        <v>0</v>
      </c>
      <c r="D47" s="89">
        <f t="shared" si="27"/>
        <v>0</v>
      </c>
      <c r="E47" s="89"/>
      <c r="F47" s="89">
        <f>-B47*1000*('Program Inputs'!$D$14-'Program Inputs'!$D$6)*$F$4*12</f>
        <v>0</v>
      </c>
      <c r="G47" s="335">
        <v>1</v>
      </c>
      <c r="H47" s="328">
        <f t="shared" si="28"/>
        <v>0</v>
      </c>
      <c r="I47" s="69"/>
      <c r="J47" s="69"/>
      <c r="K47" s="104"/>
      <c r="L47" s="75"/>
      <c r="M47">
        <v>2</v>
      </c>
      <c r="N47" s="51">
        <v>2020</v>
      </c>
      <c r="O47" s="18">
        <f>(AC47-BS47)</f>
        <v>55.505714285714291</v>
      </c>
      <c r="P47" s="18">
        <f t="shared" si="30"/>
        <v>55.505714285714291</v>
      </c>
      <c r="Q47" s="18">
        <f t="shared" si="31"/>
        <v>55.505714285714291</v>
      </c>
      <c r="R47" s="18">
        <f t="shared" si="32"/>
        <v>55.505714285714291</v>
      </c>
      <c r="S47" s="18">
        <f t="shared" si="33"/>
        <v>55.505714285714291</v>
      </c>
      <c r="T47" s="18">
        <f t="shared" si="34"/>
        <v>55.505714285714291</v>
      </c>
      <c r="U47" s="18">
        <f t="shared" si="35"/>
        <v>55.505714285714291</v>
      </c>
      <c r="V47" s="18">
        <f t="shared" si="36"/>
        <v>55.505714285714291</v>
      </c>
      <c r="W47" s="18">
        <f t="shared" si="37"/>
        <v>55.505714285714291</v>
      </c>
      <c r="X47" s="18">
        <f t="shared" si="38"/>
        <v>55.505714285714291</v>
      </c>
      <c r="Y47" s="18">
        <f t="shared" si="39"/>
        <v>55.505714285714291</v>
      </c>
      <c r="Z47" s="18">
        <f t="shared" si="40"/>
        <v>55.505714285714291</v>
      </c>
      <c r="AA47" s="13"/>
      <c r="AB47" s="52">
        <v>2020</v>
      </c>
      <c r="AC47" s="14">
        <f>SUMIFS('Bill Credit Rates'!$K:$K,'Bill Credit Rates'!$A:$A,$A$4,'Bill Credit Rates'!$B:$B,$G47,'Bill Credit Rates'!$C:$C,$M47)</f>
        <v>80.56</v>
      </c>
      <c r="AD47" s="14">
        <f>SUMIFS('Bill Credit Rates'!$K:$K,'Bill Credit Rates'!$A:$A,$A$4,'Bill Credit Rates'!$B:$B,$G47,'Bill Credit Rates'!$C:$C,$M47)</f>
        <v>80.56</v>
      </c>
      <c r="AE47" s="14">
        <f>SUMIFS('Bill Credit Rates'!$K:$K,'Bill Credit Rates'!$A:$A,$A$4,'Bill Credit Rates'!$B:$B,$G47,'Bill Credit Rates'!$C:$C,$M47)</f>
        <v>80.56</v>
      </c>
      <c r="AF47" s="14">
        <f>SUMIFS('Bill Credit Rates'!$K:$K,'Bill Credit Rates'!$A:$A,$A$4,'Bill Credit Rates'!$B:$B,$G47,'Bill Credit Rates'!$C:$C,$M47)</f>
        <v>80.56</v>
      </c>
      <c r="AG47" s="14">
        <f>SUMIFS('Bill Credit Rates'!$K:$K,'Bill Credit Rates'!$A:$A,$A$4,'Bill Credit Rates'!$B:$B,$G47,'Bill Credit Rates'!$C:$C,$M47)</f>
        <v>80.56</v>
      </c>
      <c r="AH47" s="14">
        <f>SUMIFS('Bill Credit Rates'!$K:$K,'Bill Credit Rates'!$A:$A,$A$4,'Bill Credit Rates'!$B:$B,$G47,'Bill Credit Rates'!$C:$C,$M47)</f>
        <v>80.56</v>
      </c>
      <c r="AI47" s="14">
        <f>SUMIFS('Bill Credit Rates'!$K:$K,'Bill Credit Rates'!$A:$A,$A$4,'Bill Credit Rates'!$B:$B,$G47,'Bill Credit Rates'!$C:$C,$M47)</f>
        <v>80.56</v>
      </c>
      <c r="AJ47" s="14">
        <f>SUMIFS('Bill Credit Rates'!$K:$K,'Bill Credit Rates'!$A:$A,$A$4,'Bill Credit Rates'!$B:$B,$G47,'Bill Credit Rates'!$C:$C,$M47)</f>
        <v>80.56</v>
      </c>
      <c r="AK47" s="14">
        <f>SUMIFS('Bill Credit Rates'!$K:$K,'Bill Credit Rates'!$A:$A,$A$4,'Bill Credit Rates'!$B:$B,$G47,'Bill Credit Rates'!$C:$C,$M47)</f>
        <v>80.56</v>
      </c>
      <c r="AL47" s="14">
        <f>SUMIFS('Bill Credit Rates'!$K:$K,'Bill Credit Rates'!$A:$A,$A$4,'Bill Credit Rates'!$B:$B,$G47,'Bill Credit Rates'!$C:$C,$M47)</f>
        <v>80.56</v>
      </c>
      <c r="AM47" s="14">
        <f>SUMIFS('Bill Credit Rates'!$K:$K,'Bill Credit Rates'!$A:$A,$A$4,'Bill Credit Rates'!$B:$B,$G47,'Bill Credit Rates'!$C:$C,$M47)</f>
        <v>80.56</v>
      </c>
      <c r="AN47" s="14">
        <f>SUMIFS('Bill Credit Rates'!$K:$K,'Bill Credit Rates'!$A:$A,$A$4,'Bill Credit Rates'!$B:$B,$G47,'Bill Credit Rates'!$C:$C,$M47)</f>
        <v>80.56</v>
      </c>
      <c r="AP47" s="52">
        <v>2020</v>
      </c>
      <c r="AQ47" s="291">
        <v>25.92</v>
      </c>
      <c r="AR47" s="291">
        <v>25.92</v>
      </c>
      <c r="AS47" s="291">
        <v>25.92</v>
      </c>
      <c r="AT47" s="291">
        <v>25.92</v>
      </c>
      <c r="AU47" s="291">
        <v>25.92</v>
      </c>
      <c r="AV47" s="291">
        <v>25.92</v>
      </c>
      <c r="AW47" s="281">
        <v>25.92</v>
      </c>
      <c r="AX47" s="281">
        <v>25.92</v>
      </c>
      <c r="AY47" s="291">
        <v>25.92</v>
      </c>
      <c r="AZ47" s="291">
        <v>25.92</v>
      </c>
      <c r="BA47" s="291">
        <v>25.92</v>
      </c>
      <c r="BB47" s="291">
        <v>25.92</v>
      </c>
      <c r="BD47" s="52">
        <v>2020</v>
      </c>
      <c r="BE47" s="291">
        <v>19.86</v>
      </c>
      <c r="BF47" s="291">
        <v>19.86</v>
      </c>
      <c r="BG47" s="291">
        <v>19.86</v>
      </c>
      <c r="BH47" s="291">
        <v>19.86</v>
      </c>
      <c r="BI47" s="291">
        <v>19.86</v>
      </c>
      <c r="BJ47" s="291">
        <v>19.86</v>
      </c>
      <c r="BK47" s="281">
        <v>19.86</v>
      </c>
      <c r="BL47" s="281">
        <v>19.86</v>
      </c>
      <c r="BM47" s="291">
        <v>19.86</v>
      </c>
      <c r="BN47" s="291">
        <v>19.86</v>
      </c>
      <c r="BO47" s="291">
        <v>19.86</v>
      </c>
      <c r="BP47" s="291">
        <v>19.86</v>
      </c>
      <c r="BR47" s="52">
        <v>2020</v>
      </c>
      <c r="BS47" s="53">
        <f t="shared" si="41"/>
        <v>25.054285714285715</v>
      </c>
      <c r="BT47" s="53">
        <f t="shared" si="42"/>
        <v>25.054285714285715</v>
      </c>
      <c r="BU47" s="53">
        <f t="shared" si="43"/>
        <v>25.054285714285715</v>
      </c>
      <c r="BV47" s="53">
        <f t="shared" si="44"/>
        <v>25.054285714285715</v>
      </c>
      <c r="BW47" s="53">
        <f t="shared" si="45"/>
        <v>25.054285714285715</v>
      </c>
      <c r="BX47" s="53">
        <f t="shared" si="46"/>
        <v>25.054285714285715</v>
      </c>
      <c r="BY47" s="53">
        <f t="shared" si="47"/>
        <v>25.054285714285715</v>
      </c>
      <c r="BZ47" s="53">
        <f t="shared" si="48"/>
        <v>25.054285714285715</v>
      </c>
      <c r="CA47" s="53">
        <f t="shared" si="49"/>
        <v>25.054285714285715</v>
      </c>
      <c r="CB47" s="53">
        <f t="shared" si="50"/>
        <v>25.054285714285715</v>
      </c>
      <c r="CC47" s="53">
        <f t="shared" si="51"/>
        <v>25.054285714285715</v>
      </c>
      <c r="CD47" s="53">
        <f t="shared" si="52"/>
        <v>25.054285714285715</v>
      </c>
    </row>
    <row r="48" spans="1:82">
      <c r="A48" s="48">
        <v>2021</v>
      </c>
      <c r="B48" s="31" cm="1">
        <f t="array" ref="B48">IF(A48&lt;2021,0,SUMPRODUCT(('Project Operational Timelines'!$AO$20:$AO$49=$A48)*('Project Operational Timelines'!$AP$18:$AY$18=$A$4)*('Project Operational Timelines'!$AP$17:$AY$17=$G48)*'Project Operational Timelines'!$AP20:$AY20))</f>
        <v>0</v>
      </c>
      <c r="C48" s="84">
        <f t="shared" si="13"/>
        <v>0</v>
      </c>
      <c r="D48" s="89">
        <f t="shared" si="27"/>
        <v>0</v>
      </c>
      <c r="E48" s="89"/>
      <c r="F48" s="89">
        <f>-B48*1000*('Program Inputs'!$D$14-'Program Inputs'!$D$6)*$F$4*12</f>
        <v>0</v>
      </c>
      <c r="G48" s="335">
        <v>1</v>
      </c>
      <c r="H48" s="328">
        <f t="shared" si="28"/>
        <v>0</v>
      </c>
      <c r="I48" s="69"/>
      <c r="J48" s="69"/>
      <c r="K48" s="104"/>
      <c r="L48" s="75"/>
      <c r="M48">
        <v>3</v>
      </c>
      <c r="N48" s="51">
        <v>2021</v>
      </c>
      <c r="O48" s="18">
        <f t="shared" si="29"/>
        <v>53.824285714285715</v>
      </c>
      <c r="P48" s="18">
        <f t="shared" si="30"/>
        <v>53.824285714285715</v>
      </c>
      <c r="Q48" s="18">
        <f t="shared" si="31"/>
        <v>53.824285714285715</v>
      </c>
      <c r="R48" s="18">
        <f t="shared" si="32"/>
        <v>53.824285714285715</v>
      </c>
      <c r="S48" s="18">
        <f t="shared" si="33"/>
        <v>53.824285714285715</v>
      </c>
      <c r="T48" s="18">
        <f t="shared" si="34"/>
        <v>53.824285714285715</v>
      </c>
      <c r="U48" s="18">
        <f t="shared" si="35"/>
        <v>53.824285714285715</v>
      </c>
      <c r="V48" s="18">
        <f t="shared" si="36"/>
        <v>53.824285714285715</v>
      </c>
      <c r="W48" s="18">
        <f t="shared" si="37"/>
        <v>53.824285714285715</v>
      </c>
      <c r="X48" s="18">
        <f t="shared" si="38"/>
        <v>53.824285714285715</v>
      </c>
      <c r="Y48" s="18">
        <f t="shared" si="39"/>
        <v>53.824285714285715</v>
      </c>
      <c r="Z48" s="18">
        <f t="shared" si="40"/>
        <v>53.824285714285715</v>
      </c>
      <c r="AA48" s="13"/>
      <c r="AB48" s="52">
        <v>2021</v>
      </c>
      <c r="AC48" s="14">
        <f>SUMIFS('Bill Credit Rates'!$K:$K,'Bill Credit Rates'!$A:$A,$A$4,'Bill Credit Rates'!$B:$B,$G48,'Bill Credit Rates'!$C:$C,$M48)</f>
        <v>80.56</v>
      </c>
      <c r="AD48" s="14">
        <f>SUMIFS('Bill Credit Rates'!$K:$K,'Bill Credit Rates'!$A:$A,$A$4,'Bill Credit Rates'!$B:$B,$G48,'Bill Credit Rates'!$C:$C,$M48)</f>
        <v>80.56</v>
      </c>
      <c r="AE48" s="14">
        <f>SUMIFS('Bill Credit Rates'!$K:$K,'Bill Credit Rates'!$A:$A,$A$4,'Bill Credit Rates'!$B:$B,$G48,'Bill Credit Rates'!$C:$C,$M48)</f>
        <v>80.56</v>
      </c>
      <c r="AF48" s="14">
        <f>SUMIFS('Bill Credit Rates'!$K:$K,'Bill Credit Rates'!$A:$A,$A$4,'Bill Credit Rates'!$B:$B,$G48,'Bill Credit Rates'!$C:$C,$M48)</f>
        <v>80.56</v>
      </c>
      <c r="AG48" s="14">
        <f>SUMIFS('Bill Credit Rates'!$K:$K,'Bill Credit Rates'!$A:$A,$A$4,'Bill Credit Rates'!$B:$B,$G48,'Bill Credit Rates'!$C:$C,$M48)</f>
        <v>80.56</v>
      </c>
      <c r="AH48" s="14">
        <f>SUMIFS('Bill Credit Rates'!$K:$K,'Bill Credit Rates'!$A:$A,$A$4,'Bill Credit Rates'!$B:$B,$G48,'Bill Credit Rates'!$C:$C,$M48)</f>
        <v>80.56</v>
      </c>
      <c r="AI48" s="14">
        <f>SUMIFS('Bill Credit Rates'!$K:$K,'Bill Credit Rates'!$A:$A,$A$4,'Bill Credit Rates'!$B:$B,$G48,'Bill Credit Rates'!$C:$C,$M48)</f>
        <v>80.56</v>
      </c>
      <c r="AJ48" s="14">
        <f>SUMIFS('Bill Credit Rates'!$K:$K,'Bill Credit Rates'!$A:$A,$A$4,'Bill Credit Rates'!$B:$B,$G48,'Bill Credit Rates'!$C:$C,$M48)</f>
        <v>80.56</v>
      </c>
      <c r="AK48" s="14">
        <f>SUMIFS('Bill Credit Rates'!$K:$K,'Bill Credit Rates'!$A:$A,$A$4,'Bill Credit Rates'!$B:$B,$G48,'Bill Credit Rates'!$C:$C,$M48)</f>
        <v>80.56</v>
      </c>
      <c r="AL48" s="14">
        <f>SUMIFS('Bill Credit Rates'!$K:$K,'Bill Credit Rates'!$A:$A,$A$4,'Bill Credit Rates'!$B:$B,$G48,'Bill Credit Rates'!$C:$C,$M48)</f>
        <v>80.56</v>
      </c>
      <c r="AM48" s="14">
        <f>SUMIFS('Bill Credit Rates'!$K:$K,'Bill Credit Rates'!$A:$A,$A$4,'Bill Credit Rates'!$B:$B,$G48,'Bill Credit Rates'!$C:$C,$M48)</f>
        <v>80.56</v>
      </c>
      <c r="AN48" s="14">
        <f>SUMIFS('Bill Credit Rates'!$K:$K,'Bill Credit Rates'!$A:$A,$A$4,'Bill Credit Rates'!$B:$B,$G48,'Bill Credit Rates'!$C:$C,$M48)</f>
        <v>80.56</v>
      </c>
      <c r="AP48" s="52">
        <v>2021</v>
      </c>
      <c r="AQ48" s="291">
        <v>27.48</v>
      </c>
      <c r="AR48" s="291">
        <v>27.48</v>
      </c>
      <c r="AS48" s="291">
        <v>27.48</v>
      </c>
      <c r="AT48" s="291">
        <v>27.48</v>
      </c>
      <c r="AU48" s="291">
        <v>27.48</v>
      </c>
      <c r="AV48" s="291">
        <v>27.48</v>
      </c>
      <c r="AW48" s="281">
        <v>27.48</v>
      </c>
      <c r="AX48" s="281">
        <v>27.48</v>
      </c>
      <c r="AY48" s="291">
        <v>27.48</v>
      </c>
      <c r="AZ48" s="291">
        <v>27.48</v>
      </c>
      <c r="BA48" s="291">
        <v>27.48</v>
      </c>
      <c r="BB48" s="291">
        <v>27.48</v>
      </c>
      <c r="BD48" s="52">
        <v>2021</v>
      </c>
      <c r="BE48" s="291">
        <v>22.27</v>
      </c>
      <c r="BF48" s="291">
        <v>22.27</v>
      </c>
      <c r="BG48" s="291">
        <v>22.27</v>
      </c>
      <c r="BH48" s="291">
        <v>22.27</v>
      </c>
      <c r="BI48" s="291">
        <v>22.27</v>
      </c>
      <c r="BJ48" s="291">
        <v>22.27</v>
      </c>
      <c r="BK48" s="281">
        <v>22.27</v>
      </c>
      <c r="BL48" s="281">
        <v>22.27</v>
      </c>
      <c r="BM48" s="291">
        <v>22.27</v>
      </c>
      <c r="BN48" s="291">
        <v>22.27</v>
      </c>
      <c r="BO48" s="291">
        <v>22.27</v>
      </c>
      <c r="BP48" s="291">
        <v>22.27</v>
      </c>
      <c r="BR48" s="52">
        <v>2021</v>
      </c>
      <c r="BS48" s="53">
        <f t="shared" si="41"/>
        <v>26.735714285714288</v>
      </c>
      <c r="BT48" s="53">
        <f t="shared" si="42"/>
        <v>26.735714285714288</v>
      </c>
      <c r="BU48" s="53">
        <f t="shared" si="43"/>
        <v>26.735714285714288</v>
      </c>
      <c r="BV48" s="53">
        <f t="shared" si="44"/>
        <v>26.735714285714288</v>
      </c>
      <c r="BW48" s="53">
        <f t="shared" si="45"/>
        <v>26.735714285714288</v>
      </c>
      <c r="BX48" s="53">
        <f t="shared" si="46"/>
        <v>26.735714285714288</v>
      </c>
      <c r="BY48" s="53">
        <f t="shared" si="47"/>
        <v>26.735714285714288</v>
      </c>
      <c r="BZ48" s="53">
        <f t="shared" si="48"/>
        <v>26.735714285714288</v>
      </c>
      <c r="CA48" s="53">
        <f t="shared" si="49"/>
        <v>26.735714285714288</v>
      </c>
      <c r="CB48" s="53">
        <f t="shared" si="50"/>
        <v>26.735714285714288</v>
      </c>
      <c r="CC48" s="53">
        <f t="shared" si="51"/>
        <v>26.735714285714288</v>
      </c>
      <c r="CD48" s="53">
        <f t="shared" si="52"/>
        <v>26.735714285714288</v>
      </c>
    </row>
    <row r="49" spans="1:82">
      <c r="A49" s="48">
        <v>2022</v>
      </c>
      <c r="B49" s="31" cm="1">
        <f t="array" ref="B49">IF(A49&lt;2021,0,SUMPRODUCT(('Project Operational Timelines'!$AO$20:$AO$49=$A49)*('Project Operational Timelines'!$AP$18:$AY$18=$A$4)*('Project Operational Timelines'!$AP$17:$AY$17=$G49)*'Project Operational Timelines'!$AP21:$AY21))</f>
        <v>0</v>
      </c>
      <c r="C49" s="84">
        <f t="shared" si="13"/>
        <v>0</v>
      </c>
      <c r="D49" s="89">
        <f t="shared" si="27"/>
        <v>0</v>
      </c>
      <c r="E49" s="89"/>
      <c r="F49" s="89">
        <f>-B49*1000*('Program Inputs'!$D$14-'Program Inputs'!$D$6)*$F$4*12</f>
        <v>0</v>
      </c>
      <c r="G49" s="335">
        <v>1</v>
      </c>
      <c r="H49" s="328">
        <f t="shared" si="28"/>
        <v>0</v>
      </c>
      <c r="I49" s="69"/>
      <c r="J49" s="69"/>
      <c r="K49" s="104"/>
      <c r="L49" s="75"/>
      <c r="M49">
        <v>4</v>
      </c>
      <c r="N49" s="51">
        <v>2022</v>
      </c>
      <c r="O49" s="18">
        <f t="shared" si="29"/>
        <v>51.977142857142866</v>
      </c>
      <c r="P49" s="18">
        <f t="shared" si="30"/>
        <v>51.977142857142866</v>
      </c>
      <c r="Q49" s="18">
        <f t="shared" si="31"/>
        <v>51.977142857142866</v>
      </c>
      <c r="R49" s="18">
        <f t="shared" si="32"/>
        <v>51.977142857142866</v>
      </c>
      <c r="S49" s="18">
        <f t="shared" si="33"/>
        <v>51.977142857142866</v>
      </c>
      <c r="T49" s="18">
        <f t="shared" si="34"/>
        <v>51.977142857142866</v>
      </c>
      <c r="U49" s="18">
        <f t="shared" si="35"/>
        <v>51.977142857142866</v>
      </c>
      <c r="V49" s="18">
        <f t="shared" si="36"/>
        <v>51.977142857142866</v>
      </c>
      <c r="W49" s="18">
        <f t="shared" si="37"/>
        <v>51.977142857142866</v>
      </c>
      <c r="X49" s="18">
        <f t="shared" si="38"/>
        <v>51.977142857142866</v>
      </c>
      <c r="Y49" s="18">
        <f t="shared" si="39"/>
        <v>51.977142857142866</v>
      </c>
      <c r="Z49" s="18">
        <f t="shared" si="40"/>
        <v>51.977142857142866</v>
      </c>
      <c r="AA49" s="13"/>
      <c r="AB49" s="52">
        <v>2022</v>
      </c>
      <c r="AC49" s="14">
        <f>SUMIFS('Bill Credit Rates'!$K:$K,'Bill Credit Rates'!$A:$A,$A$4,'Bill Credit Rates'!$B:$B,$G49,'Bill Credit Rates'!$C:$C,$M49)</f>
        <v>80.56</v>
      </c>
      <c r="AD49" s="14">
        <f>SUMIFS('Bill Credit Rates'!$K:$K,'Bill Credit Rates'!$A:$A,$A$4,'Bill Credit Rates'!$B:$B,$G49,'Bill Credit Rates'!$C:$C,$M49)</f>
        <v>80.56</v>
      </c>
      <c r="AE49" s="14">
        <f>SUMIFS('Bill Credit Rates'!$K:$K,'Bill Credit Rates'!$A:$A,$A$4,'Bill Credit Rates'!$B:$B,$G49,'Bill Credit Rates'!$C:$C,$M49)</f>
        <v>80.56</v>
      </c>
      <c r="AF49" s="14">
        <f>SUMIFS('Bill Credit Rates'!$K:$K,'Bill Credit Rates'!$A:$A,$A$4,'Bill Credit Rates'!$B:$B,$G49,'Bill Credit Rates'!$C:$C,$M49)</f>
        <v>80.56</v>
      </c>
      <c r="AG49" s="14">
        <f>SUMIFS('Bill Credit Rates'!$K:$K,'Bill Credit Rates'!$A:$A,$A$4,'Bill Credit Rates'!$B:$B,$G49,'Bill Credit Rates'!$C:$C,$M49)</f>
        <v>80.56</v>
      </c>
      <c r="AH49" s="14">
        <f>SUMIFS('Bill Credit Rates'!$K:$K,'Bill Credit Rates'!$A:$A,$A$4,'Bill Credit Rates'!$B:$B,$G49,'Bill Credit Rates'!$C:$C,$M49)</f>
        <v>80.56</v>
      </c>
      <c r="AI49" s="14">
        <f>SUMIFS('Bill Credit Rates'!$K:$K,'Bill Credit Rates'!$A:$A,$A$4,'Bill Credit Rates'!$B:$B,$G49,'Bill Credit Rates'!$C:$C,$M49)</f>
        <v>80.56</v>
      </c>
      <c r="AJ49" s="14">
        <f>SUMIFS('Bill Credit Rates'!$K:$K,'Bill Credit Rates'!$A:$A,$A$4,'Bill Credit Rates'!$B:$B,$G49,'Bill Credit Rates'!$C:$C,$M49)</f>
        <v>80.56</v>
      </c>
      <c r="AK49" s="14">
        <f>SUMIFS('Bill Credit Rates'!$K:$K,'Bill Credit Rates'!$A:$A,$A$4,'Bill Credit Rates'!$B:$B,$G49,'Bill Credit Rates'!$C:$C,$M49)</f>
        <v>80.56</v>
      </c>
      <c r="AL49" s="14">
        <f>SUMIFS('Bill Credit Rates'!$K:$K,'Bill Credit Rates'!$A:$A,$A$4,'Bill Credit Rates'!$B:$B,$G49,'Bill Credit Rates'!$C:$C,$M49)</f>
        <v>80.56</v>
      </c>
      <c r="AM49" s="14">
        <f>SUMIFS('Bill Credit Rates'!$K:$K,'Bill Credit Rates'!$A:$A,$A$4,'Bill Credit Rates'!$B:$B,$G49,'Bill Credit Rates'!$C:$C,$M49)</f>
        <v>80.56</v>
      </c>
      <c r="AN49" s="14">
        <f>SUMIFS('Bill Credit Rates'!$K:$K,'Bill Credit Rates'!$A:$A,$A$4,'Bill Credit Rates'!$B:$B,$G49,'Bill Credit Rates'!$C:$C,$M49)</f>
        <v>80.56</v>
      </c>
      <c r="AP49" s="52">
        <v>2022</v>
      </c>
      <c r="AQ49" s="291">
        <v>29.46</v>
      </c>
      <c r="AR49" s="291">
        <v>29.46</v>
      </c>
      <c r="AS49" s="291">
        <v>29.46</v>
      </c>
      <c r="AT49" s="291">
        <v>29.46</v>
      </c>
      <c r="AU49" s="291">
        <v>29.46</v>
      </c>
      <c r="AV49" s="291">
        <v>29.46</v>
      </c>
      <c r="AW49" s="281">
        <v>29.46</v>
      </c>
      <c r="AX49" s="281">
        <v>29.46</v>
      </c>
      <c r="AY49" s="291">
        <v>29.46</v>
      </c>
      <c r="AZ49" s="291">
        <v>29.46</v>
      </c>
      <c r="BA49" s="291">
        <v>29.46</v>
      </c>
      <c r="BB49" s="291">
        <v>29.46</v>
      </c>
      <c r="BD49" s="52">
        <v>2022</v>
      </c>
      <c r="BE49" s="291">
        <v>23.32</v>
      </c>
      <c r="BF49" s="291">
        <v>23.32</v>
      </c>
      <c r="BG49" s="291">
        <v>23.32</v>
      </c>
      <c r="BH49" s="291">
        <v>23.32</v>
      </c>
      <c r="BI49" s="291">
        <v>23.32</v>
      </c>
      <c r="BJ49" s="291">
        <v>23.32</v>
      </c>
      <c r="BK49" s="281">
        <v>23.32</v>
      </c>
      <c r="BL49" s="281">
        <v>23.32</v>
      </c>
      <c r="BM49" s="291">
        <v>23.32</v>
      </c>
      <c r="BN49" s="291">
        <v>23.32</v>
      </c>
      <c r="BO49" s="291">
        <v>23.32</v>
      </c>
      <c r="BP49" s="291">
        <v>23.32</v>
      </c>
      <c r="BR49" s="52">
        <v>2022</v>
      </c>
      <c r="BS49" s="53">
        <f t="shared" si="41"/>
        <v>28.58285714285714</v>
      </c>
      <c r="BT49" s="53">
        <f t="shared" si="42"/>
        <v>28.58285714285714</v>
      </c>
      <c r="BU49" s="53">
        <f t="shared" si="43"/>
        <v>28.58285714285714</v>
      </c>
      <c r="BV49" s="53">
        <f t="shared" si="44"/>
        <v>28.58285714285714</v>
      </c>
      <c r="BW49" s="53">
        <f t="shared" si="45"/>
        <v>28.58285714285714</v>
      </c>
      <c r="BX49" s="53">
        <f t="shared" si="46"/>
        <v>28.58285714285714</v>
      </c>
      <c r="BY49" s="53">
        <f t="shared" si="47"/>
        <v>28.58285714285714</v>
      </c>
      <c r="BZ49" s="53">
        <f t="shared" si="48"/>
        <v>28.58285714285714</v>
      </c>
      <c r="CA49" s="53">
        <f t="shared" si="49"/>
        <v>28.58285714285714</v>
      </c>
      <c r="CB49" s="53">
        <f t="shared" si="50"/>
        <v>28.58285714285714</v>
      </c>
      <c r="CC49" s="53">
        <f t="shared" si="51"/>
        <v>28.58285714285714</v>
      </c>
      <c r="CD49" s="53">
        <f t="shared" si="52"/>
        <v>28.58285714285714</v>
      </c>
    </row>
    <row r="50" spans="1:82">
      <c r="A50" s="48">
        <v>2023</v>
      </c>
      <c r="B50" s="31" cm="1">
        <f t="array" ref="B50">IF(A50&lt;2021,0,SUMPRODUCT(('Project Operational Timelines'!$AO$20:$AO$49=$A50)*('Project Operational Timelines'!$AP$18:$AY$18=$A$4)*('Project Operational Timelines'!$AP$17:$AY$17=$G50)*'Project Operational Timelines'!$AP22:$AY22))</f>
        <v>0</v>
      </c>
      <c r="C50" s="84">
        <f t="shared" si="13"/>
        <v>0</v>
      </c>
      <c r="D50" s="89">
        <f t="shared" si="27"/>
        <v>0</v>
      </c>
      <c r="E50" s="89"/>
      <c r="F50" s="89">
        <f>-B50*1000*('Program Inputs'!$D$14-'Program Inputs'!$D$6)*$F$4*12</f>
        <v>0</v>
      </c>
      <c r="G50" s="335">
        <v>1</v>
      </c>
      <c r="H50" s="328">
        <f t="shared" si="28"/>
        <v>0</v>
      </c>
      <c r="I50" s="69"/>
      <c r="J50" s="69"/>
      <c r="K50" s="104"/>
      <c r="L50" s="75"/>
      <c r="M50">
        <v>5</v>
      </c>
      <c r="N50" s="51">
        <v>2023</v>
      </c>
      <c r="O50" s="18">
        <f t="shared" si="29"/>
        <v>50.938571428571436</v>
      </c>
      <c r="P50" s="18">
        <f t="shared" si="30"/>
        <v>50.938571428571436</v>
      </c>
      <c r="Q50" s="18">
        <f t="shared" si="31"/>
        <v>50.938571428571436</v>
      </c>
      <c r="R50" s="18">
        <f t="shared" si="32"/>
        <v>50.938571428571436</v>
      </c>
      <c r="S50" s="18">
        <f t="shared" si="33"/>
        <v>50.938571428571436</v>
      </c>
      <c r="T50" s="18">
        <f t="shared" si="34"/>
        <v>50.938571428571436</v>
      </c>
      <c r="U50" s="18">
        <f t="shared" si="35"/>
        <v>50.938571428571436</v>
      </c>
      <c r="V50" s="18">
        <f t="shared" si="36"/>
        <v>50.938571428571436</v>
      </c>
      <c r="W50" s="18">
        <f t="shared" si="37"/>
        <v>50.938571428571436</v>
      </c>
      <c r="X50" s="18">
        <f t="shared" si="38"/>
        <v>50.938571428571436</v>
      </c>
      <c r="Y50" s="18">
        <f t="shared" si="39"/>
        <v>50.938571428571436</v>
      </c>
      <c r="Z50" s="18">
        <f t="shared" si="40"/>
        <v>50.938571428571436</v>
      </c>
      <c r="AA50" s="13"/>
      <c r="AB50" s="52">
        <v>2023</v>
      </c>
      <c r="AC50" s="14">
        <f>SUMIFS('Bill Credit Rates'!$K:$K,'Bill Credit Rates'!$A:$A,$A$4,'Bill Credit Rates'!$B:$B,$G50,'Bill Credit Rates'!$C:$C,$M50)</f>
        <v>80.56</v>
      </c>
      <c r="AD50" s="14">
        <f>SUMIFS('Bill Credit Rates'!$K:$K,'Bill Credit Rates'!$A:$A,$A$4,'Bill Credit Rates'!$B:$B,$G50,'Bill Credit Rates'!$C:$C,$M50)</f>
        <v>80.56</v>
      </c>
      <c r="AE50" s="14">
        <f>SUMIFS('Bill Credit Rates'!$K:$K,'Bill Credit Rates'!$A:$A,$A$4,'Bill Credit Rates'!$B:$B,$G50,'Bill Credit Rates'!$C:$C,$M50)</f>
        <v>80.56</v>
      </c>
      <c r="AF50" s="14">
        <f>SUMIFS('Bill Credit Rates'!$K:$K,'Bill Credit Rates'!$A:$A,$A$4,'Bill Credit Rates'!$B:$B,$G50,'Bill Credit Rates'!$C:$C,$M50)</f>
        <v>80.56</v>
      </c>
      <c r="AG50" s="14">
        <f>SUMIFS('Bill Credit Rates'!$K:$K,'Bill Credit Rates'!$A:$A,$A$4,'Bill Credit Rates'!$B:$B,$G50,'Bill Credit Rates'!$C:$C,$M50)</f>
        <v>80.56</v>
      </c>
      <c r="AH50" s="14">
        <f>SUMIFS('Bill Credit Rates'!$K:$K,'Bill Credit Rates'!$A:$A,$A$4,'Bill Credit Rates'!$B:$B,$G50,'Bill Credit Rates'!$C:$C,$M50)</f>
        <v>80.56</v>
      </c>
      <c r="AI50" s="14">
        <f>SUMIFS('Bill Credit Rates'!$K:$K,'Bill Credit Rates'!$A:$A,$A$4,'Bill Credit Rates'!$B:$B,$G50,'Bill Credit Rates'!$C:$C,$M50)</f>
        <v>80.56</v>
      </c>
      <c r="AJ50" s="14">
        <f>SUMIFS('Bill Credit Rates'!$K:$K,'Bill Credit Rates'!$A:$A,$A$4,'Bill Credit Rates'!$B:$B,$G50,'Bill Credit Rates'!$C:$C,$M50)</f>
        <v>80.56</v>
      </c>
      <c r="AK50" s="14">
        <f>SUMIFS('Bill Credit Rates'!$K:$K,'Bill Credit Rates'!$A:$A,$A$4,'Bill Credit Rates'!$B:$B,$G50,'Bill Credit Rates'!$C:$C,$M50)</f>
        <v>80.56</v>
      </c>
      <c r="AL50" s="14">
        <f>SUMIFS('Bill Credit Rates'!$K:$K,'Bill Credit Rates'!$A:$A,$A$4,'Bill Credit Rates'!$B:$B,$G50,'Bill Credit Rates'!$C:$C,$M50)</f>
        <v>80.56</v>
      </c>
      <c r="AM50" s="14">
        <f>SUMIFS('Bill Credit Rates'!$K:$K,'Bill Credit Rates'!$A:$A,$A$4,'Bill Credit Rates'!$B:$B,$G50,'Bill Credit Rates'!$C:$C,$M50)</f>
        <v>80.56</v>
      </c>
      <c r="AN50" s="14">
        <f>SUMIFS('Bill Credit Rates'!$K:$K,'Bill Credit Rates'!$A:$A,$A$4,'Bill Credit Rates'!$B:$B,$G50,'Bill Credit Rates'!$C:$C,$M50)</f>
        <v>80.56</v>
      </c>
      <c r="AP50" s="52">
        <v>2023</v>
      </c>
      <c r="AQ50" s="291">
        <v>30.51</v>
      </c>
      <c r="AR50" s="291">
        <v>30.51</v>
      </c>
      <c r="AS50" s="291">
        <v>30.51</v>
      </c>
      <c r="AT50" s="291">
        <v>30.51</v>
      </c>
      <c r="AU50" s="291">
        <v>30.51</v>
      </c>
      <c r="AV50" s="291">
        <v>30.51</v>
      </c>
      <c r="AW50" s="281">
        <v>30.51</v>
      </c>
      <c r="AX50" s="281">
        <v>30.51</v>
      </c>
      <c r="AY50" s="291">
        <v>30.51</v>
      </c>
      <c r="AZ50" s="291">
        <v>30.51</v>
      </c>
      <c r="BA50" s="291">
        <v>30.51</v>
      </c>
      <c r="BB50" s="291">
        <v>30.51</v>
      </c>
      <c r="BD50" s="52">
        <v>2023</v>
      </c>
      <c r="BE50" s="291">
        <v>24.29</v>
      </c>
      <c r="BF50" s="291">
        <v>24.29</v>
      </c>
      <c r="BG50" s="291">
        <v>24.29</v>
      </c>
      <c r="BH50" s="291">
        <v>24.29</v>
      </c>
      <c r="BI50" s="291">
        <v>24.29</v>
      </c>
      <c r="BJ50" s="291">
        <v>24.29</v>
      </c>
      <c r="BK50" s="281">
        <v>24.29</v>
      </c>
      <c r="BL50" s="281">
        <v>24.29</v>
      </c>
      <c r="BM50" s="291">
        <v>24.29</v>
      </c>
      <c r="BN50" s="291">
        <v>24.29</v>
      </c>
      <c r="BO50" s="291">
        <v>24.29</v>
      </c>
      <c r="BP50" s="291">
        <v>24.29</v>
      </c>
      <c r="BR50" s="52">
        <v>2023</v>
      </c>
      <c r="BS50" s="53">
        <f t="shared" si="41"/>
        <v>29.62142857142857</v>
      </c>
      <c r="BT50" s="53">
        <f t="shared" si="42"/>
        <v>29.62142857142857</v>
      </c>
      <c r="BU50" s="53">
        <f t="shared" si="43"/>
        <v>29.62142857142857</v>
      </c>
      <c r="BV50" s="53">
        <f t="shared" si="44"/>
        <v>29.62142857142857</v>
      </c>
      <c r="BW50" s="53">
        <f t="shared" si="45"/>
        <v>29.62142857142857</v>
      </c>
      <c r="BX50" s="53">
        <f t="shared" si="46"/>
        <v>29.62142857142857</v>
      </c>
      <c r="BY50" s="53">
        <f t="shared" si="47"/>
        <v>29.62142857142857</v>
      </c>
      <c r="BZ50" s="53">
        <f t="shared" si="48"/>
        <v>29.62142857142857</v>
      </c>
      <c r="CA50" s="53">
        <f t="shared" si="49"/>
        <v>29.62142857142857</v>
      </c>
      <c r="CB50" s="53">
        <f t="shared" si="50"/>
        <v>29.62142857142857</v>
      </c>
      <c r="CC50" s="53">
        <f t="shared" si="51"/>
        <v>29.62142857142857</v>
      </c>
      <c r="CD50" s="53">
        <f t="shared" si="52"/>
        <v>29.62142857142857</v>
      </c>
    </row>
    <row r="51" spans="1:82">
      <c r="A51" s="48">
        <v>2024</v>
      </c>
      <c r="B51" s="31" cm="1">
        <f t="array" ref="B51">IF(A51&lt;2021,0,SUMPRODUCT(('Project Operational Timelines'!$AO$20:$AO$49=$A51)*('Project Operational Timelines'!$AP$18:$AY$18=$A$4)*('Project Operational Timelines'!$AP$17:$AY$17=$G51)*'Project Operational Timelines'!$AP23:$AY23))</f>
        <v>1.63</v>
      </c>
      <c r="C51" s="84">
        <f t="shared" si="13"/>
        <v>322.75481941666663</v>
      </c>
      <c r="D51" s="89">
        <f t="shared" si="27"/>
        <v>107051.32</v>
      </c>
      <c r="E51" s="89"/>
      <c r="F51" s="89">
        <f>-B51*1000*('Program Inputs'!$D$14-'Program Inputs'!$D$6)*$F$4*12</f>
        <v>-7980.48</v>
      </c>
      <c r="G51" s="335">
        <v>1</v>
      </c>
      <c r="H51" s="328">
        <f t="shared" si="28"/>
        <v>107051.32</v>
      </c>
      <c r="I51" s="69"/>
      <c r="J51" s="69"/>
      <c r="K51" s="104"/>
      <c r="L51" s="75"/>
      <c r="M51">
        <v>6</v>
      </c>
      <c r="N51" s="51">
        <v>2024</v>
      </c>
      <c r="O51" s="18">
        <f t="shared" si="29"/>
        <v>27.64</v>
      </c>
      <c r="P51" s="18">
        <f t="shared" si="30"/>
        <v>27.64</v>
      </c>
      <c r="Q51" s="18">
        <f t="shared" si="31"/>
        <v>27.64</v>
      </c>
      <c r="R51" s="18">
        <f t="shared" si="32"/>
        <v>27.64</v>
      </c>
      <c r="S51" s="18">
        <f t="shared" si="33"/>
        <v>27.64</v>
      </c>
      <c r="T51" s="18">
        <f t="shared" si="34"/>
        <v>27.64</v>
      </c>
      <c r="U51" s="18">
        <f t="shared" si="35"/>
        <v>27.64</v>
      </c>
      <c r="V51" s="18">
        <f t="shared" si="36"/>
        <v>27.64</v>
      </c>
      <c r="W51" s="18">
        <f t="shared" si="37"/>
        <v>27.64</v>
      </c>
      <c r="X51" s="18">
        <f t="shared" si="38"/>
        <v>27.64</v>
      </c>
      <c r="Y51" s="18">
        <f t="shared" si="39"/>
        <v>27.64</v>
      </c>
      <c r="Z51" s="18">
        <f t="shared" si="40"/>
        <v>27.64</v>
      </c>
      <c r="AA51" s="13"/>
      <c r="AB51" s="52">
        <v>2024</v>
      </c>
      <c r="AC51" s="14">
        <f>SUMIFS('Bill Credit Rates'!$K:$K,'Bill Credit Rates'!$A:$A,$A$4,'Bill Credit Rates'!$B:$B,$G51,'Bill Credit Rates'!$C:$C,$M51)</f>
        <v>80.56</v>
      </c>
      <c r="AD51" s="14">
        <f>SUMIFS('Bill Credit Rates'!$K:$K,'Bill Credit Rates'!$A:$A,$A$4,'Bill Credit Rates'!$B:$B,$G51,'Bill Credit Rates'!$C:$C,$M51)</f>
        <v>80.56</v>
      </c>
      <c r="AE51" s="14">
        <f>SUMIFS('Bill Credit Rates'!$K:$K,'Bill Credit Rates'!$A:$A,$A$4,'Bill Credit Rates'!$B:$B,$G51,'Bill Credit Rates'!$C:$C,$M51)</f>
        <v>80.56</v>
      </c>
      <c r="AF51" s="14">
        <f>SUMIFS('Bill Credit Rates'!$K:$K,'Bill Credit Rates'!$A:$A,$A$4,'Bill Credit Rates'!$B:$B,$G51,'Bill Credit Rates'!$C:$C,$M51)</f>
        <v>80.56</v>
      </c>
      <c r="AG51" s="14">
        <f>SUMIFS('Bill Credit Rates'!$K:$K,'Bill Credit Rates'!$A:$A,$A$4,'Bill Credit Rates'!$B:$B,$G51,'Bill Credit Rates'!$C:$C,$M51)</f>
        <v>80.56</v>
      </c>
      <c r="AH51" s="14">
        <f>SUMIFS('Bill Credit Rates'!$K:$K,'Bill Credit Rates'!$A:$A,$A$4,'Bill Credit Rates'!$B:$B,$G51,'Bill Credit Rates'!$C:$C,$M51)</f>
        <v>80.56</v>
      </c>
      <c r="AI51" s="14">
        <f>SUMIFS('Bill Credit Rates'!$K:$K,'Bill Credit Rates'!$A:$A,$A$4,'Bill Credit Rates'!$B:$B,$G51,'Bill Credit Rates'!$C:$C,$M51)</f>
        <v>80.56</v>
      </c>
      <c r="AJ51" s="14">
        <f>SUMIFS('Bill Credit Rates'!$K:$K,'Bill Credit Rates'!$A:$A,$A$4,'Bill Credit Rates'!$B:$B,$G51,'Bill Credit Rates'!$C:$C,$M51)</f>
        <v>80.56</v>
      </c>
      <c r="AK51" s="14">
        <f>SUMIFS('Bill Credit Rates'!$K:$K,'Bill Credit Rates'!$A:$A,$A$4,'Bill Credit Rates'!$B:$B,$G51,'Bill Credit Rates'!$C:$C,$M51)</f>
        <v>80.56</v>
      </c>
      <c r="AL51" s="14">
        <f>SUMIFS('Bill Credit Rates'!$K:$K,'Bill Credit Rates'!$A:$A,$A$4,'Bill Credit Rates'!$B:$B,$G51,'Bill Credit Rates'!$C:$C,$M51)</f>
        <v>80.56</v>
      </c>
      <c r="AM51" s="14">
        <f>SUMIFS('Bill Credit Rates'!$K:$K,'Bill Credit Rates'!$A:$A,$A$4,'Bill Credit Rates'!$B:$B,$G51,'Bill Credit Rates'!$C:$C,$M51)</f>
        <v>80.56</v>
      </c>
      <c r="AN51" s="14">
        <f>SUMIFS('Bill Credit Rates'!$K:$K,'Bill Credit Rates'!$A:$A,$A$4,'Bill Credit Rates'!$B:$B,$G51,'Bill Credit Rates'!$C:$C,$M51)</f>
        <v>80.56</v>
      </c>
      <c r="AP51" s="52">
        <v>2024</v>
      </c>
      <c r="AQ51" s="291">
        <v>56.27</v>
      </c>
      <c r="AR51" s="291">
        <v>56.27</v>
      </c>
      <c r="AS51" s="291">
        <v>56.27</v>
      </c>
      <c r="AT51" s="291">
        <v>56.27</v>
      </c>
      <c r="AU51" s="291">
        <v>56.27</v>
      </c>
      <c r="AV51" s="291">
        <v>56.27</v>
      </c>
      <c r="AW51" s="281">
        <v>56.27</v>
      </c>
      <c r="AX51" s="281">
        <v>56.27</v>
      </c>
      <c r="AY51" s="291">
        <v>56.27</v>
      </c>
      <c r="AZ51" s="291">
        <v>56.27</v>
      </c>
      <c r="BA51" s="291">
        <v>56.27</v>
      </c>
      <c r="BB51" s="291">
        <v>56.27</v>
      </c>
      <c r="BD51" s="52">
        <v>2024</v>
      </c>
      <c r="BE51" s="291">
        <v>32.82</v>
      </c>
      <c r="BF51" s="291">
        <v>32.82</v>
      </c>
      <c r="BG51" s="291">
        <v>32.82</v>
      </c>
      <c r="BH51" s="291">
        <v>32.82</v>
      </c>
      <c r="BI51" s="291">
        <v>32.82</v>
      </c>
      <c r="BJ51" s="291">
        <v>32.82</v>
      </c>
      <c r="BK51" s="281">
        <v>32.82</v>
      </c>
      <c r="BL51" s="281">
        <v>32.82</v>
      </c>
      <c r="BM51" s="291">
        <v>32.82</v>
      </c>
      <c r="BN51" s="291">
        <v>32.82</v>
      </c>
      <c r="BO51" s="291">
        <v>32.82</v>
      </c>
      <c r="BP51" s="291">
        <v>32.82</v>
      </c>
      <c r="BR51" s="52">
        <v>2024</v>
      </c>
      <c r="BS51" s="53">
        <f t="shared" si="41"/>
        <v>52.92</v>
      </c>
      <c r="BT51" s="53">
        <f t="shared" si="42"/>
        <v>52.92</v>
      </c>
      <c r="BU51" s="53">
        <f t="shared" si="43"/>
        <v>52.92</v>
      </c>
      <c r="BV51" s="53">
        <f t="shared" si="44"/>
        <v>52.92</v>
      </c>
      <c r="BW51" s="53">
        <f t="shared" si="45"/>
        <v>52.92</v>
      </c>
      <c r="BX51" s="53">
        <f t="shared" si="46"/>
        <v>52.92</v>
      </c>
      <c r="BY51" s="53">
        <f t="shared" si="47"/>
        <v>52.92</v>
      </c>
      <c r="BZ51" s="53">
        <f t="shared" si="48"/>
        <v>52.92</v>
      </c>
      <c r="CA51" s="53">
        <f t="shared" si="49"/>
        <v>52.92</v>
      </c>
      <c r="CB51" s="53">
        <f t="shared" si="50"/>
        <v>52.92</v>
      </c>
      <c r="CC51" s="53">
        <f t="shared" si="51"/>
        <v>52.92</v>
      </c>
      <c r="CD51" s="53">
        <f t="shared" si="52"/>
        <v>52.92</v>
      </c>
    </row>
    <row r="52" spans="1:82">
      <c r="A52" s="48">
        <v>2025</v>
      </c>
      <c r="B52" s="31" cm="1">
        <f t="array" ref="B52">IF(A52&lt;2021,0,SUMPRODUCT(('Project Operational Timelines'!$AO$20:$AO$49=$A52)*('Project Operational Timelines'!$AP$18:$AY$18=$A$4)*('Project Operational Timelines'!$AP$17:$AY$17=$G52)*'Project Operational Timelines'!$AP24:$AY24))</f>
        <v>2.95</v>
      </c>
      <c r="C52" s="84">
        <f t="shared" si="13"/>
        <v>584.12682041666676</v>
      </c>
      <c r="D52" s="89">
        <f t="shared" si="27"/>
        <v>233467.96</v>
      </c>
      <c r="E52" s="89"/>
      <c r="F52" s="89">
        <f>-B52*1000*('Program Inputs'!$D$14-'Program Inputs'!$D$6)*$F$4*12</f>
        <v>-14443.199999999999</v>
      </c>
      <c r="G52" s="335">
        <v>1</v>
      </c>
      <c r="H52" s="328">
        <f t="shared" si="28"/>
        <v>226930.86</v>
      </c>
      <c r="I52" s="69"/>
      <c r="J52" s="69"/>
      <c r="K52" s="104"/>
      <c r="L52" s="75"/>
      <c r="M52">
        <v>7</v>
      </c>
      <c r="N52" s="51">
        <v>2025</v>
      </c>
      <c r="O52" s="18">
        <f t="shared" si="29"/>
        <v>33.307258487437764</v>
      </c>
      <c r="P52" s="18">
        <f t="shared" si="30"/>
        <v>33.307258487437764</v>
      </c>
      <c r="Q52" s="18">
        <f t="shared" si="31"/>
        <v>33.307258487437764</v>
      </c>
      <c r="R52" s="18">
        <f t="shared" si="32"/>
        <v>33.307258487437764</v>
      </c>
      <c r="S52" s="18">
        <f t="shared" si="33"/>
        <v>33.307258487437764</v>
      </c>
      <c r="T52" s="18">
        <f t="shared" si="34"/>
        <v>33.307258487437764</v>
      </c>
      <c r="U52" s="18">
        <f t="shared" si="35"/>
        <v>33.307258487437764</v>
      </c>
      <c r="V52" s="18">
        <f t="shared" si="36"/>
        <v>33.307258487437764</v>
      </c>
      <c r="W52" s="18">
        <f t="shared" si="37"/>
        <v>33.307258487437764</v>
      </c>
      <c r="X52" s="18">
        <f t="shared" si="38"/>
        <v>33.307258487437764</v>
      </c>
      <c r="Y52" s="18">
        <f t="shared" si="39"/>
        <v>33.307258487437764</v>
      </c>
      <c r="Z52" s="18">
        <f t="shared" si="40"/>
        <v>33.307258487437764</v>
      </c>
      <c r="AA52" s="13"/>
      <c r="AB52" s="52">
        <v>2025</v>
      </c>
      <c r="AC52" s="14">
        <f>SUMIFS('Bill Credit Rates'!$K:$K,'Bill Credit Rates'!$A:$A,$A$4,'Bill Credit Rates'!$B:$B,$G52,'Bill Credit Rates'!$C:$C,$M52)</f>
        <v>80.56</v>
      </c>
      <c r="AD52" s="14">
        <f>SUMIFS('Bill Credit Rates'!$K:$K,'Bill Credit Rates'!$A:$A,$A$4,'Bill Credit Rates'!$B:$B,$G52,'Bill Credit Rates'!$C:$C,$M52)</f>
        <v>80.56</v>
      </c>
      <c r="AE52" s="14">
        <f>SUMIFS('Bill Credit Rates'!$K:$K,'Bill Credit Rates'!$A:$A,$A$4,'Bill Credit Rates'!$B:$B,$G52,'Bill Credit Rates'!$C:$C,$M52)</f>
        <v>80.56</v>
      </c>
      <c r="AF52" s="14">
        <f>SUMIFS('Bill Credit Rates'!$K:$K,'Bill Credit Rates'!$A:$A,$A$4,'Bill Credit Rates'!$B:$B,$G52,'Bill Credit Rates'!$C:$C,$M52)</f>
        <v>80.56</v>
      </c>
      <c r="AG52" s="14">
        <f>SUMIFS('Bill Credit Rates'!$K:$K,'Bill Credit Rates'!$A:$A,$A$4,'Bill Credit Rates'!$B:$B,$G52,'Bill Credit Rates'!$C:$C,$M52)</f>
        <v>80.56</v>
      </c>
      <c r="AH52" s="14">
        <f>SUMIFS('Bill Credit Rates'!$K:$K,'Bill Credit Rates'!$A:$A,$A$4,'Bill Credit Rates'!$B:$B,$G52,'Bill Credit Rates'!$C:$C,$M52)</f>
        <v>80.56</v>
      </c>
      <c r="AI52" s="14">
        <f>SUMIFS('Bill Credit Rates'!$K:$K,'Bill Credit Rates'!$A:$A,$A$4,'Bill Credit Rates'!$B:$B,$G52,'Bill Credit Rates'!$C:$C,$M52)</f>
        <v>80.56</v>
      </c>
      <c r="AJ52" s="14">
        <f>SUMIFS('Bill Credit Rates'!$K:$K,'Bill Credit Rates'!$A:$A,$A$4,'Bill Credit Rates'!$B:$B,$G52,'Bill Credit Rates'!$C:$C,$M52)</f>
        <v>80.56</v>
      </c>
      <c r="AK52" s="14">
        <f>SUMIFS('Bill Credit Rates'!$K:$K,'Bill Credit Rates'!$A:$A,$A$4,'Bill Credit Rates'!$B:$B,$G52,'Bill Credit Rates'!$C:$C,$M52)</f>
        <v>80.56</v>
      </c>
      <c r="AL52" s="14">
        <f>SUMIFS('Bill Credit Rates'!$K:$K,'Bill Credit Rates'!$A:$A,$A$4,'Bill Credit Rates'!$B:$B,$G52,'Bill Credit Rates'!$C:$C,$M52)</f>
        <v>80.56</v>
      </c>
      <c r="AM52" s="14">
        <f>SUMIFS('Bill Credit Rates'!$K:$K,'Bill Credit Rates'!$A:$A,$A$4,'Bill Credit Rates'!$B:$B,$G52,'Bill Credit Rates'!$C:$C,$M52)</f>
        <v>80.56</v>
      </c>
      <c r="AN52" s="14">
        <f>SUMIFS('Bill Credit Rates'!$K:$K,'Bill Credit Rates'!$A:$A,$A$4,'Bill Credit Rates'!$B:$B,$G52,'Bill Credit Rates'!$C:$C,$M52)</f>
        <v>80.56</v>
      </c>
      <c r="AP52" s="52">
        <v>2025</v>
      </c>
      <c r="AQ52" s="291">
        <v>48.675598655419378</v>
      </c>
      <c r="AR52" s="291">
        <v>48.675598655419378</v>
      </c>
      <c r="AS52" s="291">
        <v>48.675598655419378</v>
      </c>
      <c r="AT52" s="291">
        <v>48.675598655419378</v>
      </c>
      <c r="AU52" s="291">
        <v>48.675598655419378</v>
      </c>
      <c r="AV52" s="291">
        <v>48.675598655419378</v>
      </c>
      <c r="AW52" s="291">
        <v>48.675598655419378</v>
      </c>
      <c r="AX52" s="291">
        <v>48.675598655419378</v>
      </c>
      <c r="AY52" s="291">
        <v>48.675598655419378</v>
      </c>
      <c r="AZ52" s="291">
        <v>48.675598655419378</v>
      </c>
      <c r="BA52" s="291">
        <v>48.675598655419378</v>
      </c>
      <c r="BB52" s="291">
        <v>48.675598655419378</v>
      </c>
      <c r="BD52" s="52">
        <v>2025</v>
      </c>
      <c r="BE52" s="291">
        <v>38.715598655419377</v>
      </c>
      <c r="BF52" s="291">
        <v>38.715598655419377</v>
      </c>
      <c r="BG52" s="291">
        <v>38.715598655419377</v>
      </c>
      <c r="BH52" s="291">
        <v>38.715598655419377</v>
      </c>
      <c r="BI52" s="291">
        <v>38.715598655419377</v>
      </c>
      <c r="BJ52" s="291">
        <v>38.715598655419377</v>
      </c>
      <c r="BK52" s="291">
        <v>38.715598655419377</v>
      </c>
      <c r="BL52" s="291">
        <v>38.715598655419377</v>
      </c>
      <c r="BM52" s="291">
        <v>38.715598655419377</v>
      </c>
      <c r="BN52" s="291">
        <v>38.715598655419377</v>
      </c>
      <c r="BO52" s="291">
        <v>38.715598655419377</v>
      </c>
      <c r="BP52" s="291">
        <v>38.715598655419377</v>
      </c>
      <c r="BR52" s="52">
        <v>2025</v>
      </c>
      <c r="BS52" s="53">
        <f t="shared" si="41"/>
        <v>47.252741512562238</v>
      </c>
      <c r="BT52" s="53">
        <f t="shared" si="42"/>
        <v>47.252741512562238</v>
      </c>
      <c r="BU52" s="53">
        <f t="shared" si="43"/>
        <v>47.252741512562238</v>
      </c>
      <c r="BV52" s="53">
        <f t="shared" si="44"/>
        <v>47.252741512562238</v>
      </c>
      <c r="BW52" s="53">
        <f t="shared" si="45"/>
        <v>47.252741512562238</v>
      </c>
      <c r="BX52" s="53">
        <f t="shared" si="46"/>
        <v>47.252741512562238</v>
      </c>
      <c r="BY52" s="53">
        <f t="shared" si="47"/>
        <v>47.252741512562238</v>
      </c>
      <c r="BZ52" s="53">
        <f t="shared" si="48"/>
        <v>47.252741512562238</v>
      </c>
      <c r="CA52" s="53">
        <f t="shared" si="49"/>
        <v>47.252741512562238</v>
      </c>
      <c r="CB52" s="53">
        <f t="shared" si="50"/>
        <v>47.252741512562238</v>
      </c>
      <c r="CC52" s="53">
        <f t="shared" si="51"/>
        <v>47.252741512562238</v>
      </c>
      <c r="CD52" s="53">
        <f t="shared" si="52"/>
        <v>47.252741512562238</v>
      </c>
    </row>
    <row r="53" spans="1:82">
      <c r="A53" s="48">
        <v>2026</v>
      </c>
      <c r="B53" s="31" cm="1">
        <f t="array" ref="B53">IF(A53&lt;2021,0,SUMPRODUCT(('Project Operational Timelines'!$AO$20:$AO$49=$A53)*('Project Operational Timelines'!$AP$18:$AY$18=$A$4)*('Project Operational Timelines'!$AP$17:$AY$17=$G53)*'Project Operational Timelines'!$AP25:$AY25))</f>
        <v>2.95</v>
      </c>
      <c r="C53" s="84">
        <f t="shared" si="13"/>
        <v>584.12682041666676</v>
      </c>
      <c r="D53" s="89">
        <f t="shared" si="27"/>
        <v>159143.22</v>
      </c>
      <c r="E53" s="89"/>
      <c r="F53" s="89">
        <f>-B53*1000*('Program Inputs'!$D$14-'Program Inputs'!$D$6)*$F$4*12</f>
        <v>-14443.199999999999</v>
      </c>
      <c r="G53" s="335">
        <v>1</v>
      </c>
      <c r="H53" s="328">
        <f t="shared" si="28"/>
        <v>150355.97</v>
      </c>
      <c r="I53" s="69"/>
      <c r="J53" s="69"/>
      <c r="K53" s="104"/>
      <c r="L53" s="75"/>
      <c r="M53">
        <v>8</v>
      </c>
      <c r="N53" s="51">
        <v>2026</v>
      </c>
      <c r="O53" s="18">
        <f t="shared" si="29"/>
        <v>22.70386257550598</v>
      </c>
      <c r="P53" s="18">
        <f t="shared" si="30"/>
        <v>22.70386257550598</v>
      </c>
      <c r="Q53" s="18">
        <f t="shared" si="31"/>
        <v>22.70386257550598</v>
      </c>
      <c r="R53" s="18">
        <f t="shared" si="32"/>
        <v>22.70386257550598</v>
      </c>
      <c r="S53" s="18">
        <f t="shared" si="33"/>
        <v>22.70386257550598</v>
      </c>
      <c r="T53" s="18">
        <f t="shared" si="34"/>
        <v>22.70386257550598</v>
      </c>
      <c r="U53" s="18">
        <f t="shared" si="35"/>
        <v>22.70386257550598</v>
      </c>
      <c r="V53" s="18">
        <f t="shared" si="36"/>
        <v>22.70386257550598</v>
      </c>
      <c r="W53" s="18">
        <f t="shared" si="37"/>
        <v>22.70386257550598</v>
      </c>
      <c r="X53" s="18">
        <f t="shared" si="38"/>
        <v>22.70386257550598</v>
      </c>
      <c r="Y53" s="18">
        <f t="shared" si="39"/>
        <v>22.70386257550598</v>
      </c>
      <c r="Z53" s="18">
        <f t="shared" si="40"/>
        <v>22.70386257550598</v>
      </c>
      <c r="AA53" s="13"/>
      <c r="AB53" s="52">
        <v>2026</v>
      </c>
      <c r="AC53" s="14">
        <f>SUMIFS('Bill Credit Rates'!$K:$K,'Bill Credit Rates'!$A:$A,$A$4,'Bill Credit Rates'!$B:$B,$G53,'Bill Credit Rates'!$C:$C,$M53)</f>
        <v>80.56</v>
      </c>
      <c r="AD53" s="14">
        <f>SUMIFS('Bill Credit Rates'!$K:$K,'Bill Credit Rates'!$A:$A,$A$4,'Bill Credit Rates'!$B:$B,$G53,'Bill Credit Rates'!$C:$C,$M53)</f>
        <v>80.56</v>
      </c>
      <c r="AE53" s="14">
        <f>SUMIFS('Bill Credit Rates'!$K:$K,'Bill Credit Rates'!$A:$A,$A$4,'Bill Credit Rates'!$B:$B,$G53,'Bill Credit Rates'!$C:$C,$M53)</f>
        <v>80.56</v>
      </c>
      <c r="AF53" s="14">
        <f>SUMIFS('Bill Credit Rates'!$K:$K,'Bill Credit Rates'!$A:$A,$A$4,'Bill Credit Rates'!$B:$B,$G53,'Bill Credit Rates'!$C:$C,$M53)</f>
        <v>80.56</v>
      </c>
      <c r="AG53" s="14">
        <f>SUMIFS('Bill Credit Rates'!$K:$K,'Bill Credit Rates'!$A:$A,$A$4,'Bill Credit Rates'!$B:$B,$G53,'Bill Credit Rates'!$C:$C,$M53)</f>
        <v>80.56</v>
      </c>
      <c r="AH53" s="14">
        <f>SUMIFS('Bill Credit Rates'!$K:$K,'Bill Credit Rates'!$A:$A,$A$4,'Bill Credit Rates'!$B:$B,$G53,'Bill Credit Rates'!$C:$C,$M53)</f>
        <v>80.56</v>
      </c>
      <c r="AI53" s="14">
        <f>SUMIFS('Bill Credit Rates'!$K:$K,'Bill Credit Rates'!$A:$A,$A$4,'Bill Credit Rates'!$B:$B,$G53,'Bill Credit Rates'!$C:$C,$M53)</f>
        <v>80.56</v>
      </c>
      <c r="AJ53" s="14">
        <f>SUMIFS('Bill Credit Rates'!$K:$K,'Bill Credit Rates'!$A:$A,$A$4,'Bill Credit Rates'!$B:$B,$G53,'Bill Credit Rates'!$C:$C,$M53)</f>
        <v>80.56</v>
      </c>
      <c r="AK53" s="14">
        <f>SUMIFS('Bill Credit Rates'!$K:$K,'Bill Credit Rates'!$A:$A,$A$4,'Bill Credit Rates'!$B:$B,$G53,'Bill Credit Rates'!$C:$C,$M53)</f>
        <v>80.56</v>
      </c>
      <c r="AL53" s="14">
        <f>SUMIFS('Bill Credit Rates'!$K:$K,'Bill Credit Rates'!$A:$A,$A$4,'Bill Credit Rates'!$B:$B,$G53,'Bill Credit Rates'!$C:$C,$M53)</f>
        <v>80.56</v>
      </c>
      <c r="AM53" s="14">
        <f>SUMIFS('Bill Credit Rates'!$K:$K,'Bill Credit Rates'!$A:$A,$A$4,'Bill Credit Rates'!$B:$B,$G53,'Bill Credit Rates'!$C:$C,$M53)</f>
        <v>80.56</v>
      </c>
      <c r="AN53" s="14">
        <f>SUMIFS('Bill Credit Rates'!$K:$K,'Bill Credit Rates'!$A:$A,$A$4,'Bill Credit Rates'!$B:$B,$G53,'Bill Credit Rates'!$C:$C,$M53)</f>
        <v>80.56</v>
      </c>
      <c r="AP53" s="52">
        <v>2026</v>
      </c>
      <c r="AQ53" s="291">
        <v>61.116137424494021</v>
      </c>
      <c r="AR53" s="291">
        <v>61.116137424494021</v>
      </c>
      <c r="AS53" s="291">
        <v>61.116137424494021</v>
      </c>
      <c r="AT53" s="291">
        <v>61.116137424494021</v>
      </c>
      <c r="AU53" s="291">
        <v>61.116137424494021</v>
      </c>
      <c r="AV53" s="291">
        <v>61.116137424494021</v>
      </c>
      <c r="AW53" s="291">
        <v>61.116137424494021</v>
      </c>
      <c r="AX53" s="291">
        <v>61.116137424494021</v>
      </c>
      <c r="AY53" s="291">
        <v>61.116137424494021</v>
      </c>
      <c r="AZ53" s="291">
        <v>61.116137424494021</v>
      </c>
      <c r="BA53" s="291">
        <v>61.116137424494021</v>
      </c>
      <c r="BB53" s="291">
        <v>61.116137424494021</v>
      </c>
      <c r="BD53" s="52">
        <v>2026</v>
      </c>
      <c r="BE53" s="291">
        <v>38.296137424494027</v>
      </c>
      <c r="BF53" s="291">
        <v>38.296137424494027</v>
      </c>
      <c r="BG53" s="291">
        <v>38.296137424494027</v>
      </c>
      <c r="BH53" s="291">
        <v>38.296137424494027</v>
      </c>
      <c r="BI53" s="291">
        <v>38.296137424494027</v>
      </c>
      <c r="BJ53" s="291">
        <v>38.296137424494027</v>
      </c>
      <c r="BK53" s="291">
        <v>38.296137424494027</v>
      </c>
      <c r="BL53" s="291">
        <v>38.296137424494027</v>
      </c>
      <c r="BM53" s="291">
        <v>38.296137424494027</v>
      </c>
      <c r="BN53" s="291">
        <v>38.296137424494027</v>
      </c>
      <c r="BO53" s="291">
        <v>38.296137424494027</v>
      </c>
      <c r="BP53" s="291">
        <v>38.296137424494027</v>
      </c>
      <c r="BR53" s="52">
        <v>2026</v>
      </c>
      <c r="BS53" s="53">
        <f t="shared" si="41"/>
        <v>57.856137424494023</v>
      </c>
      <c r="BT53" s="53">
        <f t="shared" si="42"/>
        <v>57.856137424494023</v>
      </c>
      <c r="BU53" s="53">
        <f t="shared" si="43"/>
        <v>57.856137424494023</v>
      </c>
      <c r="BV53" s="53">
        <f t="shared" si="44"/>
        <v>57.856137424494023</v>
      </c>
      <c r="BW53" s="53">
        <f t="shared" si="45"/>
        <v>57.856137424494023</v>
      </c>
      <c r="BX53" s="53">
        <f t="shared" si="46"/>
        <v>57.856137424494023</v>
      </c>
      <c r="BY53" s="53">
        <f t="shared" si="47"/>
        <v>57.856137424494023</v>
      </c>
      <c r="BZ53" s="53">
        <f t="shared" si="48"/>
        <v>57.856137424494023</v>
      </c>
      <c r="CA53" s="53">
        <f t="shared" si="49"/>
        <v>57.856137424494023</v>
      </c>
      <c r="CB53" s="53">
        <f t="shared" si="50"/>
        <v>57.856137424494023</v>
      </c>
      <c r="CC53" s="53">
        <f t="shared" si="51"/>
        <v>57.856137424494023</v>
      </c>
      <c r="CD53" s="53">
        <f t="shared" si="52"/>
        <v>57.856137424494023</v>
      </c>
    </row>
    <row r="54" spans="1:82">
      <c r="A54" s="48">
        <v>2027</v>
      </c>
      <c r="B54" s="31" cm="1">
        <f t="array" ref="B54">IF(A54&lt;2021,0,SUMPRODUCT(('Project Operational Timelines'!$AO$20:$AO$49=$A54)*('Project Operational Timelines'!$AP$18:$AY$18=$A$4)*('Project Operational Timelines'!$AP$17:$AY$17=$G54)*'Project Operational Timelines'!$AP26:$AY26))</f>
        <v>2.95</v>
      </c>
      <c r="C54" s="84">
        <f t="shared" si="13"/>
        <v>584.12682041666676</v>
      </c>
      <c r="D54" s="89">
        <f t="shared" si="27"/>
        <v>148881.51999999999</v>
      </c>
      <c r="E54" s="89"/>
      <c r="F54" s="89">
        <f>-B54*1000*('Program Inputs'!$D$14-'Program Inputs'!$D$6)*$F$4*12</f>
        <v>-14443.199999999999</v>
      </c>
      <c r="G54" s="335">
        <v>1</v>
      </c>
      <c r="H54" s="328">
        <f t="shared" si="28"/>
        <v>136722.37</v>
      </c>
      <c r="I54" s="69"/>
      <c r="J54" s="69"/>
      <c r="K54" s="104"/>
      <c r="L54" s="75"/>
      <c r="M54">
        <v>9</v>
      </c>
      <c r="N54" s="51">
        <v>2027</v>
      </c>
      <c r="O54" s="18">
        <f t="shared" si="29"/>
        <v>21.239897129028321</v>
      </c>
      <c r="P54" s="18">
        <f t="shared" si="30"/>
        <v>21.239897129028321</v>
      </c>
      <c r="Q54" s="18">
        <f t="shared" si="31"/>
        <v>21.239897129028321</v>
      </c>
      <c r="R54" s="18">
        <f t="shared" si="32"/>
        <v>21.239897129028321</v>
      </c>
      <c r="S54" s="18">
        <f t="shared" si="33"/>
        <v>21.239897129028321</v>
      </c>
      <c r="T54" s="18">
        <f t="shared" si="34"/>
        <v>21.239897129028321</v>
      </c>
      <c r="U54" s="18">
        <f t="shared" si="35"/>
        <v>21.239897129028321</v>
      </c>
      <c r="V54" s="18">
        <f t="shared" si="36"/>
        <v>21.239897129028321</v>
      </c>
      <c r="W54" s="18">
        <f t="shared" si="37"/>
        <v>21.239897129028321</v>
      </c>
      <c r="X54" s="18">
        <f t="shared" si="38"/>
        <v>21.239897129028321</v>
      </c>
      <c r="Y54" s="18">
        <f t="shared" si="39"/>
        <v>21.239897129028321</v>
      </c>
      <c r="Z54" s="18">
        <f t="shared" si="40"/>
        <v>21.239897129028321</v>
      </c>
      <c r="AA54" s="13"/>
      <c r="AB54" s="52">
        <v>2027</v>
      </c>
      <c r="AC54" s="14">
        <f>SUMIFS('Bill Credit Rates'!$K:$K,'Bill Credit Rates'!$A:$A,$A$4,'Bill Credit Rates'!$B:$B,$G54,'Bill Credit Rates'!$C:$C,$M54)</f>
        <v>80.56</v>
      </c>
      <c r="AD54" s="14">
        <f>SUMIFS('Bill Credit Rates'!$K:$K,'Bill Credit Rates'!$A:$A,$A$4,'Bill Credit Rates'!$B:$B,$G54,'Bill Credit Rates'!$C:$C,$M54)</f>
        <v>80.56</v>
      </c>
      <c r="AE54" s="14">
        <f>SUMIFS('Bill Credit Rates'!$K:$K,'Bill Credit Rates'!$A:$A,$A$4,'Bill Credit Rates'!$B:$B,$G54,'Bill Credit Rates'!$C:$C,$M54)</f>
        <v>80.56</v>
      </c>
      <c r="AF54" s="14">
        <f>SUMIFS('Bill Credit Rates'!$K:$K,'Bill Credit Rates'!$A:$A,$A$4,'Bill Credit Rates'!$B:$B,$G54,'Bill Credit Rates'!$C:$C,$M54)</f>
        <v>80.56</v>
      </c>
      <c r="AG54" s="14">
        <f>SUMIFS('Bill Credit Rates'!$K:$K,'Bill Credit Rates'!$A:$A,$A$4,'Bill Credit Rates'!$B:$B,$G54,'Bill Credit Rates'!$C:$C,$M54)</f>
        <v>80.56</v>
      </c>
      <c r="AH54" s="14">
        <f>SUMIFS('Bill Credit Rates'!$K:$K,'Bill Credit Rates'!$A:$A,$A$4,'Bill Credit Rates'!$B:$B,$G54,'Bill Credit Rates'!$C:$C,$M54)</f>
        <v>80.56</v>
      </c>
      <c r="AI54" s="14">
        <f>SUMIFS('Bill Credit Rates'!$K:$K,'Bill Credit Rates'!$A:$A,$A$4,'Bill Credit Rates'!$B:$B,$G54,'Bill Credit Rates'!$C:$C,$M54)</f>
        <v>80.56</v>
      </c>
      <c r="AJ54" s="14">
        <f>SUMIFS('Bill Credit Rates'!$K:$K,'Bill Credit Rates'!$A:$A,$A$4,'Bill Credit Rates'!$B:$B,$G54,'Bill Credit Rates'!$C:$C,$M54)</f>
        <v>80.56</v>
      </c>
      <c r="AK54" s="14">
        <f>SUMIFS('Bill Credit Rates'!$K:$K,'Bill Credit Rates'!$A:$A,$A$4,'Bill Credit Rates'!$B:$B,$G54,'Bill Credit Rates'!$C:$C,$M54)</f>
        <v>80.56</v>
      </c>
      <c r="AL54" s="14">
        <f>SUMIFS('Bill Credit Rates'!$K:$K,'Bill Credit Rates'!$A:$A,$A$4,'Bill Credit Rates'!$B:$B,$G54,'Bill Credit Rates'!$C:$C,$M54)</f>
        <v>80.56</v>
      </c>
      <c r="AM54" s="14">
        <f>SUMIFS('Bill Credit Rates'!$K:$K,'Bill Credit Rates'!$A:$A,$A$4,'Bill Credit Rates'!$B:$B,$G54,'Bill Credit Rates'!$C:$C,$M54)</f>
        <v>80.56</v>
      </c>
      <c r="AN54" s="14">
        <f>SUMIFS('Bill Credit Rates'!$K:$K,'Bill Credit Rates'!$A:$A,$A$4,'Bill Credit Rates'!$B:$B,$G54,'Bill Credit Rates'!$C:$C,$M54)</f>
        <v>80.56</v>
      </c>
      <c r="AP54" s="52">
        <v>2027</v>
      </c>
      <c r="AQ54" s="291">
        <v>62.664388585257385</v>
      </c>
      <c r="AR54" s="291">
        <v>62.664388585257385</v>
      </c>
      <c r="AS54" s="291">
        <v>62.664388585257385</v>
      </c>
      <c r="AT54" s="291">
        <v>62.664388585257385</v>
      </c>
      <c r="AU54" s="291">
        <v>62.664388585257385</v>
      </c>
      <c r="AV54" s="291">
        <v>62.664388585257385</v>
      </c>
      <c r="AW54" s="291">
        <v>62.664388585257385</v>
      </c>
      <c r="AX54" s="291">
        <v>62.664388585257385</v>
      </c>
      <c r="AY54" s="291">
        <v>62.664388585257385</v>
      </c>
      <c r="AZ54" s="291">
        <v>62.664388585257385</v>
      </c>
      <c r="BA54" s="291">
        <v>62.664388585257385</v>
      </c>
      <c r="BB54" s="291">
        <v>62.664388585257385</v>
      </c>
      <c r="BD54" s="52">
        <v>2027</v>
      </c>
      <c r="BE54" s="291">
        <v>39.254388585257388</v>
      </c>
      <c r="BF54" s="291">
        <v>39.254388585257388</v>
      </c>
      <c r="BG54" s="291">
        <v>39.254388585257388</v>
      </c>
      <c r="BH54" s="291">
        <v>39.254388585257388</v>
      </c>
      <c r="BI54" s="291">
        <v>39.254388585257388</v>
      </c>
      <c r="BJ54" s="291">
        <v>39.254388585257388</v>
      </c>
      <c r="BK54" s="291">
        <v>39.254388585257388</v>
      </c>
      <c r="BL54" s="291">
        <v>39.254388585257388</v>
      </c>
      <c r="BM54" s="291">
        <v>39.254388585257388</v>
      </c>
      <c r="BN54" s="291">
        <v>39.254388585257388</v>
      </c>
      <c r="BO54" s="291">
        <v>39.254388585257388</v>
      </c>
      <c r="BP54" s="291">
        <v>39.254388585257388</v>
      </c>
      <c r="BR54" s="52">
        <v>2027</v>
      </c>
      <c r="BS54" s="53">
        <f t="shared" si="41"/>
        <v>59.320102870971681</v>
      </c>
      <c r="BT54" s="53">
        <f t="shared" si="42"/>
        <v>59.320102870971681</v>
      </c>
      <c r="BU54" s="53">
        <f t="shared" si="43"/>
        <v>59.320102870971681</v>
      </c>
      <c r="BV54" s="53">
        <f t="shared" si="44"/>
        <v>59.320102870971681</v>
      </c>
      <c r="BW54" s="53">
        <f t="shared" si="45"/>
        <v>59.320102870971681</v>
      </c>
      <c r="BX54" s="53">
        <f t="shared" si="46"/>
        <v>59.320102870971681</v>
      </c>
      <c r="BY54" s="53">
        <f t="shared" si="47"/>
        <v>59.320102870971681</v>
      </c>
      <c r="BZ54" s="53">
        <f t="shared" si="48"/>
        <v>59.320102870971681</v>
      </c>
      <c r="CA54" s="53">
        <f t="shared" si="49"/>
        <v>59.320102870971681</v>
      </c>
      <c r="CB54" s="53">
        <f t="shared" si="50"/>
        <v>59.320102870971681</v>
      </c>
      <c r="CC54" s="53">
        <f t="shared" si="51"/>
        <v>59.320102870971681</v>
      </c>
      <c r="CD54" s="53">
        <f t="shared" si="52"/>
        <v>59.320102870971681</v>
      </c>
    </row>
    <row r="55" spans="1:82">
      <c r="A55" s="48">
        <v>2028</v>
      </c>
      <c r="B55" s="31" cm="1">
        <f t="array" ref="B55">IF(A55&lt;2021,0,SUMPRODUCT(('Project Operational Timelines'!$AO$20:$AO$49=$A55)*('Project Operational Timelines'!$AP$18:$AY$18=$A$4)*('Project Operational Timelines'!$AP$17:$AY$17=$G55)*'Project Operational Timelines'!$AP27:$AY27))</f>
        <v>3.12</v>
      </c>
      <c r="C55" s="84">
        <f t="shared" si="13"/>
        <v>617.78836600000011</v>
      </c>
      <c r="D55" s="89">
        <f t="shared" si="27"/>
        <v>188458.53</v>
      </c>
      <c r="E55" s="89"/>
      <c r="F55" s="89">
        <f>-B55*1000*('Program Inputs'!$D$14-'Program Inputs'!$D$6)*$F$4*12</f>
        <v>-15275.52</v>
      </c>
      <c r="G55" s="335">
        <v>1</v>
      </c>
      <c r="H55" s="328">
        <f t="shared" si="28"/>
        <v>168221.25</v>
      </c>
      <c r="I55" s="69"/>
      <c r="J55" s="69"/>
      <c r="K55" s="104"/>
      <c r="L55" s="75"/>
      <c r="M55">
        <v>10</v>
      </c>
      <c r="N55" s="51">
        <v>2028</v>
      </c>
      <c r="O55" s="18">
        <f t="shared" si="29"/>
        <v>25.421129048710256</v>
      </c>
      <c r="P55" s="18">
        <f t="shared" si="30"/>
        <v>25.421129048710256</v>
      </c>
      <c r="Q55" s="18">
        <f t="shared" si="31"/>
        <v>25.421129048710256</v>
      </c>
      <c r="R55" s="18">
        <f t="shared" si="32"/>
        <v>25.421129048710256</v>
      </c>
      <c r="S55" s="18">
        <f t="shared" si="33"/>
        <v>25.421129048710256</v>
      </c>
      <c r="T55" s="18">
        <f t="shared" si="34"/>
        <v>25.421129048710256</v>
      </c>
      <c r="U55" s="18">
        <f t="shared" si="35"/>
        <v>25.421129048710256</v>
      </c>
      <c r="V55" s="18">
        <f t="shared" si="36"/>
        <v>25.421129048710256</v>
      </c>
      <c r="W55" s="18">
        <f t="shared" si="37"/>
        <v>25.421129048710256</v>
      </c>
      <c r="X55" s="18">
        <f t="shared" si="38"/>
        <v>25.421129048710256</v>
      </c>
      <c r="Y55" s="18">
        <f t="shared" si="39"/>
        <v>25.421129048710256</v>
      </c>
      <c r="Z55" s="18">
        <f t="shared" si="40"/>
        <v>25.421129048710256</v>
      </c>
      <c r="AA55" s="13"/>
      <c r="AB55" s="52">
        <v>2028</v>
      </c>
      <c r="AC55" s="14">
        <f>SUMIFS('Bill Credit Rates'!$K:$K,'Bill Credit Rates'!$A:$A,$A$4,'Bill Credit Rates'!$B:$B,$G55,'Bill Credit Rates'!$C:$C,$M55)</f>
        <v>80.56</v>
      </c>
      <c r="AD55" s="14">
        <f>SUMIFS('Bill Credit Rates'!$K:$K,'Bill Credit Rates'!$A:$A,$A$4,'Bill Credit Rates'!$B:$B,$G55,'Bill Credit Rates'!$C:$C,$M55)</f>
        <v>80.56</v>
      </c>
      <c r="AE55" s="14">
        <f>SUMIFS('Bill Credit Rates'!$K:$K,'Bill Credit Rates'!$A:$A,$A$4,'Bill Credit Rates'!$B:$B,$G55,'Bill Credit Rates'!$C:$C,$M55)</f>
        <v>80.56</v>
      </c>
      <c r="AF55" s="14">
        <f>SUMIFS('Bill Credit Rates'!$K:$K,'Bill Credit Rates'!$A:$A,$A$4,'Bill Credit Rates'!$B:$B,$G55,'Bill Credit Rates'!$C:$C,$M55)</f>
        <v>80.56</v>
      </c>
      <c r="AG55" s="14">
        <f>SUMIFS('Bill Credit Rates'!$K:$K,'Bill Credit Rates'!$A:$A,$A$4,'Bill Credit Rates'!$B:$B,$G55,'Bill Credit Rates'!$C:$C,$M55)</f>
        <v>80.56</v>
      </c>
      <c r="AH55" s="14">
        <f>SUMIFS('Bill Credit Rates'!$K:$K,'Bill Credit Rates'!$A:$A,$A$4,'Bill Credit Rates'!$B:$B,$G55,'Bill Credit Rates'!$C:$C,$M55)</f>
        <v>80.56</v>
      </c>
      <c r="AI55" s="14">
        <f>SUMIFS('Bill Credit Rates'!$K:$K,'Bill Credit Rates'!$A:$A,$A$4,'Bill Credit Rates'!$B:$B,$G55,'Bill Credit Rates'!$C:$C,$M55)</f>
        <v>80.56</v>
      </c>
      <c r="AJ55" s="14">
        <f>SUMIFS('Bill Credit Rates'!$K:$K,'Bill Credit Rates'!$A:$A,$A$4,'Bill Credit Rates'!$B:$B,$G55,'Bill Credit Rates'!$C:$C,$M55)</f>
        <v>80.56</v>
      </c>
      <c r="AK55" s="14">
        <f>SUMIFS('Bill Credit Rates'!$K:$K,'Bill Credit Rates'!$A:$A,$A$4,'Bill Credit Rates'!$B:$B,$G55,'Bill Credit Rates'!$C:$C,$M55)</f>
        <v>80.56</v>
      </c>
      <c r="AL55" s="14">
        <f>SUMIFS('Bill Credit Rates'!$K:$K,'Bill Credit Rates'!$A:$A,$A$4,'Bill Credit Rates'!$B:$B,$G55,'Bill Credit Rates'!$C:$C,$M55)</f>
        <v>80.56</v>
      </c>
      <c r="AM55" s="14">
        <f>SUMIFS('Bill Credit Rates'!$K:$K,'Bill Credit Rates'!$A:$A,$A$4,'Bill Credit Rates'!$B:$B,$G55,'Bill Credit Rates'!$C:$C,$M55)</f>
        <v>80.56</v>
      </c>
      <c r="AN55" s="14">
        <f>SUMIFS('Bill Credit Rates'!$K:$K,'Bill Credit Rates'!$A:$A,$A$4,'Bill Credit Rates'!$B:$B,$G55,'Bill Credit Rates'!$C:$C,$M55)</f>
        <v>80.56</v>
      </c>
      <c r="AP55" s="52">
        <v>2028</v>
      </c>
      <c r="AQ55" s="291">
        <v>58.570299522718315</v>
      </c>
      <c r="AR55" s="291">
        <v>58.570299522718315</v>
      </c>
      <c r="AS55" s="291">
        <v>58.570299522718315</v>
      </c>
      <c r="AT55" s="291">
        <v>58.570299522718315</v>
      </c>
      <c r="AU55" s="291">
        <v>58.570299522718315</v>
      </c>
      <c r="AV55" s="291">
        <v>58.570299522718315</v>
      </c>
      <c r="AW55" s="291">
        <v>58.570299522718315</v>
      </c>
      <c r="AX55" s="291">
        <v>58.570299522718315</v>
      </c>
      <c r="AY55" s="291">
        <v>58.570299522718315</v>
      </c>
      <c r="AZ55" s="291">
        <v>58.570299522718315</v>
      </c>
      <c r="BA55" s="291">
        <v>58.570299522718315</v>
      </c>
      <c r="BB55" s="291">
        <v>58.570299522718315</v>
      </c>
      <c r="BD55" s="52">
        <v>2028</v>
      </c>
      <c r="BE55" s="291">
        <v>34.550299522718305</v>
      </c>
      <c r="BF55" s="291">
        <v>34.550299522718305</v>
      </c>
      <c r="BG55" s="291">
        <v>34.550299522718305</v>
      </c>
      <c r="BH55" s="291">
        <v>34.550299522718305</v>
      </c>
      <c r="BI55" s="291">
        <v>34.550299522718305</v>
      </c>
      <c r="BJ55" s="291">
        <v>34.550299522718305</v>
      </c>
      <c r="BK55" s="291">
        <v>34.550299522718305</v>
      </c>
      <c r="BL55" s="291">
        <v>34.550299522718305</v>
      </c>
      <c r="BM55" s="291">
        <v>34.550299522718305</v>
      </c>
      <c r="BN55" s="291">
        <v>34.550299522718305</v>
      </c>
      <c r="BO55" s="291">
        <v>34.550299522718305</v>
      </c>
      <c r="BP55" s="291">
        <v>34.550299522718305</v>
      </c>
      <c r="BR55" s="52">
        <v>2028</v>
      </c>
      <c r="BS55" s="53">
        <f t="shared" si="41"/>
        <v>55.138870951289746</v>
      </c>
      <c r="BT55" s="53">
        <f t="shared" si="42"/>
        <v>55.138870951289746</v>
      </c>
      <c r="BU55" s="53">
        <f t="shared" si="43"/>
        <v>55.138870951289746</v>
      </c>
      <c r="BV55" s="53">
        <f t="shared" si="44"/>
        <v>55.138870951289746</v>
      </c>
      <c r="BW55" s="53">
        <f t="shared" si="45"/>
        <v>55.138870951289746</v>
      </c>
      <c r="BX55" s="53">
        <f t="shared" si="46"/>
        <v>55.138870951289746</v>
      </c>
      <c r="BY55" s="53">
        <f t="shared" si="47"/>
        <v>55.138870951289746</v>
      </c>
      <c r="BZ55" s="53">
        <f t="shared" si="48"/>
        <v>55.138870951289746</v>
      </c>
      <c r="CA55" s="53">
        <f t="shared" si="49"/>
        <v>55.138870951289746</v>
      </c>
      <c r="CB55" s="53">
        <f t="shared" si="50"/>
        <v>55.138870951289746</v>
      </c>
      <c r="CC55" s="53">
        <f t="shared" si="51"/>
        <v>55.138870951289746</v>
      </c>
      <c r="CD55" s="53">
        <f t="shared" si="52"/>
        <v>55.138870951289746</v>
      </c>
    </row>
    <row r="56" spans="1:82">
      <c r="A56" s="48">
        <v>2029</v>
      </c>
      <c r="B56" s="31" cm="1">
        <f t="array" ref="B56">IF(A56&lt;2021,0,SUMPRODUCT(('Project Operational Timelines'!$AO$20:$AO$49=$A56)*('Project Operational Timelines'!$AP$18:$AY$18=$A$4)*('Project Operational Timelines'!$AP$17:$AY$17=$G56)*'Project Operational Timelines'!$AP28:$AY28))</f>
        <v>3.2800000000000002</v>
      </c>
      <c r="C56" s="84">
        <f t="shared" si="13"/>
        <v>649.46982066666681</v>
      </c>
      <c r="D56" s="89">
        <f t="shared" si="27"/>
        <v>238845.26</v>
      </c>
      <c r="E56" s="89"/>
      <c r="F56" s="89">
        <f>-B56*1000*('Program Inputs'!$D$14-'Program Inputs'!$D$6)*$F$4*12</f>
        <v>-16058.880000000003</v>
      </c>
      <c r="G56" s="335">
        <v>1</v>
      </c>
      <c r="H56" s="328">
        <f t="shared" si="28"/>
        <v>207227.77</v>
      </c>
      <c r="I56" s="69"/>
      <c r="J56" s="69"/>
      <c r="K56" s="104"/>
      <c r="L56" s="75"/>
      <c r="M56">
        <v>11</v>
      </c>
      <c r="N56" s="51">
        <v>2029</v>
      </c>
      <c r="O56" s="18">
        <f t="shared" si="29"/>
        <v>30.64618358825917</v>
      </c>
      <c r="P56" s="18">
        <f t="shared" si="30"/>
        <v>30.64618358825917</v>
      </c>
      <c r="Q56" s="18">
        <f t="shared" si="31"/>
        <v>30.64618358825917</v>
      </c>
      <c r="R56" s="18">
        <f t="shared" si="32"/>
        <v>30.64618358825917</v>
      </c>
      <c r="S56" s="18">
        <f t="shared" si="33"/>
        <v>30.64618358825917</v>
      </c>
      <c r="T56" s="18">
        <f t="shared" si="34"/>
        <v>30.64618358825917</v>
      </c>
      <c r="U56" s="18">
        <f t="shared" si="35"/>
        <v>30.64618358825917</v>
      </c>
      <c r="V56" s="18">
        <f t="shared" si="36"/>
        <v>30.64618358825917</v>
      </c>
      <c r="W56" s="18">
        <f t="shared" si="37"/>
        <v>30.64618358825917</v>
      </c>
      <c r="X56" s="18">
        <f t="shared" si="38"/>
        <v>30.64618358825917</v>
      </c>
      <c r="Y56" s="18">
        <f t="shared" si="39"/>
        <v>30.64618358825917</v>
      </c>
      <c r="Z56" s="18">
        <f t="shared" si="40"/>
        <v>30.64618358825917</v>
      </c>
      <c r="AA56" s="13"/>
      <c r="AB56" s="52">
        <v>2029</v>
      </c>
      <c r="AC56" s="14">
        <f>SUMIFS('Bill Credit Rates'!$K:$K,'Bill Credit Rates'!$A:$A,$A$4,'Bill Credit Rates'!$B:$B,$G56,'Bill Credit Rates'!$C:$C,$M56)</f>
        <v>80.56</v>
      </c>
      <c r="AD56" s="14">
        <f>SUMIFS('Bill Credit Rates'!$K:$K,'Bill Credit Rates'!$A:$A,$A$4,'Bill Credit Rates'!$B:$B,$G56,'Bill Credit Rates'!$C:$C,$M56)</f>
        <v>80.56</v>
      </c>
      <c r="AE56" s="14">
        <f>SUMIFS('Bill Credit Rates'!$K:$K,'Bill Credit Rates'!$A:$A,$A$4,'Bill Credit Rates'!$B:$B,$G56,'Bill Credit Rates'!$C:$C,$M56)</f>
        <v>80.56</v>
      </c>
      <c r="AF56" s="14">
        <f>SUMIFS('Bill Credit Rates'!$K:$K,'Bill Credit Rates'!$A:$A,$A$4,'Bill Credit Rates'!$B:$B,$G56,'Bill Credit Rates'!$C:$C,$M56)</f>
        <v>80.56</v>
      </c>
      <c r="AG56" s="14">
        <f>SUMIFS('Bill Credit Rates'!$K:$K,'Bill Credit Rates'!$A:$A,$A$4,'Bill Credit Rates'!$B:$B,$G56,'Bill Credit Rates'!$C:$C,$M56)</f>
        <v>80.56</v>
      </c>
      <c r="AH56" s="14">
        <f>SUMIFS('Bill Credit Rates'!$K:$K,'Bill Credit Rates'!$A:$A,$A$4,'Bill Credit Rates'!$B:$B,$G56,'Bill Credit Rates'!$C:$C,$M56)</f>
        <v>80.56</v>
      </c>
      <c r="AI56" s="14">
        <f>SUMIFS('Bill Credit Rates'!$K:$K,'Bill Credit Rates'!$A:$A,$A$4,'Bill Credit Rates'!$B:$B,$G56,'Bill Credit Rates'!$C:$C,$M56)</f>
        <v>80.56</v>
      </c>
      <c r="AJ56" s="14">
        <f>SUMIFS('Bill Credit Rates'!$K:$K,'Bill Credit Rates'!$A:$A,$A$4,'Bill Credit Rates'!$B:$B,$G56,'Bill Credit Rates'!$C:$C,$M56)</f>
        <v>80.56</v>
      </c>
      <c r="AK56" s="14">
        <f>SUMIFS('Bill Credit Rates'!$K:$K,'Bill Credit Rates'!$A:$A,$A$4,'Bill Credit Rates'!$B:$B,$G56,'Bill Credit Rates'!$C:$C,$M56)</f>
        <v>80.56</v>
      </c>
      <c r="AL56" s="14">
        <f>SUMIFS('Bill Credit Rates'!$K:$K,'Bill Credit Rates'!$A:$A,$A$4,'Bill Credit Rates'!$B:$B,$G56,'Bill Credit Rates'!$C:$C,$M56)</f>
        <v>80.56</v>
      </c>
      <c r="AM56" s="14">
        <f>SUMIFS('Bill Credit Rates'!$K:$K,'Bill Credit Rates'!$A:$A,$A$4,'Bill Credit Rates'!$B:$B,$G56,'Bill Credit Rates'!$C:$C,$M56)</f>
        <v>80.56</v>
      </c>
      <c r="AN56" s="14">
        <f>SUMIFS('Bill Credit Rates'!$K:$K,'Bill Credit Rates'!$A:$A,$A$4,'Bill Credit Rates'!$B:$B,$G56,'Bill Credit Rates'!$C:$C,$M56)</f>
        <v>80.56</v>
      </c>
      <c r="AP56" s="52">
        <v>2029</v>
      </c>
      <c r="AQ56" s="291">
        <v>53.433816411740835</v>
      </c>
      <c r="AR56" s="291">
        <v>53.433816411740835</v>
      </c>
      <c r="AS56" s="291">
        <v>53.433816411740835</v>
      </c>
      <c r="AT56" s="291">
        <v>53.433816411740835</v>
      </c>
      <c r="AU56" s="291">
        <v>53.433816411740835</v>
      </c>
      <c r="AV56" s="291">
        <v>53.433816411740835</v>
      </c>
      <c r="AW56" s="291">
        <v>53.433816411740835</v>
      </c>
      <c r="AX56" s="291">
        <v>53.433816411740835</v>
      </c>
      <c r="AY56" s="291">
        <v>53.433816411740835</v>
      </c>
      <c r="AZ56" s="291">
        <v>53.433816411740835</v>
      </c>
      <c r="BA56" s="291">
        <v>53.433816411740835</v>
      </c>
      <c r="BB56" s="291">
        <v>53.433816411740835</v>
      </c>
      <c r="BD56" s="52">
        <v>2029</v>
      </c>
      <c r="BE56" s="291">
        <v>28.793816411740831</v>
      </c>
      <c r="BF56" s="291">
        <v>28.793816411740831</v>
      </c>
      <c r="BG56" s="291">
        <v>28.793816411740831</v>
      </c>
      <c r="BH56" s="291">
        <v>28.793816411740831</v>
      </c>
      <c r="BI56" s="291">
        <v>28.793816411740831</v>
      </c>
      <c r="BJ56" s="291">
        <v>28.793816411740831</v>
      </c>
      <c r="BK56" s="291">
        <v>28.793816411740831</v>
      </c>
      <c r="BL56" s="291">
        <v>28.793816411740831</v>
      </c>
      <c r="BM56" s="291">
        <v>28.793816411740831</v>
      </c>
      <c r="BN56" s="291">
        <v>28.793816411740831</v>
      </c>
      <c r="BO56" s="291">
        <v>28.793816411740831</v>
      </c>
      <c r="BP56" s="291">
        <v>28.793816411740831</v>
      </c>
      <c r="BR56" s="52">
        <v>2029</v>
      </c>
      <c r="BS56" s="53">
        <f t="shared" si="41"/>
        <v>49.913816411740832</v>
      </c>
      <c r="BT56" s="53">
        <f t="shared" si="42"/>
        <v>49.913816411740832</v>
      </c>
      <c r="BU56" s="53">
        <f t="shared" si="43"/>
        <v>49.913816411740832</v>
      </c>
      <c r="BV56" s="53">
        <f t="shared" si="44"/>
        <v>49.913816411740832</v>
      </c>
      <c r="BW56" s="53">
        <f t="shared" si="45"/>
        <v>49.913816411740832</v>
      </c>
      <c r="BX56" s="53">
        <f t="shared" si="46"/>
        <v>49.913816411740832</v>
      </c>
      <c r="BY56" s="53">
        <f t="shared" si="47"/>
        <v>49.913816411740832</v>
      </c>
      <c r="BZ56" s="53">
        <f t="shared" si="48"/>
        <v>49.913816411740832</v>
      </c>
      <c r="CA56" s="53">
        <f t="shared" si="49"/>
        <v>49.913816411740832</v>
      </c>
      <c r="CB56" s="53">
        <f t="shared" si="50"/>
        <v>49.913816411740832</v>
      </c>
      <c r="CC56" s="53">
        <f t="shared" si="51"/>
        <v>49.913816411740832</v>
      </c>
      <c r="CD56" s="53">
        <f t="shared" si="52"/>
        <v>49.913816411740832</v>
      </c>
    </row>
    <row r="57" spans="1:82">
      <c r="A57" s="48">
        <v>2030</v>
      </c>
      <c r="B57" s="31" cm="1">
        <f t="array" ref="B57">IF(A57&lt;2021,0,SUMPRODUCT(('Project Operational Timelines'!$AO$20:$AO$49=$A57)*('Project Operational Timelines'!$AP$18:$AY$18=$A$4)*('Project Operational Timelines'!$AP$17:$AY$17=$G57)*'Project Operational Timelines'!$AP29:$AY29))</f>
        <v>3.2800000000000002</v>
      </c>
      <c r="C57" s="84">
        <f t="shared" si="13"/>
        <v>649.46982066666681</v>
      </c>
      <c r="D57" s="89">
        <f t="shared" si="27"/>
        <v>256239.01</v>
      </c>
      <c r="E57" s="89"/>
      <c r="F57" s="89">
        <f>-B57*1000*('Program Inputs'!$D$14-'Program Inputs'!$D$6)*$F$4*12</f>
        <v>-16058.880000000003</v>
      </c>
      <c r="G57" s="335">
        <v>1</v>
      </c>
      <c r="H57" s="328">
        <f t="shared" si="28"/>
        <v>216094.06</v>
      </c>
      <c r="I57" s="69"/>
      <c r="J57" s="69"/>
      <c r="K57" s="104"/>
      <c r="L57" s="75"/>
      <c r="M57">
        <v>12</v>
      </c>
      <c r="N57" s="15">
        <v>2030</v>
      </c>
      <c r="O57" s="18">
        <f t="shared" si="29"/>
        <v>32.877972953646278</v>
      </c>
      <c r="P57" s="18">
        <f t="shared" si="30"/>
        <v>32.877972953646278</v>
      </c>
      <c r="Q57" s="18">
        <f t="shared" si="31"/>
        <v>32.877972953646278</v>
      </c>
      <c r="R57" s="18">
        <f t="shared" si="32"/>
        <v>32.877972953646278</v>
      </c>
      <c r="S57" s="18">
        <f t="shared" si="33"/>
        <v>32.877972953646278</v>
      </c>
      <c r="T57" s="18">
        <f t="shared" si="34"/>
        <v>32.877972953646278</v>
      </c>
      <c r="U57" s="18">
        <f t="shared" si="35"/>
        <v>32.877972953646278</v>
      </c>
      <c r="V57" s="18">
        <f t="shared" si="36"/>
        <v>32.877972953646278</v>
      </c>
      <c r="W57" s="18">
        <f t="shared" si="37"/>
        <v>32.877972953646278</v>
      </c>
      <c r="X57" s="18">
        <f t="shared" si="38"/>
        <v>32.877972953646278</v>
      </c>
      <c r="Y57" s="18">
        <f t="shared" si="39"/>
        <v>32.877972953646278</v>
      </c>
      <c r="Z57" s="18">
        <f t="shared" si="40"/>
        <v>32.877972953646278</v>
      </c>
      <c r="AA57" s="13"/>
      <c r="AB57" s="52">
        <v>2030</v>
      </c>
      <c r="AC57" s="14">
        <f>SUMIFS('Bill Credit Rates'!$K:$K,'Bill Credit Rates'!$A:$A,$A$4,'Bill Credit Rates'!$B:$B,$G57,'Bill Credit Rates'!$C:$C,$M57)</f>
        <v>80.56</v>
      </c>
      <c r="AD57" s="14">
        <f>SUMIFS('Bill Credit Rates'!$K:$K,'Bill Credit Rates'!$A:$A,$A$4,'Bill Credit Rates'!$B:$B,$G57,'Bill Credit Rates'!$C:$C,$M57)</f>
        <v>80.56</v>
      </c>
      <c r="AE57" s="14">
        <f>SUMIFS('Bill Credit Rates'!$K:$K,'Bill Credit Rates'!$A:$A,$A$4,'Bill Credit Rates'!$B:$B,$G57,'Bill Credit Rates'!$C:$C,$M57)</f>
        <v>80.56</v>
      </c>
      <c r="AF57" s="14">
        <f>SUMIFS('Bill Credit Rates'!$K:$K,'Bill Credit Rates'!$A:$A,$A$4,'Bill Credit Rates'!$B:$B,$G57,'Bill Credit Rates'!$C:$C,$M57)</f>
        <v>80.56</v>
      </c>
      <c r="AG57" s="14">
        <f>SUMIFS('Bill Credit Rates'!$K:$K,'Bill Credit Rates'!$A:$A,$A$4,'Bill Credit Rates'!$B:$B,$G57,'Bill Credit Rates'!$C:$C,$M57)</f>
        <v>80.56</v>
      </c>
      <c r="AH57" s="14">
        <f>SUMIFS('Bill Credit Rates'!$K:$K,'Bill Credit Rates'!$A:$A,$A$4,'Bill Credit Rates'!$B:$B,$G57,'Bill Credit Rates'!$C:$C,$M57)</f>
        <v>80.56</v>
      </c>
      <c r="AI57" s="14">
        <f>SUMIFS('Bill Credit Rates'!$K:$K,'Bill Credit Rates'!$A:$A,$A$4,'Bill Credit Rates'!$B:$B,$G57,'Bill Credit Rates'!$C:$C,$M57)</f>
        <v>80.56</v>
      </c>
      <c r="AJ57" s="14">
        <f>SUMIFS('Bill Credit Rates'!$K:$K,'Bill Credit Rates'!$A:$A,$A$4,'Bill Credit Rates'!$B:$B,$G57,'Bill Credit Rates'!$C:$C,$M57)</f>
        <v>80.56</v>
      </c>
      <c r="AK57" s="14">
        <f>SUMIFS('Bill Credit Rates'!$K:$K,'Bill Credit Rates'!$A:$A,$A$4,'Bill Credit Rates'!$B:$B,$G57,'Bill Credit Rates'!$C:$C,$M57)</f>
        <v>80.56</v>
      </c>
      <c r="AL57" s="14">
        <f>SUMIFS('Bill Credit Rates'!$K:$K,'Bill Credit Rates'!$A:$A,$A$4,'Bill Credit Rates'!$B:$B,$G57,'Bill Credit Rates'!$C:$C,$M57)</f>
        <v>80.56</v>
      </c>
      <c r="AM57" s="14">
        <f>SUMIFS('Bill Credit Rates'!$K:$K,'Bill Credit Rates'!$A:$A,$A$4,'Bill Credit Rates'!$B:$B,$G57,'Bill Credit Rates'!$C:$C,$M57)</f>
        <v>80.56</v>
      </c>
      <c r="AN57" s="14">
        <f>SUMIFS('Bill Credit Rates'!$K:$K,'Bill Credit Rates'!$A:$A,$A$4,'Bill Credit Rates'!$B:$B,$G57,'Bill Credit Rates'!$C:$C,$M57)</f>
        <v>80.56</v>
      </c>
      <c r="AP57" s="52">
        <v>2030</v>
      </c>
      <c r="AQ57" s="291">
        <v>51.294884189210869</v>
      </c>
      <c r="AR57" s="291">
        <v>51.294884189210869</v>
      </c>
      <c r="AS57" s="291">
        <v>51.294884189210869</v>
      </c>
      <c r="AT57" s="291">
        <v>51.294884189210869</v>
      </c>
      <c r="AU57" s="291">
        <v>51.294884189210869</v>
      </c>
      <c r="AV57" s="291">
        <v>51.294884189210869</v>
      </c>
      <c r="AW57" s="291">
        <v>51.294884189210869</v>
      </c>
      <c r="AX57" s="291">
        <v>51.294884189210869</v>
      </c>
      <c r="AY57" s="291">
        <v>51.294884189210869</v>
      </c>
      <c r="AZ57" s="291">
        <v>51.294884189210869</v>
      </c>
      <c r="BA57" s="291">
        <v>51.294884189210869</v>
      </c>
      <c r="BB57" s="291">
        <v>51.294884189210869</v>
      </c>
      <c r="BD57" s="52">
        <v>2030</v>
      </c>
      <c r="BE57" s="291">
        <v>26.00488418921087</v>
      </c>
      <c r="BF57" s="291">
        <v>26.00488418921087</v>
      </c>
      <c r="BG57" s="291">
        <v>26.00488418921087</v>
      </c>
      <c r="BH57" s="291">
        <v>26.00488418921087</v>
      </c>
      <c r="BI57" s="291">
        <v>26.00488418921087</v>
      </c>
      <c r="BJ57" s="291">
        <v>26.00488418921087</v>
      </c>
      <c r="BK57" s="291">
        <v>26.00488418921087</v>
      </c>
      <c r="BL57" s="291">
        <v>26.00488418921087</v>
      </c>
      <c r="BM57" s="291">
        <v>26.00488418921087</v>
      </c>
      <c r="BN57" s="291">
        <v>26.00488418921087</v>
      </c>
      <c r="BO57" s="291">
        <v>26.00488418921087</v>
      </c>
      <c r="BP57" s="291">
        <v>26.00488418921087</v>
      </c>
      <c r="BR57" s="52">
        <v>2030</v>
      </c>
      <c r="BS57" s="53">
        <f t="shared" si="41"/>
        <v>47.682027046353724</v>
      </c>
      <c r="BT57" s="53">
        <f t="shared" si="42"/>
        <v>47.682027046353724</v>
      </c>
      <c r="BU57" s="53">
        <f t="shared" si="43"/>
        <v>47.682027046353724</v>
      </c>
      <c r="BV57" s="53">
        <f t="shared" si="44"/>
        <v>47.682027046353724</v>
      </c>
      <c r="BW57" s="53">
        <f t="shared" si="45"/>
        <v>47.682027046353724</v>
      </c>
      <c r="BX57" s="53">
        <f t="shared" si="46"/>
        <v>47.682027046353724</v>
      </c>
      <c r="BY57" s="53">
        <f t="shared" si="47"/>
        <v>47.682027046353724</v>
      </c>
      <c r="BZ57" s="53">
        <f t="shared" si="48"/>
        <v>47.682027046353724</v>
      </c>
      <c r="CA57" s="53">
        <f t="shared" si="49"/>
        <v>47.682027046353724</v>
      </c>
      <c r="CB57" s="53">
        <f t="shared" si="50"/>
        <v>47.682027046353724</v>
      </c>
      <c r="CC57" s="53">
        <f t="shared" si="51"/>
        <v>47.682027046353724</v>
      </c>
      <c r="CD57" s="53">
        <f t="shared" si="52"/>
        <v>47.682027046353724</v>
      </c>
    </row>
    <row r="58" spans="1:82">
      <c r="A58" s="48">
        <v>2031</v>
      </c>
      <c r="B58" s="31" cm="1">
        <f t="array" ref="B58">IF(A58&lt;2021,0,SUMPRODUCT(('Project Operational Timelines'!$AO$20:$AO$49=$A58)*('Project Operational Timelines'!$AP$18:$AY$18=$A$4)*('Project Operational Timelines'!$AP$17:$AY$17=$G58)*'Project Operational Timelines'!$AP30:$AY30))</f>
        <v>3.2800000000000002</v>
      </c>
      <c r="C58" s="84">
        <f t="shared" si="13"/>
        <v>649.46982066666681</v>
      </c>
      <c r="D58" s="89">
        <f t="shared" si="27"/>
        <v>237489.82</v>
      </c>
      <c r="E58" s="89"/>
      <c r="F58" s="89">
        <f>-B58*1000*('Program Inputs'!$D$14-'Program Inputs'!$D$6)*$F$4*12</f>
        <v>-16058.880000000003</v>
      </c>
      <c r="G58" s="335">
        <v>1</v>
      </c>
      <c r="H58" s="328">
        <f t="shared" si="28"/>
        <v>194674.4</v>
      </c>
      <c r="I58" s="69"/>
      <c r="J58" s="69"/>
      <c r="K58" s="104"/>
      <c r="L58" s="75"/>
      <c r="M58">
        <v>13</v>
      </c>
      <c r="N58" s="52">
        <v>2031</v>
      </c>
      <c r="O58" s="18">
        <f t="shared" si="29"/>
        <v>30.472267760151567</v>
      </c>
      <c r="P58" s="18">
        <f t="shared" si="30"/>
        <v>30.472267760151567</v>
      </c>
      <c r="Q58" s="18">
        <f t="shared" si="31"/>
        <v>30.472267760151567</v>
      </c>
      <c r="R58" s="18">
        <f t="shared" si="32"/>
        <v>30.472267760151567</v>
      </c>
      <c r="S58" s="18">
        <f t="shared" si="33"/>
        <v>30.472267760151567</v>
      </c>
      <c r="T58" s="18">
        <f t="shared" si="34"/>
        <v>30.472267760151567</v>
      </c>
      <c r="U58" s="18">
        <f t="shared" si="35"/>
        <v>30.472267760151567</v>
      </c>
      <c r="V58" s="18">
        <f t="shared" si="36"/>
        <v>30.472267760151567</v>
      </c>
      <c r="W58" s="18">
        <f t="shared" si="37"/>
        <v>30.472267760151567</v>
      </c>
      <c r="X58" s="18">
        <f t="shared" si="38"/>
        <v>30.472267760151567</v>
      </c>
      <c r="Y58" s="18">
        <f t="shared" si="39"/>
        <v>30.472267760151567</v>
      </c>
      <c r="Z58" s="18">
        <f t="shared" si="40"/>
        <v>30.472267760151567</v>
      </c>
      <c r="AA58" s="13"/>
      <c r="AB58" s="52">
        <v>2031</v>
      </c>
      <c r="AC58" s="14">
        <f>SUMIFS('Bill Credit Rates'!$K:$K,'Bill Credit Rates'!$A:$A,$A$4,'Bill Credit Rates'!$B:$B,$G58,'Bill Credit Rates'!$C:$C,$M58)</f>
        <v>80.56</v>
      </c>
      <c r="AD58" s="14">
        <f>SUMIFS('Bill Credit Rates'!$K:$K,'Bill Credit Rates'!$A:$A,$A$4,'Bill Credit Rates'!$B:$B,$G58,'Bill Credit Rates'!$C:$C,$M58)</f>
        <v>80.56</v>
      </c>
      <c r="AE58" s="14">
        <f>SUMIFS('Bill Credit Rates'!$K:$K,'Bill Credit Rates'!$A:$A,$A$4,'Bill Credit Rates'!$B:$B,$G58,'Bill Credit Rates'!$C:$C,$M58)</f>
        <v>80.56</v>
      </c>
      <c r="AF58" s="14">
        <f>SUMIFS('Bill Credit Rates'!$K:$K,'Bill Credit Rates'!$A:$A,$A$4,'Bill Credit Rates'!$B:$B,$G58,'Bill Credit Rates'!$C:$C,$M58)</f>
        <v>80.56</v>
      </c>
      <c r="AG58" s="14">
        <f>SUMIFS('Bill Credit Rates'!$K:$K,'Bill Credit Rates'!$A:$A,$A$4,'Bill Credit Rates'!$B:$B,$G58,'Bill Credit Rates'!$C:$C,$M58)</f>
        <v>80.56</v>
      </c>
      <c r="AH58" s="14">
        <f>SUMIFS('Bill Credit Rates'!$K:$K,'Bill Credit Rates'!$A:$A,$A$4,'Bill Credit Rates'!$B:$B,$G58,'Bill Credit Rates'!$C:$C,$M58)</f>
        <v>80.56</v>
      </c>
      <c r="AI58" s="14">
        <f>SUMIFS('Bill Credit Rates'!$K:$K,'Bill Credit Rates'!$A:$A,$A$4,'Bill Credit Rates'!$B:$B,$G58,'Bill Credit Rates'!$C:$C,$M58)</f>
        <v>80.56</v>
      </c>
      <c r="AJ58" s="14">
        <f>SUMIFS('Bill Credit Rates'!$K:$K,'Bill Credit Rates'!$A:$A,$A$4,'Bill Credit Rates'!$B:$B,$G58,'Bill Credit Rates'!$C:$C,$M58)</f>
        <v>80.56</v>
      </c>
      <c r="AK58" s="14">
        <f>SUMIFS('Bill Credit Rates'!$K:$K,'Bill Credit Rates'!$A:$A,$A$4,'Bill Credit Rates'!$B:$B,$G58,'Bill Credit Rates'!$C:$C,$M58)</f>
        <v>80.56</v>
      </c>
      <c r="AL58" s="14">
        <f>SUMIFS('Bill Credit Rates'!$K:$K,'Bill Credit Rates'!$A:$A,$A$4,'Bill Credit Rates'!$B:$B,$G58,'Bill Credit Rates'!$C:$C,$M58)</f>
        <v>80.56</v>
      </c>
      <c r="AM58" s="14">
        <f>SUMIFS('Bill Credit Rates'!$K:$K,'Bill Credit Rates'!$A:$A,$A$4,'Bill Credit Rates'!$B:$B,$G58,'Bill Credit Rates'!$C:$C,$M58)</f>
        <v>80.56</v>
      </c>
      <c r="AN58" s="14">
        <f>SUMIFS('Bill Credit Rates'!$K:$K,'Bill Credit Rates'!$A:$A,$A$4,'Bill Credit Rates'!$B:$B,$G58,'Bill Credit Rates'!$C:$C,$M58)</f>
        <v>80.56</v>
      </c>
      <c r="AP58" s="52">
        <v>2031</v>
      </c>
      <c r="AQ58" s="291">
        <v>53.793446525562722</v>
      </c>
      <c r="AR58" s="291">
        <v>53.793446525562722</v>
      </c>
      <c r="AS58" s="291">
        <v>53.793446525562722</v>
      </c>
      <c r="AT58" s="291">
        <v>53.793446525562722</v>
      </c>
      <c r="AU58" s="291">
        <v>53.793446525562722</v>
      </c>
      <c r="AV58" s="291">
        <v>53.793446525562722</v>
      </c>
      <c r="AW58" s="291">
        <v>53.793446525562722</v>
      </c>
      <c r="AX58" s="291">
        <v>53.793446525562722</v>
      </c>
      <c r="AY58" s="291">
        <v>53.793446525562722</v>
      </c>
      <c r="AZ58" s="291">
        <v>53.793446525562722</v>
      </c>
      <c r="BA58" s="291">
        <v>53.793446525562722</v>
      </c>
      <c r="BB58" s="291">
        <v>53.793446525562722</v>
      </c>
      <c r="BD58" s="52">
        <v>2031</v>
      </c>
      <c r="BE58" s="291">
        <v>27.853446525562724</v>
      </c>
      <c r="BF58" s="291">
        <v>27.853446525562724</v>
      </c>
      <c r="BG58" s="291">
        <v>27.853446525562724</v>
      </c>
      <c r="BH58" s="291">
        <v>27.853446525562724</v>
      </c>
      <c r="BI58" s="291">
        <v>27.853446525562724</v>
      </c>
      <c r="BJ58" s="291">
        <v>27.853446525562724</v>
      </c>
      <c r="BK58" s="291">
        <v>27.853446525562724</v>
      </c>
      <c r="BL58" s="291">
        <v>27.853446525562724</v>
      </c>
      <c r="BM58" s="291">
        <v>27.853446525562724</v>
      </c>
      <c r="BN58" s="291">
        <v>27.853446525562724</v>
      </c>
      <c r="BO58" s="291">
        <v>27.853446525562724</v>
      </c>
      <c r="BP58" s="291">
        <v>27.853446525562724</v>
      </c>
      <c r="BR58" s="52">
        <v>2031</v>
      </c>
      <c r="BS58" s="53">
        <f t="shared" si="41"/>
        <v>50.087732239848435</v>
      </c>
      <c r="BT58" s="53">
        <f t="shared" si="42"/>
        <v>50.087732239848435</v>
      </c>
      <c r="BU58" s="53">
        <f t="shared" si="43"/>
        <v>50.087732239848435</v>
      </c>
      <c r="BV58" s="53">
        <f t="shared" si="44"/>
        <v>50.087732239848435</v>
      </c>
      <c r="BW58" s="53">
        <f t="shared" si="45"/>
        <v>50.087732239848435</v>
      </c>
      <c r="BX58" s="53">
        <f t="shared" si="46"/>
        <v>50.087732239848435</v>
      </c>
      <c r="BY58" s="53">
        <f t="shared" si="47"/>
        <v>50.087732239848435</v>
      </c>
      <c r="BZ58" s="53">
        <f t="shared" si="48"/>
        <v>50.087732239848435</v>
      </c>
      <c r="CA58" s="53">
        <f t="shared" si="49"/>
        <v>50.087732239848435</v>
      </c>
      <c r="CB58" s="53">
        <f t="shared" si="50"/>
        <v>50.087732239848435</v>
      </c>
      <c r="CC58" s="53">
        <f t="shared" si="51"/>
        <v>50.087732239848435</v>
      </c>
      <c r="CD58" s="53">
        <f t="shared" si="52"/>
        <v>50.087732239848435</v>
      </c>
    </row>
    <row r="59" spans="1:82">
      <c r="A59" s="48">
        <v>2032</v>
      </c>
      <c r="B59" s="31" cm="1">
        <f t="array" ref="B59">IF(A59&lt;2021,0,SUMPRODUCT(('Project Operational Timelines'!$AO$20:$AO$49=$A59)*('Project Operational Timelines'!$AP$18:$AY$18=$A$4)*('Project Operational Timelines'!$AP$17:$AY$17=$G59)*'Project Operational Timelines'!$AP31:$AY31))</f>
        <v>3.2800000000000002</v>
      </c>
      <c r="C59" s="84">
        <f t="shared" si="13"/>
        <v>649.46982066666681</v>
      </c>
      <c r="D59" s="89">
        <f t="shared" si="27"/>
        <v>217157.34</v>
      </c>
      <c r="E59" s="89"/>
      <c r="F59" s="89">
        <f>-B59*1000*('Program Inputs'!$D$14-'Program Inputs'!$D$6)*$F$4*12</f>
        <v>-16058.880000000003</v>
      </c>
      <c r="G59" s="335">
        <v>1</v>
      </c>
      <c r="H59" s="328">
        <f t="shared" si="28"/>
        <v>173023.32</v>
      </c>
      <c r="I59" s="69"/>
      <c r="J59" s="69"/>
      <c r="K59" s="104"/>
      <c r="L59" s="75"/>
      <c r="M59">
        <v>14</v>
      </c>
      <c r="N59" s="52">
        <v>2032</v>
      </c>
      <c r="O59" s="18">
        <f t="shared" si="29"/>
        <v>27.863411347206473</v>
      </c>
      <c r="P59" s="18">
        <f t="shared" si="30"/>
        <v>27.863411347206473</v>
      </c>
      <c r="Q59" s="18">
        <f t="shared" si="31"/>
        <v>27.863411347206473</v>
      </c>
      <c r="R59" s="18">
        <f t="shared" si="32"/>
        <v>27.863411347206473</v>
      </c>
      <c r="S59" s="18">
        <f t="shared" si="33"/>
        <v>27.863411347206473</v>
      </c>
      <c r="T59" s="18">
        <f t="shared" si="34"/>
        <v>27.863411347206473</v>
      </c>
      <c r="U59" s="18">
        <f t="shared" si="35"/>
        <v>27.863411347206473</v>
      </c>
      <c r="V59" s="18">
        <f t="shared" si="36"/>
        <v>27.863411347206473</v>
      </c>
      <c r="W59" s="18">
        <f t="shared" si="37"/>
        <v>27.863411347206473</v>
      </c>
      <c r="X59" s="18">
        <f t="shared" si="38"/>
        <v>27.863411347206473</v>
      </c>
      <c r="Y59" s="18">
        <f t="shared" si="39"/>
        <v>27.863411347206473</v>
      </c>
      <c r="Z59" s="18">
        <f t="shared" si="40"/>
        <v>27.863411347206473</v>
      </c>
      <c r="AA59" s="13"/>
      <c r="AB59" s="52">
        <v>2032</v>
      </c>
      <c r="AC59" s="14">
        <f>SUMIFS('Bill Credit Rates'!$K:$K,'Bill Credit Rates'!$A:$A,$A$4,'Bill Credit Rates'!$B:$B,$G59,'Bill Credit Rates'!$C:$C,$M59)</f>
        <v>80.56</v>
      </c>
      <c r="AD59" s="14">
        <f>SUMIFS('Bill Credit Rates'!$K:$K,'Bill Credit Rates'!$A:$A,$A$4,'Bill Credit Rates'!$B:$B,$G59,'Bill Credit Rates'!$C:$C,$M59)</f>
        <v>80.56</v>
      </c>
      <c r="AE59" s="14">
        <f>SUMIFS('Bill Credit Rates'!$K:$K,'Bill Credit Rates'!$A:$A,$A$4,'Bill Credit Rates'!$B:$B,$G59,'Bill Credit Rates'!$C:$C,$M59)</f>
        <v>80.56</v>
      </c>
      <c r="AF59" s="14">
        <f>SUMIFS('Bill Credit Rates'!$K:$K,'Bill Credit Rates'!$A:$A,$A$4,'Bill Credit Rates'!$B:$B,$G59,'Bill Credit Rates'!$C:$C,$M59)</f>
        <v>80.56</v>
      </c>
      <c r="AG59" s="14">
        <f>SUMIFS('Bill Credit Rates'!$K:$K,'Bill Credit Rates'!$A:$A,$A$4,'Bill Credit Rates'!$B:$B,$G59,'Bill Credit Rates'!$C:$C,$M59)</f>
        <v>80.56</v>
      </c>
      <c r="AH59" s="14">
        <f>SUMIFS('Bill Credit Rates'!$K:$K,'Bill Credit Rates'!$A:$A,$A$4,'Bill Credit Rates'!$B:$B,$G59,'Bill Credit Rates'!$C:$C,$M59)</f>
        <v>80.56</v>
      </c>
      <c r="AI59" s="14">
        <f>SUMIFS('Bill Credit Rates'!$K:$K,'Bill Credit Rates'!$A:$A,$A$4,'Bill Credit Rates'!$B:$B,$G59,'Bill Credit Rates'!$C:$C,$M59)</f>
        <v>80.56</v>
      </c>
      <c r="AJ59" s="14">
        <f>SUMIFS('Bill Credit Rates'!$K:$K,'Bill Credit Rates'!$A:$A,$A$4,'Bill Credit Rates'!$B:$B,$G59,'Bill Credit Rates'!$C:$C,$M59)</f>
        <v>80.56</v>
      </c>
      <c r="AK59" s="14">
        <f>SUMIFS('Bill Credit Rates'!$K:$K,'Bill Credit Rates'!$A:$A,$A$4,'Bill Credit Rates'!$B:$B,$G59,'Bill Credit Rates'!$C:$C,$M59)</f>
        <v>80.56</v>
      </c>
      <c r="AL59" s="14">
        <f>SUMIFS('Bill Credit Rates'!$K:$K,'Bill Credit Rates'!$A:$A,$A$4,'Bill Credit Rates'!$B:$B,$G59,'Bill Credit Rates'!$C:$C,$M59)</f>
        <v>80.56</v>
      </c>
      <c r="AM59" s="14">
        <f>SUMIFS('Bill Credit Rates'!$K:$K,'Bill Credit Rates'!$A:$A,$A$4,'Bill Credit Rates'!$B:$B,$G59,'Bill Credit Rates'!$C:$C,$M59)</f>
        <v>80.56</v>
      </c>
      <c r="AN59" s="14">
        <f>SUMIFS('Bill Credit Rates'!$K:$K,'Bill Credit Rates'!$A:$A,$A$4,'Bill Credit Rates'!$B:$B,$G59,'Bill Credit Rates'!$C:$C,$M59)</f>
        <v>80.56</v>
      </c>
      <c r="AP59" s="52">
        <v>2032</v>
      </c>
      <c r="AQ59" s="291">
        <v>56.499445795650672</v>
      </c>
      <c r="AR59" s="291">
        <v>56.499445795650672</v>
      </c>
      <c r="AS59" s="291">
        <v>56.499445795650672</v>
      </c>
      <c r="AT59" s="291">
        <v>56.499445795650672</v>
      </c>
      <c r="AU59" s="291">
        <v>56.499445795650672</v>
      </c>
      <c r="AV59" s="291">
        <v>56.499445795650672</v>
      </c>
      <c r="AW59" s="291">
        <v>56.499445795650672</v>
      </c>
      <c r="AX59" s="291">
        <v>56.499445795650672</v>
      </c>
      <c r="AY59" s="291">
        <v>56.499445795650672</v>
      </c>
      <c r="AZ59" s="291">
        <v>56.499445795650672</v>
      </c>
      <c r="BA59" s="291">
        <v>56.499445795650672</v>
      </c>
      <c r="BB59" s="291">
        <v>56.499445795650672</v>
      </c>
      <c r="BD59" s="52">
        <v>2032</v>
      </c>
      <c r="BE59" s="291">
        <v>29.879445795650668</v>
      </c>
      <c r="BF59" s="291">
        <v>29.879445795650668</v>
      </c>
      <c r="BG59" s="291">
        <v>29.879445795650668</v>
      </c>
      <c r="BH59" s="291">
        <v>29.879445795650668</v>
      </c>
      <c r="BI59" s="291">
        <v>29.879445795650668</v>
      </c>
      <c r="BJ59" s="291">
        <v>29.879445795650668</v>
      </c>
      <c r="BK59" s="291">
        <v>29.879445795650668</v>
      </c>
      <c r="BL59" s="291">
        <v>29.879445795650668</v>
      </c>
      <c r="BM59" s="291">
        <v>29.879445795650668</v>
      </c>
      <c r="BN59" s="291">
        <v>29.879445795650668</v>
      </c>
      <c r="BO59" s="291">
        <v>29.879445795650668</v>
      </c>
      <c r="BP59" s="291">
        <v>29.879445795650668</v>
      </c>
      <c r="BR59" s="52">
        <v>2032</v>
      </c>
      <c r="BS59" s="53">
        <f t="shared" si="41"/>
        <v>52.69658865279353</v>
      </c>
      <c r="BT59" s="53">
        <f t="shared" si="42"/>
        <v>52.69658865279353</v>
      </c>
      <c r="BU59" s="53">
        <f t="shared" si="43"/>
        <v>52.69658865279353</v>
      </c>
      <c r="BV59" s="53">
        <f t="shared" si="44"/>
        <v>52.69658865279353</v>
      </c>
      <c r="BW59" s="53">
        <f t="shared" si="45"/>
        <v>52.69658865279353</v>
      </c>
      <c r="BX59" s="53">
        <f t="shared" si="46"/>
        <v>52.69658865279353</v>
      </c>
      <c r="BY59" s="53">
        <f t="shared" si="47"/>
        <v>52.69658865279353</v>
      </c>
      <c r="BZ59" s="53">
        <f t="shared" si="48"/>
        <v>52.69658865279353</v>
      </c>
      <c r="CA59" s="53">
        <f t="shared" si="49"/>
        <v>52.69658865279353</v>
      </c>
      <c r="CB59" s="53">
        <f t="shared" si="50"/>
        <v>52.69658865279353</v>
      </c>
      <c r="CC59" s="53">
        <f t="shared" si="51"/>
        <v>52.69658865279353</v>
      </c>
      <c r="CD59" s="53">
        <f t="shared" si="52"/>
        <v>52.69658865279353</v>
      </c>
    </row>
    <row r="60" spans="1:82">
      <c r="A60" s="48">
        <v>2033</v>
      </c>
      <c r="B60" s="31" cm="1">
        <f t="array" ref="B60">IF(A60&lt;2021,0,SUMPRODUCT(('Project Operational Timelines'!$AO$20:$AO$49=$A60)*('Project Operational Timelines'!$AP$18:$AY$18=$A$4)*('Project Operational Timelines'!$AP$17:$AY$17=$G60)*'Project Operational Timelines'!$AP32:$AY32))</f>
        <v>3.2800000000000002</v>
      </c>
      <c r="C60" s="84">
        <f t="shared" si="13"/>
        <v>649.46982066666681</v>
      </c>
      <c r="D60" s="89">
        <f t="shared" si="27"/>
        <v>206832.28</v>
      </c>
      <c r="E60" s="89"/>
      <c r="F60" s="89">
        <f>-B60*1000*('Program Inputs'!$D$14-'Program Inputs'!$D$6)*$F$4*12</f>
        <v>-16058.880000000003</v>
      </c>
      <c r="G60" s="335">
        <v>1</v>
      </c>
      <c r="H60" s="328">
        <f t="shared" si="28"/>
        <v>160182.37</v>
      </c>
      <c r="I60" s="69"/>
      <c r="J60" s="69"/>
      <c r="K60" s="104"/>
      <c r="L60" s="75"/>
      <c r="M60">
        <v>15</v>
      </c>
      <c r="N60" s="52">
        <v>2033</v>
      </c>
      <c r="O60" s="18">
        <f t="shared" si="29"/>
        <v>26.538605522477944</v>
      </c>
      <c r="P60" s="18">
        <f t="shared" si="30"/>
        <v>26.538605522477944</v>
      </c>
      <c r="Q60" s="18">
        <f t="shared" si="31"/>
        <v>26.538605522477944</v>
      </c>
      <c r="R60" s="18">
        <f t="shared" si="32"/>
        <v>26.538605522477944</v>
      </c>
      <c r="S60" s="18">
        <f t="shared" si="33"/>
        <v>26.538605522477944</v>
      </c>
      <c r="T60" s="18">
        <f t="shared" si="34"/>
        <v>26.538605522477944</v>
      </c>
      <c r="U60" s="18">
        <f t="shared" si="35"/>
        <v>26.538605522477944</v>
      </c>
      <c r="V60" s="18">
        <f t="shared" si="36"/>
        <v>26.538605522477944</v>
      </c>
      <c r="W60" s="18">
        <f t="shared" si="37"/>
        <v>26.538605522477944</v>
      </c>
      <c r="X60" s="18">
        <f t="shared" si="38"/>
        <v>26.538605522477944</v>
      </c>
      <c r="Y60" s="18">
        <f t="shared" si="39"/>
        <v>26.538605522477944</v>
      </c>
      <c r="Z60" s="18">
        <f t="shared" si="40"/>
        <v>26.538605522477944</v>
      </c>
      <c r="AA60" s="13"/>
      <c r="AB60" s="52">
        <v>2033</v>
      </c>
      <c r="AC60" s="14">
        <f>SUMIFS('Bill Credit Rates'!$K:$K,'Bill Credit Rates'!$A:$A,$A$4,'Bill Credit Rates'!$B:$B,$G60,'Bill Credit Rates'!$C:$C,$M60)</f>
        <v>80.56</v>
      </c>
      <c r="AD60" s="14">
        <f>SUMIFS('Bill Credit Rates'!$K:$K,'Bill Credit Rates'!$A:$A,$A$4,'Bill Credit Rates'!$B:$B,$G60,'Bill Credit Rates'!$C:$C,$M60)</f>
        <v>80.56</v>
      </c>
      <c r="AE60" s="14">
        <f>SUMIFS('Bill Credit Rates'!$K:$K,'Bill Credit Rates'!$A:$A,$A$4,'Bill Credit Rates'!$B:$B,$G60,'Bill Credit Rates'!$C:$C,$M60)</f>
        <v>80.56</v>
      </c>
      <c r="AF60" s="14">
        <f>SUMIFS('Bill Credit Rates'!$K:$K,'Bill Credit Rates'!$A:$A,$A$4,'Bill Credit Rates'!$B:$B,$G60,'Bill Credit Rates'!$C:$C,$M60)</f>
        <v>80.56</v>
      </c>
      <c r="AG60" s="14">
        <f>SUMIFS('Bill Credit Rates'!$K:$K,'Bill Credit Rates'!$A:$A,$A$4,'Bill Credit Rates'!$B:$B,$G60,'Bill Credit Rates'!$C:$C,$M60)</f>
        <v>80.56</v>
      </c>
      <c r="AH60" s="14">
        <f>SUMIFS('Bill Credit Rates'!$K:$K,'Bill Credit Rates'!$A:$A,$A$4,'Bill Credit Rates'!$B:$B,$G60,'Bill Credit Rates'!$C:$C,$M60)</f>
        <v>80.56</v>
      </c>
      <c r="AI60" s="14">
        <f>SUMIFS('Bill Credit Rates'!$K:$K,'Bill Credit Rates'!$A:$A,$A$4,'Bill Credit Rates'!$B:$B,$G60,'Bill Credit Rates'!$C:$C,$M60)</f>
        <v>80.56</v>
      </c>
      <c r="AJ60" s="14">
        <f>SUMIFS('Bill Credit Rates'!$K:$K,'Bill Credit Rates'!$A:$A,$A$4,'Bill Credit Rates'!$B:$B,$G60,'Bill Credit Rates'!$C:$C,$M60)</f>
        <v>80.56</v>
      </c>
      <c r="AK60" s="14">
        <f>SUMIFS('Bill Credit Rates'!$K:$K,'Bill Credit Rates'!$A:$A,$A$4,'Bill Credit Rates'!$B:$B,$G60,'Bill Credit Rates'!$C:$C,$M60)</f>
        <v>80.56</v>
      </c>
      <c r="AL60" s="14">
        <f>SUMIFS('Bill Credit Rates'!$K:$K,'Bill Credit Rates'!$A:$A,$A$4,'Bill Credit Rates'!$B:$B,$G60,'Bill Credit Rates'!$C:$C,$M60)</f>
        <v>80.56</v>
      </c>
      <c r="AM60" s="14">
        <f>SUMIFS('Bill Credit Rates'!$K:$K,'Bill Credit Rates'!$A:$A,$A$4,'Bill Credit Rates'!$B:$B,$G60,'Bill Credit Rates'!$C:$C,$M60)</f>
        <v>80.56</v>
      </c>
      <c r="AN60" s="14">
        <f>SUMIFS('Bill Credit Rates'!$K:$K,'Bill Credit Rates'!$A:$A,$A$4,'Bill Credit Rates'!$B:$B,$G60,'Bill Credit Rates'!$C:$C,$M60)</f>
        <v>80.56</v>
      </c>
      <c r="AP60" s="52">
        <v>2033</v>
      </c>
      <c r="AQ60" s="291">
        <v>57.922823048950626</v>
      </c>
      <c r="AR60" s="291">
        <v>57.922823048950626</v>
      </c>
      <c r="AS60" s="291">
        <v>57.922823048950626</v>
      </c>
      <c r="AT60" s="291">
        <v>57.922823048950626</v>
      </c>
      <c r="AU60" s="291">
        <v>57.922823048950626</v>
      </c>
      <c r="AV60" s="291">
        <v>57.922823048950626</v>
      </c>
      <c r="AW60" s="291">
        <v>57.922823048950626</v>
      </c>
      <c r="AX60" s="291">
        <v>57.922823048950626</v>
      </c>
      <c r="AY60" s="291">
        <v>57.922823048950626</v>
      </c>
      <c r="AZ60" s="291">
        <v>57.922823048950626</v>
      </c>
      <c r="BA60" s="291">
        <v>57.922823048950626</v>
      </c>
      <c r="BB60" s="291">
        <v>57.922823048950626</v>
      </c>
      <c r="BD60" s="52">
        <v>2033</v>
      </c>
      <c r="BE60" s="291">
        <v>30.612823048950627</v>
      </c>
      <c r="BF60" s="291">
        <v>30.612823048950627</v>
      </c>
      <c r="BG60" s="291">
        <v>30.612823048950627</v>
      </c>
      <c r="BH60" s="291">
        <v>30.612823048950627</v>
      </c>
      <c r="BI60" s="291">
        <v>30.612823048950627</v>
      </c>
      <c r="BJ60" s="291">
        <v>30.612823048950627</v>
      </c>
      <c r="BK60" s="291">
        <v>30.612823048950627</v>
      </c>
      <c r="BL60" s="291">
        <v>30.612823048950627</v>
      </c>
      <c r="BM60" s="291">
        <v>30.612823048950627</v>
      </c>
      <c r="BN60" s="291">
        <v>30.612823048950627</v>
      </c>
      <c r="BO60" s="291">
        <v>30.612823048950627</v>
      </c>
      <c r="BP60" s="291">
        <v>30.612823048950627</v>
      </c>
      <c r="BR60" s="52">
        <v>2033</v>
      </c>
      <c r="BS60" s="53">
        <f t="shared" si="41"/>
        <v>54.021394477522058</v>
      </c>
      <c r="BT60" s="53">
        <f t="shared" si="42"/>
        <v>54.021394477522058</v>
      </c>
      <c r="BU60" s="53">
        <f t="shared" si="43"/>
        <v>54.021394477522058</v>
      </c>
      <c r="BV60" s="53">
        <f t="shared" si="44"/>
        <v>54.021394477522058</v>
      </c>
      <c r="BW60" s="53">
        <f t="shared" si="45"/>
        <v>54.021394477522058</v>
      </c>
      <c r="BX60" s="53">
        <f t="shared" si="46"/>
        <v>54.021394477522058</v>
      </c>
      <c r="BY60" s="53">
        <f t="shared" si="47"/>
        <v>54.021394477522058</v>
      </c>
      <c r="BZ60" s="53">
        <f t="shared" si="48"/>
        <v>54.021394477522058</v>
      </c>
      <c r="CA60" s="53">
        <f t="shared" si="49"/>
        <v>54.021394477522058</v>
      </c>
      <c r="CB60" s="53">
        <f t="shared" si="50"/>
        <v>54.021394477522058</v>
      </c>
      <c r="CC60" s="53">
        <f t="shared" si="51"/>
        <v>54.021394477522058</v>
      </c>
      <c r="CD60" s="53">
        <f t="shared" si="52"/>
        <v>54.021394477522058</v>
      </c>
    </row>
    <row r="61" spans="1:82">
      <c r="A61" s="48">
        <v>2034</v>
      </c>
      <c r="B61" s="31" cm="1">
        <f t="array" ref="B61">IF(A61&lt;2021,0,SUMPRODUCT(('Project Operational Timelines'!$AO$20:$AO$49=$A61)*('Project Operational Timelines'!$AP$18:$AY$18=$A$4)*('Project Operational Timelines'!$AP$17:$AY$17=$G61)*'Project Operational Timelines'!$AP33:$AY33))</f>
        <v>3.2800000000000002</v>
      </c>
      <c r="C61" s="84">
        <f t="shared" si="13"/>
        <v>649.46982066666681</v>
      </c>
      <c r="D61" s="89">
        <f t="shared" si="27"/>
        <v>187509.78</v>
      </c>
      <c r="E61" s="89"/>
      <c r="F61" s="89">
        <f>-B61*1000*('Program Inputs'!$D$14-'Program Inputs'!$D$6)*$F$4*12</f>
        <v>-16058.880000000003</v>
      </c>
      <c r="G61" s="335">
        <v>1</v>
      </c>
      <c r="H61" s="328">
        <f t="shared" si="28"/>
        <v>141151.85</v>
      </c>
      <c r="I61" s="69"/>
      <c r="J61" s="69"/>
      <c r="K61" s="104"/>
      <c r="L61" s="75"/>
      <c r="M61">
        <v>16</v>
      </c>
      <c r="N61" s="52">
        <v>2034</v>
      </c>
      <c r="O61" s="18">
        <f t="shared" si="29"/>
        <v>24.059339163780642</v>
      </c>
      <c r="P61" s="18">
        <f t="shared" si="30"/>
        <v>24.059339163780642</v>
      </c>
      <c r="Q61" s="18">
        <f t="shared" si="31"/>
        <v>24.059339163780642</v>
      </c>
      <c r="R61" s="18">
        <f t="shared" si="32"/>
        <v>24.059339163780642</v>
      </c>
      <c r="S61" s="18">
        <f t="shared" si="33"/>
        <v>24.059339163780642</v>
      </c>
      <c r="T61" s="18">
        <f t="shared" si="34"/>
        <v>24.059339163780642</v>
      </c>
      <c r="U61" s="18">
        <f t="shared" si="35"/>
        <v>24.059339163780642</v>
      </c>
      <c r="V61" s="18">
        <f t="shared" si="36"/>
        <v>24.059339163780642</v>
      </c>
      <c r="W61" s="18">
        <f t="shared" si="37"/>
        <v>24.059339163780642</v>
      </c>
      <c r="X61" s="18">
        <f t="shared" si="38"/>
        <v>24.059339163780642</v>
      </c>
      <c r="Y61" s="18">
        <f t="shared" si="39"/>
        <v>24.059339163780642</v>
      </c>
      <c r="Z61" s="18">
        <f t="shared" si="40"/>
        <v>24.059339163780642</v>
      </c>
      <c r="AA61" s="13"/>
      <c r="AB61" s="52">
        <v>2034</v>
      </c>
      <c r="AC61" s="14">
        <f>SUMIFS('Bill Credit Rates'!$K:$K,'Bill Credit Rates'!$A:$A,$A$4,'Bill Credit Rates'!$B:$B,$G61,'Bill Credit Rates'!$C:$C,$M61)</f>
        <v>80.56</v>
      </c>
      <c r="AD61" s="14">
        <f>SUMIFS('Bill Credit Rates'!$K:$K,'Bill Credit Rates'!$A:$A,$A$4,'Bill Credit Rates'!$B:$B,$G61,'Bill Credit Rates'!$C:$C,$M61)</f>
        <v>80.56</v>
      </c>
      <c r="AE61" s="14">
        <f>SUMIFS('Bill Credit Rates'!$K:$K,'Bill Credit Rates'!$A:$A,$A$4,'Bill Credit Rates'!$B:$B,$G61,'Bill Credit Rates'!$C:$C,$M61)</f>
        <v>80.56</v>
      </c>
      <c r="AF61" s="14">
        <f>SUMIFS('Bill Credit Rates'!$K:$K,'Bill Credit Rates'!$A:$A,$A$4,'Bill Credit Rates'!$B:$B,$G61,'Bill Credit Rates'!$C:$C,$M61)</f>
        <v>80.56</v>
      </c>
      <c r="AG61" s="14">
        <f>SUMIFS('Bill Credit Rates'!$K:$K,'Bill Credit Rates'!$A:$A,$A$4,'Bill Credit Rates'!$B:$B,$G61,'Bill Credit Rates'!$C:$C,$M61)</f>
        <v>80.56</v>
      </c>
      <c r="AH61" s="14">
        <f>SUMIFS('Bill Credit Rates'!$K:$K,'Bill Credit Rates'!$A:$A,$A$4,'Bill Credit Rates'!$B:$B,$G61,'Bill Credit Rates'!$C:$C,$M61)</f>
        <v>80.56</v>
      </c>
      <c r="AI61" s="14">
        <f>SUMIFS('Bill Credit Rates'!$K:$K,'Bill Credit Rates'!$A:$A,$A$4,'Bill Credit Rates'!$B:$B,$G61,'Bill Credit Rates'!$C:$C,$M61)</f>
        <v>80.56</v>
      </c>
      <c r="AJ61" s="14">
        <f>SUMIFS('Bill Credit Rates'!$K:$K,'Bill Credit Rates'!$A:$A,$A$4,'Bill Credit Rates'!$B:$B,$G61,'Bill Credit Rates'!$C:$C,$M61)</f>
        <v>80.56</v>
      </c>
      <c r="AK61" s="14">
        <f>SUMIFS('Bill Credit Rates'!$K:$K,'Bill Credit Rates'!$A:$A,$A$4,'Bill Credit Rates'!$B:$B,$G61,'Bill Credit Rates'!$C:$C,$M61)</f>
        <v>80.56</v>
      </c>
      <c r="AL61" s="14">
        <f>SUMIFS('Bill Credit Rates'!$K:$K,'Bill Credit Rates'!$A:$A,$A$4,'Bill Credit Rates'!$B:$B,$G61,'Bill Credit Rates'!$C:$C,$M61)</f>
        <v>80.56</v>
      </c>
      <c r="AM61" s="14">
        <f>SUMIFS('Bill Credit Rates'!$K:$K,'Bill Credit Rates'!$A:$A,$A$4,'Bill Credit Rates'!$B:$B,$G61,'Bill Credit Rates'!$C:$C,$M61)</f>
        <v>80.56</v>
      </c>
      <c r="AN61" s="14">
        <f>SUMIFS('Bill Credit Rates'!$K:$K,'Bill Credit Rates'!$A:$A,$A$4,'Bill Credit Rates'!$B:$B,$G61,'Bill Credit Rates'!$C:$C,$M61)</f>
        <v>80.56</v>
      </c>
      <c r="AP61" s="52">
        <v>2034</v>
      </c>
      <c r="AQ61" s="291">
        <v>60.503517979076499</v>
      </c>
      <c r="AR61" s="291">
        <v>60.503517979076499</v>
      </c>
      <c r="AS61" s="291">
        <v>60.503517979076499</v>
      </c>
      <c r="AT61" s="291">
        <v>60.503517979076499</v>
      </c>
      <c r="AU61" s="291">
        <v>60.503517979076499</v>
      </c>
      <c r="AV61" s="291">
        <v>60.503517979076499</v>
      </c>
      <c r="AW61" s="291">
        <v>60.503517979076499</v>
      </c>
      <c r="AX61" s="291">
        <v>60.503517979076499</v>
      </c>
      <c r="AY61" s="291">
        <v>60.503517979076499</v>
      </c>
      <c r="AZ61" s="291">
        <v>60.503517979076499</v>
      </c>
      <c r="BA61" s="291">
        <v>60.503517979076499</v>
      </c>
      <c r="BB61" s="291">
        <v>60.503517979076499</v>
      </c>
      <c r="BD61" s="52">
        <v>2034</v>
      </c>
      <c r="BE61" s="291">
        <v>32.483517979076495</v>
      </c>
      <c r="BF61" s="291">
        <v>32.483517979076495</v>
      </c>
      <c r="BG61" s="291">
        <v>32.483517979076495</v>
      </c>
      <c r="BH61" s="291">
        <v>32.483517979076495</v>
      </c>
      <c r="BI61" s="291">
        <v>32.483517979076495</v>
      </c>
      <c r="BJ61" s="291">
        <v>32.483517979076495</v>
      </c>
      <c r="BK61" s="291">
        <v>32.483517979076495</v>
      </c>
      <c r="BL61" s="291">
        <v>32.483517979076495</v>
      </c>
      <c r="BM61" s="291">
        <v>32.483517979076495</v>
      </c>
      <c r="BN61" s="291">
        <v>32.483517979076495</v>
      </c>
      <c r="BO61" s="291">
        <v>32.483517979076495</v>
      </c>
      <c r="BP61" s="291">
        <v>32.483517979076495</v>
      </c>
      <c r="BR61" s="52">
        <v>2034</v>
      </c>
      <c r="BS61" s="53">
        <f t="shared" si="41"/>
        <v>56.50066083621936</v>
      </c>
      <c r="BT61" s="53">
        <f t="shared" si="42"/>
        <v>56.50066083621936</v>
      </c>
      <c r="BU61" s="53">
        <f t="shared" si="43"/>
        <v>56.50066083621936</v>
      </c>
      <c r="BV61" s="53">
        <f t="shared" si="44"/>
        <v>56.50066083621936</v>
      </c>
      <c r="BW61" s="53">
        <f t="shared" si="45"/>
        <v>56.50066083621936</v>
      </c>
      <c r="BX61" s="53">
        <f t="shared" si="46"/>
        <v>56.50066083621936</v>
      </c>
      <c r="BY61" s="53">
        <f t="shared" si="47"/>
        <v>56.50066083621936</v>
      </c>
      <c r="BZ61" s="53">
        <f t="shared" si="48"/>
        <v>56.50066083621936</v>
      </c>
      <c r="CA61" s="53">
        <f t="shared" si="49"/>
        <v>56.50066083621936</v>
      </c>
      <c r="CB61" s="53">
        <f t="shared" si="50"/>
        <v>56.50066083621936</v>
      </c>
      <c r="CC61" s="53">
        <f t="shared" si="51"/>
        <v>56.50066083621936</v>
      </c>
      <c r="CD61" s="53">
        <f t="shared" si="52"/>
        <v>56.50066083621936</v>
      </c>
    </row>
    <row r="62" spans="1:82">
      <c r="A62" s="48">
        <v>2035</v>
      </c>
      <c r="B62" s="31" cm="1">
        <f t="array" ref="B62">IF(A62&lt;2021,0,SUMPRODUCT(('Project Operational Timelines'!$AO$20:$AO$49=$A62)*('Project Operational Timelines'!$AP$18:$AY$18=$A$4)*('Project Operational Timelines'!$AP$17:$AY$17=$G62)*'Project Operational Timelines'!$AP34:$AY34))</f>
        <v>3.2800000000000002</v>
      </c>
      <c r="C62" s="84">
        <f t="shared" si="13"/>
        <v>649.46982066666681</v>
      </c>
      <c r="D62" s="89">
        <f t="shared" si="27"/>
        <v>163398.87</v>
      </c>
      <c r="E62" s="89"/>
      <c r="F62" s="89">
        <f>-B62*1000*('Program Inputs'!$D$14-'Program Inputs'!$D$6)*$F$4*12</f>
        <v>-16058.880000000003</v>
      </c>
      <c r="G62" s="335">
        <v>1</v>
      </c>
      <c r="H62" s="328">
        <f t="shared" si="28"/>
        <v>119557.81</v>
      </c>
      <c r="I62" s="69"/>
      <c r="J62" s="69"/>
      <c r="K62" s="104"/>
      <c r="L62" s="75"/>
      <c r="M62">
        <v>17</v>
      </c>
      <c r="N62" s="52">
        <v>2035</v>
      </c>
      <c r="O62" s="18">
        <f t="shared" si="29"/>
        <v>20.965673964547605</v>
      </c>
      <c r="P62" s="18">
        <f t="shared" si="30"/>
        <v>20.965673964547605</v>
      </c>
      <c r="Q62" s="18">
        <f t="shared" si="31"/>
        <v>20.965673964547605</v>
      </c>
      <c r="R62" s="18">
        <f t="shared" si="32"/>
        <v>20.965673964547605</v>
      </c>
      <c r="S62" s="18">
        <f t="shared" si="33"/>
        <v>20.965673964547605</v>
      </c>
      <c r="T62" s="18">
        <f t="shared" si="34"/>
        <v>20.965673964547605</v>
      </c>
      <c r="U62" s="18">
        <f t="shared" si="35"/>
        <v>20.965673964547605</v>
      </c>
      <c r="V62" s="18">
        <f t="shared" si="36"/>
        <v>20.965673964547605</v>
      </c>
      <c r="W62" s="18">
        <f t="shared" si="37"/>
        <v>20.965673964547605</v>
      </c>
      <c r="X62" s="18">
        <f t="shared" si="38"/>
        <v>20.965673964547605</v>
      </c>
      <c r="Y62" s="18">
        <f t="shared" si="39"/>
        <v>20.965673964547605</v>
      </c>
      <c r="Z62" s="18">
        <f t="shared" si="40"/>
        <v>20.965673964547605</v>
      </c>
      <c r="AA62" s="13"/>
      <c r="AB62" s="52">
        <v>2035</v>
      </c>
      <c r="AC62" s="14">
        <f>SUMIFS('Bill Credit Rates'!$K:$K,'Bill Credit Rates'!$A:$A,$A$4,'Bill Credit Rates'!$B:$B,$G62,'Bill Credit Rates'!$C:$C,$M62)</f>
        <v>80.56</v>
      </c>
      <c r="AD62" s="14">
        <f>SUMIFS('Bill Credit Rates'!$K:$K,'Bill Credit Rates'!$A:$A,$A$4,'Bill Credit Rates'!$B:$B,$G62,'Bill Credit Rates'!$C:$C,$M62)</f>
        <v>80.56</v>
      </c>
      <c r="AE62" s="14">
        <f>SUMIFS('Bill Credit Rates'!$K:$K,'Bill Credit Rates'!$A:$A,$A$4,'Bill Credit Rates'!$B:$B,$G62,'Bill Credit Rates'!$C:$C,$M62)</f>
        <v>80.56</v>
      </c>
      <c r="AF62" s="14">
        <f>SUMIFS('Bill Credit Rates'!$K:$K,'Bill Credit Rates'!$A:$A,$A$4,'Bill Credit Rates'!$B:$B,$G62,'Bill Credit Rates'!$C:$C,$M62)</f>
        <v>80.56</v>
      </c>
      <c r="AG62" s="14">
        <f>SUMIFS('Bill Credit Rates'!$K:$K,'Bill Credit Rates'!$A:$A,$A$4,'Bill Credit Rates'!$B:$B,$G62,'Bill Credit Rates'!$C:$C,$M62)</f>
        <v>80.56</v>
      </c>
      <c r="AH62" s="14">
        <f>SUMIFS('Bill Credit Rates'!$K:$K,'Bill Credit Rates'!$A:$A,$A$4,'Bill Credit Rates'!$B:$B,$G62,'Bill Credit Rates'!$C:$C,$M62)</f>
        <v>80.56</v>
      </c>
      <c r="AI62" s="14">
        <f>SUMIFS('Bill Credit Rates'!$K:$K,'Bill Credit Rates'!$A:$A,$A$4,'Bill Credit Rates'!$B:$B,$G62,'Bill Credit Rates'!$C:$C,$M62)</f>
        <v>80.56</v>
      </c>
      <c r="AJ62" s="14">
        <f>SUMIFS('Bill Credit Rates'!$K:$K,'Bill Credit Rates'!$A:$A,$A$4,'Bill Credit Rates'!$B:$B,$G62,'Bill Credit Rates'!$C:$C,$M62)</f>
        <v>80.56</v>
      </c>
      <c r="AK62" s="14">
        <f>SUMIFS('Bill Credit Rates'!$K:$K,'Bill Credit Rates'!$A:$A,$A$4,'Bill Credit Rates'!$B:$B,$G62,'Bill Credit Rates'!$C:$C,$M62)</f>
        <v>80.56</v>
      </c>
      <c r="AL62" s="14">
        <f>SUMIFS('Bill Credit Rates'!$K:$K,'Bill Credit Rates'!$A:$A,$A$4,'Bill Credit Rates'!$B:$B,$G62,'Bill Credit Rates'!$C:$C,$M62)</f>
        <v>80.56</v>
      </c>
      <c r="AM62" s="14">
        <f>SUMIFS('Bill Credit Rates'!$K:$K,'Bill Credit Rates'!$A:$A,$A$4,'Bill Credit Rates'!$B:$B,$G62,'Bill Credit Rates'!$C:$C,$M62)</f>
        <v>80.56</v>
      </c>
      <c r="AN62" s="14">
        <f>SUMIFS('Bill Credit Rates'!$K:$K,'Bill Credit Rates'!$A:$A,$A$4,'Bill Credit Rates'!$B:$B,$G62,'Bill Credit Rates'!$C:$C,$M62)</f>
        <v>80.56</v>
      </c>
      <c r="AP62" s="52">
        <v>2035</v>
      </c>
      <c r="AQ62" s="291">
        <v>63.701468892595251</v>
      </c>
      <c r="AR62" s="291">
        <v>63.701468892595251</v>
      </c>
      <c r="AS62" s="291">
        <v>63.701468892595251</v>
      </c>
      <c r="AT62" s="291">
        <v>63.701468892595251</v>
      </c>
      <c r="AU62" s="291">
        <v>63.701468892595251</v>
      </c>
      <c r="AV62" s="291">
        <v>63.701468892595251</v>
      </c>
      <c r="AW62" s="291">
        <v>63.701468892595251</v>
      </c>
      <c r="AX62" s="291">
        <v>63.701468892595251</v>
      </c>
      <c r="AY62" s="291">
        <v>63.701468892595251</v>
      </c>
      <c r="AZ62" s="291">
        <v>63.701468892595251</v>
      </c>
      <c r="BA62" s="291">
        <v>63.701468892595251</v>
      </c>
      <c r="BB62" s="291">
        <v>63.701468892595251</v>
      </c>
      <c r="BD62" s="52">
        <v>2035</v>
      </c>
      <c r="BE62" s="291">
        <v>34.951468892595258</v>
      </c>
      <c r="BF62" s="291">
        <v>34.951468892595258</v>
      </c>
      <c r="BG62" s="291">
        <v>34.951468892595258</v>
      </c>
      <c r="BH62" s="291">
        <v>34.951468892595258</v>
      </c>
      <c r="BI62" s="291">
        <v>34.951468892595258</v>
      </c>
      <c r="BJ62" s="291">
        <v>34.951468892595258</v>
      </c>
      <c r="BK62" s="291">
        <v>34.951468892595258</v>
      </c>
      <c r="BL62" s="291">
        <v>34.951468892595258</v>
      </c>
      <c r="BM62" s="291">
        <v>34.951468892595258</v>
      </c>
      <c r="BN62" s="291">
        <v>34.951468892595258</v>
      </c>
      <c r="BO62" s="291">
        <v>34.951468892595258</v>
      </c>
      <c r="BP62" s="291">
        <v>34.951468892595258</v>
      </c>
      <c r="BR62" s="52">
        <v>2035</v>
      </c>
      <c r="BS62" s="53">
        <f t="shared" si="41"/>
        <v>59.594326035452397</v>
      </c>
      <c r="BT62" s="53">
        <f t="shared" si="42"/>
        <v>59.594326035452397</v>
      </c>
      <c r="BU62" s="53">
        <f t="shared" si="43"/>
        <v>59.594326035452397</v>
      </c>
      <c r="BV62" s="53">
        <f t="shared" si="44"/>
        <v>59.594326035452397</v>
      </c>
      <c r="BW62" s="53">
        <f t="shared" si="45"/>
        <v>59.594326035452397</v>
      </c>
      <c r="BX62" s="53">
        <f t="shared" si="46"/>
        <v>59.594326035452397</v>
      </c>
      <c r="BY62" s="53">
        <f t="shared" si="47"/>
        <v>59.594326035452397</v>
      </c>
      <c r="BZ62" s="53">
        <f t="shared" si="48"/>
        <v>59.594326035452397</v>
      </c>
      <c r="CA62" s="53">
        <f t="shared" si="49"/>
        <v>59.594326035452397</v>
      </c>
      <c r="CB62" s="53">
        <f t="shared" si="50"/>
        <v>59.594326035452397</v>
      </c>
      <c r="CC62" s="53">
        <f t="shared" si="51"/>
        <v>59.594326035452397</v>
      </c>
      <c r="CD62" s="53">
        <f t="shared" si="52"/>
        <v>59.594326035452397</v>
      </c>
    </row>
    <row r="63" spans="1:82">
      <c r="A63" s="48">
        <v>2036</v>
      </c>
      <c r="B63" s="31" cm="1">
        <f t="array" ref="B63">IF(A63&lt;2021,0,SUMPRODUCT(('Project Operational Timelines'!$AO$20:$AO$49=$A63)*('Project Operational Timelines'!$AP$18:$AY$18=$A$4)*('Project Operational Timelines'!$AP$17:$AY$17=$G63)*'Project Operational Timelines'!$AP35:$AY35))</f>
        <v>3.2800000000000002</v>
      </c>
      <c r="C63" s="84">
        <f t="shared" si="13"/>
        <v>649.46982066666681</v>
      </c>
      <c r="D63" s="89">
        <f t="shared" si="27"/>
        <v>150621.75</v>
      </c>
      <c r="E63" s="89"/>
      <c r="F63" s="89">
        <f>-B63*1000*('Program Inputs'!$D$14-'Program Inputs'!$D$6)*$F$4*12</f>
        <v>-16058.880000000003</v>
      </c>
      <c r="G63" s="335">
        <v>1</v>
      </c>
      <c r="H63" s="328">
        <f t="shared" si="28"/>
        <v>107123.03</v>
      </c>
      <c r="I63" s="69"/>
      <c r="J63" s="69"/>
      <c r="K63" s="104"/>
      <c r="L63" s="75"/>
      <c r="M63">
        <v>18</v>
      </c>
      <c r="N63" s="52">
        <v>2036</v>
      </c>
      <c r="O63" s="18">
        <f t="shared" si="29"/>
        <v>19.326244465732202</v>
      </c>
      <c r="P63" s="18">
        <f t="shared" si="30"/>
        <v>19.326244465732202</v>
      </c>
      <c r="Q63" s="18">
        <f t="shared" si="31"/>
        <v>19.326244465732202</v>
      </c>
      <c r="R63" s="18">
        <f t="shared" si="32"/>
        <v>19.326244465732202</v>
      </c>
      <c r="S63" s="18">
        <f t="shared" si="33"/>
        <v>19.326244465732202</v>
      </c>
      <c r="T63" s="18">
        <f t="shared" si="34"/>
        <v>19.326244465732202</v>
      </c>
      <c r="U63" s="18">
        <f t="shared" si="35"/>
        <v>19.326244465732202</v>
      </c>
      <c r="V63" s="18">
        <f t="shared" si="36"/>
        <v>19.326244465732202</v>
      </c>
      <c r="W63" s="18">
        <f t="shared" si="37"/>
        <v>19.326244465732202</v>
      </c>
      <c r="X63" s="18">
        <f t="shared" si="38"/>
        <v>19.326244465732202</v>
      </c>
      <c r="Y63" s="18">
        <f t="shared" si="39"/>
        <v>19.326244465732202</v>
      </c>
      <c r="Z63" s="18">
        <f t="shared" si="40"/>
        <v>19.326244465732202</v>
      </c>
      <c r="AA63" s="13"/>
      <c r="AB63" s="52">
        <v>2036</v>
      </c>
      <c r="AC63" s="14">
        <f>SUMIFS('Bill Credit Rates'!$K:$K,'Bill Credit Rates'!$A:$A,$A$4,'Bill Credit Rates'!$B:$B,$G63,'Bill Credit Rates'!$C:$C,$M63)</f>
        <v>80.56</v>
      </c>
      <c r="AD63" s="14">
        <f>SUMIFS('Bill Credit Rates'!$K:$K,'Bill Credit Rates'!$A:$A,$A$4,'Bill Credit Rates'!$B:$B,$G63,'Bill Credit Rates'!$C:$C,$M63)</f>
        <v>80.56</v>
      </c>
      <c r="AE63" s="14">
        <f>SUMIFS('Bill Credit Rates'!$K:$K,'Bill Credit Rates'!$A:$A,$A$4,'Bill Credit Rates'!$B:$B,$G63,'Bill Credit Rates'!$C:$C,$M63)</f>
        <v>80.56</v>
      </c>
      <c r="AF63" s="14">
        <f>SUMIFS('Bill Credit Rates'!$K:$K,'Bill Credit Rates'!$A:$A,$A$4,'Bill Credit Rates'!$B:$B,$G63,'Bill Credit Rates'!$C:$C,$M63)</f>
        <v>80.56</v>
      </c>
      <c r="AG63" s="14">
        <f>SUMIFS('Bill Credit Rates'!$K:$K,'Bill Credit Rates'!$A:$A,$A$4,'Bill Credit Rates'!$B:$B,$G63,'Bill Credit Rates'!$C:$C,$M63)</f>
        <v>80.56</v>
      </c>
      <c r="AH63" s="14">
        <f>SUMIFS('Bill Credit Rates'!$K:$K,'Bill Credit Rates'!$A:$A,$A$4,'Bill Credit Rates'!$B:$B,$G63,'Bill Credit Rates'!$C:$C,$M63)</f>
        <v>80.56</v>
      </c>
      <c r="AI63" s="14">
        <f>SUMIFS('Bill Credit Rates'!$K:$K,'Bill Credit Rates'!$A:$A,$A$4,'Bill Credit Rates'!$B:$B,$G63,'Bill Credit Rates'!$C:$C,$M63)</f>
        <v>80.56</v>
      </c>
      <c r="AJ63" s="14">
        <f>SUMIFS('Bill Credit Rates'!$K:$K,'Bill Credit Rates'!$A:$A,$A$4,'Bill Credit Rates'!$B:$B,$G63,'Bill Credit Rates'!$C:$C,$M63)</f>
        <v>80.56</v>
      </c>
      <c r="AK63" s="14">
        <f>SUMIFS('Bill Credit Rates'!$K:$K,'Bill Credit Rates'!$A:$A,$A$4,'Bill Credit Rates'!$B:$B,$G63,'Bill Credit Rates'!$C:$C,$M63)</f>
        <v>80.56</v>
      </c>
      <c r="AL63" s="14">
        <f>SUMIFS('Bill Credit Rates'!$K:$K,'Bill Credit Rates'!$A:$A,$A$4,'Bill Credit Rates'!$B:$B,$G63,'Bill Credit Rates'!$C:$C,$M63)</f>
        <v>80.56</v>
      </c>
      <c r="AM63" s="14">
        <f>SUMIFS('Bill Credit Rates'!$K:$K,'Bill Credit Rates'!$A:$A,$A$4,'Bill Credit Rates'!$B:$B,$G63,'Bill Credit Rates'!$C:$C,$M63)</f>
        <v>80.56</v>
      </c>
      <c r="AN63" s="14">
        <f>SUMIFS('Bill Credit Rates'!$K:$K,'Bill Credit Rates'!$A:$A,$A$4,'Bill Credit Rates'!$B:$B,$G63,'Bill Credit Rates'!$C:$C,$M63)</f>
        <v>80.56</v>
      </c>
      <c r="AP63" s="52">
        <v>2036</v>
      </c>
      <c r="AQ63" s="291">
        <v>65.446612677124946</v>
      </c>
      <c r="AR63" s="291">
        <v>65.446612677124946</v>
      </c>
      <c r="AS63" s="291">
        <v>65.446612677124946</v>
      </c>
      <c r="AT63" s="291">
        <v>65.446612677124946</v>
      </c>
      <c r="AU63" s="291">
        <v>65.446612677124946</v>
      </c>
      <c r="AV63" s="291">
        <v>65.446612677124946</v>
      </c>
      <c r="AW63" s="291">
        <v>65.446612677124946</v>
      </c>
      <c r="AX63" s="291">
        <v>65.446612677124946</v>
      </c>
      <c r="AY63" s="291">
        <v>65.446612677124946</v>
      </c>
      <c r="AZ63" s="291">
        <v>65.446612677124946</v>
      </c>
      <c r="BA63" s="291">
        <v>65.446612677124946</v>
      </c>
      <c r="BB63" s="291">
        <v>65.446612677124946</v>
      </c>
      <c r="BD63" s="52">
        <v>2036</v>
      </c>
      <c r="BE63" s="291">
        <v>35.956612677124944</v>
      </c>
      <c r="BF63" s="291">
        <v>35.956612677124944</v>
      </c>
      <c r="BG63" s="291">
        <v>35.956612677124944</v>
      </c>
      <c r="BH63" s="291">
        <v>35.956612677124944</v>
      </c>
      <c r="BI63" s="291">
        <v>35.956612677124944</v>
      </c>
      <c r="BJ63" s="291">
        <v>35.956612677124944</v>
      </c>
      <c r="BK63" s="291">
        <v>35.956612677124944</v>
      </c>
      <c r="BL63" s="291">
        <v>35.956612677124944</v>
      </c>
      <c r="BM63" s="291">
        <v>35.956612677124944</v>
      </c>
      <c r="BN63" s="291">
        <v>35.956612677124944</v>
      </c>
      <c r="BO63" s="291">
        <v>35.956612677124944</v>
      </c>
      <c r="BP63" s="291">
        <v>35.956612677124944</v>
      </c>
      <c r="BR63" s="52">
        <v>2036</v>
      </c>
      <c r="BS63" s="53">
        <f t="shared" si="41"/>
        <v>61.2337555342678</v>
      </c>
      <c r="BT63" s="53">
        <f t="shared" si="42"/>
        <v>61.2337555342678</v>
      </c>
      <c r="BU63" s="53">
        <f t="shared" si="43"/>
        <v>61.2337555342678</v>
      </c>
      <c r="BV63" s="53">
        <f t="shared" si="44"/>
        <v>61.2337555342678</v>
      </c>
      <c r="BW63" s="53">
        <f t="shared" si="45"/>
        <v>61.2337555342678</v>
      </c>
      <c r="BX63" s="53">
        <f t="shared" si="46"/>
        <v>61.2337555342678</v>
      </c>
      <c r="BY63" s="53">
        <f t="shared" si="47"/>
        <v>61.2337555342678</v>
      </c>
      <c r="BZ63" s="53">
        <f t="shared" si="48"/>
        <v>61.2337555342678</v>
      </c>
      <c r="CA63" s="53">
        <f t="shared" si="49"/>
        <v>61.2337555342678</v>
      </c>
      <c r="CB63" s="53">
        <f t="shared" si="50"/>
        <v>61.2337555342678</v>
      </c>
      <c r="CC63" s="53">
        <f t="shared" si="51"/>
        <v>61.2337555342678</v>
      </c>
      <c r="CD63" s="53">
        <f t="shared" si="52"/>
        <v>61.2337555342678</v>
      </c>
    </row>
    <row r="64" spans="1:82">
      <c r="A64" s="48">
        <v>2037</v>
      </c>
      <c r="B64" s="31" cm="1">
        <f t="array" ref="B64">IF(A64&lt;2021,0,SUMPRODUCT(('Project Operational Timelines'!$AO$20:$AO$49=$A64)*('Project Operational Timelines'!$AP$18:$AY$18=$A$4)*('Project Operational Timelines'!$AP$17:$AY$17=$G64)*'Project Operational Timelines'!$AP36:$AY36))</f>
        <v>3.2800000000000002</v>
      </c>
      <c r="C64" s="84">
        <f t="shared" si="13"/>
        <v>649.46982066666681</v>
      </c>
      <c r="D64" s="89">
        <f t="shared" si="27"/>
        <v>129327.41</v>
      </c>
      <c r="E64" s="89"/>
      <c r="F64" s="89">
        <f>-B64*1000*('Program Inputs'!$D$14-'Program Inputs'!$D$6)*$F$4*12</f>
        <v>-16058.880000000003</v>
      </c>
      <c r="G64" s="335">
        <v>1</v>
      </c>
      <c r="H64" s="328">
        <f t="shared" si="28"/>
        <v>89402.99</v>
      </c>
      <c r="I64" s="69"/>
      <c r="J64" s="69"/>
      <c r="K64" s="104"/>
      <c r="L64" s="75"/>
      <c r="M64">
        <v>19</v>
      </c>
      <c r="N64" s="52">
        <v>2037</v>
      </c>
      <c r="O64" s="18">
        <f t="shared" si="29"/>
        <v>16.593972374158326</v>
      </c>
      <c r="P64" s="18">
        <f t="shared" si="30"/>
        <v>16.593972374158326</v>
      </c>
      <c r="Q64" s="18">
        <f t="shared" si="31"/>
        <v>16.593972374158326</v>
      </c>
      <c r="R64" s="18">
        <f t="shared" si="32"/>
        <v>16.593972374158326</v>
      </c>
      <c r="S64" s="18">
        <f t="shared" si="33"/>
        <v>16.593972374158326</v>
      </c>
      <c r="T64" s="18">
        <f t="shared" si="34"/>
        <v>16.593972374158326</v>
      </c>
      <c r="U64" s="18">
        <f t="shared" si="35"/>
        <v>16.593972374158326</v>
      </c>
      <c r="V64" s="18">
        <f t="shared" si="36"/>
        <v>16.593972374158326</v>
      </c>
      <c r="W64" s="18">
        <f t="shared" si="37"/>
        <v>16.593972374158326</v>
      </c>
      <c r="X64" s="18">
        <f t="shared" si="38"/>
        <v>16.593972374158326</v>
      </c>
      <c r="Y64" s="18">
        <f t="shared" si="39"/>
        <v>16.593972374158326</v>
      </c>
      <c r="Z64" s="18">
        <f t="shared" si="40"/>
        <v>16.593972374158326</v>
      </c>
      <c r="AA64" s="13"/>
      <c r="AB64" s="52">
        <v>2037</v>
      </c>
      <c r="AC64" s="14">
        <f>SUMIFS('Bill Credit Rates'!$K:$K,'Bill Credit Rates'!$A:$A,$A$4,'Bill Credit Rates'!$B:$B,$G64,'Bill Credit Rates'!$C:$C,$M64)</f>
        <v>80.56</v>
      </c>
      <c r="AD64" s="14">
        <f>SUMIFS('Bill Credit Rates'!$K:$K,'Bill Credit Rates'!$A:$A,$A$4,'Bill Credit Rates'!$B:$B,$G64,'Bill Credit Rates'!$C:$C,$M64)</f>
        <v>80.56</v>
      </c>
      <c r="AE64" s="14">
        <f>SUMIFS('Bill Credit Rates'!$K:$K,'Bill Credit Rates'!$A:$A,$A$4,'Bill Credit Rates'!$B:$B,$G64,'Bill Credit Rates'!$C:$C,$M64)</f>
        <v>80.56</v>
      </c>
      <c r="AF64" s="14">
        <f>SUMIFS('Bill Credit Rates'!$K:$K,'Bill Credit Rates'!$A:$A,$A$4,'Bill Credit Rates'!$B:$B,$G64,'Bill Credit Rates'!$C:$C,$M64)</f>
        <v>80.56</v>
      </c>
      <c r="AG64" s="14">
        <f>SUMIFS('Bill Credit Rates'!$K:$K,'Bill Credit Rates'!$A:$A,$A$4,'Bill Credit Rates'!$B:$B,$G64,'Bill Credit Rates'!$C:$C,$M64)</f>
        <v>80.56</v>
      </c>
      <c r="AH64" s="14">
        <f>SUMIFS('Bill Credit Rates'!$K:$K,'Bill Credit Rates'!$A:$A,$A$4,'Bill Credit Rates'!$B:$B,$G64,'Bill Credit Rates'!$C:$C,$M64)</f>
        <v>80.56</v>
      </c>
      <c r="AI64" s="14">
        <f>SUMIFS('Bill Credit Rates'!$K:$K,'Bill Credit Rates'!$A:$A,$A$4,'Bill Credit Rates'!$B:$B,$G64,'Bill Credit Rates'!$C:$C,$M64)</f>
        <v>80.56</v>
      </c>
      <c r="AJ64" s="14">
        <f>SUMIFS('Bill Credit Rates'!$K:$K,'Bill Credit Rates'!$A:$A,$A$4,'Bill Credit Rates'!$B:$B,$G64,'Bill Credit Rates'!$C:$C,$M64)</f>
        <v>80.56</v>
      </c>
      <c r="AK64" s="14">
        <f>SUMIFS('Bill Credit Rates'!$K:$K,'Bill Credit Rates'!$A:$A,$A$4,'Bill Credit Rates'!$B:$B,$G64,'Bill Credit Rates'!$C:$C,$M64)</f>
        <v>80.56</v>
      </c>
      <c r="AL64" s="14">
        <f>SUMIFS('Bill Credit Rates'!$K:$K,'Bill Credit Rates'!$A:$A,$A$4,'Bill Credit Rates'!$B:$B,$G64,'Bill Credit Rates'!$C:$C,$M64)</f>
        <v>80.56</v>
      </c>
      <c r="AM64" s="14">
        <f>SUMIFS('Bill Credit Rates'!$K:$K,'Bill Credit Rates'!$A:$A,$A$4,'Bill Credit Rates'!$B:$B,$G64,'Bill Credit Rates'!$C:$C,$M64)</f>
        <v>80.56</v>
      </c>
      <c r="AN64" s="14">
        <f>SUMIFS('Bill Credit Rates'!$K:$K,'Bill Credit Rates'!$A:$A,$A$4,'Bill Credit Rates'!$B:$B,$G64,'Bill Credit Rates'!$C:$C,$M64)</f>
        <v>80.56</v>
      </c>
      <c r="AP64" s="52">
        <v>2037</v>
      </c>
      <c r="AQ64" s="291">
        <v>68.288884768698821</v>
      </c>
      <c r="AR64" s="291">
        <v>68.288884768698821</v>
      </c>
      <c r="AS64" s="291">
        <v>68.288884768698821</v>
      </c>
      <c r="AT64" s="291">
        <v>68.288884768698821</v>
      </c>
      <c r="AU64" s="291">
        <v>68.288884768698821</v>
      </c>
      <c r="AV64" s="291">
        <v>68.288884768698821</v>
      </c>
      <c r="AW64" s="291">
        <v>68.288884768698821</v>
      </c>
      <c r="AX64" s="291">
        <v>68.288884768698821</v>
      </c>
      <c r="AY64" s="291">
        <v>68.288884768698821</v>
      </c>
      <c r="AZ64" s="291">
        <v>68.288884768698821</v>
      </c>
      <c r="BA64" s="291">
        <v>68.288884768698821</v>
      </c>
      <c r="BB64" s="291">
        <v>68.288884768698821</v>
      </c>
      <c r="BD64" s="52">
        <v>2037</v>
      </c>
      <c r="BE64" s="291">
        <v>38.028884768698823</v>
      </c>
      <c r="BF64" s="291">
        <v>38.028884768698823</v>
      </c>
      <c r="BG64" s="291">
        <v>38.028884768698823</v>
      </c>
      <c r="BH64" s="291">
        <v>38.028884768698823</v>
      </c>
      <c r="BI64" s="291">
        <v>38.028884768698823</v>
      </c>
      <c r="BJ64" s="291">
        <v>38.028884768698823</v>
      </c>
      <c r="BK64" s="291">
        <v>38.028884768698823</v>
      </c>
      <c r="BL64" s="291">
        <v>38.028884768698823</v>
      </c>
      <c r="BM64" s="291">
        <v>38.028884768698823</v>
      </c>
      <c r="BN64" s="291">
        <v>38.028884768698823</v>
      </c>
      <c r="BO64" s="291">
        <v>38.028884768698823</v>
      </c>
      <c r="BP64" s="291">
        <v>38.028884768698823</v>
      </c>
      <c r="BR64" s="52">
        <v>2037</v>
      </c>
      <c r="BS64" s="53">
        <f t="shared" si="41"/>
        <v>63.966027625841676</v>
      </c>
      <c r="BT64" s="53">
        <f t="shared" si="42"/>
        <v>63.966027625841676</v>
      </c>
      <c r="BU64" s="53">
        <f t="shared" si="43"/>
        <v>63.966027625841676</v>
      </c>
      <c r="BV64" s="53">
        <f t="shared" si="44"/>
        <v>63.966027625841676</v>
      </c>
      <c r="BW64" s="53">
        <f t="shared" si="45"/>
        <v>63.966027625841676</v>
      </c>
      <c r="BX64" s="53">
        <f t="shared" si="46"/>
        <v>63.966027625841676</v>
      </c>
      <c r="BY64" s="53">
        <f t="shared" si="47"/>
        <v>63.966027625841676</v>
      </c>
      <c r="BZ64" s="53">
        <f t="shared" si="48"/>
        <v>63.966027625841676</v>
      </c>
      <c r="CA64" s="53">
        <f t="shared" si="49"/>
        <v>63.966027625841676</v>
      </c>
      <c r="CB64" s="53">
        <f t="shared" si="50"/>
        <v>63.966027625841676</v>
      </c>
      <c r="CC64" s="53">
        <f t="shared" si="51"/>
        <v>63.966027625841676</v>
      </c>
      <c r="CD64" s="53">
        <f t="shared" si="52"/>
        <v>63.966027625841676</v>
      </c>
    </row>
    <row r="65" spans="1:82">
      <c r="A65" s="48">
        <v>2038</v>
      </c>
      <c r="B65" s="31" cm="1">
        <f t="array" ref="B65">IF(A65&lt;2021,0,SUMPRODUCT(('Project Operational Timelines'!$AO$20:$AO$49=$A65)*('Project Operational Timelines'!$AP$18:$AY$18=$A$4)*('Project Operational Timelines'!$AP$17:$AY$17=$G65)*'Project Operational Timelines'!$AP37:$AY37))</f>
        <v>3.2800000000000002</v>
      </c>
      <c r="C65" s="84">
        <f t="shared" si="13"/>
        <v>649.46982066666681</v>
      </c>
      <c r="D65" s="89">
        <f t="shared" si="27"/>
        <v>120080.44</v>
      </c>
      <c r="E65" s="89"/>
      <c r="F65" s="89">
        <f>-B65*1000*('Program Inputs'!$D$14-'Program Inputs'!$D$6)*$F$4*12</f>
        <v>-16058.880000000003</v>
      </c>
      <c r="G65" s="335">
        <v>1</v>
      </c>
      <c r="H65" s="328">
        <f t="shared" si="28"/>
        <v>80686.33</v>
      </c>
      <c r="I65" s="69"/>
      <c r="J65" s="69"/>
      <c r="K65" s="104"/>
      <c r="L65" s="75"/>
      <c r="M65">
        <v>20</v>
      </c>
      <c r="N65" s="52">
        <v>2038</v>
      </c>
      <c r="O65" s="18">
        <f t="shared" si="29"/>
        <v>15.407495167335384</v>
      </c>
      <c r="P65" s="18">
        <f t="shared" si="30"/>
        <v>15.407495167335384</v>
      </c>
      <c r="Q65" s="18">
        <f t="shared" si="31"/>
        <v>15.407495167335384</v>
      </c>
      <c r="R65" s="18">
        <f t="shared" si="32"/>
        <v>15.407495167335384</v>
      </c>
      <c r="S65" s="18">
        <f t="shared" si="33"/>
        <v>15.407495167335384</v>
      </c>
      <c r="T65" s="18">
        <f t="shared" si="34"/>
        <v>15.407495167335384</v>
      </c>
      <c r="U65" s="18">
        <f t="shared" si="35"/>
        <v>15.407495167335384</v>
      </c>
      <c r="V65" s="18">
        <f t="shared" si="36"/>
        <v>15.407495167335384</v>
      </c>
      <c r="W65" s="18">
        <f t="shared" si="37"/>
        <v>15.407495167335384</v>
      </c>
      <c r="X65" s="18">
        <f t="shared" si="38"/>
        <v>15.407495167335384</v>
      </c>
      <c r="Y65" s="18">
        <f t="shared" si="39"/>
        <v>15.407495167335384</v>
      </c>
      <c r="Z65" s="18">
        <f t="shared" si="40"/>
        <v>15.407495167335384</v>
      </c>
      <c r="AA65" s="13"/>
      <c r="AB65" s="52">
        <v>2038</v>
      </c>
      <c r="AC65" s="14">
        <f>SUMIFS('Bill Credit Rates'!$K:$K,'Bill Credit Rates'!$A:$A,$A$4,'Bill Credit Rates'!$B:$B,$G65,'Bill Credit Rates'!$C:$C,$M65)</f>
        <v>80.56</v>
      </c>
      <c r="AD65" s="14">
        <f>SUMIFS('Bill Credit Rates'!$K:$K,'Bill Credit Rates'!$A:$A,$A$4,'Bill Credit Rates'!$B:$B,$G65,'Bill Credit Rates'!$C:$C,$M65)</f>
        <v>80.56</v>
      </c>
      <c r="AE65" s="14">
        <f>SUMIFS('Bill Credit Rates'!$K:$K,'Bill Credit Rates'!$A:$A,$A$4,'Bill Credit Rates'!$B:$B,$G65,'Bill Credit Rates'!$C:$C,$M65)</f>
        <v>80.56</v>
      </c>
      <c r="AF65" s="14">
        <f>SUMIFS('Bill Credit Rates'!$K:$K,'Bill Credit Rates'!$A:$A,$A$4,'Bill Credit Rates'!$B:$B,$G65,'Bill Credit Rates'!$C:$C,$M65)</f>
        <v>80.56</v>
      </c>
      <c r="AG65" s="14">
        <f>SUMIFS('Bill Credit Rates'!$K:$K,'Bill Credit Rates'!$A:$A,$A$4,'Bill Credit Rates'!$B:$B,$G65,'Bill Credit Rates'!$C:$C,$M65)</f>
        <v>80.56</v>
      </c>
      <c r="AH65" s="14">
        <f>SUMIFS('Bill Credit Rates'!$K:$K,'Bill Credit Rates'!$A:$A,$A$4,'Bill Credit Rates'!$B:$B,$G65,'Bill Credit Rates'!$C:$C,$M65)</f>
        <v>80.56</v>
      </c>
      <c r="AI65" s="14">
        <f>SUMIFS('Bill Credit Rates'!$K:$K,'Bill Credit Rates'!$A:$A,$A$4,'Bill Credit Rates'!$B:$B,$G65,'Bill Credit Rates'!$C:$C,$M65)</f>
        <v>80.56</v>
      </c>
      <c r="AJ65" s="14">
        <f>SUMIFS('Bill Credit Rates'!$K:$K,'Bill Credit Rates'!$A:$A,$A$4,'Bill Credit Rates'!$B:$B,$G65,'Bill Credit Rates'!$C:$C,$M65)</f>
        <v>80.56</v>
      </c>
      <c r="AK65" s="14">
        <f>SUMIFS('Bill Credit Rates'!$K:$K,'Bill Credit Rates'!$A:$A,$A$4,'Bill Credit Rates'!$B:$B,$G65,'Bill Credit Rates'!$C:$C,$M65)</f>
        <v>80.56</v>
      </c>
      <c r="AL65" s="14">
        <f>SUMIFS('Bill Credit Rates'!$K:$K,'Bill Credit Rates'!$A:$A,$A$4,'Bill Credit Rates'!$B:$B,$G65,'Bill Credit Rates'!$C:$C,$M65)</f>
        <v>80.56</v>
      </c>
      <c r="AM65" s="14">
        <f>SUMIFS('Bill Credit Rates'!$K:$K,'Bill Credit Rates'!$A:$A,$A$4,'Bill Credit Rates'!$B:$B,$G65,'Bill Credit Rates'!$C:$C,$M65)</f>
        <v>80.56</v>
      </c>
      <c r="AN65" s="14">
        <f>SUMIFS('Bill Credit Rates'!$K:$K,'Bill Credit Rates'!$A:$A,$A$4,'Bill Credit Rates'!$B:$B,$G65,'Bill Credit Rates'!$C:$C,$M65)</f>
        <v>80.56</v>
      </c>
      <c r="AP65" s="52">
        <v>2038</v>
      </c>
      <c r="AQ65" s="291">
        <v>69.588219118378902</v>
      </c>
      <c r="AR65" s="291">
        <v>69.588219118378902</v>
      </c>
      <c r="AS65" s="291">
        <v>69.588219118378902</v>
      </c>
      <c r="AT65" s="291">
        <v>69.588219118378902</v>
      </c>
      <c r="AU65" s="291">
        <v>69.588219118378902</v>
      </c>
      <c r="AV65" s="291">
        <v>69.588219118378902</v>
      </c>
      <c r="AW65" s="291">
        <v>69.588219118378902</v>
      </c>
      <c r="AX65" s="291">
        <v>69.588219118378902</v>
      </c>
      <c r="AY65" s="291">
        <v>69.588219118378902</v>
      </c>
      <c r="AZ65" s="291">
        <v>69.588219118378902</v>
      </c>
      <c r="BA65" s="291">
        <v>69.588219118378902</v>
      </c>
      <c r="BB65" s="291">
        <v>69.588219118378902</v>
      </c>
      <c r="BD65" s="52">
        <v>2038</v>
      </c>
      <c r="BE65" s="291">
        <v>38.538219118378898</v>
      </c>
      <c r="BF65" s="291">
        <v>38.538219118378898</v>
      </c>
      <c r="BG65" s="291">
        <v>38.538219118378898</v>
      </c>
      <c r="BH65" s="291">
        <v>38.538219118378898</v>
      </c>
      <c r="BI65" s="291">
        <v>38.538219118378898</v>
      </c>
      <c r="BJ65" s="291">
        <v>38.538219118378898</v>
      </c>
      <c r="BK65" s="291">
        <v>38.538219118378898</v>
      </c>
      <c r="BL65" s="291">
        <v>38.538219118378898</v>
      </c>
      <c r="BM65" s="291">
        <v>38.538219118378898</v>
      </c>
      <c r="BN65" s="291">
        <v>38.538219118378898</v>
      </c>
      <c r="BO65" s="291">
        <v>38.538219118378898</v>
      </c>
      <c r="BP65" s="291">
        <v>38.538219118378898</v>
      </c>
      <c r="BR65" s="52">
        <v>2038</v>
      </c>
      <c r="BS65" s="53">
        <f t="shared" si="41"/>
        <v>65.152504832664619</v>
      </c>
      <c r="BT65" s="53">
        <f t="shared" si="42"/>
        <v>65.152504832664619</v>
      </c>
      <c r="BU65" s="53">
        <f t="shared" si="43"/>
        <v>65.152504832664619</v>
      </c>
      <c r="BV65" s="53">
        <f t="shared" si="44"/>
        <v>65.152504832664619</v>
      </c>
      <c r="BW65" s="53">
        <f t="shared" si="45"/>
        <v>65.152504832664619</v>
      </c>
      <c r="BX65" s="53">
        <f t="shared" si="46"/>
        <v>65.152504832664619</v>
      </c>
      <c r="BY65" s="53">
        <f t="shared" si="47"/>
        <v>65.152504832664619</v>
      </c>
      <c r="BZ65" s="53">
        <f t="shared" si="48"/>
        <v>65.152504832664619</v>
      </c>
      <c r="CA65" s="53">
        <f t="shared" si="49"/>
        <v>65.152504832664619</v>
      </c>
      <c r="CB65" s="53">
        <f t="shared" si="50"/>
        <v>65.152504832664619</v>
      </c>
      <c r="CC65" s="53">
        <f t="shared" si="51"/>
        <v>65.152504832664619</v>
      </c>
      <c r="CD65" s="53">
        <f t="shared" si="52"/>
        <v>65.152504832664619</v>
      </c>
    </row>
    <row r="66" spans="1:82">
      <c r="A66" s="48">
        <v>2039</v>
      </c>
      <c r="B66" s="31" cm="1">
        <f t="array" ref="B66">IF(A66&lt;2021,0,SUMPRODUCT(('Project Operational Timelines'!$AO$20:$AO$49=$A66)*('Project Operational Timelines'!$AP$18:$AY$18=$A$4)*('Project Operational Timelines'!$AP$17:$AY$17=$G66)*'Project Operational Timelines'!$AP38:$AY38))</f>
        <v>3.2800000000000002</v>
      </c>
      <c r="C66" s="84">
        <f t="shared" si="13"/>
        <v>649.46982066666681</v>
      </c>
      <c r="D66" s="89">
        <f t="shared" si="27"/>
        <v>111658.52</v>
      </c>
      <c r="E66" s="89"/>
      <c r="F66" s="89">
        <f>-B66*1000*('Program Inputs'!$D$14-'Program Inputs'!$D$6)*$F$4*12</f>
        <v>-16058.880000000003</v>
      </c>
      <c r="G66" s="335">
        <v>1</v>
      </c>
      <c r="H66" s="328">
        <f t="shared" si="28"/>
        <v>72926.58</v>
      </c>
      <c r="I66" s="69"/>
      <c r="J66" s="69"/>
      <c r="K66" s="104"/>
      <c r="L66" s="75"/>
      <c r="M66">
        <v>21</v>
      </c>
      <c r="N66" s="52">
        <v>2039</v>
      </c>
      <c r="O66" s="18">
        <f t="shared" si="29"/>
        <v>14.326880413326961</v>
      </c>
      <c r="P66" s="18">
        <f t="shared" si="30"/>
        <v>14.326880413326961</v>
      </c>
      <c r="Q66" s="18">
        <f t="shared" si="31"/>
        <v>14.326880413326961</v>
      </c>
      <c r="R66" s="18">
        <f t="shared" si="32"/>
        <v>14.326880413326961</v>
      </c>
      <c r="S66" s="18">
        <f t="shared" si="33"/>
        <v>14.326880413326961</v>
      </c>
      <c r="T66" s="18">
        <f t="shared" si="34"/>
        <v>14.326880413326961</v>
      </c>
      <c r="U66" s="18">
        <f t="shared" si="35"/>
        <v>14.326880413326961</v>
      </c>
      <c r="V66" s="18">
        <f t="shared" si="36"/>
        <v>14.326880413326961</v>
      </c>
      <c r="W66" s="18">
        <f t="shared" si="37"/>
        <v>14.326880413326961</v>
      </c>
      <c r="X66" s="18">
        <f t="shared" si="38"/>
        <v>14.326880413326961</v>
      </c>
      <c r="Y66" s="18">
        <f t="shared" si="39"/>
        <v>14.326880413326961</v>
      </c>
      <c r="Z66" s="18">
        <f t="shared" si="40"/>
        <v>14.326880413326961</v>
      </c>
      <c r="AA66" s="13"/>
      <c r="AB66" s="52">
        <v>2039</v>
      </c>
      <c r="AC66" s="14">
        <f>SUMIFS('Bill Credit Rates'!$K:$K,'Bill Credit Rates'!$A:$A,$A$4,'Bill Credit Rates'!$B:$B,$G66,'Bill Credit Rates'!$C:$C,$M66)</f>
        <v>80.56</v>
      </c>
      <c r="AD66" s="14">
        <f>SUMIFS('Bill Credit Rates'!$K:$K,'Bill Credit Rates'!$A:$A,$A$4,'Bill Credit Rates'!$B:$B,$G66,'Bill Credit Rates'!$C:$C,$M66)</f>
        <v>80.56</v>
      </c>
      <c r="AE66" s="14">
        <f>SUMIFS('Bill Credit Rates'!$K:$K,'Bill Credit Rates'!$A:$A,$A$4,'Bill Credit Rates'!$B:$B,$G66,'Bill Credit Rates'!$C:$C,$M66)</f>
        <v>80.56</v>
      </c>
      <c r="AF66" s="14">
        <f>SUMIFS('Bill Credit Rates'!$K:$K,'Bill Credit Rates'!$A:$A,$A$4,'Bill Credit Rates'!$B:$B,$G66,'Bill Credit Rates'!$C:$C,$M66)</f>
        <v>80.56</v>
      </c>
      <c r="AG66" s="14">
        <f>SUMIFS('Bill Credit Rates'!$K:$K,'Bill Credit Rates'!$A:$A,$A$4,'Bill Credit Rates'!$B:$B,$G66,'Bill Credit Rates'!$C:$C,$M66)</f>
        <v>80.56</v>
      </c>
      <c r="AH66" s="14">
        <f>SUMIFS('Bill Credit Rates'!$K:$K,'Bill Credit Rates'!$A:$A,$A$4,'Bill Credit Rates'!$B:$B,$G66,'Bill Credit Rates'!$C:$C,$M66)</f>
        <v>80.56</v>
      </c>
      <c r="AI66" s="14">
        <f>SUMIFS('Bill Credit Rates'!$K:$K,'Bill Credit Rates'!$A:$A,$A$4,'Bill Credit Rates'!$B:$B,$G66,'Bill Credit Rates'!$C:$C,$M66)</f>
        <v>80.56</v>
      </c>
      <c r="AJ66" s="14">
        <f>SUMIFS('Bill Credit Rates'!$K:$K,'Bill Credit Rates'!$A:$A,$A$4,'Bill Credit Rates'!$B:$B,$G66,'Bill Credit Rates'!$C:$C,$M66)</f>
        <v>80.56</v>
      </c>
      <c r="AK66" s="14">
        <f>SUMIFS('Bill Credit Rates'!$K:$K,'Bill Credit Rates'!$A:$A,$A$4,'Bill Credit Rates'!$B:$B,$G66,'Bill Credit Rates'!$C:$C,$M66)</f>
        <v>80.56</v>
      </c>
      <c r="AL66" s="14">
        <f>SUMIFS('Bill Credit Rates'!$K:$K,'Bill Credit Rates'!$A:$A,$A$4,'Bill Credit Rates'!$B:$B,$G66,'Bill Credit Rates'!$C:$C,$M66)</f>
        <v>80.56</v>
      </c>
      <c r="AM66" s="14">
        <f>SUMIFS('Bill Credit Rates'!$K:$K,'Bill Credit Rates'!$A:$A,$A$4,'Bill Credit Rates'!$B:$B,$G66,'Bill Credit Rates'!$C:$C,$M66)</f>
        <v>80.56</v>
      </c>
      <c r="AN66" s="14">
        <f>SUMIFS('Bill Credit Rates'!$K:$K,'Bill Credit Rates'!$A:$A,$A$4,'Bill Credit Rates'!$B:$B,$G66,'Bill Credit Rates'!$C:$C,$M66)</f>
        <v>80.56</v>
      </c>
      <c r="AP66" s="52">
        <v>2039</v>
      </c>
      <c r="AQ66" s="292">
        <v>70.784548158101614</v>
      </c>
      <c r="AR66" s="292">
        <v>70.784548158101614</v>
      </c>
      <c r="AS66" s="292">
        <v>70.784548158101614</v>
      </c>
      <c r="AT66" s="292">
        <v>70.784548158101614</v>
      </c>
      <c r="AU66" s="292">
        <v>70.784548158101614</v>
      </c>
      <c r="AV66" s="292">
        <v>70.784548158101614</v>
      </c>
      <c r="AW66" s="292">
        <v>70.784548158101614</v>
      </c>
      <c r="AX66" s="292">
        <v>70.784548158101614</v>
      </c>
      <c r="AY66" s="292">
        <v>70.784548158101614</v>
      </c>
      <c r="AZ66" s="292">
        <v>70.784548158101614</v>
      </c>
      <c r="BA66" s="292">
        <v>70.784548158101614</v>
      </c>
      <c r="BB66" s="292">
        <v>70.784548158101614</v>
      </c>
      <c r="BD66" s="52">
        <v>2039</v>
      </c>
      <c r="BE66" s="292">
        <v>38.924548158101615</v>
      </c>
      <c r="BF66" s="292">
        <v>38.924548158101615</v>
      </c>
      <c r="BG66" s="292">
        <v>38.924548158101615</v>
      </c>
      <c r="BH66" s="292">
        <v>38.924548158101615</v>
      </c>
      <c r="BI66" s="292">
        <v>38.924548158101615</v>
      </c>
      <c r="BJ66" s="292">
        <v>38.924548158101615</v>
      </c>
      <c r="BK66" s="292">
        <v>38.924548158101615</v>
      </c>
      <c r="BL66" s="292">
        <v>38.924548158101615</v>
      </c>
      <c r="BM66" s="292">
        <v>38.924548158101615</v>
      </c>
      <c r="BN66" s="292">
        <v>38.924548158101615</v>
      </c>
      <c r="BO66" s="292">
        <v>38.924548158101615</v>
      </c>
      <c r="BP66" s="292">
        <v>38.924548158101615</v>
      </c>
      <c r="BR66" s="52">
        <v>2039</v>
      </c>
      <c r="BS66" s="53">
        <f t="shared" si="41"/>
        <v>66.233119586673041</v>
      </c>
      <c r="BT66" s="53">
        <f t="shared" si="42"/>
        <v>66.233119586673041</v>
      </c>
      <c r="BU66" s="53">
        <f t="shared" si="43"/>
        <v>66.233119586673041</v>
      </c>
      <c r="BV66" s="53">
        <f t="shared" si="44"/>
        <v>66.233119586673041</v>
      </c>
      <c r="BW66" s="53">
        <f t="shared" si="45"/>
        <v>66.233119586673041</v>
      </c>
      <c r="BX66" s="53">
        <f t="shared" si="46"/>
        <v>66.233119586673041</v>
      </c>
      <c r="BY66" s="53">
        <f t="shared" si="47"/>
        <v>66.233119586673041</v>
      </c>
      <c r="BZ66" s="53">
        <f t="shared" si="48"/>
        <v>66.233119586673041</v>
      </c>
      <c r="CA66" s="53">
        <f t="shared" si="49"/>
        <v>66.233119586673041</v>
      </c>
      <c r="CB66" s="53">
        <f t="shared" si="50"/>
        <v>66.233119586673041</v>
      </c>
      <c r="CC66" s="53">
        <f t="shared" si="51"/>
        <v>66.233119586673041</v>
      </c>
      <c r="CD66" s="53">
        <f t="shared" si="52"/>
        <v>66.233119586673041</v>
      </c>
    </row>
    <row r="67" spans="1:82">
      <c r="A67" s="48">
        <v>2040</v>
      </c>
      <c r="B67" s="31" cm="1">
        <f t="array" ref="B67">IF(A67&lt;2021,0,SUMPRODUCT(('Project Operational Timelines'!$AO$20:$AO$49=$A67)*('Project Operational Timelines'!$AP$18:$AY$18=$A$4)*('Project Operational Timelines'!$AP$17:$AY$17=$G67)*'Project Operational Timelines'!$AP39:$AY39))</f>
        <v>3.2800000000000002</v>
      </c>
      <c r="C67" s="84">
        <f t="shared" si="13"/>
        <v>649.46982066666681</v>
      </c>
      <c r="D67" s="89">
        <f t="shared" si="27"/>
        <v>104841.55</v>
      </c>
      <c r="E67" s="89"/>
      <c r="F67" s="89">
        <f>-B67*1000*('Program Inputs'!$D$14-'Program Inputs'!$D$6)*$F$4*12</f>
        <v>-16058.880000000003</v>
      </c>
      <c r="G67" s="335">
        <v>1</v>
      </c>
      <c r="H67" s="328">
        <f t="shared" si="28"/>
        <v>66556.990000000005</v>
      </c>
      <c r="I67" s="69"/>
      <c r="J67" s="69"/>
      <c r="K67" s="104"/>
      <c r="L67" s="75"/>
      <c r="M67">
        <v>22</v>
      </c>
      <c r="N67" s="52">
        <v>2040</v>
      </c>
      <c r="O67" s="18">
        <f t="shared" ref="O67:O71" si="53">(AC67-BS67)</f>
        <v>13.452197234262044</v>
      </c>
      <c r="P67" s="18">
        <f t="shared" ref="P67:P71" si="54">(AD67-BT67)</f>
        <v>13.452197234262044</v>
      </c>
      <c r="Q67" s="18">
        <f t="shared" ref="Q67:Q71" si="55">(AE67-BU67)</f>
        <v>13.452197234262044</v>
      </c>
      <c r="R67" s="18">
        <f t="shared" ref="R67:R71" si="56">(AF67-BV67)</f>
        <v>13.452197234262044</v>
      </c>
      <c r="S67" s="18">
        <f t="shared" ref="S67:S71" si="57">(AG67-BW67)</f>
        <v>13.452197234262044</v>
      </c>
      <c r="T67" s="18">
        <f t="shared" ref="T67:T71" si="58">(AH67-BX67)</f>
        <v>13.452197234262044</v>
      </c>
      <c r="U67" s="18">
        <f t="shared" ref="U67:U71" si="59">(AI67-BY67)</f>
        <v>13.452197234262044</v>
      </c>
      <c r="V67" s="18">
        <f t="shared" ref="V67:V71" si="60">(AJ67-BZ67)</f>
        <v>13.452197234262044</v>
      </c>
      <c r="W67" s="18">
        <f t="shared" ref="W67:W71" si="61">(AK67-CA67)</f>
        <v>13.452197234262044</v>
      </c>
      <c r="X67" s="18">
        <f t="shared" ref="X67:X71" si="62">(AL67-CB67)</f>
        <v>13.452197234262044</v>
      </c>
      <c r="Y67" s="18">
        <f t="shared" ref="Y67:Y71" si="63">(AM67-CC67)</f>
        <v>13.452197234262044</v>
      </c>
      <c r="Z67" s="18">
        <f t="shared" ref="Z67:Z71" si="64">(AN67-CD67)</f>
        <v>13.452197234262044</v>
      </c>
      <c r="AA67" s="13"/>
      <c r="AB67" s="52">
        <v>2040</v>
      </c>
      <c r="AC67" s="14">
        <f>SUMIFS('Bill Credit Rates'!$K:$K,'Bill Credit Rates'!$A:$A,$A$4,'Bill Credit Rates'!$B:$B,$G67,'Bill Credit Rates'!$C:$C,$M67)</f>
        <v>80.56</v>
      </c>
      <c r="AD67" s="14">
        <f>SUMIFS('Bill Credit Rates'!$K:$K,'Bill Credit Rates'!$A:$A,$A$4,'Bill Credit Rates'!$B:$B,$G67,'Bill Credit Rates'!$C:$C,$M67)</f>
        <v>80.56</v>
      </c>
      <c r="AE67" s="14">
        <f>SUMIFS('Bill Credit Rates'!$K:$K,'Bill Credit Rates'!$A:$A,$A$4,'Bill Credit Rates'!$B:$B,$G67,'Bill Credit Rates'!$C:$C,$M67)</f>
        <v>80.56</v>
      </c>
      <c r="AF67" s="14">
        <f>SUMIFS('Bill Credit Rates'!$K:$K,'Bill Credit Rates'!$A:$A,$A$4,'Bill Credit Rates'!$B:$B,$G67,'Bill Credit Rates'!$C:$C,$M67)</f>
        <v>80.56</v>
      </c>
      <c r="AG67" s="14">
        <f>SUMIFS('Bill Credit Rates'!$K:$K,'Bill Credit Rates'!$A:$A,$A$4,'Bill Credit Rates'!$B:$B,$G67,'Bill Credit Rates'!$C:$C,$M67)</f>
        <v>80.56</v>
      </c>
      <c r="AH67" s="14">
        <f>SUMIFS('Bill Credit Rates'!$K:$K,'Bill Credit Rates'!$A:$A,$A$4,'Bill Credit Rates'!$B:$B,$G67,'Bill Credit Rates'!$C:$C,$M67)</f>
        <v>80.56</v>
      </c>
      <c r="AI67" s="14">
        <f>SUMIFS('Bill Credit Rates'!$K:$K,'Bill Credit Rates'!$A:$A,$A$4,'Bill Credit Rates'!$B:$B,$G67,'Bill Credit Rates'!$C:$C,$M67)</f>
        <v>80.56</v>
      </c>
      <c r="AJ67" s="14">
        <f>SUMIFS('Bill Credit Rates'!$K:$K,'Bill Credit Rates'!$A:$A,$A$4,'Bill Credit Rates'!$B:$B,$G67,'Bill Credit Rates'!$C:$C,$M67)</f>
        <v>80.56</v>
      </c>
      <c r="AK67" s="14">
        <f>SUMIFS('Bill Credit Rates'!$K:$K,'Bill Credit Rates'!$A:$A,$A$4,'Bill Credit Rates'!$B:$B,$G67,'Bill Credit Rates'!$C:$C,$M67)</f>
        <v>80.56</v>
      </c>
      <c r="AL67" s="14">
        <f>SUMIFS('Bill Credit Rates'!$K:$K,'Bill Credit Rates'!$A:$A,$A$4,'Bill Credit Rates'!$B:$B,$G67,'Bill Credit Rates'!$C:$C,$M67)</f>
        <v>80.56</v>
      </c>
      <c r="AM67" s="14">
        <f>SUMIFS('Bill Credit Rates'!$K:$K,'Bill Credit Rates'!$A:$A,$A$4,'Bill Credit Rates'!$B:$B,$G67,'Bill Credit Rates'!$C:$C,$M67)</f>
        <v>80.56</v>
      </c>
      <c r="AN67" s="14">
        <f>SUMIFS('Bill Credit Rates'!$K:$K,'Bill Credit Rates'!$A:$A,$A$4,'Bill Credit Rates'!$B:$B,$G67,'Bill Credit Rates'!$C:$C,$M67)</f>
        <v>80.56</v>
      </c>
      <c r="AP67" s="63">
        <v>2040</v>
      </c>
      <c r="AQ67" s="293">
        <v>71.777802765737945</v>
      </c>
      <c r="AR67" s="293">
        <v>71.777802765737945</v>
      </c>
      <c r="AS67" s="293">
        <v>71.777802765737945</v>
      </c>
      <c r="AT67" s="293">
        <v>71.777802765737945</v>
      </c>
      <c r="AU67" s="293">
        <v>71.777802765737945</v>
      </c>
      <c r="AV67" s="293">
        <v>71.777802765737945</v>
      </c>
      <c r="AW67" s="293">
        <v>71.777802765737945</v>
      </c>
      <c r="AX67" s="293">
        <v>71.777802765737945</v>
      </c>
      <c r="AY67" s="293">
        <v>71.777802765737945</v>
      </c>
      <c r="AZ67" s="293">
        <v>71.777802765737945</v>
      </c>
      <c r="BA67" s="293">
        <v>71.777802765737945</v>
      </c>
      <c r="BB67" s="293">
        <v>71.777802765737945</v>
      </c>
      <c r="BD67" s="63">
        <v>2040</v>
      </c>
      <c r="BE67" s="293">
        <v>39.087802765737948</v>
      </c>
      <c r="BF67" s="293">
        <v>39.087802765737948</v>
      </c>
      <c r="BG67" s="293">
        <v>39.087802765737948</v>
      </c>
      <c r="BH67" s="293">
        <v>39.087802765737948</v>
      </c>
      <c r="BI67" s="293">
        <v>39.087802765737948</v>
      </c>
      <c r="BJ67" s="293">
        <v>39.087802765737948</v>
      </c>
      <c r="BK67" s="293">
        <v>39.087802765737948</v>
      </c>
      <c r="BL67" s="293">
        <v>39.087802765737948</v>
      </c>
      <c r="BM67" s="293">
        <v>39.087802765737948</v>
      </c>
      <c r="BN67" s="293">
        <v>39.087802765737948</v>
      </c>
      <c r="BO67" s="293">
        <v>39.087802765737948</v>
      </c>
      <c r="BP67" s="293">
        <v>39.087802765737948</v>
      </c>
      <c r="BR67" s="135">
        <v>2040</v>
      </c>
      <c r="BS67" s="53">
        <f t="shared" si="41"/>
        <v>67.107802765737958</v>
      </c>
      <c r="BT67" s="53">
        <f t="shared" si="42"/>
        <v>67.107802765737958</v>
      </c>
      <c r="BU67" s="53">
        <f t="shared" si="43"/>
        <v>67.107802765737958</v>
      </c>
      <c r="BV67" s="53">
        <f t="shared" si="44"/>
        <v>67.107802765737958</v>
      </c>
      <c r="BW67" s="53">
        <f t="shared" si="45"/>
        <v>67.107802765737958</v>
      </c>
      <c r="BX67" s="53">
        <f t="shared" si="46"/>
        <v>67.107802765737958</v>
      </c>
      <c r="BY67" s="53">
        <f t="shared" si="47"/>
        <v>67.107802765737958</v>
      </c>
      <c r="BZ67" s="53">
        <f t="shared" si="48"/>
        <v>67.107802765737958</v>
      </c>
      <c r="CA67" s="53">
        <f t="shared" si="49"/>
        <v>67.107802765737958</v>
      </c>
      <c r="CB67" s="53">
        <f t="shared" si="50"/>
        <v>67.107802765737958</v>
      </c>
      <c r="CC67" s="53">
        <f t="shared" si="51"/>
        <v>67.107802765737958</v>
      </c>
      <c r="CD67" s="53">
        <f t="shared" si="52"/>
        <v>67.107802765737958</v>
      </c>
    </row>
    <row r="68" spans="1:82">
      <c r="A68" s="48">
        <v>2041</v>
      </c>
      <c r="B68" s="31" cm="1">
        <f t="array" ref="B68">IF(A68&lt;2021,0,SUMPRODUCT(('Project Operational Timelines'!$AO$20:$AO$49=$A68)*('Project Operational Timelines'!$AP$18:$AY$18=$A$4)*('Project Operational Timelines'!$AP$17:$AY$17=$G68)*'Project Operational Timelines'!$AP40:$AY40))</f>
        <v>3.2800000000000002</v>
      </c>
      <c r="C68" s="84">
        <f t="shared" si="13"/>
        <v>649.46982066666681</v>
      </c>
      <c r="D68" s="89">
        <f t="shared" si="27"/>
        <v>94720.1</v>
      </c>
      <c r="E68" s="89"/>
      <c r="F68" s="89">
        <f>-B68*1000*('Program Inputs'!$D$14-'Program Inputs'!$D$6)*$F$4*12</f>
        <v>-16058.880000000003</v>
      </c>
      <c r="G68" s="335">
        <v>1</v>
      </c>
      <c r="H68" s="328">
        <f t="shared" si="28"/>
        <v>58447.86</v>
      </c>
      <c r="I68" s="69"/>
      <c r="J68" s="69"/>
      <c r="K68" s="104"/>
      <c r="L68" s="75"/>
      <c r="M68">
        <v>23</v>
      </c>
      <c r="N68" s="52">
        <v>2041</v>
      </c>
      <c r="O68" s="18">
        <f t="shared" si="53"/>
        <v>12.15351634207866</v>
      </c>
      <c r="P68" s="18">
        <f t="shared" si="54"/>
        <v>12.15351634207866</v>
      </c>
      <c r="Q68" s="18">
        <f t="shared" si="55"/>
        <v>12.15351634207866</v>
      </c>
      <c r="R68" s="18">
        <f t="shared" si="56"/>
        <v>12.15351634207866</v>
      </c>
      <c r="S68" s="18">
        <f t="shared" si="57"/>
        <v>12.15351634207866</v>
      </c>
      <c r="T68" s="18">
        <f t="shared" si="58"/>
        <v>12.15351634207866</v>
      </c>
      <c r="U68" s="18">
        <f t="shared" si="59"/>
        <v>12.15351634207866</v>
      </c>
      <c r="V68" s="18">
        <f t="shared" si="60"/>
        <v>12.15351634207866</v>
      </c>
      <c r="W68" s="18">
        <f t="shared" si="61"/>
        <v>12.15351634207866</v>
      </c>
      <c r="X68" s="18">
        <f t="shared" si="62"/>
        <v>12.15351634207866</v>
      </c>
      <c r="Y68" s="18">
        <f t="shared" si="63"/>
        <v>12.15351634207866</v>
      </c>
      <c r="Z68" s="18">
        <f t="shared" si="64"/>
        <v>12.15351634207866</v>
      </c>
      <c r="AA68" s="13"/>
      <c r="AB68" s="52">
        <v>2041</v>
      </c>
      <c r="AC68" s="14">
        <f>SUMIFS('Bill Credit Rates'!$K:$K,'Bill Credit Rates'!$A:$A,$A$4,'Bill Credit Rates'!$B:$B,$G68,'Bill Credit Rates'!$C:$C,$M68)</f>
        <v>80.56</v>
      </c>
      <c r="AD68" s="14">
        <f>SUMIFS('Bill Credit Rates'!$K:$K,'Bill Credit Rates'!$A:$A,$A$4,'Bill Credit Rates'!$B:$B,$G68,'Bill Credit Rates'!$C:$C,$M68)</f>
        <v>80.56</v>
      </c>
      <c r="AE68" s="14">
        <f>SUMIFS('Bill Credit Rates'!$K:$K,'Bill Credit Rates'!$A:$A,$A$4,'Bill Credit Rates'!$B:$B,$G68,'Bill Credit Rates'!$C:$C,$M68)</f>
        <v>80.56</v>
      </c>
      <c r="AF68" s="14">
        <f>SUMIFS('Bill Credit Rates'!$K:$K,'Bill Credit Rates'!$A:$A,$A$4,'Bill Credit Rates'!$B:$B,$G68,'Bill Credit Rates'!$C:$C,$M68)</f>
        <v>80.56</v>
      </c>
      <c r="AG68" s="14">
        <f>SUMIFS('Bill Credit Rates'!$K:$K,'Bill Credit Rates'!$A:$A,$A$4,'Bill Credit Rates'!$B:$B,$G68,'Bill Credit Rates'!$C:$C,$M68)</f>
        <v>80.56</v>
      </c>
      <c r="AH68" s="14">
        <f>SUMIFS('Bill Credit Rates'!$K:$K,'Bill Credit Rates'!$A:$A,$A$4,'Bill Credit Rates'!$B:$B,$G68,'Bill Credit Rates'!$C:$C,$M68)</f>
        <v>80.56</v>
      </c>
      <c r="AI68" s="14">
        <f>SUMIFS('Bill Credit Rates'!$K:$K,'Bill Credit Rates'!$A:$A,$A$4,'Bill Credit Rates'!$B:$B,$G68,'Bill Credit Rates'!$C:$C,$M68)</f>
        <v>80.56</v>
      </c>
      <c r="AJ68" s="14">
        <f>SUMIFS('Bill Credit Rates'!$K:$K,'Bill Credit Rates'!$A:$A,$A$4,'Bill Credit Rates'!$B:$B,$G68,'Bill Credit Rates'!$C:$C,$M68)</f>
        <v>80.56</v>
      </c>
      <c r="AK68" s="14">
        <f>SUMIFS('Bill Credit Rates'!$K:$K,'Bill Credit Rates'!$A:$A,$A$4,'Bill Credit Rates'!$B:$B,$G68,'Bill Credit Rates'!$C:$C,$M68)</f>
        <v>80.56</v>
      </c>
      <c r="AL68" s="14">
        <f>SUMIFS('Bill Credit Rates'!$K:$K,'Bill Credit Rates'!$A:$A,$A$4,'Bill Credit Rates'!$B:$B,$G68,'Bill Credit Rates'!$C:$C,$M68)</f>
        <v>80.56</v>
      </c>
      <c r="AM68" s="14">
        <f>SUMIFS('Bill Credit Rates'!$K:$K,'Bill Credit Rates'!$A:$A,$A$4,'Bill Credit Rates'!$B:$B,$G68,'Bill Credit Rates'!$C:$C,$M68)</f>
        <v>80.56</v>
      </c>
      <c r="AN68" s="14">
        <f>SUMIFS('Bill Credit Rates'!$K:$K,'Bill Credit Rates'!$A:$A,$A$4,'Bill Credit Rates'!$B:$B,$G68,'Bill Credit Rates'!$C:$C,$M68)</f>
        <v>80.56</v>
      </c>
      <c r="AP68" s="63">
        <v>2041</v>
      </c>
      <c r="AQ68" s="293">
        <v>73.19791222934991</v>
      </c>
      <c r="AR68" s="293">
        <v>73.19791222934991</v>
      </c>
      <c r="AS68" s="293">
        <v>73.19791222934991</v>
      </c>
      <c r="AT68" s="293">
        <v>73.19791222934991</v>
      </c>
      <c r="AU68" s="293">
        <v>73.19791222934991</v>
      </c>
      <c r="AV68" s="293">
        <v>73.19791222934991</v>
      </c>
      <c r="AW68" s="293">
        <v>73.19791222934991</v>
      </c>
      <c r="AX68" s="293">
        <v>73.19791222934991</v>
      </c>
      <c r="AY68" s="293">
        <v>73.19791222934991</v>
      </c>
      <c r="AZ68" s="293">
        <v>73.19791222934991</v>
      </c>
      <c r="BA68" s="293">
        <v>73.19791222934991</v>
      </c>
      <c r="BB68" s="293">
        <v>73.19791222934991</v>
      </c>
      <c r="BD68" s="63">
        <v>2041</v>
      </c>
      <c r="BE68" s="293">
        <v>39.657912229349918</v>
      </c>
      <c r="BF68" s="293">
        <v>39.657912229349918</v>
      </c>
      <c r="BG68" s="293">
        <v>39.657912229349918</v>
      </c>
      <c r="BH68" s="293">
        <v>39.657912229349918</v>
      </c>
      <c r="BI68" s="293">
        <v>39.657912229349918</v>
      </c>
      <c r="BJ68" s="293">
        <v>39.657912229349918</v>
      </c>
      <c r="BK68" s="293">
        <v>39.657912229349918</v>
      </c>
      <c r="BL68" s="293">
        <v>39.657912229349918</v>
      </c>
      <c r="BM68" s="293">
        <v>39.657912229349918</v>
      </c>
      <c r="BN68" s="293">
        <v>39.657912229349918</v>
      </c>
      <c r="BO68" s="293">
        <v>39.657912229349918</v>
      </c>
      <c r="BP68" s="293">
        <v>39.657912229349918</v>
      </c>
      <c r="BR68" s="52">
        <v>2041</v>
      </c>
      <c r="BS68" s="53">
        <f t="shared" si="41"/>
        <v>68.406483657921342</v>
      </c>
      <c r="BT68" s="53">
        <f t="shared" si="42"/>
        <v>68.406483657921342</v>
      </c>
      <c r="BU68" s="53">
        <f t="shared" si="43"/>
        <v>68.406483657921342</v>
      </c>
      <c r="BV68" s="53">
        <f t="shared" si="44"/>
        <v>68.406483657921342</v>
      </c>
      <c r="BW68" s="53">
        <f t="shared" si="45"/>
        <v>68.406483657921342</v>
      </c>
      <c r="BX68" s="53">
        <f t="shared" si="46"/>
        <v>68.406483657921342</v>
      </c>
      <c r="BY68" s="53">
        <f t="shared" si="47"/>
        <v>68.406483657921342</v>
      </c>
      <c r="BZ68" s="53">
        <f t="shared" si="48"/>
        <v>68.406483657921342</v>
      </c>
      <c r="CA68" s="53">
        <f t="shared" si="49"/>
        <v>68.406483657921342</v>
      </c>
      <c r="CB68" s="53">
        <f t="shared" si="50"/>
        <v>68.406483657921342</v>
      </c>
      <c r="CC68" s="53">
        <f t="shared" si="51"/>
        <v>68.406483657921342</v>
      </c>
      <c r="CD68" s="53">
        <f t="shared" si="52"/>
        <v>68.406483657921342</v>
      </c>
    </row>
    <row r="69" spans="1:82">
      <c r="A69" s="48">
        <v>2042</v>
      </c>
      <c r="B69" s="31" cm="1">
        <f t="array" ref="B69">IF(A69&lt;2021,0,SUMPRODUCT(('Project Operational Timelines'!$AO$20:$AO$49=$A69)*('Project Operational Timelines'!$AP$18:$AY$18=$A$4)*('Project Operational Timelines'!$AP$17:$AY$17=$G69)*'Project Operational Timelines'!$AP41:$AY41))</f>
        <v>3.2800000000000002</v>
      </c>
      <c r="C69" s="84">
        <f t="shared" si="13"/>
        <v>649.46982066666681</v>
      </c>
      <c r="D69" s="89">
        <f t="shared" si="27"/>
        <v>82152.039999999994</v>
      </c>
      <c r="E69" s="89"/>
      <c r="F69" s="89">
        <f>-B69*1000*('Program Inputs'!$D$14-'Program Inputs'!$D$6)*$F$4*12</f>
        <v>-16058.880000000003</v>
      </c>
      <c r="G69" s="335">
        <v>1</v>
      </c>
      <c r="H69" s="328">
        <f t="shared" si="28"/>
        <v>49273.24</v>
      </c>
      <c r="I69" s="69"/>
      <c r="J69" s="69"/>
      <c r="K69" s="104"/>
      <c r="L69" s="75"/>
      <c r="M69">
        <v>24</v>
      </c>
      <c r="N69" s="52">
        <v>2042</v>
      </c>
      <c r="O69" s="18">
        <f t="shared" si="53"/>
        <v>10.540910075089329</v>
      </c>
      <c r="P69" s="18">
        <f t="shared" si="54"/>
        <v>10.540910075089329</v>
      </c>
      <c r="Q69" s="18">
        <f t="shared" si="55"/>
        <v>10.540910075089329</v>
      </c>
      <c r="R69" s="18">
        <f t="shared" si="56"/>
        <v>10.540910075089329</v>
      </c>
      <c r="S69" s="18">
        <f t="shared" si="57"/>
        <v>10.540910075089329</v>
      </c>
      <c r="T69" s="18">
        <f t="shared" si="58"/>
        <v>10.540910075089329</v>
      </c>
      <c r="U69" s="18">
        <f t="shared" si="59"/>
        <v>10.540910075089329</v>
      </c>
      <c r="V69" s="18">
        <f t="shared" si="60"/>
        <v>10.540910075089329</v>
      </c>
      <c r="W69" s="18">
        <f t="shared" si="61"/>
        <v>10.540910075089329</v>
      </c>
      <c r="X69" s="18">
        <f t="shared" si="62"/>
        <v>10.540910075089329</v>
      </c>
      <c r="Y69" s="18">
        <f t="shared" si="63"/>
        <v>10.540910075089329</v>
      </c>
      <c r="Z69" s="18">
        <f t="shared" si="64"/>
        <v>10.540910075089329</v>
      </c>
      <c r="AA69" s="13"/>
      <c r="AB69" s="52">
        <v>2042</v>
      </c>
      <c r="AC69" s="14">
        <f>SUMIFS('Bill Credit Rates'!$K:$K,'Bill Credit Rates'!$A:$A,$A$4,'Bill Credit Rates'!$B:$B,$G69,'Bill Credit Rates'!$C:$C,$M69)</f>
        <v>80.56</v>
      </c>
      <c r="AD69" s="14">
        <f>SUMIFS('Bill Credit Rates'!$K:$K,'Bill Credit Rates'!$A:$A,$A$4,'Bill Credit Rates'!$B:$B,$G69,'Bill Credit Rates'!$C:$C,$M69)</f>
        <v>80.56</v>
      </c>
      <c r="AE69" s="14">
        <f>SUMIFS('Bill Credit Rates'!$K:$K,'Bill Credit Rates'!$A:$A,$A$4,'Bill Credit Rates'!$B:$B,$G69,'Bill Credit Rates'!$C:$C,$M69)</f>
        <v>80.56</v>
      </c>
      <c r="AF69" s="14">
        <f>SUMIFS('Bill Credit Rates'!$K:$K,'Bill Credit Rates'!$A:$A,$A$4,'Bill Credit Rates'!$B:$B,$G69,'Bill Credit Rates'!$C:$C,$M69)</f>
        <v>80.56</v>
      </c>
      <c r="AG69" s="14">
        <f>SUMIFS('Bill Credit Rates'!$K:$K,'Bill Credit Rates'!$A:$A,$A$4,'Bill Credit Rates'!$B:$B,$G69,'Bill Credit Rates'!$C:$C,$M69)</f>
        <v>80.56</v>
      </c>
      <c r="AH69" s="14">
        <f>SUMIFS('Bill Credit Rates'!$K:$K,'Bill Credit Rates'!$A:$A,$A$4,'Bill Credit Rates'!$B:$B,$G69,'Bill Credit Rates'!$C:$C,$M69)</f>
        <v>80.56</v>
      </c>
      <c r="AI69" s="14">
        <f>SUMIFS('Bill Credit Rates'!$K:$K,'Bill Credit Rates'!$A:$A,$A$4,'Bill Credit Rates'!$B:$B,$G69,'Bill Credit Rates'!$C:$C,$M69)</f>
        <v>80.56</v>
      </c>
      <c r="AJ69" s="14">
        <f>SUMIFS('Bill Credit Rates'!$K:$K,'Bill Credit Rates'!$A:$A,$A$4,'Bill Credit Rates'!$B:$B,$G69,'Bill Credit Rates'!$C:$C,$M69)</f>
        <v>80.56</v>
      </c>
      <c r="AK69" s="14">
        <f>SUMIFS('Bill Credit Rates'!$K:$K,'Bill Credit Rates'!$A:$A,$A$4,'Bill Credit Rates'!$B:$B,$G69,'Bill Credit Rates'!$C:$C,$M69)</f>
        <v>80.56</v>
      </c>
      <c r="AL69" s="14">
        <f>SUMIFS('Bill Credit Rates'!$K:$K,'Bill Credit Rates'!$A:$A,$A$4,'Bill Credit Rates'!$B:$B,$G69,'Bill Credit Rates'!$C:$C,$M69)</f>
        <v>80.56</v>
      </c>
      <c r="AM69" s="14">
        <f>SUMIFS('Bill Credit Rates'!$K:$K,'Bill Credit Rates'!$A:$A,$A$4,'Bill Credit Rates'!$B:$B,$G69,'Bill Credit Rates'!$C:$C,$M69)</f>
        <v>80.56</v>
      </c>
      <c r="AN69" s="14">
        <f>SUMIFS('Bill Credit Rates'!$K:$K,'Bill Credit Rates'!$A:$A,$A$4,'Bill Credit Rates'!$B:$B,$G69,'Bill Credit Rates'!$C:$C,$M69)</f>
        <v>80.56</v>
      </c>
      <c r="AP69" s="63">
        <v>2042</v>
      </c>
      <c r="AQ69" s="293">
        <v>74.934804210624961</v>
      </c>
      <c r="AR69" s="293">
        <v>74.934804210624961</v>
      </c>
      <c r="AS69" s="293">
        <v>74.934804210624961</v>
      </c>
      <c r="AT69" s="293">
        <v>74.934804210624961</v>
      </c>
      <c r="AU69" s="293">
        <v>74.934804210624961</v>
      </c>
      <c r="AV69" s="293">
        <v>74.934804210624961</v>
      </c>
      <c r="AW69" s="293">
        <v>74.934804210624961</v>
      </c>
      <c r="AX69" s="293">
        <v>74.934804210624961</v>
      </c>
      <c r="AY69" s="293">
        <v>74.934804210624961</v>
      </c>
      <c r="AZ69" s="293">
        <v>74.934804210624961</v>
      </c>
      <c r="BA69" s="293">
        <v>74.934804210624961</v>
      </c>
      <c r="BB69" s="293">
        <v>74.934804210624961</v>
      </c>
      <c r="BD69" s="63">
        <v>2042</v>
      </c>
      <c r="BE69" s="293">
        <v>40.524804210624971</v>
      </c>
      <c r="BF69" s="293">
        <v>40.524804210624971</v>
      </c>
      <c r="BG69" s="293">
        <v>40.524804210624971</v>
      </c>
      <c r="BH69" s="293">
        <v>40.524804210624971</v>
      </c>
      <c r="BI69" s="293">
        <v>40.524804210624971</v>
      </c>
      <c r="BJ69" s="293">
        <v>40.524804210624971</v>
      </c>
      <c r="BK69" s="293">
        <v>40.524804210624971</v>
      </c>
      <c r="BL69" s="293">
        <v>40.524804210624971</v>
      </c>
      <c r="BM69" s="293">
        <v>40.524804210624971</v>
      </c>
      <c r="BN69" s="293">
        <v>40.524804210624971</v>
      </c>
      <c r="BO69" s="293">
        <v>40.524804210624971</v>
      </c>
      <c r="BP69" s="293">
        <v>40.524804210624971</v>
      </c>
      <c r="BR69" s="135">
        <v>2042</v>
      </c>
      <c r="BS69" s="53">
        <f t="shared" si="41"/>
        <v>70.019089924910674</v>
      </c>
      <c r="BT69" s="53">
        <f t="shared" si="42"/>
        <v>70.019089924910674</v>
      </c>
      <c r="BU69" s="53">
        <f t="shared" si="43"/>
        <v>70.019089924910674</v>
      </c>
      <c r="BV69" s="53">
        <f t="shared" si="44"/>
        <v>70.019089924910674</v>
      </c>
      <c r="BW69" s="53">
        <f t="shared" si="45"/>
        <v>70.019089924910674</v>
      </c>
      <c r="BX69" s="53">
        <f t="shared" si="46"/>
        <v>70.019089924910674</v>
      </c>
      <c r="BY69" s="53">
        <f t="shared" si="47"/>
        <v>70.019089924910674</v>
      </c>
      <c r="BZ69" s="53">
        <f t="shared" si="48"/>
        <v>70.019089924910674</v>
      </c>
      <c r="CA69" s="53">
        <f t="shared" si="49"/>
        <v>70.019089924910674</v>
      </c>
      <c r="CB69" s="53">
        <f t="shared" si="50"/>
        <v>70.019089924910674</v>
      </c>
      <c r="CC69" s="53">
        <f t="shared" si="51"/>
        <v>70.019089924910674</v>
      </c>
      <c r="CD69" s="53">
        <f t="shared" si="52"/>
        <v>70.019089924910674</v>
      </c>
    </row>
    <row r="70" spans="1:82">
      <c r="A70" s="48">
        <v>2043</v>
      </c>
      <c r="B70" s="31" cm="1">
        <f t="array" ref="B70">IF(A70&lt;2021,0,SUMPRODUCT(('Project Operational Timelines'!$AO$20:$AO$49=$A70)*('Project Operational Timelines'!$AP$18:$AY$18=$A$4)*('Project Operational Timelines'!$AP$17:$AY$17=$G70)*'Project Operational Timelines'!$AP42:$AY42))</f>
        <v>3.2800000000000002</v>
      </c>
      <c r="C70" s="84">
        <f t="shared" si="13"/>
        <v>649.46982066666681</v>
      </c>
      <c r="D70" s="89">
        <f t="shared" si="27"/>
        <v>63007.29</v>
      </c>
      <c r="E70" s="89"/>
      <c r="F70" s="89">
        <f>-B70*1000*('Program Inputs'!$D$14-'Program Inputs'!$D$6)*$F$4*12</f>
        <v>-16058.880000000003</v>
      </c>
      <c r="G70" s="335">
        <v>1</v>
      </c>
      <c r="H70" s="328">
        <f t="shared" si="28"/>
        <v>36732.44</v>
      </c>
      <c r="I70" s="69"/>
      <c r="J70" s="69"/>
      <c r="K70" s="104"/>
      <c r="L70" s="75"/>
      <c r="M70">
        <v>25</v>
      </c>
      <c r="N70" s="52">
        <v>2043</v>
      </c>
      <c r="O70" s="18">
        <f t="shared" si="53"/>
        <v>8.0844524353878171</v>
      </c>
      <c r="P70" s="18">
        <f t="shared" si="54"/>
        <v>8.0844524353878171</v>
      </c>
      <c r="Q70" s="18">
        <f t="shared" si="55"/>
        <v>8.0844524353878171</v>
      </c>
      <c r="R70" s="18">
        <f t="shared" si="56"/>
        <v>8.0844524353878171</v>
      </c>
      <c r="S70" s="18">
        <f t="shared" si="57"/>
        <v>8.0844524353878171</v>
      </c>
      <c r="T70" s="18">
        <f t="shared" si="58"/>
        <v>8.0844524353878171</v>
      </c>
      <c r="U70" s="18">
        <f t="shared" si="59"/>
        <v>8.0844524353878171</v>
      </c>
      <c r="V70" s="18">
        <f t="shared" si="60"/>
        <v>8.0844524353878171</v>
      </c>
      <c r="W70" s="18">
        <f t="shared" si="61"/>
        <v>8.0844524353878171</v>
      </c>
      <c r="X70" s="18">
        <f t="shared" si="62"/>
        <v>8.0844524353878171</v>
      </c>
      <c r="Y70" s="18">
        <f t="shared" si="63"/>
        <v>8.0844524353878171</v>
      </c>
      <c r="Z70" s="18">
        <f t="shared" si="64"/>
        <v>8.0844524353878171</v>
      </c>
      <c r="AA70" s="13"/>
      <c r="AB70" s="52">
        <v>2043</v>
      </c>
      <c r="AC70" s="14">
        <f>SUMIFS('Bill Credit Rates'!$K:$K,'Bill Credit Rates'!$A:$A,$A$4,'Bill Credit Rates'!$B:$B,$G70,'Bill Credit Rates'!$C:$C,$M70)</f>
        <v>80.56</v>
      </c>
      <c r="AD70" s="14">
        <f>SUMIFS('Bill Credit Rates'!$K:$K,'Bill Credit Rates'!$A:$A,$A$4,'Bill Credit Rates'!$B:$B,$G70,'Bill Credit Rates'!$C:$C,$M70)</f>
        <v>80.56</v>
      </c>
      <c r="AE70" s="14">
        <f>SUMIFS('Bill Credit Rates'!$K:$K,'Bill Credit Rates'!$A:$A,$A$4,'Bill Credit Rates'!$B:$B,$G70,'Bill Credit Rates'!$C:$C,$M70)</f>
        <v>80.56</v>
      </c>
      <c r="AF70" s="14">
        <f>SUMIFS('Bill Credit Rates'!$K:$K,'Bill Credit Rates'!$A:$A,$A$4,'Bill Credit Rates'!$B:$B,$G70,'Bill Credit Rates'!$C:$C,$M70)</f>
        <v>80.56</v>
      </c>
      <c r="AG70" s="14">
        <f>SUMIFS('Bill Credit Rates'!$K:$K,'Bill Credit Rates'!$A:$A,$A$4,'Bill Credit Rates'!$B:$B,$G70,'Bill Credit Rates'!$C:$C,$M70)</f>
        <v>80.56</v>
      </c>
      <c r="AH70" s="14">
        <f>SUMIFS('Bill Credit Rates'!$K:$K,'Bill Credit Rates'!$A:$A,$A$4,'Bill Credit Rates'!$B:$B,$G70,'Bill Credit Rates'!$C:$C,$M70)</f>
        <v>80.56</v>
      </c>
      <c r="AI70" s="14">
        <f>SUMIFS('Bill Credit Rates'!$K:$K,'Bill Credit Rates'!$A:$A,$A$4,'Bill Credit Rates'!$B:$B,$G70,'Bill Credit Rates'!$C:$C,$M70)</f>
        <v>80.56</v>
      </c>
      <c r="AJ70" s="14">
        <f>SUMIFS('Bill Credit Rates'!$K:$K,'Bill Credit Rates'!$A:$A,$A$4,'Bill Credit Rates'!$B:$B,$G70,'Bill Credit Rates'!$C:$C,$M70)</f>
        <v>80.56</v>
      </c>
      <c r="AK70" s="14">
        <f>SUMIFS('Bill Credit Rates'!$K:$K,'Bill Credit Rates'!$A:$A,$A$4,'Bill Credit Rates'!$B:$B,$G70,'Bill Credit Rates'!$C:$C,$M70)</f>
        <v>80.56</v>
      </c>
      <c r="AL70" s="14">
        <f>SUMIFS('Bill Credit Rates'!$K:$K,'Bill Credit Rates'!$A:$A,$A$4,'Bill Credit Rates'!$B:$B,$G70,'Bill Credit Rates'!$C:$C,$M70)</f>
        <v>80.56</v>
      </c>
      <c r="AM70" s="14">
        <f>SUMIFS('Bill Credit Rates'!$K:$K,'Bill Credit Rates'!$A:$A,$A$4,'Bill Credit Rates'!$B:$B,$G70,'Bill Credit Rates'!$C:$C,$M70)</f>
        <v>80.56</v>
      </c>
      <c r="AN70" s="14">
        <f>SUMIFS('Bill Credit Rates'!$K:$K,'Bill Credit Rates'!$A:$A,$A$4,'Bill Credit Rates'!$B:$B,$G70,'Bill Credit Rates'!$C:$C,$M70)</f>
        <v>80.56</v>
      </c>
      <c r="AP70" s="63">
        <v>2043</v>
      </c>
      <c r="AQ70" s="293">
        <v>77.518404707469344</v>
      </c>
      <c r="AR70" s="293">
        <v>77.518404707469344</v>
      </c>
      <c r="AS70" s="293">
        <v>77.518404707469344</v>
      </c>
      <c r="AT70" s="293">
        <v>77.518404707469344</v>
      </c>
      <c r="AU70" s="293">
        <v>77.518404707469344</v>
      </c>
      <c r="AV70" s="293">
        <v>77.518404707469344</v>
      </c>
      <c r="AW70" s="293">
        <v>77.518404707469344</v>
      </c>
      <c r="AX70" s="293">
        <v>77.518404707469344</v>
      </c>
      <c r="AY70" s="293">
        <v>77.518404707469344</v>
      </c>
      <c r="AZ70" s="293">
        <v>77.518404707469344</v>
      </c>
      <c r="BA70" s="293">
        <v>77.518404707469344</v>
      </c>
      <c r="BB70" s="293">
        <v>77.518404707469344</v>
      </c>
      <c r="BD70" s="63">
        <v>2043</v>
      </c>
      <c r="BE70" s="293">
        <v>42.218404707469347</v>
      </c>
      <c r="BF70" s="293">
        <v>42.218404707469347</v>
      </c>
      <c r="BG70" s="293">
        <v>42.218404707469347</v>
      </c>
      <c r="BH70" s="293">
        <v>42.218404707469347</v>
      </c>
      <c r="BI70" s="293">
        <v>42.218404707469347</v>
      </c>
      <c r="BJ70" s="293">
        <v>42.218404707469347</v>
      </c>
      <c r="BK70" s="293">
        <v>42.218404707469347</v>
      </c>
      <c r="BL70" s="293">
        <v>42.218404707469347</v>
      </c>
      <c r="BM70" s="293">
        <v>42.218404707469347</v>
      </c>
      <c r="BN70" s="293">
        <v>42.218404707469347</v>
      </c>
      <c r="BO70" s="293">
        <v>42.218404707469347</v>
      </c>
      <c r="BP70" s="293">
        <v>42.218404707469347</v>
      </c>
      <c r="BR70" s="52">
        <v>2043</v>
      </c>
      <c r="BS70" s="53">
        <f t="shared" si="41"/>
        <v>72.475547564612185</v>
      </c>
      <c r="BT70" s="53">
        <f t="shared" si="42"/>
        <v>72.475547564612185</v>
      </c>
      <c r="BU70" s="53">
        <f t="shared" si="43"/>
        <v>72.475547564612185</v>
      </c>
      <c r="BV70" s="53">
        <f t="shared" si="44"/>
        <v>72.475547564612185</v>
      </c>
      <c r="BW70" s="53">
        <f t="shared" si="45"/>
        <v>72.475547564612185</v>
      </c>
      <c r="BX70" s="53">
        <f t="shared" si="46"/>
        <v>72.475547564612185</v>
      </c>
      <c r="BY70" s="53">
        <f t="shared" si="47"/>
        <v>72.475547564612185</v>
      </c>
      <c r="BZ70" s="53">
        <f t="shared" si="48"/>
        <v>72.475547564612185</v>
      </c>
      <c r="CA70" s="53">
        <f t="shared" si="49"/>
        <v>72.475547564612185</v>
      </c>
      <c r="CB70" s="53">
        <f t="shared" si="50"/>
        <v>72.475547564612185</v>
      </c>
      <c r="CC70" s="53">
        <f t="shared" si="51"/>
        <v>72.475547564612185</v>
      </c>
      <c r="CD70" s="53">
        <f t="shared" si="52"/>
        <v>72.475547564612185</v>
      </c>
    </row>
    <row r="71" spans="1:82">
      <c r="A71" s="48">
        <v>2044</v>
      </c>
      <c r="B71" s="31" cm="1">
        <f t="array" ref="B71">IF(A71&lt;2021,0,SUMPRODUCT(('Project Operational Timelines'!$AO$20:$AO$49=$A71)*('Project Operational Timelines'!$AP$18:$AY$18=$A$4)*('Project Operational Timelines'!$AP$17:$AY$17=$G71)*'Project Operational Timelines'!$AP43:$AY43))</f>
        <v>1.96</v>
      </c>
      <c r="C71" s="84">
        <f t="shared" si="13"/>
        <v>388.09781966666668</v>
      </c>
      <c r="D71" s="89">
        <f t="shared" si="27"/>
        <v>26758.48</v>
      </c>
      <c r="E71" s="89"/>
      <c r="F71" s="89">
        <f>-B71*1000*('Program Inputs'!$D$14-'Program Inputs'!$D$6)*$F$4*12</f>
        <v>-9596.16</v>
      </c>
      <c r="G71" s="335">
        <v>1</v>
      </c>
      <c r="H71" s="328">
        <f t="shared" si="28"/>
        <v>15163.06</v>
      </c>
      <c r="I71" s="69"/>
      <c r="J71" s="69"/>
      <c r="K71" s="104"/>
      <c r="L71" s="75"/>
      <c r="M71">
        <v>26</v>
      </c>
      <c r="N71" s="52">
        <v>2044</v>
      </c>
      <c r="O71" s="18">
        <f t="shared" si="53"/>
        <v>5.745647698544559</v>
      </c>
      <c r="P71" s="18">
        <f t="shared" si="54"/>
        <v>5.745647698544559</v>
      </c>
      <c r="Q71" s="18">
        <f t="shared" si="55"/>
        <v>5.745647698544559</v>
      </c>
      <c r="R71" s="18">
        <f t="shared" si="56"/>
        <v>5.745647698544559</v>
      </c>
      <c r="S71" s="18">
        <f t="shared" si="57"/>
        <v>5.745647698544559</v>
      </c>
      <c r="T71" s="18">
        <f t="shared" si="58"/>
        <v>5.745647698544559</v>
      </c>
      <c r="U71" s="18">
        <f t="shared" si="59"/>
        <v>5.745647698544559</v>
      </c>
      <c r="V71" s="18">
        <f t="shared" si="60"/>
        <v>5.745647698544559</v>
      </c>
      <c r="W71" s="18">
        <f t="shared" si="61"/>
        <v>5.745647698544559</v>
      </c>
      <c r="X71" s="18">
        <f t="shared" si="62"/>
        <v>5.745647698544559</v>
      </c>
      <c r="Y71" s="18">
        <f t="shared" si="63"/>
        <v>5.745647698544559</v>
      </c>
      <c r="Z71" s="18">
        <f t="shared" si="64"/>
        <v>5.745647698544559</v>
      </c>
      <c r="AA71" s="13"/>
      <c r="AB71" s="52">
        <v>2044</v>
      </c>
      <c r="AC71" s="14">
        <f>SUMIFS('Bill Credit Rates'!$K:$K,'Bill Credit Rates'!$A:$A,$A$4,'Bill Credit Rates'!$B:$B,$G71,'Bill Credit Rates'!$C:$C,$M71)</f>
        <v>80.56</v>
      </c>
      <c r="AD71" s="14">
        <f>SUMIFS('Bill Credit Rates'!$K:$K,'Bill Credit Rates'!$A:$A,$A$4,'Bill Credit Rates'!$B:$B,$G71,'Bill Credit Rates'!$C:$C,$M71)</f>
        <v>80.56</v>
      </c>
      <c r="AE71" s="14">
        <f>SUMIFS('Bill Credit Rates'!$K:$K,'Bill Credit Rates'!$A:$A,$A$4,'Bill Credit Rates'!$B:$B,$G71,'Bill Credit Rates'!$C:$C,$M71)</f>
        <v>80.56</v>
      </c>
      <c r="AF71" s="14">
        <f>SUMIFS('Bill Credit Rates'!$K:$K,'Bill Credit Rates'!$A:$A,$A$4,'Bill Credit Rates'!$B:$B,$G71,'Bill Credit Rates'!$C:$C,$M71)</f>
        <v>80.56</v>
      </c>
      <c r="AG71" s="14">
        <f>SUMIFS('Bill Credit Rates'!$K:$K,'Bill Credit Rates'!$A:$A,$A$4,'Bill Credit Rates'!$B:$B,$G71,'Bill Credit Rates'!$C:$C,$M71)</f>
        <v>80.56</v>
      </c>
      <c r="AH71" s="14">
        <f>SUMIFS('Bill Credit Rates'!$K:$K,'Bill Credit Rates'!$A:$A,$A$4,'Bill Credit Rates'!$B:$B,$G71,'Bill Credit Rates'!$C:$C,$M71)</f>
        <v>80.56</v>
      </c>
      <c r="AI71" s="14">
        <f>SUMIFS('Bill Credit Rates'!$K:$K,'Bill Credit Rates'!$A:$A,$A$4,'Bill Credit Rates'!$B:$B,$G71,'Bill Credit Rates'!$C:$C,$M71)</f>
        <v>80.56</v>
      </c>
      <c r="AJ71" s="14">
        <f>SUMIFS('Bill Credit Rates'!$K:$K,'Bill Credit Rates'!$A:$A,$A$4,'Bill Credit Rates'!$B:$B,$G71,'Bill Credit Rates'!$C:$C,$M71)</f>
        <v>80.56</v>
      </c>
      <c r="AK71" s="14">
        <f>SUMIFS('Bill Credit Rates'!$K:$K,'Bill Credit Rates'!$A:$A,$A$4,'Bill Credit Rates'!$B:$B,$G71,'Bill Credit Rates'!$C:$C,$M71)</f>
        <v>80.56</v>
      </c>
      <c r="AL71" s="14">
        <f>SUMIFS('Bill Credit Rates'!$K:$K,'Bill Credit Rates'!$A:$A,$A$4,'Bill Credit Rates'!$B:$B,$G71,'Bill Credit Rates'!$C:$C,$M71)</f>
        <v>80.56</v>
      </c>
      <c r="AM71" s="14">
        <f>SUMIFS('Bill Credit Rates'!$K:$K,'Bill Credit Rates'!$A:$A,$A$4,'Bill Credit Rates'!$B:$B,$G71,'Bill Credit Rates'!$C:$C,$M71)</f>
        <v>80.56</v>
      </c>
      <c r="AN71" s="14">
        <f>SUMIFS('Bill Credit Rates'!$K:$K,'Bill Credit Rates'!$A:$A,$A$4,'Bill Credit Rates'!$B:$B,$G71,'Bill Credit Rates'!$C:$C,$M71)</f>
        <v>80.56</v>
      </c>
      <c r="AP71" s="63">
        <v>2044</v>
      </c>
      <c r="AQ71" s="293">
        <v>79.988638015741145</v>
      </c>
      <c r="AR71" s="293">
        <v>79.988638015741145</v>
      </c>
      <c r="AS71" s="293">
        <v>79.988638015741145</v>
      </c>
      <c r="AT71" s="293">
        <v>79.988638015741145</v>
      </c>
      <c r="AU71" s="293">
        <v>79.988638015741145</v>
      </c>
      <c r="AV71" s="293">
        <v>79.988638015741145</v>
      </c>
      <c r="AW71" s="293">
        <v>79.988638015741145</v>
      </c>
      <c r="AX71" s="293">
        <v>79.988638015741145</v>
      </c>
      <c r="AY71" s="293">
        <v>79.988638015741145</v>
      </c>
      <c r="AZ71" s="293">
        <v>79.988638015741145</v>
      </c>
      <c r="BA71" s="293">
        <v>79.988638015741145</v>
      </c>
      <c r="BB71" s="293">
        <v>79.988638015741145</v>
      </c>
      <c r="BD71" s="63">
        <v>2044</v>
      </c>
      <c r="BE71" s="293">
        <v>43.768638015741139</v>
      </c>
      <c r="BF71" s="293">
        <v>43.768638015741139</v>
      </c>
      <c r="BG71" s="293">
        <v>43.768638015741139</v>
      </c>
      <c r="BH71" s="293">
        <v>43.768638015741139</v>
      </c>
      <c r="BI71" s="293">
        <v>43.768638015741139</v>
      </c>
      <c r="BJ71" s="293">
        <v>43.768638015741139</v>
      </c>
      <c r="BK71" s="293">
        <v>43.768638015741139</v>
      </c>
      <c r="BL71" s="293">
        <v>43.768638015741139</v>
      </c>
      <c r="BM71" s="293">
        <v>43.768638015741139</v>
      </c>
      <c r="BN71" s="293">
        <v>43.768638015741139</v>
      </c>
      <c r="BO71" s="293">
        <v>43.768638015741139</v>
      </c>
      <c r="BP71" s="293">
        <v>43.768638015741139</v>
      </c>
      <c r="BR71" s="135">
        <v>2044</v>
      </c>
      <c r="BS71" s="53">
        <f t="shared" si="41"/>
        <v>74.814352301455443</v>
      </c>
      <c r="BT71" s="53">
        <f t="shared" si="42"/>
        <v>74.814352301455443</v>
      </c>
      <c r="BU71" s="53">
        <f t="shared" si="43"/>
        <v>74.814352301455443</v>
      </c>
      <c r="BV71" s="53">
        <f t="shared" si="44"/>
        <v>74.814352301455443</v>
      </c>
      <c r="BW71" s="53">
        <f t="shared" si="45"/>
        <v>74.814352301455443</v>
      </c>
      <c r="BX71" s="53">
        <f t="shared" si="46"/>
        <v>74.814352301455443</v>
      </c>
      <c r="BY71" s="53">
        <f t="shared" si="47"/>
        <v>74.814352301455443</v>
      </c>
      <c r="BZ71" s="53">
        <f t="shared" si="48"/>
        <v>74.814352301455443</v>
      </c>
      <c r="CA71" s="53">
        <f t="shared" si="49"/>
        <v>74.814352301455443</v>
      </c>
      <c r="CB71" s="53">
        <f t="shared" si="50"/>
        <v>74.814352301455443</v>
      </c>
      <c r="CC71" s="53">
        <f t="shared" si="51"/>
        <v>74.814352301455443</v>
      </c>
      <c r="CD71" s="53">
        <f t="shared" si="52"/>
        <v>74.814352301455443</v>
      </c>
    </row>
    <row r="72" spans="1:82">
      <c r="A72" s="48">
        <v>2045</v>
      </c>
      <c r="B72" s="31" cm="1">
        <f t="array" ref="B72">IF(A72&lt;2021,0,SUMPRODUCT(('Project Operational Timelines'!$AO$20:$AO$49=$A72)*('Project Operational Timelines'!$AP$18:$AY$18=$A$4)*('Project Operational Timelines'!$AP$17:$AY$17=$G72)*'Project Operational Timelines'!$AP44:$AY44))</f>
        <v>0.33</v>
      </c>
      <c r="C72" s="84">
        <f t="shared" si="13"/>
        <v>65.343000250000003</v>
      </c>
      <c r="D72" s="89">
        <f t="shared" si="27"/>
        <v>3084.04</v>
      </c>
      <c r="E72" s="89"/>
      <c r="F72" s="89">
        <f>-B72*1000*('Program Inputs'!$D$14-'Program Inputs'!$D$6)*$F$4*12</f>
        <v>-1615.6799999999998</v>
      </c>
      <c r="G72" s="335">
        <v>1</v>
      </c>
      <c r="H72" s="328">
        <f t="shared" si="28"/>
        <v>1698.68</v>
      </c>
      <c r="I72" s="69"/>
      <c r="J72" s="69"/>
      <c r="K72" s="104"/>
      <c r="L72" s="75"/>
      <c r="M72">
        <v>27</v>
      </c>
      <c r="N72" s="52">
        <v>2045</v>
      </c>
      <c r="O72" s="18">
        <f t="shared" ref="O72:O77" si="65">(AC72-BS72)</f>
        <v>3.9331447384682434</v>
      </c>
      <c r="P72" s="18">
        <f t="shared" ref="P72:P77" si="66">(AD72-BT72)</f>
        <v>3.9331447384682434</v>
      </c>
      <c r="Q72" s="18">
        <f t="shared" ref="Q72:Q77" si="67">(AE72-BU72)</f>
        <v>3.9331447384682434</v>
      </c>
      <c r="R72" s="18">
        <f t="shared" ref="R72:R77" si="68">(AF72-BV72)</f>
        <v>3.9331447384682434</v>
      </c>
      <c r="S72" s="18">
        <f t="shared" ref="S72:S77" si="69">(AG72-BW72)</f>
        <v>3.9331447384682434</v>
      </c>
      <c r="T72" s="18">
        <f t="shared" ref="T72:T77" si="70">(AH72-BX72)</f>
        <v>3.9331447384682434</v>
      </c>
      <c r="U72" s="18">
        <f t="shared" ref="U72:U77" si="71">(AI72-BY72)</f>
        <v>3.9331447384682434</v>
      </c>
      <c r="V72" s="18">
        <f t="shared" ref="V72:V77" si="72">(AJ72-BZ72)</f>
        <v>3.9331447384682434</v>
      </c>
      <c r="W72" s="18">
        <f t="shared" ref="W72:W77" si="73">(AK72-CA72)</f>
        <v>3.9331447384682434</v>
      </c>
      <c r="X72" s="18">
        <f t="shared" ref="X72:X77" si="74">(AL72-CB72)</f>
        <v>3.9331447384682434</v>
      </c>
      <c r="Y72" s="18">
        <f t="shared" ref="Y72:Y77" si="75">(AM72-CC72)</f>
        <v>3.9331447384682434</v>
      </c>
      <c r="Z72" s="18">
        <f t="shared" ref="Z72:Z77" si="76">(AN72-CD72)</f>
        <v>3.9331447384682434</v>
      </c>
      <c r="AA72" s="13"/>
      <c r="AB72" s="52">
        <v>2045</v>
      </c>
      <c r="AC72" s="14">
        <f>SUMIFS('Bill Credit Rates'!$K:$K,'Bill Credit Rates'!$A:$A,$A$4,'Bill Credit Rates'!$B:$B,$G72,'Bill Credit Rates'!$C:$C,$M72)</f>
        <v>80.56</v>
      </c>
      <c r="AD72" s="14">
        <f>SUMIFS('Bill Credit Rates'!$K:$K,'Bill Credit Rates'!$A:$A,$A$4,'Bill Credit Rates'!$B:$B,$G72,'Bill Credit Rates'!$C:$C,$M72)</f>
        <v>80.56</v>
      </c>
      <c r="AE72" s="14">
        <f>SUMIFS('Bill Credit Rates'!$K:$K,'Bill Credit Rates'!$A:$A,$A$4,'Bill Credit Rates'!$B:$B,$G72,'Bill Credit Rates'!$C:$C,$M72)</f>
        <v>80.56</v>
      </c>
      <c r="AF72" s="14">
        <f>SUMIFS('Bill Credit Rates'!$K:$K,'Bill Credit Rates'!$A:$A,$A$4,'Bill Credit Rates'!$B:$B,$G72,'Bill Credit Rates'!$C:$C,$M72)</f>
        <v>80.56</v>
      </c>
      <c r="AG72" s="14">
        <f>SUMIFS('Bill Credit Rates'!$K:$K,'Bill Credit Rates'!$A:$A,$A$4,'Bill Credit Rates'!$B:$B,$G72,'Bill Credit Rates'!$C:$C,$M72)</f>
        <v>80.56</v>
      </c>
      <c r="AH72" s="14">
        <f>SUMIFS('Bill Credit Rates'!$K:$K,'Bill Credit Rates'!$A:$A,$A$4,'Bill Credit Rates'!$B:$B,$G72,'Bill Credit Rates'!$C:$C,$M72)</f>
        <v>80.56</v>
      </c>
      <c r="AI72" s="14">
        <f>SUMIFS('Bill Credit Rates'!$K:$K,'Bill Credit Rates'!$A:$A,$A$4,'Bill Credit Rates'!$B:$B,$G72,'Bill Credit Rates'!$C:$C,$M72)</f>
        <v>80.56</v>
      </c>
      <c r="AJ72" s="14">
        <f>SUMIFS('Bill Credit Rates'!$K:$K,'Bill Credit Rates'!$A:$A,$A$4,'Bill Credit Rates'!$B:$B,$G72,'Bill Credit Rates'!$C:$C,$M72)</f>
        <v>80.56</v>
      </c>
      <c r="AK72" s="14">
        <f>SUMIFS('Bill Credit Rates'!$K:$K,'Bill Credit Rates'!$A:$A,$A$4,'Bill Credit Rates'!$B:$B,$G72,'Bill Credit Rates'!$C:$C,$M72)</f>
        <v>80.56</v>
      </c>
      <c r="AL72" s="14">
        <f>SUMIFS('Bill Credit Rates'!$K:$K,'Bill Credit Rates'!$A:$A,$A$4,'Bill Credit Rates'!$B:$B,$G72,'Bill Credit Rates'!$C:$C,$M72)</f>
        <v>80.56</v>
      </c>
      <c r="AM72" s="14">
        <f>SUMIFS('Bill Credit Rates'!$K:$K,'Bill Credit Rates'!$A:$A,$A$4,'Bill Credit Rates'!$B:$B,$G72,'Bill Credit Rates'!$C:$C,$M72)</f>
        <v>80.56</v>
      </c>
      <c r="AN72" s="14">
        <f>SUMIFS('Bill Credit Rates'!$K:$K,'Bill Credit Rates'!$A:$A,$A$4,'Bill Credit Rates'!$B:$B,$G72,'Bill Credit Rates'!$C:$C,$M72)</f>
        <v>80.56</v>
      </c>
      <c r="AP72" s="63">
        <v>2045</v>
      </c>
      <c r="AQ72" s="293">
        <v>81.935426690103185</v>
      </c>
      <c r="AR72" s="293">
        <v>81.935426690103185</v>
      </c>
      <c r="AS72" s="293">
        <v>81.935426690103185</v>
      </c>
      <c r="AT72" s="293">
        <v>81.935426690103185</v>
      </c>
      <c r="AU72" s="293">
        <v>81.935426690103185</v>
      </c>
      <c r="AV72" s="293">
        <v>81.935426690103185</v>
      </c>
      <c r="AW72" s="293">
        <v>81.935426690103185</v>
      </c>
      <c r="AX72" s="293">
        <v>81.935426690103185</v>
      </c>
      <c r="AY72" s="293">
        <v>81.935426690103185</v>
      </c>
      <c r="AZ72" s="293">
        <v>81.935426690103185</v>
      </c>
      <c r="BA72" s="293">
        <v>81.935426690103185</v>
      </c>
      <c r="BB72" s="293">
        <v>81.935426690103185</v>
      </c>
      <c r="BD72" s="63">
        <v>2045</v>
      </c>
      <c r="BE72" s="293">
        <v>44.775426690103188</v>
      </c>
      <c r="BF72" s="293">
        <v>44.775426690103188</v>
      </c>
      <c r="BG72" s="293">
        <v>44.775426690103188</v>
      </c>
      <c r="BH72" s="293">
        <v>44.775426690103188</v>
      </c>
      <c r="BI72" s="293">
        <v>44.775426690103188</v>
      </c>
      <c r="BJ72" s="293">
        <v>44.775426690103188</v>
      </c>
      <c r="BK72" s="293">
        <v>44.775426690103188</v>
      </c>
      <c r="BL72" s="293">
        <v>44.775426690103188</v>
      </c>
      <c r="BM72" s="293">
        <v>44.775426690103188</v>
      </c>
      <c r="BN72" s="293">
        <v>44.775426690103188</v>
      </c>
      <c r="BO72" s="293">
        <v>44.775426690103188</v>
      </c>
      <c r="BP72" s="293">
        <v>44.775426690103188</v>
      </c>
      <c r="BR72" s="52">
        <v>2045</v>
      </c>
      <c r="BS72" s="53">
        <f t="shared" si="41"/>
        <v>76.626855261531759</v>
      </c>
      <c r="BT72" s="53">
        <f t="shared" si="42"/>
        <v>76.626855261531759</v>
      </c>
      <c r="BU72" s="53">
        <f t="shared" si="43"/>
        <v>76.626855261531759</v>
      </c>
      <c r="BV72" s="53">
        <f t="shared" si="44"/>
        <v>76.626855261531759</v>
      </c>
      <c r="BW72" s="53">
        <f t="shared" si="45"/>
        <v>76.626855261531759</v>
      </c>
      <c r="BX72" s="53">
        <f t="shared" si="46"/>
        <v>76.626855261531759</v>
      </c>
      <c r="BY72" s="53">
        <f t="shared" si="47"/>
        <v>76.626855261531759</v>
      </c>
      <c r="BZ72" s="53">
        <f t="shared" si="48"/>
        <v>76.626855261531759</v>
      </c>
      <c r="CA72" s="53">
        <f t="shared" si="49"/>
        <v>76.626855261531759</v>
      </c>
      <c r="CB72" s="53">
        <f t="shared" si="50"/>
        <v>76.626855261531759</v>
      </c>
      <c r="CC72" s="53">
        <f t="shared" si="51"/>
        <v>76.626855261531759</v>
      </c>
      <c r="CD72" s="53">
        <f t="shared" si="52"/>
        <v>76.626855261531759</v>
      </c>
    </row>
    <row r="73" spans="1:82">
      <c r="A73" s="48">
        <v>2046</v>
      </c>
      <c r="B73" s="31" cm="1">
        <f t="array" ref="B73">IF(A73&lt;2021,0,SUMPRODUCT(('Project Operational Timelines'!$AO$20:$AO$49=$A73)*('Project Operational Timelines'!$AP$18:$AY$18=$A$4)*('Project Operational Timelines'!$AP$17:$AY$17=$G73)*'Project Operational Timelines'!$AP45:$AY45))</f>
        <v>0.33</v>
      </c>
      <c r="C73" s="84">
        <f t="shared" si="13"/>
        <v>65.343000250000003</v>
      </c>
      <c r="D73" s="89">
        <f t="shared" si="27"/>
        <v>1535.65</v>
      </c>
      <c r="E73" s="89"/>
      <c r="F73" s="89">
        <f>-B73*1000*('Program Inputs'!$D$14-'Program Inputs'!$D$6)*$F$4*12</f>
        <v>-1615.6799999999998</v>
      </c>
      <c r="G73" s="335">
        <v>1</v>
      </c>
      <c r="H73" s="328">
        <f t="shared" si="28"/>
        <v>822.15</v>
      </c>
      <c r="I73" s="69"/>
      <c r="J73" s="69"/>
      <c r="K73" s="104"/>
      <c r="L73" s="75"/>
      <c r="M73">
        <v>28</v>
      </c>
      <c r="N73" s="52">
        <v>2046</v>
      </c>
      <c r="O73" s="18">
        <f t="shared" si="65"/>
        <v>1.9584513531672769</v>
      </c>
      <c r="P73" s="18">
        <f t="shared" si="66"/>
        <v>1.9584513531672769</v>
      </c>
      <c r="Q73" s="18">
        <f t="shared" si="67"/>
        <v>1.9584513531672769</v>
      </c>
      <c r="R73" s="18">
        <f t="shared" si="68"/>
        <v>1.9584513531672769</v>
      </c>
      <c r="S73" s="18">
        <f t="shared" si="69"/>
        <v>1.9584513531672769</v>
      </c>
      <c r="T73" s="18">
        <f t="shared" si="70"/>
        <v>1.9584513531672769</v>
      </c>
      <c r="U73" s="18">
        <f t="shared" si="71"/>
        <v>1.9584513531672769</v>
      </c>
      <c r="V73" s="18">
        <f t="shared" si="72"/>
        <v>1.9584513531672769</v>
      </c>
      <c r="W73" s="18">
        <f t="shared" si="73"/>
        <v>1.9584513531672769</v>
      </c>
      <c r="X73" s="18">
        <f t="shared" si="74"/>
        <v>1.9584513531672769</v>
      </c>
      <c r="Y73" s="18">
        <f t="shared" si="75"/>
        <v>1.9584513531672769</v>
      </c>
      <c r="Z73" s="18">
        <f t="shared" si="76"/>
        <v>1.9584513531672769</v>
      </c>
      <c r="AA73" s="13"/>
      <c r="AB73" s="52">
        <v>2046</v>
      </c>
      <c r="AC73" s="14">
        <f>SUMIFS('Bill Credit Rates'!$K:$K,'Bill Credit Rates'!$A:$A,$A$4,'Bill Credit Rates'!$B:$B,$G73,'Bill Credit Rates'!$C:$C,$M73)</f>
        <v>80.56</v>
      </c>
      <c r="AD73" s="14">
        <f>SUMIFS('Bill Credit Rates'!$K:$K,'Bill Credit Rates'!$A:$A,$A$4,'Bill Credit Rates'!$B:$B,$G73,'Bill Credit Rates'!$C:$C,$M73)</f>
        <v>80.56</v>
      </c>
      <c r="AE73" s="14">
        <f>SUMIFS('Bill Credit Rates'!$K:$K,'Bill Credit Rates'!$A:$A,$A$4,'Bill Credit Rates'!$B:$B,$G73,'Bill Credit Rates'!$C:$C,$M73)</f>
        <v>80.56</v>
      </c>
      <c r="AF73" s="14">
        <f>SUMIFS('Bill Credit Rates'!$K:$K,'Bill Credit Rates'!$A:$A,$A$4,'Bill Credit Rates'!$B:$B,$G73,'Bill Credit Rates'!$C:$C,$M73)</f>
        <v>80.56</v>
      </c>
      <c r="AG73" s="14">
        <f>SUMIFS('Bill Credit Rates'!$K:$K,'Bill Credit Rates'!$A:$A,$A$4,'Bill Credit Rates'!$B:$B,$G73,'Bill Credit Rates'!$C:$C,$M73)</f>
        <v>80.56</v>
      </c>
      <c r="AH73" s="14">
        <f>SUMIFS('Bill Credit Rates'!$K:$K,'Bill Credit Rates'!$A:$A,$A$4,'Bill Credit Rates'!$B:$B,$G73,'Bill Credit Rates'!$C:$C,$M73)</f>
        <v>80.56</v>
      </c>
      <c r="AI73" s="14">
        <f>SUMIFS('Bill Credit Rates'!$K:$K,'Bill Credit Rates'!$A:$A,$A$4,'Bill Credit Rates'!$B:$B,$G73,'Bill Credit Rates'!$C:$C,$M73)</f>
        <v>80.56</v>
      </c>
      <c r="AJ73" s="14">
        <f>SUMIFS('Bill Credit Rates'!$K:$K,'Bill Credit Rates'!$A:$A,$A$4,'Bill Credit Rates'!$B:$B,$G73,'Bill Credit Rates'!$C:$C,$M73)</f>
        <v>80.56</v>
      </c>
      <c r="AK73" s="14">
        <f>SUMIFS('Bill Credit Rates'!$K:$K,'Bill Credit Rates'!$A:$A,$A$4,'Bill Credit Rates'!$B:$B,$G73,'Bill Credit Rates'!$C:$C,$M73)</f>
        <v>80.56</v>
      </c>
      <c r="AL73" s="14">
        <f>SUMIFS('Bill Credit Rates'!$K:$K,'Bill Credit Rates'!$A:$A,$A$4,'Bill Credit Rates'!$B:$B,$G73,'Bill Credit Rates'!$C:$C,$M73)</f>
        <v>80.56</v>
      </c>
      <c r="AM73" s="14">
        <f>SUMIFS('Bill Credit Rates'!$K:$K,'Bill Credit Rates'!$A:$A,$A$4,'Bill Credit Rates'!$B:$B,$G73,'Bill Credit Rates'!$C:$C,$M73)</f>
        <v>80.56</v>
      </c>
      <c r="AN73" s="14">
        <f>SUMIFS('Bill Credit Rates'!$K:$K,'Bill Credit Rates'!$A:$A,$A$4,'Bill Credit Rates'!$B:$B,$G73,'Bill Credit Rates'!$C:$C,$M73)</f>
        <v>80.56</v>
      </c>
      <c r="AP73" s="63">
        <v>2046</v>
      </c>
      <c r="AQ73" s="293">
        <v>84.048691503975576</v>
      </c>
      <c r="AR73" s="293">
        <v>84.048691503975576</v>
      </c>
      <c r="AS73" s="293">
        <v>84.048691503975576</v>
      </c>
      <c r="AT73" s="293">
        <v>84.048691503975576</v>
      </c>
      <c r="AU73" s="293">
        <v>84.048691503975576</v>
      </c>
      <c r="AV73" s="293">
        <v>84.048691503975576</v>
      </c>
      <c r="AW73" s="293">
        <v>84.048691503975576</v>
      </c>
      <c r="AX73" s="293">
        <v>84.048691503975576</v>
      </c>
      <c r="AY73" s="293">
        <v>84.048691503975576</v>
      </c>
      <c r="AZ73" s="293">
        <v>84.048691503975576</v>
      </c>
      <c r="BA73" s="293">
        <v>84.048691503975576</v>
      </c>
      <c r="BB73" s="293">
        <v>84.048691503975576</v>
      </c>
      <c r="BD73" s="63">
        <v>2046</v>
      </c>
      <c r="BE73" s="293">
        <v>45.918691503975559</v>
      </c>
      <c r="BF73" s="293">
        <v>45.918691503975559</v>
      </c>
      <c r="BG73" s="293">
        <v>45.918691503975559</v>
      </c>
      <c r="BH73" s="293">
        <v>45.918691503975559</v>
      </c>
      <c r="BI73" s="293">
        <v>45.918691503975559</v>
      </c>
      <c r="BJ73" s="293">
        <v>45.918691503975559</v>
      </c>
      <c r="BK73" s="293">
        <v>45.918691503975559</v>
      </c>
      <c r="BL73" s="293">
        <v>45.918691503975559</v>
      </c>
      <c r="BM73" s="293">
        <v>45.918691503975559</v>
      </c>
      <c r="BN73" s="293">
        <v>45.918691503975559</v>
      </c>
      <c r="BO73" s="293">
        <v>45.918691503975559</v>
      </c>
      <c r="BP73" s="293">
        <v>45.918691503975559</v>
      </c>
      <c r="BR73" s="135">
        <v>2046</v>
      </c>
      <c r="BS73" s="53">
        <f t="shared" si="41"/>
        <v>78.601548646832725</v>
      </c>
      <c r="BT73" s="53">
        <f t="shared" si="42"/>
        <v>78.601548646832725</v>
      </c>
      <c r="BU73" s="53">
        <f t="shared" si="43"/>
        <v>78.601548646832725</v>
      </c>
      <c r="BV73" s="53">
        <f t="shared" si="44"/>
        <v>78.601548646832725</v>
      </c>
      <c r="BW73" s="53">
        <f t="shared" si="45"/>
        <v>78.601548646832725</v>
      </c>
      <c r="BX73" s="53">
        <f t="shared" si="46"/>
        <v>78.601548646832725</v>
      </c>
      <c r="BY73" s="53">
        <f t="shared" si="47"/>
        <v>78.601548646832725</v>
      </c>
      <c r="BZ73" s="53">
        <f t="shared" si="48"/>
        <v>78.601548646832725</v>
      </c>
      <c r="CA73" s="53">
        <f t="shared" si="49"/>
        <v>78.601548646832725</v>
      </c>
      <c r="CB73" s="53">
        <f t="shared" si="50"/>
        <v>78.601548646832725</v>
      </c>
      <c r="CC73" s="53">
        <f t="shared" si="51"/>
        <v>78.601548646832725</v>
      </c>
      <c r="CD73" s="53">
        <f t="shared" si="52"/>
        <v>78.601548646832725</v>
      </c>
    </row>
    <row r="74" spans="1:82">
      <c r="A74" s="48">
        <v>2047</v>
      </c>
      <c r="B74" s="31" cm="1">
        <f t="array" ref="B74">IF(A74&lt;2021,0,SUMPRODUCT(('Project Operational Timelines'!$AO$20:$AO$49=$A74)*('Project Operational Timelines'!$AP$18:$AY$18=$A$4)*('Project Operational Timelines'!$AP$17:$AY$17=$G74)*'Project Operational Timelines'!$AP46:$AY46))</f>
        <v>0.33</v>
      </c>
      <c r="C74" s="84">
        <f t="shared" si="13"/>
        <v>65.343000250000003</v>
      </c>
      <c r="D74" s="89">
        <f t="shared" si="27"/>
        <v>-776.1</v>
      </c>
      <c r="E74" s="89"/>
      <c r="F74" s="89">
        <f>-B74*1000*('Program Inputs'!$D$14-'Program Inputs'!$D$6)*$F$4*12</f>
        <v>-1615.6799999999998</v>
      </c>
      <c r="G74" s="335">
        <v>1</v>
      </c>
      <c r="H74" s="328">
        <f t="shared" si="28"/>
        <v>-403.87</v>
      </c>
      <c r="I74" s="69"/>
      <c r="J74" s="69"/>
      <c r="K74" s="104"/>
      <c r="L74" s="75"/>
      <c r="M74">
        <v>29</v>
      </c>
      <c r="N74" s="52">
        <v>2047</v>
      </c>
      <c r="O74" s="18">
        <f t="shared" si="65"/>
        <v>-0.98977997999556067</v>
      </c>
      <c r="P74" s="18">
        <f t="shared" si="66"/>
        <v>-0.98977997999556067</v>
      </c>
      <c r="Q74" s="18">
        <f t="shared" si="67"/>
        <v>-0.98977997999556067</v>
      </c>
      <c r="R74" s="18">
        <f t="shared" si="68"/>
        <v>-0.98977997999556067</v>
      </c>
      <c r="S74" s="18">
        <f t="shared" si="69"/>
        <v>-0.98977997999556067</v>
      </c>
      <c r="T74" s="18">
        <f t="shared" si="70"/>
        <v>-0.98977997999556067</v>
      </c>
      <c r="U74" s="18">
        <f t="shared" si="71"/>
        <v>-0.98977997999556067</v>
      </c>
      <c r="V74" s="18">
        <f t="shared" si="72"/>
        <v>-0.98977997999556067</v>
      </c>
      <c r="W74" s="18">
        <f t="shared" si="73"/>
        <v>-0.98977997999556067</v>
      </c>
      <c r="X74" s="18">
        <f t="shared" si="74"/>
        <v>-0.98977997999556067</v>
      </c>
      <c r="Y74" s="18">
        <f t="shared" si="75"/>
        <v>-0.98977997999556067</v>
      </c>
      <c r="Z74" s="18">
        <f t="shared" si="76"/>
        <v>-0.98977997999556067</v>
      </c>
      <c r="AA74" s="13"/>
      <c r="AB74" s="52">
        <v>2047</v>
      </c>
      <c r="AC74" s="14">
        <f>SUMIFS('Bill Credit Rates'!$K:$K,'Bill Credit Rates'!$A:$A,$A$4,'Bill Credit Rates'!$B:$B,$G74,'Bill Credit Rates'!$C:$C,$M74)</f>
        <v>80.56</v>
      </c>
      <c r="AD74" s="14">
        <f>SUMIFS('Bill Credit Rates'!$K:$K,'Bill Credit Rates'!$A:$A,$A$4,'Bill Credit Rates'!$B:$B,$G74,'Bill Credit Rates'!$C:$C,$M74)</f>
        <v>80.56</v>
      </c>
      <c r="AE74" s="14">
        <f>SUMIFS('Bill Credit Rates'!$K:$K,'Bill Credit Rates'!$A:$A,$A$4,'Bill Credit Rates'!$B:$B,$G74,'Bill Credit Rates'!$C:$C,$M74)</f>
        <v>80.56</v>
      </c>
      <c r="AF74" s="14">
        <f>SUMIFS('Bill Credit Rates'!$K:$K,'Bill Credit Rates'!$A:$A,$A$4,'Bill Credit Rates'!$B:$B,$G74,'Bill Credit Rates'!$C:$C,$M74)</f>
        <v>80.56</v>
      </c>
      <c r="AG74" s="14">
        <f>SUMIFS('Bill Credit Rates'!$K:$K,'Bill Credit Rates'!$A:$A,$A$4,'Bill Credit Rates'!$B:$B,$G74,'Bill Credit Rates'!$C:$C,$M74)</f>
        <v>80.56</v>
      </c>
      <c r="AH74" s="14">
        <f>SUMIFS('Bill Credit Rates'!$K:$K,'Bill Credit Rates'!$A:$A,$A$4,'Bill Credit Rates'!$B:$B,$G74,'Bill Credit Rates'!$C:$C,$M74)</f>
        <v>80.56</v>
      </c>
      <c r="AI74" s="14">
        <f>SUMIFS('Bill Credit Rates'!$K:$K,'Bill Credit Rates'!$A:$A,$A$4,'Bill Credit Rates'!$B:$B,$G74,'Bill Credit Rates'!$C:$C,$M74)</f>
        <v>80.56</v>
      </c>
      <c r="AJ74" s="14">
        <f>SUMIFS('Bill Credit Rates'!$K:$K,'Bill Credit Rates'!$A:$A,$A$4,'Bill Credit Rates'!$B:$B,$G74,'Bill Credit Rates'!$C:$C,$M74)</f>
        <v>80.56</v>
      </c>
      <c r="AK74" s="14">
        <f>SUMIFS('Bill Credit Rates'!$K:$K,'Bill Credit Rates'!$A:$A,$A$4,'Bill Credit Rates'!$B:$B,$G74,'Bill Credit Rates'!$C:$C,$M74)</f>
        <v>80.56</v>
      </c>
      <c r="AL74" s="14">
        <f>SUMIFS('Bill Credit Rates'!$K:$K,'Bill Credit Rates'!$A:$A,$A$4,'Bill Credit Rates'!$B:$B,$G74,'Bill Credit Rates'!$C:$C,$M74)</f>
        <v>80.56</v>
      </c>
      <c r="AM74" s="14">
        <f>SUMIFS('Bill Credit Rates'!$K:$K,'Bill Credit Rates'!$A:$A,$A$4,'Bill Credit Rates'!$B:$B,$G74,'Bill Credit Rates'!$C:$C,$M74)</f>
        <v>80.56</v>
      </c>
      <c r="AN74" s="14">
        <f>SUMIFS('Bill Credit Rates'!$K:$K,'Bill Credit Rates'!$A:$A,$A$4,'Bill Credit Rates'!$B:$B,$G74,'Bill Credit Rates'!$C:$C,$M74)</f>
        <v>80.56</v>
      </c>
      <c r="AP74" s="63">
        <v>2047</v>
      </c>
      <c r="AQ74" s="293">
        <v>87.13835140856699</v>
      </c>
      <c r="AR74" s="293">
        <v>87.13835140856699</v>
      </c>
      <c r="AS74" s="293">
        <v>87.13835140856699</v>
      </c>
      <c r="AT74" s="293">
        <v>87.13835140856699</v>
      </c>
      <c r="AU74" s="293">
        <v>87.13835140856699</v>
      </c>
      <c r="AV74" s="293">
        <v>87.13835140856699</v>
      </c>
      <c r="AW74" s="293">
        <v>87.13835140856699</v>
      </c>
      <c r="AX74" s="293">
        <v>87.13835140856699</v>
      </c>
      <c r="AY74" s="293">
        <v>87.13835140856699</v>
      </c>
      <c r="AZ74" s="293">
        <v>87.13835140856699</v>
      </c>
      <c r="BA74" s="293">
        <v>87.13835140856699</v>
      </c>
      <c r="BB74" s="293">
        <v>87.13835140856699</v>
      </c>
      <c r="BD74" s="63">
        <v>2047</v>
      </c>
      <c r="BE74" s="293">
        <v>48.018351408567</v>
      </c>
      <c r="BF74" s="293">
        <v>48.018351408567</v>
      </c>
      <c r="BG74" s="293">
        <v>48.018351408567</v>
      </c>
      <c r="BH74" s="293">
        <v>48.018351408567</v>
      </c>
      <c r="BI74" s="293">
        <v>48.018351408567</v>
      </c>
      <c r="BJ74" s="293">
        <v>48.018351408567</v>
      </c>
      <c r="BK74" s="293">
        <v>48.018351408567</v>
      </c>
      <c r="BL74" s="293">
        <v>48.018351408567</v>
      </c>
      <c r="BM74" s="293">
        <v>48.018351408567</v>
      </c>
      <c r="BN74" s="293">
        <v>48.018351408567</v>
      </c>
      <c r="BO74" s="293">
        <v>48.018351408567</v>
      </c>
      <c r="BP74" s="293">
        <v>48.018351408567</v>
      </c>
      <c r="BR74" s="52">
        <v>2047</v>
      </c>
      <c r="BS74" s="53">
        <f t="shared" si="41"/>
        <v>81.549779979995563</v>
      </c>
      <c r="BT74" s="53">
        <f t="shared" si="42"/>
        <v>81.549779979995563</v>
      </c>
      <c r="BU74" s="53">
        <f t="shared" si="43"/>
        <v>81.549779979995563</v>
      </c>
      <c r="BV74" s="53">
        <f t="shared" si="44"/>
        <v>81.549779979995563</v>
      </c>
      <c r="BW74" s="53">
        <f t="shared" si="45"/>
        <v>81.549779979995563</v>
      </c>
      <c r="BX74" s="53">
        <f t="shared" si="46"/>
        <v>81.549779979995563</v>
      </c>
      <c r="BY74" s="53">
        <f t="shared" si="47"/>
        <v>81.549779979995563</v>
      </c>
      <c r="BZ74" s="53">
        <f t="shared" si="48"/>
        <v>81.549779979995563</v>
      </c>
      <c r="CA74" s="53">
        <f t="shared" si="49"/>
        <v>81.549779979995563</v>
      </c>
      <c r="CB74" s="53">
        <f t="shared" si="50"/>
        <v>81.549779979995563</v>
      </c>
      <c r="CC74" s="53">
        <f t="shared" si="51"/>
        <v>81.549779979995563</v>
      </c>
      <c r="CD74" s="53">
        <f t="shared" si="52"/>
        <v>81.549779979995563</v>
      </c>
    </row>
    <row r="75" spans="1:82">
      <c r="A75" s="48">
        <v>2048</v>
      </c>
      <c r="B75" s="31" cm="1">
        <f t="array" ref="B75">IF(A75&lt;2021,0,SUMPRODUCT(('Project Operational Timelines'!$AO$20:$AO$49=$A75)*('Project Operational Timelines'!$AP$18:$AY$18=$A$4)*('Project Operational Timelines'!$AP$17:$AY$17=$G75)*'Project Operational Timelines'!$AP47:$AY47))</f>
        <v>0.33</v>
      </c>
      <c r="C75" s="84">
        <f t="shared" si="13"/>
        <v>65.343000250000003</v>
      </c>
      <c r="D75" s="89">
        <f t="shared" si="27"/>
        <v>-1740.77</v>
      </c>
      <c r="E75" s="89"/>
      <c r="F75" s="89">
        <f>-B75*1000*('Program Inputs'!$D$14-'Program Inputs'!$D$6)*$F$4*12</f>
        <v>-1615.6799999999998</v>
      </c>
      <c r="G75" s="335">
        <v>1</v>
      </c>
      <c r="H75" s="328">
        <f t="shared" si="28"/>
        <v>-880.5</v>
      </c>
      <c r="I75" s="69"/>
      <c r="J75" s="69"/>
      <c r="K75" s="104"/>
      <c r="L75" s="75"/>
      <c r="M75">
        <v>30</v>
      </c>
      <c r="N75" s="52">
        <v>2048</v>
      </c>
      <c r="O75" s="18">
        <f t="shared" si="65"/>
        <v>-2.2200377766783248</v>
      </c>
      <c r="P75" s="18">
        <f t="shared" si="66"/>
        <v>-2.2200377766783248</v>
      </c>
      <c r="Q75" s="18">
        <f t="shared" si="67"/>
        <v>-2.2200377766783248</v>
      </c>
      <c r="R75" s="18">
        <f t="shared" si="68"/>
        <v>-2.2200377766783248</v>
      </c>
      <c r="S75" s="18">
        <f t="shared" si="69"/>
        <v>-2.2200377766783248</v>
      </c>
      <c r="T75" s="18">
        <f t="shared" si="70"/>
        <v>-2.2200377766783248</v>
      </c>
      <c r="U75" s="18">
        <f t="shared" si="71"/>
        <v>-2.2200377766783248</v>
      </c>
      <c r="V75" s="18">
        <f t="shared" si="72"/>
        <v>-2.2200377766783248</v>
      </c>
      <c r="W75" s="18">
        <f t="shared" si="73"/>
        <v>-2.2200377766783248</v>
      </c>
      <c r="X75" s="18">
        <f t="shared" si="74"/>
        <v>-2.2200377766783248</v>
      </c>
      <c r="Y75" s="18">
        <f t="shared" si="75"/>
        <v>-2.2200377766783248</v>
      </c>
      <c r="Z75" s="18">
        <f t="shared" si="76"/>
        <v>-2.2200377766783248</v>
      </c>
      <c r="AA75" s="13"/>
      <c r="AB75" s="52">
        <v>2048</v>
      </c>
      <c r="AC75" s="14">
        <f>SUMIFS('Bill Credit Rates'!$K:$K,'Bill Credit Rates'!$A:$A,$A$4,'Bill Credit Rates'!$B:$B,$G75,'Bill Credit Rates'!$C:$C,$M75)</f>
        <v>80.56</v>
      </c>
      <c r="AD75" s="14">
        <f>SUMIFS('Bill Credit Rates'!$K:$K,'Bill Credit Rates'!$A:$A,$A$4,'Bill Credit Rates'!$B:$B,$G75,'Bill Credit Rates'!$C:$C,$M75)</f>
        <v>80.56</v>
      </c>
      <c r="AE75" s="14">
        <f>SUMIFS('Bill Credit Rates'!$K:$K,'Bill Credit Rates'!$A:$A,$A$4,'Bill Credit Rates'!$B:$B,$G75,'Bill Credit Rates'!$C:$C,$M75)</f>
        <v>80.56</v>
      </c>
      <c r="AF75" s="14">
        <f>SUMIFS('Bill Credit Rates'!$K:$K,'Bill Credit Rates'!$A:$A,$A$4,'Bill Credit Rates'!$B:$B,$G75,'Bill Credit Rates'!$C:$C,$M75)</f>
        <v>80.56</v>
      </c>
      <c r="AG75" s="14">
        <f>SUMIFS('Bill Credit Rates'!$K:$K,'Bill Credit Rates'!$A:$A,$A$4,'Bill Credit Rates'!$B:$B,$G75,'Bill Credit Rates'!$C:$C,$M75)</f>
        <v>80.56</v>
      </c>
      <c r="AH75" s="14">
        <f>SUMIFS('Bill Credit Rates'!$K:$K,'Bill Credit Rates'!$A:$A,$A$4,'Bill Credit Rates'!$B:$B,$G75,'Bill Credit Rates'!$C:$C,$M75)</f>
        <v>80.56</v>
      </c>
      <c r="AI75" s="14">
        <f>SUMIFS('Bill Credit Rates'!$K:$K,'Bill Credit Rates'!$A:$A,$A$4,'Bill Credit Rates'!$B:$B,$G75,'Bill Credit Rates'!$C:$C,$M75)</f>
        <v>80.56</v>
      </c>
      <c r="AJ75" s="14">
        <f>SUMIFS('Bill Credit Rates'!$K:$K,'Bill Credit Rates'!$A:$A,$A$4,'Bill Credit Rates'!$B:$B,$G75,'Bill Credit Rates'!$C:$C,$M75)</f>
        <v>80.56</v>
      </c>
      <c r="AK75" s="14">
        <f>SUMIFS('Bill Credit Rates'!$K:$K,'Bill Credit Rates'!$A:$A,$A$4,'Bill Credit Rates'!$B:$B,$G75,'Bill Credit Rates'!$C:$C,$M75)</f>
        <v>80.56</v>
      </c>
      <c r="AL75" s="14">
        <f>SUMIFS('Bill Credit Rates'!$K:$K,'Bill Credit Rates'!$A:$A,$A$4,'Bill Credit Rates'!$B:$B,$G75,'Bill Credit Rates'!$C:$C,$M75)</f>
        <v>80.56</v>
      </c>
      <c r="AM75" s="14">
        <f>SUMIFS('Bill Credit Rates'!$K:$K,'Bill Credit Rates'!$A:$A,$A$4,'Bill Credit Rates'!$B:$B,$G75,'Bill Credit Rates'!$C:$C,$M75)</f>
        <v>80.56</v>
      </c>
      <c r="AN75" s="14">
        <f>SUMIFS('Bill Credit Rates'!$K:$K,'Bill Credit Rates'!$A:$A,$A$4,'Bill Credit Rates'!$B:$B,$G75,'Bill Credit Rates'!$C:$C,$M75)</f>
        <v>80.56</v>
      </c>
      <c r="AP75" s="63">
        <v>2048</v>
      </c>
      <c r="AQ75" s="293">
        <v>88.514323490964046</v>
      </c>
      <c r="AR75" s="293">
        <v>88.514323490964046</v>
      </c>
      <c r="AS75" s="293">
        <v>88.514323490964046</v>
      </c>
      <c r="AT75" s="293">
        <v>88.514323490964046</v>
      </c>
      <c r="AU75" s="293">
        <v>88.514323490964046</v>
      </c>
      <c r="AV75" s="293">
        <v>88.514323490964046</v>
      </c>
      <c r="AW75" s="293">
        <v>88.514323490964046</v>
      </c>
      <c r="AX75" s="293">
        <v>88.514323490964046</v>
      </c>
      <c r="AY75" s="293">
        <v>88.514323490964046</v>
      </c>
      <c r="AZ75" s="293">
        <v>88.514323490964046</v>
      </c>
      <c r="BA75" s="293">
        <v>88.514323490964046</v>
      </c>
      <c r="BB75" s="293">
        <v>88.514323490964046</v>
      </c>
      <c r="BD75" s="63">
        <v>2048</v>
      </c>
      <c r="BE75" s="293">
        <v>48.374323490964045</v>
      </c>
      <c r="BF75" s="293">
        <v>48.374323490964045</v>
      </c>
      <c r="BG75" s="293">
        <v>48.374323490964045</v>
      </c>
      <c r="BH75" s="293">
        <v>48.374323490964045</v>
      </c>
      <c r="BI75" s="293">
        <v>48.374323490964045</v>
      </c>
      <c r="BJ75" s="293">
        <v>48.374323490964045</v>
      </c>
      <c r="BK75" s="293">
        <v>48.374323490964045</v>
      </c>
      <c r="BL75" s="293">
        <v>48.374323490964045</v>
      </c>
      <c r="BM75" s="293">
        <v>48.374323490964045</v>
      </c>
      <c r="BN75" s="293">
        <v>48.374323490964045</v>
      </c>
      <c r="BO75" s="293">
        <v>48.374323490964045</v>
      </c>
      <c r="BP75" s="293">
        <v>48.374323490964045</v>
      </c>
      <c r="BR75" s="135">
        <v>2048</v>
      </c>
      <c r="BS75" s="53">
        <f t="shared" si="41"/>
        <v>82.780037776678327</v>
      </c>
      <c r="BT75" s="53">
        <f t="shared" si="42"/>
        <v>82.780037776678327</v>
      </c>
      <c r="BU75" s="53">
        <f t="shared" si="43"/>
        <v>82.780037776678327</v>
      </c>
      <c r="BV75" s="53">
        <f t="shared" si="44"/>
        <v>82.780037776678327</v>
      </c>
      <c r="BW75" s="53">
        <f t="shared" si="45"/>
        <v>82.780037776678327</v>
      </c>
      <c r="BX75" s="53">
        <f t="shared" si="46"/>
        <v>82.780037776678327</v>
      </c>
      <c r="BY75" s="53">
        <f t="shared" si="47"/>
        <v>82.780037776678327</v>
      </c>
      <c r="BZ75" s="53">
        <f t="shared" si="48"/>
        <v>82.780037776678327</v>
      </c>
      <c r="CA75" s="53">
        <f t="shared" si="49"/>
        <v>82.780037776678327</v>
      </c>
      <c r="CB75" s="53">
        <f t="shared" si="50"/>
        <v>82.780037776678327</v>
      </c>
      <c r="CC75" s="53">
        <f t="shared" si="51"/>
        <v>82.780037776678327</v>
      </c>
      <c r="CD75" s="53">
        <f t="shared" si="52"/>
        <v>82.780037776678327</v>
      </c>
    </row>
    <row r="76" spans="1:82">
      <c r="A76" s="48">
        <v>2049</v>
      </c>
      <c r="B76" s="31" cm="1">
        <f t="array" ref="B76">IF(A76&lt;2021,0,SUMPRODUCT(('Project Operational Timelines'!$AO$20:$AO$49=$A76)*('Project Operational Timelines'!$AP$18:$AY$18=$A$4)*('Project Operational Timelines'!$AP$17:$AY$17=$G76)*'Project Operational Timelines'!$AP48:$AY48))</f>
        <v>0.33</v>
      </c>
      <c r="C76" s="84">
        <f t="shared" si="13"/>
        <v>65.343000250000003</v>
      </c>
      <c r="D76" s="89">
        <f t="shared" si="27"/>
        <v>-2982.52</v>
      </c>
      <c r="E76" s="89"/>
      <c r="F76" s="89">
        <f>-B76*1000*('Program Inputs'!$D$14-'Program Inputs'!$D$6)*$F$4*12</f>
        <v>-1615.6799999999998</v>
      </c>
      <c r="G76" s="335">
        <v>1</v>
      </c>
      <c r="H76" s="328">
        <f t="shared" si="28"/>
        <v>-1466.36</v>
      </c>
      <c r="I76" s="69"/>
      <c r="J76" s="69"/>
      <c r="K76" s="104"/>
      <c r="L76" s="75"/>
      <c r="M76">
        <v>31</v>
      </c>
      <c r="N76" s="52">
        <v>2049</v>
      </c>
      <c r="O76" s="18">
        <f t="shared" si="65"/>
        <v>-3.803665788399087</v>
      </c>
      <c r="P76" s="18">
        <f t="shared" si="66"/>
        <v>-3.803665788399087</v>
      </c>
      <c r="Q76" s="18">
        <f t="shared" si="67"/>
        <v>-3.803665788399087</v>
      </c>
      <c r="R76" s="18">
        <f t="shared" si="68"/>
        <v>-3.803665788399087</v>
      </c>
      <c r="S76" s="18">
        <f t="shared" si="69"/>
        <v>-3.803665788399087</v>
      </c>
      <c r="T76" s="18">
        <f t="shared" si="70"/>
        <v>-3.803665788399087</v>
      </c>
      <c r="U76" s="18">
        <f t="shared" si="71"/>
        <v>-3.803665788399087</v>
      </c>
      <c r="V76" s="18">
        <f t="shared" si="72"/>
        <v>-3.803665788399087</v>
      </c>
      <c r="W76" s="18">
        <f t="shared" si="73"/>
        <v>-3.803665788399087</v>
      </c>
      <c r="X76" s="18">
        <f t="shared" si="74"/>
        <v>-3.803665788399087</v>
      </c>
      <c r="Y76" s="18">
        <f t="shared" si="75"/>
        <v>-3.803665788399087</v>
      </c>
      <c r="Z76" s="18">
        <f t="shared" si="76"/>
        <v>-3.803665788399087</v>
      </c>
      <c r="AA76" s="13"/>
      <c r="AB76" s="52">
        <v>2049</v>
      </c>
      <c r="AC76" s="14">
        <f>SUMIFS('Bill Credit Rates'!$K:$K,'Bill Credit Rates'!$A:$A,$A$4,'Bill Credit Rates'!$B:$B,$G76,'Bill Credit Rates'!$C:$C,$M76)</f>
        <v>80.56</v>
      </c>
      <c r="AD76" s="14">
        <f>SUMIFS('Bill Credit Rates'!$K:$K,'Bill Credit Rates'!$A:$A,$A$4,'Bill Credit Rates'!$B:$B,$G76,'Bill Credit Rates'!$C:$C,$M76)</f>
        <v>80.56</v>
      </c>
      <c r="AE76" s="14">
        <f>SUMIFS('Bill Credit Rates'!$K:$K,'Bill Credit Rates'!$A:$A,$A$4,'Bill Credit Rates'!$B:$B,$G76,'Bill Credit Rates'!$C:$C,$M76)</f>
        <v>80.56</v>
      </c>
      <c r="AF76" s="14">
        <f>SUMIFS('Bill Credit Rates'!$K:$K,'Bill Credit Rates'!$A:$A,$A$4,'Bill Credit Rates'!$B:$B,$G76,'Bill Credit Rates'!$C:$C,$M76)</f>
        <v>80.56</v>
      </c>
      <c r="AG76" s="14">
        <f>SUMIFS('Bill Credit Rates'!$K:$K,'Bill Credit Rates'!$A:$A,$A$4,'Bill Credit Rates'!$B:$B,$G76,'Bill Credit Rates'!$C:$C,$M76)</f>
        <v>80.56</v>
      </c>
      <c r="AH76" s="14">
        <f>SUMIFS('Bill Credit Rates'!$K:$K,'Bill Credit Rates'!$A:$A,$A$4,'Bill Credit Rates'!$B:$B,$G76,'Bill Credit Rates'!$C:$C,$M76)</f>
        <v>80.56</v>
      </c>
      <c r="AI76" s="14">
        <f>SUMIFS('Bill Credit Rates'!$K:$K,'Bill Credit Rates'!$A:$A,$A$4,'Bill Credit Rates'!$B:$B,$G76,'Bill Credit Rates'!$C:$C,$M76)</f>
        <v>80.56</v>
      </c>
      <c r="AJ76" s="14">
        <f>SUMIFS('Bill Credit Rates'!$K:$K,'Bill Credit Rates'!$A:$A,$A$4,'Bill Credit Rates'!$B:$B,$G76,'Bill Credit Rates'!$C:$C,$M76)</f>
        <v>80.56</v>
      </c>
      <c r="AK76" s="14">
        <f>SUMIFS('Bill Credit Rates'!$K:$K,'Bill Credit Rates'!$A:$A,$A$4,'Bill Credit Rates'!$B:$B,$G76,'Bill Credit Rates'!$C:$C,$M76)</f>
        <v>80.56</v>
      </c>
      <c r="AL76" s="14">
        <f>SUMIFS('Bill Credit Rates'!$K:$K,'Bill Credit Rates'!$A:$A,$A$4,'Bill Credit Rates'!$B:$B,$G76,'Bill Credit Rates'!$C:$C,$M76)</f>
        <v>80.56</v>
      </c>
      <c r="AM76" s="14">
        <f>SUMIFS('Bill Credit Rates'!$K:$K,'Bill Credit Rates'!$A:$A,$A$4,'Bill Credit Rates'!$B:$B,$G76,'Bill Credit Rates'!$C:$C,$M76)</f>
        <v>80.56</v>
      </c>
      <c r="AN76" s="14">
        <f>SUMIFS('Bill Credit Rates'!$K:$K,'Bill Credit Rates'!$A:$A,$A$4,'Bill Credit Rates'!$B:$B,$G76,'Bill Credit Rates'!$C:$C,$M76)</f>
        <v>80.56</v>
      </c>
      <c r="AP76" s="63">
        <v>2049</v>
      </c>
      <c r="AQ76" s="293">
        <v>90.246522931256223</v>
      </c>
      <c r="AR76" s="293">
        <v>90.246522931256223</v>
      </c>
      <c r="AS76" s="293">
        <v>90.246522931256223</v>
      </c>
      <c r="AT76" s="293">
        <v>90.246522931256223</v>
      </c>
      <c r="AU76" s="293">
        <v>90.246522931256223</v>
      </c>
      <c r="AV76" s="293">
        <v>90.246522931256223</v>
      </c>
      <c r="AW76" s="293">
        <v>90.246522931256223</v>
      </c>
      <c r="AX76" s="293">
        <v>90.246522931256223</v>
      </c>
      <c r="AY76" s="293">
        <v>90.246522931256223</v>
      </c>
      <c r="AZ76" s="293">
        <v>90.246522931256223</v>
      </c>
      <c r="BA76" s="293">
        <v>90.246522931256223</v>
      </c>
      <c r="BB76" s="293">
        <v>90.246522931256223</v>
      </c>
      <c r="BD76" s="63">
        <v>2049</v>
      </c>
      <c r="BE76" s="293">
        <v>49.066522931256216</v>
      </c>
      <c r="BF76" s="293">
        <v>49.066522931256216</v>
      </c>
      <c r="BG76" s="293">
        <v>49.066522931256216</v>
      </c>
      <c r="BH76" s="293">
        <v>49.066522931256216</v>
      </c>
      <c r="BI76" s="293">
        <v>49.066522931256216</v>
      </c>
      <c r="BJ76" s="293">
        <v>49.066522931256216</v>
      </c>
      <c r="BK76" s="293">
        <v>49.066522931256216</v>
      </c>
      <c r="BL76" s="293">
        <v>49.066522931256216</v>
      </c>
      <c r="BM76" s="293">
        <v>49.066522931256216</v>
      </c>
      <c r="BN76" s="293">
        <v>49.066522931256216</v>
      </c>
      <c r="BO76" s="293">
        <v>49.066522931256216</v>
      </c>
      <c r="BP76" s="293">
        <v>49.066522931256216</v>
      </c>
      <c r="BR76" s="52">
        <v>2049</v>
      </c>
      <c r="BS76" s="53">
        <f t="shared" si="41"/>
        <v>84.363665788399089</v>
      </c>
      <c r="BT76" s="53">
        <f t="shared" si="42"/>
        <v>84.363665788399089</v>
      </c>
      <c r="BU76" s="53">
        <f t="shared" si="43"/>
        <v>84.363665788399089</v>
      </c>
      <c r="BV76" s="53">
        <f t="shared" si="44"/>
        <v>84.363665788399089</v>
      </c>
      <c r="BW76" s="53">
        <f t="shared" si="45"/>
        <v>84.363665788399089</v>
      </c>
      <c r="BX76" s="53">
        <f t="shared" si="46"/>
        <v>84.363665788399089</v>
      </c>
      <c r="BY76" s="53">
        <f t="shared" si="47"/>
        <v>84.363665788399089</v>
      </c>
      <c r="BZ76" s="53">
        <f t="shared" si="48"/>
        <v>84.363665788399089</v>
      </c>
      <c r="CA76" s="53">
        <f t="shared" si="49"/>
        <v>84.363665788399089</v>
      </c>
      <c r="CB76" s="53">
        <f t="shared" si="50"/>
        <v>84.363665788399089</v>
      </c>
      <c r="CC76" s="53">
        <f t="shared" si="51"/>
        <v>84.363665788399089</v>
      </c>
      <c r="CD76" s="53">
        <f t="shared" si="52"/>
        <v>84.363665788399089</v>
      </c>
    </row>
    <row r="77" spans="1:82">
      <c r="A77" s="48">
        <v>2050</v>
      </c>
      <c r="B77" s="31" cm="1">
        <f t="array" ref="B77">IF(A77&lt;2021,0,SUMPRODUCT(('Project Operational Timelines'!$AO$20:$AO$49=$A77)*('Project Operational Timelines'!$AP$18:$AY$18=$A$4)*('Project Operational Timelines'!$AP$17:$AY$17=$G77)*'Project Operational Timelines'!$AP49:$AY49))</f>
        <v>0.33</v>
      </c>
      <c r="C77" s="84">
        <f t="shared" si="13"/>
        <v>65.343000250000003</v>
      </c>
      <c r="D77" s="89">
        <f t="shared" si="27"/>
        <v>-4798.8</v>
      </c>
      <c r="E77" s="89"/>
      <c r="F77" s="89">
        <f>-B77*1000*('Program Inputs'!$D$14-'Program Inputs'!$D$6)*$F$4*12</f>
        <v>-1615.6799999999998</v>
      </c>
      <c r="G77" s="335">
        <v>1</v>
      </c>
      <c r="H77" s="328">
        <f t="shared" si="28"/>
        <v>-2293.27</v>
      </c>
      <c r="I77" s="69"/>
      <c r="J77" s="69"/>
      <c r="K77" s="104"/>
      <c r="L77" s="75"/>
      <c r="M77">
        <v>32</v>
      </c>
      <c r="N77" s="52">
        <v>2050</v>
      </c>
      <c r="O77" s="18">
        <f t="shared" si="65"/>
        <v>-6.1200105457615592</v>
      </c>
      <c r="P77" s="18">
        <f t="shared" si="66"/>
        <v>-6.1200105457615592</v>
      </c>
      <c r="Q77" s="18">
        <f t="shared" si="67"/>
        <v>-6.1200105457615592</v>
      </c>
      <c r="R77" s="18">
        <f t="shared" si="68"/>
        <v>-6.1200105457615592</v>
      </c>
      <c r="S77" s="18">
        <f t="shared" si="69"/>
        <v>-6.1200105457615592</v>
      </c>
      <c r="T77" s="18">
        <f t="shared" si="70"/>
        <v>-6.1200105457615592</v>
      </c>
      <c r="U77" s="18">
        <f t="shared" si="71"/>
        <v>-6.1200105457615592</v>
      </c>
      <c r="V77" s="18">
        <f t="shared" si="72"/>
        <v>-6.1200105457615592</v>
      </c>
      <c r="W77" s="18">
        <f t="shared" si="73"/>
        <v>-6.1200105457615592</v>
      </c>
      <c r="X77" s="18">
        <f t="shared" si="74"/>
        <v>-6.1200105457615592</v>
      </c>
      <c r="Y77" s="18">
        <f t="shared" si="75"/>
        <v>-6.1200105457615592</v>
      </c>
      <c r="Z77" s="18">
        <f t="shared" si="76"/>
        <v>-6.1200105457615592</v>
      </c>
      <c r="AA77" s="13"/>
      <c r="AB77" s="52">
        <v>2050</v>
      </c>
      <c r="AC77" s="14">
        <f>SUMIFS('Bill Credit Rates'!$K:$K,'Bill Credit Rates'!$A:$A,$A$4,'Bill Credit Rates'!$B:$B,$G77,'Bill Credit Rates'!$C:$C,$M77)</f>
        <v>80.56</v>
      </c>
      <c r="AD77" s="14">
        <f>SUMIFS('Bill Credit Rates'!$K:$K,'Bill Credit Rates'!$A:$A,$A$4,'Bill Credit Rates'!$B:$B,$G77,'Bill Credit Rates'!$C:$C,$M77)</f>
        <v>80.56</v>
      </c>
      <c r="AE77" s="14">
        <f>SUMIFS('Bill Credit Rates'!$K:$K,'Bill Credit Rates'!$A:$A,$A$4,'Bill Credit Rates'!$B:$B,$G77,'Bill Credit Rates'!$C:$C,$M77)</f>
        <v>80.56</v>
      </c>
      <c r="AF77" s="14">
        <f>SUMIFS('Bill Credit Rates'!$K:$K,'Bill Credit Rates'!$A:$A,$A$4,'Bill Credit Rates'!$B:$B,$G77,'Bill Credit Rates'!$C:$C,$M77)</f>
        <v>80.56</v>
      </c>
      <c r="AG77" s="14">
        <f>SUMIFS('Bill Credit Rates'!$K:$K,'Bill Credit Rates'!$A:$A,$A$4,'Bill Credit Rates'!$B:$B,$G77,'Bill Credit Rates'!$C:$C,$M77)</f>
        <v>80.56</v>
      </c>
      <c r="AH77" s="14">
        <f>SUMIFS('Bill Credit Rates'!$K:$K,'Bill Credit Rates'!$A:$A,$A$4,'Bill Credit Rates'!$B:$B,$G77,'Bill Credit Rates'!$C:$C,$M77)</f>
        <v>80.56</v>
      </c>
      <c r="AI77" s="14">
        <f>SUMIFS('Bill Credit Rates'!$K:$K,'Bill Credit Rates'!$A:$A,$A$4,'Bill Credit Rates'!$B:$B,$G77,'Bill Credit Rates'!$C:$C,$M77)</f>
        <v>80.56</v>
      </c>
      <c r="AJ77" s="14">
        <f>SUMIFS('Bill Credit Rates'!$K:$K,'Bill Credit Rates'!$A:$A,$A$4,'Bill Credit Rates'!$B:$B,$G77,'Bill Credit Rates'!$C:$C,$M77)</f>
        <v>80.56</v>
      </c>
      <c r="AK77" s="14">
        <f>SUMIFS('Bill Credit Rates'!$K:$K,'Bill Credit Rates'!$A:$A,$A$4,'Bill Credit Rates'!$B:$B,$G77,'Bill Credit Rates'!$C:$C,$M77)</f>
        <v>80.56</v>
      </c>
      <c r="AL77" s="14">
        <f>SUMIFS('Bill Credit Rates'!$K:$K,'Bill Credit Rates'!$A:$A,$A$4,'Bill Credit Rates'!$B:$B,$G77,'Bill Credit Rates'!$C:$C,$M77)</f>
        <v>80.56</v>
      </c>
      <c r="AM77" s="14">
        <f>SUMIFS('Bill Credit Rates'!$K:$K,'Bill Credit Rates'!$A:$A,$A$4,'Bill Credit Rates'!$B:$B,$G77,'Bill Credit Rates'!$C:$C,$M77)</f>
        <v>80.56</v>
      </c>
      <c r="AN77" s="14">
        <f>SUMIFS('Bill Credit Rates'!$K:$K,'Bill Credit Rates'!$A:$A,$A$4,'Bill Credit Rates'!$B:$B,$G77,'Bill Credit Rates'!$C:$C,$M77)</f>
        <v>80.56</v>
      </c>
      <c r="AP77" s="63">
        <v>2050</v>
      </c>
      <c r="AQ77" s="293">
        <v>92.703010545761572</v>
      </c>
      <c r="AR77" s="293">
        <v>92.703010545761572</v>
      </c>
      <c r="AS77" s="293">
        <v>92.703010545761572</v>
      </c>
      <c r="AT77" s="293">
        <v>92.703010545761572</v>
      </c>
      <c r="AU77" s="293">
        <v>92.703010545761572</v>
      </c>
      <c r="AV77" s="293">
        <v>92.703010545761572</v>
      </c>
      <c r="AW77" s="293">
        <v>92.703010545761572</v>
      </c>
      <c r="AX77" s="293">
        <v>92.703010545761572</v>
      </c>
      <c r="AY77" s="293">
        <v>92.703010545761572</v>
      </c>
      <c r="AZ77" s="293">
        <v>92.703010545761572</v>
      </c>
      <c r="BA77" s="293">
        <v>92.703010545761572</v>
      </c>
      <c r="BB77" s="293">
        <v>92.703010545761572</v>
      </c>
      <c r="BD77" s="63">
        <v>2050</v>
      </c>
      <c r="BE77" s="293">
        <v>50.542010545761514</v>
      </c>
      <c r="BF77" s="293">
        <v>50.542010545761514</v>
      </c>
      <c r="BG77" s="293">
        <v>50.542010545761514</v>
      </c>
      <c r="BH77" s="293">
        <v>50.542010545761514</v>
      </c>
      <c r="BI77" s="293">
        <v>50.542010545761514</v>
      </c>
      <c r="BJ77" s="293">
        <v>50.542010545761514</v>
      </c>
      <c r="BK77" s="293">
        <v>50.542010545761514</v>
      </c>
      <c r="BL77" s="293">
        <v>50.542010545761514</v>
      </c>
      <c r="BM77" s="293">
        <v>50.542010545761514</v>
      </c>
      <c r="BN77" s="293">
        <v>50.542010545761514</v>
      </c>
      <c r="BO77" s="293">
        <v>50.542010545761514</v>
      </c>
      <c r="BP77" s="293">
        <v>50.542010545761514</v>
      </c>
      <c r="BR77" s="52">
        <v>2050</v>
      </c>
      <c r="BS77" s="53">
        <f t="shared" si="41"/>
        <v>86.680010545761562</v>
      </c>
      <c r="BT77" s="53">
        <f t="shared" si="42"/>
        <v>86.680010545761562</v>
      </c>
      <c r="BU77" s="53">
        <f t="shared" si="43"/>
        <v>86.680010545761562</v>
      </c>
      <c r="BV77" s="53">
        <f t="shared" si="44"/>
        <v>86.680010545761562</v>
      </c>
      <c r="BW77" s="53">
        <f t="shared" si="45"/>
        <v>86.680010545761562</v>
      </c>
      <c r="BX77" s="53">
        <f t="shared" si="46"/>
        <v>86.680010545761562</v>
      </c>
      <c r="BY77" s="53">
        <f t="shared" si="47"/>
        <v>86.680010545761562</v>
      </c>
      <c r="BZ77" s="53">
        <f t="shared" si="48"/>
        <v>86.680010545761562</v>
      </c>
      <c r="CA77" s="53">
        <f t="shared" si="49"/>
        <v>86.680010545761562</v>
      </c>
      <c r="CB77" s="53">
        <f t="shared" si="50"/>
        <v>86.680010545761562</v>
      </c>
      <c r="CC77" s="53">
        <f t="shared" si="51"/>
        <v>86.680010545761562</v>
      </c>
      <c r="CD77" s="53">
        <f t="shared" si="52"/>
        <v>86.680010545761562</v>
      </c>
    </row>
    <row r="78" spans="1:82">
      <c r="A78" s="4" t="s">
        <v>10</v>
      </c>
      <c r="B78" s="4"/>
      <c r="C78" s="4"/>
      <c r="D78" s="327">
        <f>SUM(D45:D77)</f>
        <v>3221963.99</v>
      </c>
      <c r="E78" s="327"/>
      <c r="F78" s="327">
        <f>SUM(F45:F77)</f>
        <v>-326759.03999999998</v>
      </c>
      <c r="G78" s="336"/>
      <c r="H78" s="327">
        <f>SUM(H45:H77)</f>
        <v>2574982.7000000007</v>
      </c>
      <c r="I78" s="105"/>
      <c r="J78" s="105"/>
      <c r="K78" s="104"/>
      <c r="L78" s="73"/>
      <c r="M78" s="10"/>
      <c r="N78" s="16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6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7"/>
    </row>
    <row r="79" spans="1:82">
      <c r="AA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</row>
    <row r="80" spans="1:82">
      <c r="AA80" s="9"/>
    </row>
  </sheetData>
  <mergeCells count="12">
    <mergeCell ref="BR43:CD43"/>
    <mergeCell ref="A6:K6"/>
    <mergeCell ref="AP41:BB41"/>
    <mergeCell ref="BD41:BP41"/>
    <mergeCell ref="BR41:CD41"/>
    <mergeCell ref="AP42:BB42"/>
    <mergeCell ref="BD42:BP42"/>
    <mergeCell ref="BR42:CD42"/>
    <mergeCell ref="N43:Z43"/>
    <mergeCell ref="AB43:AN43"/>
    <mergeCell ref="AP43:BB43"/>
    <mergeCell ref="BD43:BP43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B7FC-CCF8-4005-9AB8-FD9B15563744}">
  <sheetPr codeName="Sheet35">
    <tabColor theme="4" tint="0.39997558519241921"/>
  </sheetPr>
  <dimension ref="A1:EG73"/>
  <sheetViews>
    <sheetView workbookViewId="0">
      <selection activeCell="C5" sqref="C5"/>
    </sheetView>
  </sheetViews>
  <sheetFormatPr defaultRowHeight="15"/>
  <cols>
    <col min="1" max="1" width="11.28515625" bestFit="1" customWidth="1"/>
    <col min="2" max="6" width="21" bestFit="1" customWidth="1"/>
    <col min="7" max="7" width="17.140625" bestFit="1" customWidth="1"/>
    <col min="8" max="8" width="25.140625" bestFit="1" customWidth="1"/>
    <col min="9" max="9" width="30.28515625" bestFit="1" customWidth="1"/>
    <col min="13" max="13" width="36.7109375" bestFit="1" customWidth="1"/>
    <col min="83" max="83" width="11.28515625" bestFit="1" customWidth="1"/>
    <col min="84" max="84" width="14.7109375" customWidth="1"/>
    <col min="85" max="85" width="11.28515625" bestFit="1" customWidth="1"/>
    <col min="86" max="102" width="12.28515625" bestFit="1" customWidth="1"/>
    <col min="103" max="104" width="12.5703125" bestFit="1" customWidth="1"/>
    <col min="105" max="105" width="11.28515625" bestFit="1" customWidth="1"/>
    <col min="106" max="106" width="10.28515625" bestFit="1" customWidth="1"/>
    <col min="114" max="114" width="12.5703125" bestFit="1" customWidth="1"/>
    <col min="115" max="115" width="11.5703125" bestFit="1" customWidth="1"/>
    <col min="116" max="116" width="10.5703125" bestFit="1" customWidth="1"/>
    <col min="121" max="121" width="10.85546875" bestFit="1" customWidth="1"/>
    <col min="137" max="137" width="8.5703125" bestFit="1" customWidth="1"/>
  </cols>
  <sheetData>
    <row r="1" spans="1:17">
      <c r="A1" s="170" t="s">
        <v>72</v>
      </c>
      <c r="B1" s="381" t="s">
        <v>11</v>
      </c>
      <c r="C1" s="382"/>
      <c r="D1" s="381" t="s">
        <v>12</v>
      </c>
      <c r="E1" s="382"/>
      <c r="F1" s="381" t="s">
        <v>13</v>
      </c>
      <c r="G1" s="382"/>
      <c r="M1" t="s">
        <v>73</v>
      </c>
    </row>
    <row r="2" spans="1:17">
      <c r="A2" s="170" t="s">
        <v>33</v>
      </c>
      <c r="B2" s="170" t="s">
        <v>74</v>
      </c>
      <c r="C2" s="170" t="s">
        <v>75</v>
      </c>
      <c r="D2" s="170" t="s">
        <v>74</v>
      </c>
      <c r="E2" s="170" t="s">
        <v>75</v>
      </c>
      <c r="F2" s="170" t="s">
        <v>74</v>
      </c>
      <c r="G2" s="170" t="s">
        <v>75</v>
      </c>
      <c r="M2" s="223" t="s">
        <v>76</v>
      </c>
      <c r="N2" t="s">
        <v>77</v>
      </c>
    </row>
    <row r="3" spans="1:17">
      <c r="A3" s="165">
        <v>1</v>
      </c>
      <c r="B3" s="171">
        <v>32167</v>
      </c>
      <c r="C3" s="171">
        <v>40</v>
      </c>
      <c r="D3" s="171">
        <v>19840</v>
      </c>
      <c r="E3" s="171">
        <v>2373</v>
      </c>
      <c r="F3" s="171">
        <v>3280</v>
      </c>
      <c r="G3" s="171">
        <v>0</v>
      </c>
    </row>
    <row r="4" spans="1:17">
      <c r="A4" s="165">
        <v>2</v>
      </c>
      <c r="B4" s="171">
        <v>37683</v>
      </c>
      <c r="C4" s="171">
        <v>43250</v>
      </c>
      <c r="D4" s="171">
        <v>28610</v>
      </c>
      <c r="E4" s="171">
        <v>43777</v>
      </c>
      <c r="F4" s="171">
        <v>0</v>
      </c>
      <c r="G4" s="171">
        <v>0</v>
      </c>
    </row>
    <row r="6" spans="1:17">
      <c r="A6" s="169" t="s">
        <v>78</v>
      </c>
      <c r="B6" s="169" t="s">
        <v>79</v>
      </c>
      <c r="C6" s="169" t="s">
        <v>80</v>
      </c>
      <c r="M6" s="379" t="s">
        <v>81</v>
      </c>
      <c r="N6" s="379"/>
      <c r="O6" s="379"/>
      <c r="P6" s="379"/>
      <c r="Q6" s="379"/>
    </row>
    <row r="7" spans="1:17">
      <c r="A7" s="165"/>
      <c r="B7" s="165" t="s">
        <v>11</v>
      </c>
      <c r="C7" s="165"/>
      <c r="D7" s="165" t="s">
        <v>12</v>
      </c>
      <c r="E7" s="165"/>
      <c r="F7" s="165" t="s">
        <v>13</v>
      </c>
      <c r="G7" s="165" t="s">
        <v>82</v>
      </c>
      <c r="I7" s="34"/>
      <c r="M7" s="165"/>
      <c r="N7" s="165">
        <v>2025</v>
      </c>
      <c r="O7" s="165">
        <v>2026</v>
      </c>
      <c r="P7" s="165">
        <v>2027</v>
      </c>
      <c r="Q7" s="165">
        <v>2028</v>
      </c>
    </row>
    <row r="8" spans="1:17">
      <c r="A8" s="172" t="s">
        <v>33</v>
      </c>
      <c r="B8" s="165" t="s">
        <v>83</v>
      </c>
      <c r="C8" s="165" t="s">
        <v>84</v>
      </c>
      <c r="D8" s="165" t="s">
        <v>83</v>
      </c>
      <c r="E8" s="165" t="s">
        <v>84</v>
      </c>
      <c r="F8" s="165" t="s">
        <v>83</v>
      </c>
      <c r="G8" s="165"/>
      <c r="I8" s="10"/>
      <c r="M8" s="165" t="s">
        <v>76</v>
      </c>
      <c r="N8" s="185">
        <v>0.5</v>
      </c>
      <c r="O8" s="185">
        <v>0.5</v>
      </c>
      <c r="P8" s="165"/>
      <c r="Q8" s="165"/>
    </row>
    <row r="9" spans="1:17">
      <c r="A9" s="165">
        <v>1</v>
      </c>
      <c r="B9" s="165">
        <v>32167</v>
      </c>
      <c r="C9" s="165">
        <v>40</v>
      </c>
      <c r="D9" s="165">
        <v>19840</v>
      </c>
      <c r="E9" s="165">
        <v>2372.6</v>
      </c>
      <c r="F9" s="165">
        <v>2950</v>
      </c>
      <c r="G9" s="165">
        <v>57369.599999999999</v>
      </c>
      <c r="M9" s="165" t="s">
        <v>85</v>
      </c>
      <c r="N9" s="185">
        <f>1/3</f>
        <v>0.33333333333333331</v>
      </c>
      <c r="O9" s="185">
        <f t="shared" ref="O9:P9" si="0">1/3</f>
        <v>0.33333333333333331</v>
      </c>
      <c r="P9" s="185">
        <f t="shared" si="0"/>
        <v>0.33333333333333331</v>
      </c>
      <c r="Q9" s="165">
        <v>0</v>
      </c>
    </row>
    <row r="10" spans="1:17">
      <c r="A10" s="165">
        <v>2</v>
      </c>
      <c r="B10" s="165">
        <v>37648</v>
      </c>
      <c r="C10" s="165">
        <v>11970</v>
      </c>
      <c r="D10" s="165">
        <v>28122.99</v>
      </c>
      <c r="E10" s="165">
        <v>7896</v>
      </c>
      <c r="F10" s="165"/>
      <c r="G10" s="165">
        <v>85636.99</v>
      </c>
      <c r="M10" s="165" t="s">
        <v>86</v>
      </c>
      <c r="N10" s="185">
        <v>0.25</v>
      </c>
      <c r="O10" s="185">
        <v>0.25</v>
      </c>
      <c r="P10" s="185">
        <v>0.25</v>
      </c>
      <c r="Q10" s="185">
        <v>0.25</v>
      </c>
    </row>
    <row r="11" spans="1:17">
      <c r="A11" s="165" t="s">
        <v>82</v>
      </c>
      <c r="B11" s="171">
        <v>69815</v>
      </c>
      <c r="C11" s="171">
        <v>12010</v>
      </c>
      <c r="D11" s="171">
        <v>47962.990000000005</v>
      </c>
      <c r="E11" s="171">
        <v>10268.6</v>
      </c>
      <c r="F11" s="171">
        <v>2950</v>
      </c>
      <c r="G11" s="171">
        <v>143006.59</v>
      </c>
    </row>
    <row r="12" spans="1:17">
      <c r="M12" s="186" t="s">
        <v>87</v>
      </c>
    </row>
    <row r="13" spans="1:17">
      <c r="A13" s="170" t="s">
        <v>88</v>
      </c>
      <c r="B13" s="381" t="s">
        <v>11</v>
      </c>
      <c r="C13" s="382"/>
      <c r="D13" s="381" t="s">
        <v>12</v>
      </c>
      <c r="E13" s="382"/>
      <c r="F13" s="381" t="s">
        <v>13</v>
      </c>
      <c r="G13" s="382"/>
      <c r="M13" s="186" t="s">
        <v>89</v>
      </c>
    </row>
    <row r="14" spans="1:17">
      <c r="A14" s="170" t="s">
        <v>33</v>
      </c>
      <c r="B14" s="170" t="s">
        <v>74</v>
      </c>
      <c r="C14" s="170" t="s">
        <v>75</v>
      </c>
      <c r="D14" s="170" t="s">
        <v>74</v>
      </c>
      <c r="E14" s="170" t="s">
        <v>75</v>
      </c>
      <c r="F14" s="170" t="s">
        <v>74</v>
      </c>
      <c r="G14" s="170" t="s">
        <v>75</v>
      </c>
      <c r="M14" s="186" t="s">
        <v>90</v>
      </c>
    </row>
    <row r="15" spans="1:17">
      <c r="A15" s="165">
        <v>1</v>
      </c>
      <c r="B15" s="171">
        <f t="shared" ref="B15:F16" si="1">B3-B9</f>
        <v>0</v>
      </c>
      <c r="C15" s="171">
        <f t="shared" si="1"/>
        <v>0</v>
      </c>
      <c r="D15" s="171">
        <f t="shared" si="1"/>
        <v>0</v>
      </c>
      <c r="E15" s="171">
        <f t="shared" si="1"/>
        <v>0.40000000000009095</v>
      </c>
      <c r="F15" s="171">
        <f t="shared" si="1"/>
        <v>330</v>
      </c>
      <c r="G15" s="171">
        <v>0</v>
      </c>
    </row>
    <row r="16" spans="1:17">
      <c r="A16" s="165">
        <v>2</v>
      </c>
      <c r="B16" s="171">
        <f t="shared" si="1"/>
        <v>35</v>
      </c>
      <c r="C16" s="171">
        <f t="shared" si="1"/>
        <v>31280</v>
      </c>
      <c r="D16" s="171">
        <f t="shared" si="1"/>
        <v>487.0099999999984</v>
      </c>
      <c r="E16" s="171">
        <f t="shared" si="1"/>
        <v>35881</v>
      </c>
      <c r="F16" s="171">
        <f t="shared" si="1"/>
        <v>0</v>
      </c>
      <c r="G16" s="171">
        <v>0</v>
      </c>
    </row>
    <row r="17" spans="1:137">
      <c r="DJ17" s="44"/>
      <c r="DK17" s="44"/>
      <c r="DQ17" s="44"/>
    </row>
    <row r="18" spans="1:137">
      <c r="C18" s="78" t="s">
        <v>91</v>
      </c>
      <c r="D18" s="266">
        <f>SUM(D20:D39)-SUM(B16:G16)-F15</f>
        <v>0</v>
      </c>
      <c r="J18">
        <v>2027</v>
      </c>
      <c r="K18">
        <v>2027</v>
      </c>
      <c r="L18">
        <v>2027</v>
      </c>
      <c r="M18">
        <v>2027</v>
      </c>
      <c r="N18">
        <v>2027</v>
      </c>
      <c r="O18">
        <v>2027</v>
      </c>
      <c r="P18">
        <v>2027</v>
      </c>
      <c r="Q18">
        <v>2027</v>
      </c>
      <c r="R18">
        <v>2027</v>
      </c>
      <c r="S18">
        <v>2027</v>
      </c>
      <c r="T18">
        <v>2027</v>
      </c>
      <c r="U18">
        <v>2027</v>
      </c>
      <c r="V18">
        <v>2028</v>
      </c>
      <c r="W18">
        <v>2028</v>
      </c>
      <c r="X18">
        <v>2028</v>
      </c>
      <c r="Y18">
        <v>2028</v>
      </c>
      <c r="Z18">
        <v>2028</v>
      </c>
      <c r="AA18">
        <v>2028</v>
      </c>
      <c r="AB18">
        <v>2028</v>
      </c>
      <c r="AC18">
        <v>2028</v>
      </c>
      <c r="AD18">
        <v>2028</v>
      </c>
      <c r="AE18">
        <v>2028</v>
      </c>
      <c r="AF18">
        <v>2028</v>
      </c>
      <c r="AG18">
        <v>2028</v>
      </c>
      <c r="AH18">
        <v>2029</v>
      </c>
      <c r="AI18">
        <v>2029</v>
      </c>
      <c r="AJ18">
        <v>2029</v>
      </c>
      <c r="AK18">
        <v>2029</v>
      </c>
      <c r="AL18">
        <v>2029</v>
      </c>
      <c r="AM18">
        <v>2029</v>
      </c>
      <c r="AN18">
        <v>2029</v>
      </c>
      <c r="AO18">
        <v>2029</v>
      </c>
      <c r="AP18">
        <v>2029</v>
      </c>
      <c r="AQ18">
        <v>2029</v>
      </c>
      <c r="AR18">
        <v>2029</v>
      </c>
      <c r="AS18">
        <v>2029</v>
      </c>
      <c r="AT18">
        <v>2030</v>
      </c>
      <c r="AU18">
        <v>2030</v>
      </c>
      <c r="AV18">
        <v>2030</v>
      </c>
      <c r="AW18">
        <v>2030</v>
      </c>
      <c r="AX18">
        <v>2030</v>
      </c>
      <c r="AY18">
        <v>2030</v>
      </c>
      <c r="AZ18">
        <v>2030</v>
      </c>
      <c r="BA18">
        <v>2030</v>
      </c>
      <c r="BB18">
        <v>2030</v>
      </c>
      <c r="BC18">
        <v>2030</v>
      </c>
      <c r="BD18">
        <v>2030</v>
      </c>
      <c r="BE18">
        <v>2030</v>
      </c>
      <c r="BF18">
        <v>2031</v>
      </c>
      <c r="BG18">
        <v>2031</v>
      </c>
      <c r="BH18">
        <v>2031</v>
      </c>
      <c r="BI18">
        <v>2031</v>
      </c>
      <c r="BJ18">
        <v>2031</v>
      </c>
      <c r="BK18">
        <v>2031</v>
      </c>
      <c r="BL18">
        <v>2031</v>
      </c>
      <c r="BM18">
        <v>2031</v>
      </c>
      <c r="BN18">
        <v>2031</v>
      </c>
      <c r="BO18">
        <v>2031</v>
      </c>
      <c r="BP18">
        <v>2031</v>
      </c>
      <c r="BQ18">
        <v>2031</v>
      </c>
      <c r="BR18">
        <v>2032</v>
      </c>
      <c r="BS18">
        <v>2032</v>
      </c>
      <c r="BT18">
        <v>2032</v>
      </c>
      <c r="BU18">
        <v>2032</v>
      </c>
      <c r="BV18">
        <v>2032</v>
      </c>
      <c r="BW18">
        <v>2032</v>
      </c>
      <c r="BX18">
        <v>2032</v>
      </c>
      <c r="BY18">
        <v>2032</v>
      </c>
      <c r="BZ18">
        <v>2032</v>
      </c>
      <c r="CA18">
        <v>2032</v>
      </c>
      <c r="CB18">
        <v>2032</v>
      </c>
      <c r="CC18">
        <v>2032</v>
      </c>
      <c r="CE18" s="34">
        <f>_xlfn.AGGREGATE(9,5,CE20:CE39)</f>
        <v>0</v>
      </c>
      <c r="CF18" s="34">
        <f t="shared" ref="CF18:DB18" si="2">_xlfn.AGGREGATE(9,5,CF20:CF39)</f>
        <v>118370.88</v>
      </c>
      <c r="CG18" s="34">
        <f t="shared" si="2"/>
        <v>276198.72000000003</v>
      </c>
      <c r="CH18" s="34">
        <f t="shared" si="2"/>
        <v>315655.68000000005</v>
      </c>
      <c r="CI18" s="34">
        <f t="shared" si="2"/>
        <v>315655.68000000005</v>
      </c>
      <c r="CJ18" s="34">
        <f t="shared" si="2"/>
        <v>315655.68000000005</v>
      </c>
      <c r="CK18" s="34">
        <f t="shared" si="2"/>
        <v>315655.68000000005</v>
      </c>
      <c r="CL18" s="34">
        <f t="shared" si="2"/>
        <v>315655.68000000005</v>
      </c>
      <c r="CM18" s="34">
        <f t="shared" si="2"/>
        <v>315655.68000000005</v>
      </c>
      <c r="CN18" s="34">
        <f t="shared" si="2"/>
        <v>315655.68000000005</v>
      </c>
      <c r="CO18" s="34">
        <f t="shared" si="2"/>
        <v>315655.68000000005</v>
      </c>
      <c r="CP18" s="34">
        <f t="shared" si="2"/>
        <v>315655.68000000005</v>
      </c>
      <c r="CQ18" s="34">
        <f t="shared" si="2"/>
        <v>315655.68000000005</v>
      </c>
      <c r="CR18" s="34">
        <f t="shared" si="2"/>
        <v>315655.68000000005</v>
      </c>
      <c r="CS18" s="34">
        <f t="shared" si="2"/>
        <v>315655.68000000005</v>
      </c>
      <c r="CT18" s="34">
        <f t="shared" si="2"/>
        <v>315655.68000000005</v>
      </c>
      <c r="CU18" s="34">
        <f t="shared" si="2"/>
        <v>315655.68000000005</v>
      </c>
      <c r="CV18" s="34">
        <f t="shared" si="2"/>
        <v>315655.68000000005</v>
      </c>
      <c r="CW18" s="34">
        <f t="shared" si="2"/>
        <v>315655.68000000005</v>
      </c>
      <c r="CX18" s="34">
        <f t="shared" si="2"/>
        <v>315655.68000000005</v>
      </c>
      <c r="CY18" s="34">
        <f t="shared" si="2"/>
        <v>315655.68000000005</v>
      </c>
      <c r="CZ18" s="34">
        <f t="shared" si="2"/>
        <v>184132.48000000001</v>
      </c>
      <c r="DA18" s="34">
        <f t="shared" si="2"/>
        <v>26304.639999999999</v>
      </c>
      <c r="DB18" s="34">
        <f t="shared" si="2"/>
        <v>0</v>
      </c>
    </row>
    <row r="19" spans="1:137">
      <c r="A19" s="178" t="s">
        <v>79</v>
      </c>
      <c r="B19" s="179" t="s">
        <v>92</v>
      </c>
      <c r="C19" s="179" t="s">
        <v>80</v>
      </c>
      <c r="D19" s="179" t="s">
        <v>93</v>
      </c>
      <c r="E19" s="178" t="s">
        <v>94</v>
      </c>
      <c r="F19" s="178" t="s">
        <v>95</v>
      </c>
      <c r="G19" s="178" t="s">
        <v>96</v>
      </c>
      <c r="H19" s="178" t="s">
        <v>97</v>
      </c>
      <c r="I19" s="180" t="s">
        <v>98</v>
      </c>
      <c r="J19" s="181">
        <v>46388</v>
      </c>
      <c r="K19" s="181">
        <v>46419</v>
      </c>
      <c r="L19" s="181">
        <v>46447</v>
      </c>
      <c r="M19" s="181">
        <v>46478</v>
      </c>
      <c r="N19" s="181">
        <v>46508</v>
      </c>
      <c r="O19" s="181">
        <v>46539</v>
      </c>
      <c r="P19" s="181">
        <v>46569</v>
      </c>
      <c r="Q19" s="181">
        <v>46600</v>
      </c>
      <c r="R19" s="181">
        <v>46631</v>
      </c>
      <c r="S19" s="181">
        <v>46661</v>
      </c>
      <c r="T19" s="181">
        <v>46692</v>
      </c>
      <c r="U19" s="181">
        <v>46722</v>
      </c>
      <c r="V19" s="181">
        <v>46753</v>
      </c>
      <c r="W19" s="181">
        <v>46784</v>
      </c>
      <c r="X19" s="181">
        <v>46813</v>
      </c>
      <c r="Y19" s="181">
        <v>46844</v>
      </c>
      <c r="Z19" s="181">
        <v>46874</v>
      </c>
      <c r="AA19" s="181">
        <v>46905</v>
      </c>
      <c r="AB19" s="181">
        <v>46935</v>
      </c>
      <c r="AC19" s="181">
        <v>46966</v>
      </c>
      <c r="AD19" s="181">
        <v>46997</v>
      </c>
      <c r="AE19" s="181">
        <v>47027</v>
      </c>
      <c r="AF19" s="181">
        <v>47058</v>
      </c>
      <c r="AG19" s="181">
        <v>47088</v>
      </c>
      <c r="AH19" s="181">
        <v>47119</v>
      </c>
      <c r="AI19" s="181">
        <v>47150</v>
      </c>
      <c r="AJ19" s="181">
        <v>47178</v>
      </c>
      <c r="AK19" s="181">
        <v>47209</v>
      </c>
      <c r="AL19" s="181">
        <v>47239</v>
      </c>
      <c r="AM19" s="181">
        <v>47270</v>
      </c>
      <c r="AN19" s="181">
        <v>47300</v>
      </c>
      <c r="AO19" s="181">
        <v>47331</v>
      </c>
      <c r="AP19" s="181">
        <v>47362</v>
      </c>
      <c r="AQ19" s="181">
        <v>47392</v>
      </c>
      <c r="AR19" s="181">
        <v>47423</v>
      </c>
      <c r="AS19" s="181">
        <v>47453</v>
      </c>
      <c r="AT19" s="181">
        <v>47484</v>
      </c>
      <c r="AU19" s="181">
        <v>47515</v>
      </c>
      <c r="AV19" s="181">
        <v>47543</v>
      </c>
      <c r="AW19" s="181">
        <v>47574</v>
      </c>
      <c r="AX19" s="181">
        <v>47604</v>
      </c>
      <c r="AY19" s="181">
        <v>47635</v>
      </c>
      <c r="AZ19" s="181">
        <v>47665</v>
      </c>
      <c r="BA19" s="181">
        <v>47696</v>
      </c>
      <c r="BB19" s="181">
        <v>47727</v>
      </c>
      <c r="BC19" s="181">
        <v>47757</v>
      </c>
      <c r="BD19" s="181">
        <v>47788</v>
      </c>
      <c r="BE19" s="181">
        <v>47818</v>
      </c>
      <c r="BF19" s="181">
        <v>47849</v>
      </c>
      <c r="BG19" s="181">
        <v>47880</v>
      </c>
      <c r="BH19" s="181">
        <v>47908</v>
      </c>
      <c r="BI19" s="181">
        <v>47939</v>
      </c>
      <c r="BJ19" s="181">
        <v>47969</v>
      </c>
      <c r="BK19" s="181">
        <v>48000</v>
      </c>
      <c r="BL19" s="181">
        <v>48030</v>
      </c>
      <c r="BM19" s="181">
        <v>48061</v>
      </c>
      <c r="BN19" s="181">
        <v>48092</v>
      </c>
      <c r="BO19" s="181">
        <v>48122</v>
      </c>
      <c r="BP19" s="181">
        <v>48153</v>
      </c>
      <c r="BQ19" s="181">
        <v>48183</v>
      </c>
      <c r="BR19" s="181">
        <v>48214</v>
      </c>
      <c r="BS19" s="181">
        <v>48245</v>
      </c>
      <c r="BT19" s="181">
        <v>48274</v>
      </c>
      <c r="BU19" s="181">
        <v>48305</v>
      </c>
      <c r="BV19" s="181">
        <v>48335</v>
      </c>
      <c r="BW19" s="181">
        <v>48366</v>
      </c>
      <c r="BX19" s="181">
        <v>48396</v>
      </c>
      <c r="BY19" s="181">
        <v>48427</v>
      </c>
      <c r="BZ19" s="181">
        <v>48458</v>
      </c>
      <c r="CA19" s="181">
        <v>48488</v>
      </c>
      <c r="CB19" s="181">
        <v>48519</v>
      </c>
      <c r="CC19" s="181">
        <v>48549</v>
      </c>
      <c r="CE19" s="204">
        <v>2027</v>
      </c>
      <c r="CF19" s="204">
        <v>2028</v>
      </c>
      <c r="CG19" s="204">
        <v>2029</v>
      </c>
      <c r="CH19" s="204">
        <v>2030</v>
      </c>
      <c r="CI19" s="204">
        <v>2031</v>
      </c>
      <c r="CJ19" s="204">
        <v>2032</v>
      </c>
      <c r="CK19" s="204">
        <v>2033</v>
      </c>
      <c r="CL19" s="204">
        <v>2034</v>
      </c>
      <c r="CM19" s="204">
        <v>2035</v>
      </c>
      <c r="CN19" s="204">
        <v>2036</v>
      </c>
      <c r="CO19" s="204">
        <v>2037</v>
      </c>
      <c r="CP19" s="204">
        <v>2038</v>
      </c>
      <c r="CQ19" s="204">
        <v>2039</v>
      </c>
      <c r="CR19" s="204">
        <v>2040</v>
      </c>
      <c r="CS19" s="204">
        <v>2041</v>
      </c>
      <c r="CT19" s="204">
        <v>2042</v>
      </c>
      <c r="CU19" s="204">
        <v>2043</v>
      </c>
      <c r="CV19" s="204">
        <v>2044</v>
      </c>
      <c r="CW19" s="204">
        <v>2045</v>
      </c>
      <c r="CX19" s="204">
        <v>2046</v>
      </c>
      <c r="CY19" s="204">
        <v>2047</v>
      </c>
      <c r="CZ19" s="204">
        <v>2048</v>
      </c>
      <c r="DA19" s="204">
        <v>2049</v>
      </c>
      <c r="DB19" s="204">
        <v>2050</v>
      </c>
      <c r="DI19" s="167"/>
      <c r="DJ19" s="203">
        <v>2027</v>
      </c>
      <c r="DK19" s="203">
        <f t="shared" ref="DK19:EB19" si="3">DJ19+1</f>
        <v>2028</v>
      </c>
      <c r="DL19" s="203">
        <f t="shared" si="3"/>
        <v>2029</v>
      </c>
      <c r="DM19" s="203">
        <f t="shared" si="3"/>
        <v>2030</v>
      </c>
      <c r="DN19" s="203">
        <f t="shared" si="3"/>
        <v>2031</v>
      </c>
      <c r="DO19" s="203">
        <f t="shared" si="3"/>
        <v>2032</v>
      </c>
      <c r="DP19" s="203">
        <f t="shared" si="3"/>
        <v>2033</v>
      </c>
      <c r="DQ19" s="203">
        <f t="shared" si="3"/>
        <v>2034</v>
      </c>
      <c r="DR19" s="203">
        <f t="shared" si="3"/>
        <v>2035</v>
      </c>
      <c r="DS19" s="203">
        <f t="shared" si="3"/>
        <v>2036</v>
      </c>
      <c r="DT19" s="203">
        <f t="shared" si="3"/>
        <v>2037</v>
      </c>
      <c r="DU19" s="203">
        <f t="shared" si="3"/>
        <v>2038</v>
      </c>
      <c r="DV19" s="203">
        <f t="shared" si="3"/>
        <v>2039</v>
      </c>
      <c r="DW19" s="203">
        <f t="shared" si="3"/>
        <v>2040</v>
      </c>
      <c r="DX19" s="203">
        <f t="shared" si="3"/>
        <v>2041</v>
      </c>
      <c r="DY19" s="203">
        <f t="shared" si="3"/>
        <v>2042</v>
      </c>
      <c r="DZ19" s="203">
        <f t="shared" si="3"/>
        <v>2043</v>
      </c>
      <c r="EA19" s="203">
        <f t="shared" si="3"/>
        <v>2044</v>
      </c>
      <c r="EB19" s="203">
        <f t="shared" si="3"/>
        <v>2045</v>
      </c>
      <c r="EC19" s="203">
        <f t="shared" ref="EC19:EG19" si="4">EB19+1</f>
        <v>2046</v>
      </c>
      <c r="ED19" s="203">
        <f t="shared" si="4"/>
        <v>2047</v>
      </c>
      <c r="EE19" s="203">
        <f t="shared" si="4"/>
        <v>2048</v>
      </c>
      <c r="EF19" s="203">
        <f t="shared" si="4"/>
        <v>2049</v>
      </c>
      <c r="EG19" s="203">
        <f t="shared" si="4"/>
        <v>2050</v>
      </c>
    </row>
    <row r="20" spans="1:137">
      <c r="A20" s="165" t="s">
        <v>11</v>
      </c>
      <c r="B20" s="165">
        <v>2</v>
      </c>
      <c r="C20" s="165" t="s">
        <v>99</v>
      </c>
      <c r="D20" s="182">
        <f>VLOOKUP($M$2,$M$7:$Q$10,2,FALSE)*$B$16</f>
        <v>17.5</v>
      </c>
      <c r="E20" s="183">
        <v>46023</v>
      </c>
      <c r="F20" s="184">
        <f>EDATE(E20,18)</f>
        <v>46569</v>
      </c>
      <c r="G20" s="184">
        <f>EDATE(F20,6)</f>
        <v>46753</v>
      </c>
      <c r="H20" s="184">
        <f t="shared" ref="H20:H39" si="5">G20+60</f>
        <v>46813</v>
      </c>
      <c r="I20" s="157">
        <f>IF(C20="Non-Carve Out",ROUND(D20*0.85*0.85,2),ROUND(D20*0.85*0.45,2))</f>
        <v>12.64</v>
      </c>
      <c r="J20" s="164">
        <f>IF(J$19&gt;=$H20,$I20,0)</f>
        <v>0</v>
      </c>
      <c r="K20" s="164">
        <f t="shared" ref="K20:BV23" si="6">IF(K$19&gt;=$H20,$I20,0)</f>
        <v>0</v>
      </c>
      <c r="L20" s="164">
        <f t="shared" si="6"/>
        <v>0</v>
      </c>
      <c r="M20" s="164">
        <f t="shared" si="6"/>
        <v>0</v>
      </c>
      <c r="N20" s="164">
        <f t="shared" si="6"/>
        <v>0</v>
      </c>
      <c r="O20" s="164">
        <f t="shared" si="6"/>
        <v>0</v>
      </c>
      <c r="P20" s="164">
        <f t="shared" si="6"/>
        <v>0</v>
      </c>
      <c r="Q20" s="164">
        <f t="shared" si="6"/>
        <v>0</v>
      </c>
      <c r="R20" s="164">
        <f t="shared" si="6"/>
        <v>0</v>
      </c>
      <c r="S20" s="164">
        <f t="shared" si="6"/>
        <v>0</v>
      </c>
      <c r="T20" s="164">
        <f t="shared" si="6"/>
        <v>0</v>
      </c>
      <c r="U20" s="164">
        <f t="shared" si="6"/>
        <v>0</v>
      </c>
      <c r="V20" s="164">
        <f t="shared" si="6"/>
        <v>0</v>
      </c>
      <c r="W20" s="164">
        <f t="shared" si="6"/>
        <v>0</v>
      </c>
      <c r="X20" s="164">
        <f t="shared" si="6"/>
        <v>12.64</v>
      </c>
      <c r="Y20" s="164">
        <f t="shared" si="6"/>
        <v>12.64</v>
      </c>
      <c r="Z20" s="164">
        <f t="shared" si="6"/>
        <v>12.64</v>
      </c>
      <c r="AA20" s="164">
        <f t="shared" si="6"/>
        <v>12.64</v>
      </c>
      <c r="AB20" s="164">
        <f t="shared" si="6"/>
        <v>12.64</v>
      </c>
      <c r="AC20" s="164">
        <f t="shared" si="6"/>
        <v>12.64</v>
      </c>
      <c r="AD20" s="164">
        <f t="shared" si="6"/>
        <v>12.64</v>
      </c>
      <c r="AE20" s="164">
        <f t="shared" si="6"/>
        <v>12.64</v>
      </c>
      <c r="AF20" s="164">
        <f t="shared" si="6"/>
        <v>12.64</v>
      </c>
      <c r="AG20" s="164">
        <f t="shared" si="6"/>
        <v>12.64</v>
      </c>
      <c r="AH20" s="164">
        <f t="shared" si="6"/>
        <v>12.64</v>
      </c>
      <c r="AI20" s="164">
        <f t="shared" si="6"/>
        <v>12.64</v>
      </c>
      <c r="AJ20" s="164">
        <f t="shared" si="6"/>
        <v>12.64</v>
      </c>
      <c r="AK20" s="164">
        <f t="shared" si="6"/>
        <v>12.64</v>
      </c>
      <c r="AL20" s="164">
        <f t="shared" si="6"/>
        <v>12.64</v>
      </c>
      <c r="AM20" s="164">
        <f t="shared" si="6"/>
        <v>12.64</v>
      </c>
      <c r="AN20" s="164">
        <f t="shared" si="6"/>
        <v>12.64</v>
      </c>
      <c r="AO20" s="164">
        <f t="shared" si="6"/>
        <v>12.64</v>
      </c>
      <c r="AP20" s="164">
        <f t="shared" si="6"/>
        <v>12.64</v>
      </c>
      <c r="AQ20" s="164">
        <f t="shared" si="6"/>
        <v>12.64</v>
      </c>
      <c r="AR20" s="164">
        <f t="shared" si="6"/>
        <v>12.64</v>
      </c>
      <c r="AS20" s="164">
        <f t="shared" si="6"/>
        <v>12.64</v>
      </c>
      <c r="AT20" s="164">
        <f t="shared" si="6"/>
        <v>12.64</v>
      </c>
      <c r="AU20" s="164">
        <f t="shared" si="6"/>
        <v>12.64</v>
      </c>
      <c r="AV20" s="164">
        <f t="shared" si="6"/>
        <v>12.64</v>
      </c>
      <c r="AW20" s="164">
        <f t="shared" si="6"/>
        <v>12.64</v>
      </c>
      <c r="AX20" s="164">
        <f t="shared" si="6"/>
        <v>12.64</v>
      </c>
      <c r="AY20" s="164">
        <f t="shared" si="6"/>
        <v>12.64</v>
      </c>
      <c r="AZ20" s="164">
        <f t="shared" si="6"/>
        <v>12.64</v>
      </c>
      <c r="BA20" s="164">
        <f t="shared" si="6"/>
        <v>12.64</v>
      </c>
      <c r="BB20" s="164">
        <f t="shared" si="6"/>
        <v>12.64</v>
      </c>
      <c r="BC20" s="164">
        <f t="shared" si="6"/>
        <v>12.64</v>
      </c>
      <c r="BD20" s="164">
        <f t="shared" si="6"/>
        <v>12.64</v>
      </c>
      <c r="BE20" s="164">
        <f t="shared" si="6"/>
        <v>12.64</v>
      </c>
      <c r="BF20" s="164">
        <f t="shared" si="6"/>
        <v>12.64</v>
      </c>
      <c r="BG20" s="164">
        <f t="shared" si="6"/>
        <v>12.64</v>
      </c>
      <c r="BH20" s="164">
        <f t="shared" si="6"/>
        <v>12.64</v>
      </c>
      <c r="BI20" s="164">
        <f t="shared" si="6"/>
        <v>12.64</v>
      </c>
      <c r="BJ20" s="164">
        <f t="shared" si="6"/>
        <v>12.64</v>
      </c>
      <c r="BK20" s="164">
        <f t="shared" si="6"/>
        <v>12.64</v>
      </c>
      <c r="BL20" s="164">
        <f t="shared" si="6"/>
        <v>12.64</v>
      </c>
      <c r="BM20" s="164">
        <f t="shared" si="6"/>
        <v>12.64</v>
      </c>
      <c r="BN20" s="164">
        <f t="shared" si="6"/>
        <v>12.64</v>
      </c>
      <c r="BO20" s="164">
        <f t="shared" si="6"/>
        <v>12.64</v>
      </c>
      <c r="BP20" s="164">
        <f t="shared" si="6"/>
        <v>12.64</v>
      </c>
      <c r="BQ20" s="164">
        <f t="shared" si="6"/>
        <v>12.64</v>
      </c>
      <c r="BR20" s="164">
        <f t="shared" si="6"/>
        <v>12.64</v>
      </c>
      <c r="BS20" s="164">
        <f t="shared" si="6"/>
        <v>12.64</v>
      </c>
      <c r="BT20" s="164">
        <f t="shared" si="6"/>
        <v>12.64</v>
      </c>
      <c r="BU20" s="164">
        <f t="shared" si="6"/>
        <v>12.64</v>
      </c>
      <c r="BV20" s="164">
        <f t="shared" si="6"/>
        <v>12.64</v>
      </c>
      <c r="BW20" s="164">
        <f t="shared" ref="BW20:CC35" si="7">IF(BW$19&gt;=$H20,$I20,0)</f>
        <v>12.64</v>
      </c>
      <c r="BX20" s="164">
        <f t="shared" si="7"/>
        <v>12.64</v>
      </c>
      <c r="BY20" s="164">
        <f t="shared" si="7"/>
        <v>12.64</v>
      </c>
      <c r="BZ20" s="164">
        <f t="shared" si="7"/>
        <v>12.64</v>
      </c>
      <c r="CA20" s="164">
        <f t="shared" si="7"/>
        <v>12.64</v>
      </c>
      <c r="CB20" s="164">
        <f t="shared" si="7"/>
        <v>12.64</v>
      </c>
      <c r="CC20" s="164">
        <f t="shared" si="7"/>
        <v>12.64</v>
      </c>
      <c r="CE20" s="159" cm="1">
        <f t="array" ref="CE20">_xlfn.IFS(CE$19&lt;YEAR($H20),0,CE$19=YEAR($H20),DATEDIF($H20,DATE(CE$19,12,31),"m")*$I20,AND(CE$19&gt;YEAR($H20),CE$19-YEAR($H20)&lt;20),$I20*12,CE$19-YEAR($H20)=20,DATEDIF(DATE(YEAR($H20),1,1),$H20,"m")*$I20,CE$19-YEAR($H20)&gt;20,0)</f>
        <v>0</v>
      </c>
      <c r="CF20" s="159" cm="1">
        <f t="array" ref="CF20">_xlfn.IFS(CF$19&lt;YEAR($H20),0,CF$19=YEAR($H20),DATEDIF($H20,DATE(CF$19,12,31),"m")*$I20,AND(CF$19&gt;YEAR($H20),CF$19-YEAR($H20)&lt;20),$I20*12,CF$19-YEAR($H20)=20,DATEDIF(DATE(YEAR($H20),1,1),$H20,"m")*$I20,CF$19-YEAR($H20)&gt;20,0)</f>
        <v>113.76</v>
      </c>
      <c r="CG20" s="159" cm="1">
        <f t="array" ref="CG20">_xlfn.IFS(CG$19&lt;YEAR($H20),0,CG$19=YEAR($H20),DATEDIF($H20,DATE(CG$19,12,31),"m")*$I20,AND(CG$19&gt;YEAR($H20),CG$19-YEAR($H20)&lt;20),$I20*12,CG$19-YEAR($H20)=20,DATEDIF(DATE(YEAR($H20),1,1),$H20,"m")*$I20,CG$19-YEAR($H20)&gt;20,0)</f>
        <v>151.68</v>
      </c>
      <c r="CH20" s="159" cm="1">
        <f t="array" ref="CH20">_xlfn.IFS(CH$19&lt;YEAR($H20),0,CH$19=YEAR($H20),DATEDIF($H20,DATE(CH$19,12,31),"m")*$I20,AND(CH$19&gt;YEAR($H20),CH$19-YEAR($H20)&lt;20),$I20*12,CH$19-YEAR($H20)=20,DATEDIF(DATE(YEAR($H20),1,1),$H20,"m")*$I20,CH$19-YEAR($H20)&gt;20,0)</f>
        <v>151.68</v>
      </c>
      <c r="CI20" s="159" cm="1">
        <f t="array" ref="CI20">_xlfn.IFS(CI$19&lt;YEAR($H20),0,CI$19=YEAR($H20),DATEDIF($H20,DATE(CI$19,12,31),"m")*$I20,AND(CI$19&gt;YEAR($H20),CI$19-YEAR($H20)&lt;20),$I20*12,CI$19-YEAR($H20)=20,DATEDIF(DATE(YEAR($H20),1,1),$H20,"m")*$I20,CI$19-YEAR($H20)&gt;20,0)</f>
        <v>151.68</v>
      </c>
      <c r="CJ20" s="159" cm="1">
        <f t="array" ref="CJ20">_xlfn.IFS(CJ$19&lt;YEAR($H20),0,CJ$19=YEAR($H20),DATEDIF($H20,DATE(CJ$19,12,31),"m")*$I20,AND(CJ$19&gt;YEAR($H20),CJ$19-YEAR($H20)&lt;20),$I20*12,CJ$19-YEAR($H20)=20,DATEDIF(DATE(YEAR($H20),1,1),$H20,"m")*$I20,CJ$19-YEAR($H20)&gt;20,0)</f>
        <v>151.68</v>
      </c>
      <c r="CK20" s="159" cm="1">
        <f t="array" ref="CK20">_xlfn.IFS(CK$19&lt;YEAR($H20),0,CK$19=YEAR($H20),DATEDIF($H20,DATE(CK$19,12,31),"m")*$I20,AND(CK$19&gt;YEAR($H20),CK$19-YEAR($H20)&lt;20),$I20*12,CK$19-YEAR($H20)=20,DATEDIF(DATE(YEAR($H20),1,1),$H20,"m")*$I20,CK$19-YEAR($H20)&gt;20,0)</f>
        <v>151.68</v>
      </c>
      <c r="CL20" s="159" cm="1">
        <f t="array" ref="CL20">_xlfn.IFS(CL$19&lt;YEAR($H20),0,CL$19=YEAR($H20),DATEDIF($H20,DATE(CL$19,12,31),"m")*$I20,AND(CL$19&gt;YEAR($H20),CL$19-YEAR($H20)&lt;20),$I20*12,CL$19-YEAR($H20)=20,DATEDIF(DATE(YEAR($H20),1,1),$H20,"m")*$I20,CL$19-YEAR($H20)&gt;20,0)</f>
        <v>151.68</v>
      </c>
      <c r="CM20" s="159" cm="1">
        <f t="array" ref="CM20">_xlfn.IFS(CM$19&lt;YEAR($H20),0,CM$19=YEAR($H20),DATEDIF($H20,DATE(CM$19,12,31),"m")*$I20,AND(CM$19&gt;YEAR($H20),CM$19-YEAR($H20)&lt;20),$I20*12,CM$19-YEAR($H20)=20,DATEDIF(DATE(YEAR($H20),1,1),$H20,"m")*$I20,CM$19-YEAR($H20)&gt;20,0)</f>
        <v>151.68</v>
      </c>
      <c r="CN20" s="159" cm="1">
        <f t="array" ref="CN20">_xlfn.IFS(CN$19&lt;YEAR($H20),0,CN$19=YEAR($H20),DATEDIF($H20,DATE(CN$19,12,31),"m")*$I20,AND(CN$19&gt;YEAR($H20),CN$19-YEAR($H20)&lt;20),$I20*12,CN$19-YEAR($H20)=20,DATEDIF(DATE(YEAR($H20),1,1),$H20,"m")*$I20,CN$19-YEAR($H20)&gt;20,0)</f>
        <v>151.68</v>
      </c>
      <c r="CO20" s="159" cm="1">
        <f t="array" ref="CO20">_xlfn.IFS(CO$19&lt;YEAR($H20),0,CO$19=YEAR($H20),DATEDIF($H20,DATE(CO$19,12,31),"m")*$I20,AND(CO$19&gt;YEAR($H20),CO$19-YEAR($H20)&lt;20),$I20*12,CO$19-YEAR($H20)=20,DATEDIF(DATE(YEAR($H20),1,1),$H20,"m")*$I20,CO$19-YEAR($H20)&gt;20,0)</f>
        <v>151.68</v>
      </c>
      <c r="CP20" s="159" cm="1">
        <f t="array" ref="CP20">_xlfn.IFS(CP$19&lt;YEAR($H20),0,CP$19=YEAR($H20),DATEDIF($H20,DATE(CP$19,12,31),"m")*$I20,AND(CP$19&gt;YEAR($H20),CP$19-YEAR($H20)&lt;20),$I20*12,CP$19-YEAR($H20)=20,DATEDIF(DATE(YEAR($H20),1,1),$H20,"m")*$I20,CP$19-YEAR($H20)&gt;20,0)</f>
        <v>151.68</v>
      </c>
      <c r="CQ20" s="159" cm="1">
        <f t="array" ref="CQ20">_xlfn.IFS(CQ$19&lt;YEAR($H20),0,CQ$19=YEAR($H20),DATEDIF($H20,DATE(CQ$19,12,31),"m")*$I20,AND(CQ$19&gt;YEAR($H20),CQ$19-YEAR($H20)&lt;20),$I20*12,CQ$19-YEAR($H20)=20,DATEDIF(DATE(YEAR($H20),1,1),$H20,"m")*$I20,CQ$19-YEAR($H20)&gt;20,0)</f>
        <v>151.68</v>
      </c>
      <c r="CR20" s="159" cm="1">
        <f t="array" ref="CR20">_xlfn.IFS(CR$19&lt;YEAR($H20),0,CR$19=YEAR($H20),DATEDIF($H20,DATE(CR$19,12,31),"m")*$I20,AND(CR$19&gt;YEAR($H20),CR$19-YEAR($H20)&lt;20),$I20*12,CR$19-YEAR($H20)=20,DATEDIF(DATE(YEAR($H20),1,1),$H20,"m")*$I20,CR$19-YEAR($H20)&gt;20,0)</f>
        <v>151.68</v>
      </c>
      <c r="CS20" s="159" cm="1">
        <f t="array" ref="CS20">_xlfn.IFS(CS$19&lt;YEAR($H20),0,CS$19=YEAR($H20),DATEDIF($H20,DATE(CS$19,12,31),"m")*$I20,AND(CS$19&gt;YEAR($H20),CS$19-YEAR($H20)&lt;20),$I20*12,CS$19-YEAR($H20)=20,DATEDIF(DATE(YEAR($H20),1,1),$H20,"m")*$I20,CS$19-YEAR($H20)&gt;20,0)</f>
        <v>151.68</v>
      </c>
      <c r="CT20" s="159" cm="1">
        <f t="array" ref="CT20">_xlfn.IFS(CT$19&lt;YEAR($H20),0,CT$19=YEAR($H20),DATEDIF($H20,DATE(CT$19,12,31),"m")*$I20,AND(CT$19&gt;YEAR($H20),CT$19-YEAR($H20)&lt;20),$I20*12,CT$19-YEAR($H20)=20,DATEDIF(DATE(YEAR($H20),1,1),$H20,"m")*$I20,CT$19-YEAR($H20)&gt;20,0)</f>
        <v>151.68</v>
      </c>
      <c r="CU20" s="159" cm="1">
        <f t="array" ref="CU20">_xlfn.IFS(CU$19&lt;YEAR($H20),0,CU$19=YEAR($H20),DATEDIF($H20,DATE(CU$19,12,31),"m")*$I20,AND(CU$19&gt;YEAR($H20),CU$19-YEAR($H20)&lt;20),$I20*12,CU$19-YEAR($H20)=20,DATEDIF(DATE(YEAR($H20),1,1),$H20,"m")*$I20,CU$19-YEAR($H20)&gt;20,0)</f>
        <v>151.68</v>
      </c>
      <c r="CV20" s="159" cm="1">
        <f t="array" ref="CV20">_xlfn.IFS(CV$19&lt;YEAR($H20),0,CV$19=YEAR($H20),DATEDIF($H20,DATE(CV$19,12,31),"m")*$I20,AND(CV$19&gt;YEAR($H20),CV$19-YEAR($H20)&lt;20),$I20*12,CV$19-YEAR($H20)=20,DATEDIF(DATE(YEAR($H20),1,1),$H20,"m")*$I20,CV$19-YEAR($H20)&gt;20,0)</f>
        <v>151.68</v>
      </c>
      <c r="CW20" s="159" cm="1">
        <f t="array" ref="CW20">_xlfn.IFS(CW$19&lt;YEAR($H20),0,CW$19=YEAR($H20),DATEDIF($H20,DATE(CW$19,12,31),"m")*$I20,AND(CW$19&gt;YEAR($H20),CW$19-YEAR($H20)&lt;20),$I20*12,CW$19-YEAR($H20)=20,DATEDIF(DATE(YEAR($H20),1,1),$H20,"m")*$I20,CW$19-YEAR($H20)&gt;20,0)</f>
        <v>151.68</v>
      </c>
      <c r="CX20" s="159" cm="1">
        <f t="array" ref="CX20">_xlfn.IFS(CX$19&lt;YEAR($H20),0,CX$19=YEAR($H20),DATEDIF($H20,DATE(CX$19,12,31),"m")*$I20,AND(CX$19&gt;YEAR($H20),CX$19-YEAR($H20)&lt;20),$I20*12,CX$19-YEAR($H20)=20,DATEDIF(DATE(YEAR($H20),1,1),$H20,"m")*$I20,CX$19-YEAR($H20)&gt;20,0)</f>
        <v>151.68</v>
      </c>
      <c r="CY20" s="159" cm="1">
        <f t="array" ref="CY20">_xlfn.IFS(CY$19&lt;YEAR($H20),0,CY$19=YEAR($H20),DATEDIF($H20,DATE(CY$19,12,31),"m")*$I20,AND(CY$19&gt;YEAR($H20),CY$19-YEAR($H20)&lt;20),$I20*12,CY$19-YEAR($H20)=20,DATEDIF(DATE(YEAR($H20),1,1),$H20,"m")*$I20,CY$19-YEAR($H20)&gt;20,0)</f>
        <v>151.68</v>
      </c>
      <c r="CZ20" s="159" cm="1">
        <f t="array" ref="CZ20">_xlfn.IFS(CZ$19&lt;YEAR($H20),0,CZ$19=YEAR($H20),DATEDIF($H20,DATE(CZ$19,12,31),"m")*$I20,AND(CZ$19&gt;YEAR($H20),CZ$19-YEAR($H20)&lt;20),$I20*12,CZ$19-YEAR($H20)=20,DATEDIF(DATE(YEAR($H20),1,1),$H20,"m")*$I20,CZ$19-YEAR($H20)&gt;20,0)</f>
        <v>25.28</v>
      </c>
      <c r="DA20" s="159" cm="1">
        <f t="array" ref="DA20">_xlfn.IFS(DA$19&lt;YEAR($H20),0,DA$19=YEAR($H20),DATEDIF($H20,DATE(DA$19,12,31),"m")*$I20,AND(DA$19&gt;YEAR($H20),DA$19-YEAR($H20)&lt;20),$I20*12,DA$19-YEAR($H20)=20,DATEDIF(DATE(YEAR($H20),1,1),$H20,"m")*$I20,DA$19-YEAR($H20)&gt;20,0)</f>
        <v>0</v>
      </c>
      <c r="DB20" s="159" cm="1">
        <f t="array" ref="DB20">_xlfn.IFS(DB$19&lt;YEAR($H20),0,DB$19=YEAR($H20),DATEDIF($H20,DATE(DB$19,12,31),"m")*$I20,AND(DB$19&gt;YEAR($H20),DB$19-YEAR($H20)&lt;20),$I20*12,DB$19-YEAR($H20)=20,DATEDIF(DATE(YEAR($H20),1,1),$H20,"m")*$I20,DB$19-YEAR($H20)&gt;20,0)</f>
        <v>0</v>
      </c>
      <c r="DI20" s="167" t="s">
        <v>11</v>
      </c>
      <c r="DJ20" s="159">
        <f t="shared" ref="DJ20:DS22" si="8">SUMIF($A:$A,$DI20,CE:CE)</f>
        <v>0</v>
      </c>
      <c r="DK20" s="159">
        <f t="shared" si="8"/>
        <v>53954.460000000006</v>
      </c>
      <c r="DL20" s="159">
        <f t="shared" si="8"/>
        <v>125893.73999999999</v>
      </c>
      <c r="DM20" s="159">
        <f t="shared" si="8"/>
        <v>143878.56</v>
      </c>
      <c r="DN20" s="159">
        <f t="shared" si="8"/>
        <v>143878.56</v>
      </c>
      <c r="DO20" s="159">
        <f t="shared" si="8"/>
        <v>143878.56</v>
      </c>
      <c r="DP20" s="159">
        <f t="shared" si="8"/>
        <v>143878.56</v>
      </c>
      <c r="DQ20" s="159">
        <f t="shared" si="8"/>
        <v>143878.56</v>
      </c>
      <c r="DR20" s="159">
        <f t="shared" si="8"/>
        <v>143878.56</v>
      </c>
      <c r="DS20" s="159">
        <f t="shared" si="8"/>
        <v>143878.56</v>
      </c>
      <c r="DT20" s="159">
        <f t="shared" ref="DT20:EC22" si="9">SUMIF($A:$A,$DI20,CO:CO)</f>
        <v>143878.56</v>
      </c>
      <c r="DU20" s="159">
        <f t="shared" si="9"/>
        <v>143878.56</v>
      </c>
      <c r="DV20" s="159">
        <f t="shared" si="9"/>
        <v>143878.56</v>
      </c>
      <c r="DW20" s="159">
        <f t="shared" si="9"/>
        <v>143878.56</v>
      </c>
      <c r="DX20" s="159">
        <f t="shared" si="9"/>
        <v>143878.56</v>
      </c>
      <c r="DY20" s="159">
        <f t="shared" si="9"/>
        <v>143878.56</v>
      </c>
      <c r="DZ20" s="159">
        <f t="shared" si="9"/>
        <v>143878.56</v>
      </c>
      <c r="EA20" s="159">
        <f t="shared" si="9"/>
        <v>143878.56</v>
      </c>
      <c r="EB20" s="159">
        <f t="shared" si="9"/>
        <v>143878.56</v>
      </c>
      <c r="EC20" s="159">
        <f t="shared" si="9"/>
        <v>143878.56</v>
      </c>
      <c r="ED20" s="159">
        <f t="shared" ref="ED20:EG22" si="10">SUMIF($A:$A,$DI20,CY:CY)</f>
        <v>143878.56</v>
      </c>
      <c r="EE20" s="159">
        <f t="shared" si="10"/>
        <v>83929.16</v>
      </c>
      <c r="EF20" s="159">
        <f t="shared" si="10"/>
        <v>11989.880000000001</v>
      </c>
      <c r="EG20" s="159">
        <f t="shared" si="10"/>
        <v>0</v>
      </c>
    </row>
    <row r="21" spans="1:137">
      <c r="A21" s="165" t="s">
        <v>11</v>
      </c>
      <c r="B21" s="165">
        <v>2</v>
      </c>
      <c r="C21" s="165" t="s">
        <v>75</v>
      </c>
      <c r="D21" s="182">
        <f>VLOOKUP($M$2,$M$7:$Q$10,2,FALSE)*$C$16</f>
        <v>15640</v>
      </c>
      <c r="E21" s="183">
        <v>46023</v>
      </c>
      <c r="F21" s="184">
        <f t="shared" ref="F21:F39" si="11">EDATE(E21,18)</f>
        <v>46569</v>
      </c>
      <c r="G21" s="184">
        <f t="shared" ref="G21:G39" si="12">EDATE(F21,6)</f>
        <v>46753</v>
      </c>
      <c r="H21" s="184">
        <f t="shared" si="5"/>
        <v>46813</v>
      </c>
      <c r="I21" s="157">
        <f t="shared" ref="I21:I39" si="13">IF(C21="Non-Carve Out",ROUND(D21*0.85*0.85,2),ROUND(D21*0.85*0.45,2))</f>
        <v>5982.3</v>
      </c>
      <c r="J21" s="164">
        <f t="shared" ref="J21:Y39" si="14">IF(J$19&gt;=$H21,$I21,0)</f>
        <v>0</v>
      </c>
      <c r="K21" s="164">
        <f t="shared" si="6"/>
        <v>0</v>
      </c>
      <c r="L21" s="164">
        <f t="shared" si="6"/>
        <v>0</v>
      </c>
      <c r="M21" s="164">
        <f t="shared" si="6"/>
        <v>0</v>
      </c>
      <c r="N21" s="164">
        <f t="shared" si="6"/>
        <v>0</v>
      </c>
      <c r="O21" s="164">
        <f t="shared" si="6"/>
        <v>0</v>
      </c>
      <c r="P21" s="164">
        <f t="shared" si="6"/>
        <v>0</v>
      </c>
      <c r="Q21" s="164">
        <f t="shared" si="6"/>
        <v>0</v>
      </c>
      <c r="R21" s="164">
        <f t="shared" si="6"/>
        <v>0</v>
      </c>
      <c r="S21" s="164">
        <f t="shared" si="6"/>
        <v>0</v>
      </c>
      <c r="T21" s="164">
        <f t="shared" si="6"/>
        <v>0</v>
      </c>
      <c r="U21" s="164">
        <f t="shared" si="6"/>
        <v>0</v>
      </c>
      <c r="V21" s="164">
        <f t="shared" si="6"/>
        <v>0</v>
      </c>
      <c r="W21" s="164">
        <f t="shared" si="6"/>
        <v>0</v>
      </c>
      <c r="X21" s="164">
        <f t="shared" si="6"/>
        <v>5982.3</v>
      </c>
      <c r="Y21" s="164">
        <f t="shared" si="6"/>
        <v>5982.3</v>
      </c>
      <c r="Z21" s="164">
        <f t="shared" si="6"/>
        <v>5982.3</v>
      </c>
      <c r="AA21" s="164">
        <f t="shared" si="6"/>
        <v>5982.3</v>
      </c>
      <c r="AB21" s="164">
        <f t="shared" si="6"/>
        <v>5982.3</v>
      </c>
      <c r="AC21" s="164">
        <f t="shared" si="6"/>
        <v>5982.3</v>
      </c>
      <c r="AD21" s="164">
        <f t="shared" si="6"/>
        <v>5982.3</v>
      </c>
      <c r="AE21" s="164">
        <f t="shared" si="6"/>
        <v>5982.3</v>
      </c>
      <c r="AF21" s="164">
        <f t="shared" si="6"/>
        <v>5982.3</v>
      </c>
      <c r="AG21" s="164">
        <f t="shared" si="6"/>
        <v>5982.3</v>
      </c>
      <c r="AH21" s="164">
        <f t="shared" si="6"/>
        <v>5982.3</v>
      </c>
      <c r="AI21" s="164">
        <f t="shared" si="6"/>
        <v>5982.3</v>
      </c>
      <c r="AJ21" s="164">
        <f t="shared" si="6"/>
        <v>5982.3</v>
      </c>
      <c r="AK21" s="164">
        <f t="shared" si="6"/>
        <v>5982.3</v>
      </c>
      <c r="AL21" s="164">
        <f t="shared" si="6"/>
        <v>5982.3</v>
      </c>
      <c r="AM21" s="164">
        <f t="shared" si="6"/>
        <v>5982.3</v>
      </c>
      <c r="AN21" s="164">
        <f t="shared" si="6"/>
        <v>5982.3</v>
      </c>
      <c r="AO21" s="164">
        <f t="shared" si="6"/>
        <v>5982.3</v>
      </c>
      <c r="AP21" s="164">
        <f t="shared" si="6"/>
        <v>5982.3</v>
      </c>
      <c r="AQ21" s="164">
        <f t="shared" si="6"/>
        <v>5982.3</v>
      </c>
      <c r="AR21" s="164">
        <f t="shared" si="6"/>
        <v>5982.3</v>
      </c>
      <c r="AS21" s="164">
        <f t="shared" si="6"/>
        <v>5982.3</v>
      </c>
      <c r="AT21" s="164">
        <f t="shared" si="6"/>
        <v>5982.3</v>
      </c>
      <c r="AU21" s="164">
        <f t="shared" si="6"/>
        <v>5982.3</v>
      </c>
      <c r="AV21" s="164">
        <f t="shared" si="6"/>
        <v>5982.3</v>
      </c>
      <c r="AW21" s="164">
        <f t="shared" si="6"/>
        <v>5982.3</v>
      </c>
      <c r="AX21" s="164">
        <f t="shared" si="6"/>
        <v>5982.3</v>
      </c>
      <c r="AY21" s="164">
        <f t="shared" si="6"/>
        <v>5982.3</v>
      </c>
      <c r="AZ21" s="164">
        <f t="shared" si="6"/>
        <v>5982.3</v>
      </c>
      <c r="BA21" s="164">
        <f t="shared" si="6"/>
        <v>5982.3</v>
      </c>
      <c r="BB21" s="164">
        <f t="shared" si="6"/>
        <v>5982.3</v>
      </c>
      <c r="BC21" s="164">
        <f t="shared" si="6"/>
        <v>5982.3</v>
      </c>
      <c r="BD21" s="164">
        <f t="shared" si="6"/>
        <v>5982.3</v>
      </c>
      <c r="BE21" s="164">
        <f t="shared" si="6"/>
        <v>5982.3</v>
      </c>
      <c r="BF21" s="164">
        <f t="shared" si="6"/>
        <v>5982.3</v>
      </c>
      <c r="BG21" s="164">
        <f t="shared" si="6"/>
        <v>5982.3</v>
      </c>
      <c r="BH21" s="164">
        <f t="shared" si="6"/>
        <v>5982.3</v>
      </c>
      <c r="BI21" s="164">
        <f t="shared" si="6"/>
        <v>5982.3</v>
      </c>
      <c r="BJ21" s="164">
        <f t="shared" si="6"/>
        <v>5982.3</v>
      </c>
      <c r="BK21" s="164">
        <f t="shared" si="6"/>
        <v>5982.3</v>
      </c>
      <c r="BL21" s="164">
        <f t="shared" si="6"/>
        <v>5982.3</v>
      </c>
      <c r="BM21" s="164">
        <f t="shared" si="6"/>
        <v>5982.3</v>
      </c>
      <c r="BN21" s="164">
        <f t="shared" si="6"/>
        <v>5982.3</v>
      </c>
      <c r="BO21" s="164">
        <f t="shared" si="6"/>
        <v>5982.3</v>
      </c>
      <c r="BP21" s="164">
        <f t="shared" si="6"/>
        <v>5982.3</v>
      </c>
      <c r="BQ21" s="164">
        <f t="shared" si="6"/>
        <v>5982.3</v>
      </c>
      <c r="BR21" s="164">
        <f t="shared" si="6"/>
        <v>5982.3</v>
      </c>
      <c r="BS21" s="164">
        <f t="shared" si="6"/>
        <v>5982.3</v>
      </c>
      <c r="BT21" s="164">
        <f t="shared" si="6"/>
        <v>5982.3</v>
      </c>
      <c r="BU21" s="164">
        <f t="shared" si="6"/>
        <v>5982.3</v>
      </c>
      <c r="BV21" s="164">
        <f t="shared" si="6"/>
        <v>5982.3</v>
      </c>
      <c r="BW21" s="164">
        <f t="shared" si="7"/>
        <v>5982.3</v>
      </c>
      <c r="BX21" s="164">
        <f t="shared" si="7"/>
        <v>5982.3</v>
      </c>
      <c r="BY21" s="164">
        <f t="shared" si="7"/>
        <v>5982.3</v>
      </c>
      <c r="BZ21" s="164">
        <f t="shared" si="7"/>
        <v>5982.3</v>
      </c>
      <c r="CA21" s="164">
        <f t="shared" si="7"/>
        <v>5982.3</v>
      </c>
      <c r="CB21" s="164">
        <f t="shared" si="7"/>
        <v>5982.3</v>
      </c>
      <c r="CC21" s="164">
        <f t="shared" si="7"/>
        <v>5982.3</v>
      </c>
      <c r="CE21" s="159" cm="1">
        <f t="array" ref="CE21">_xlfn.IFS(CE$19&lt;YEAR($H21),0,CE$19=YEAR($H21),DATEDIF($H21,DATE(CE$19,12,31),"m")*$I21,AND(CE$19&gt;YEAR($H21),CE$19-YEAR($H21)&lt;20),$I21*12,CE$19-YEAR($H21)=20,DATEDIF(DATE(YEAR($H21),1,1),$H21,"m")*$I21,CE$19-YEAR($H21)&gt;20,0)</f>
        <v>0</v>
      </c>
      <c r="CF21" s="159" cm="1">
        <f t="array" ref="CF21">_xlfn.IFS(CF$19&lt;YEAR($H21),0,CF$19=YEAR($H21),DATEDIF($H21,DATE(CF$19,12,31),"m")*$I21,AND(CF$19&gt;YEAR($H21),CF$19-YEAR($H21)&lt;20),$I21*12,CF$19-YEAR($H21)=20,DATEDIF(DATE(YEAR($H21),1,1),$H21,"m")*$I21,CF$19-YEAR($H21)&gt;20,0)</f>
        <v>53840.700000000004</v>
      </c>
      <c r="CG21" s="159" cm="1">
        <f t="array" ref="CG21">_xlfn.IFS(CG$19&lt;YEAR($H21),0,CG$19=YEAR($H21),DATEDIF($H21,DATE(CG$19,12,31),"m")*$I21,AND(CG$19&gt;YEAR($H21),CG$19-YEAR($H21)&lt;20),$I21*12,CG$19-YEAR($H21)=20,DATEDIF(DATE(YEAR($H21),1,1),$H21,"m")*$I21,CG$19-YEAR($H21)&gt;20,0)</f>
        <v>71787.600000000006</v>
      </c>
      <c r="CH21" s="159" cm="1">
        <f t="array" ref="CH21">_xlfn.IFS(CH$19&lt;YEAR($H21),0,CH$19=YEAR($H21),DATEDIF($H21,DATE(CH$19,12,31),"m")*$I21,AND(CH$19&gt;YEAR($H21),CH$19-YEAR($H21)&lt;20),$I21*12,CH$19-YEAR($H21)=20,DATEDIF(DATE(YEAR($H21),1,1),$H21,"m")*$I21,CH$19-YEAR($H21)&gt;20,0)</f>
        <v>71787.600000000006</v>
      </c>
      <c r="CI21" s="159" cm="1">
        <f t="array" ref="CI21">_xlfn.IFS(CI$19&lt;YEAR($H21),0,CI$19=YEAR($H21),DATEDIF($H21,DATE(CI$19,12,31),"m")*$I21,AND(CI$19&gt;YEAR($H21),CI$19-YEAR($H21)&lt;20),$I21*12,CI$19-YEAR($H21)=20,DATEDIF(DATE(YEAR($H21),1,1),$H21,"m")*$I21,CI$19-YEAR($H21)&gt;20,0)</f>
        <v>71787.600000000006</v>
      </c>
      <c r="CJ21" s="159" cm="1">
        <f t="array" ref="CJ21">_xlfn.IFS(CJ$19&lt;YEAR($H21),0,CJ$19=YEAR($H21),DATEDIF($H21,DATE(CJ$19,12,31),"m")*$I21,AND(CJ$19&gt;YEAR($H21),CJ$19-YEAR($H21)&lt;20),$I21*12,CJ$19-YEAR($H21)=20,DATEDIF(DATE(YEAR($H21),1,1),$H21,"m")*$I21,CJ$19-YEAR($H21)&gt;20,0)</f>
        <v>71787.600000000006</v>
      </c>
      <c r="CK21" s="159" cm="1">
        <f t="array" ref="CK21">_xlfn.IFS(CK$19&lt;YEAR($H21),0,CK$19=YEAR($H21),DATEDIF($H21,DATE(CK$19,12,31),"m")*$I21,AND(CK$19&gt;YEAR($H21),CK$19-YEAR($H21)&lt;20),$I21*12,CK$19-YEAR($H21)=20,DATEDIF(DATE(YEAR($H21),1,1),$H21,"m")*$I21,CK$19-YEAR($H21)&gt;20,0)</f>
        <v>71787.600000000006</v>
      </c>
      <c r="CL21" s="159" cm="1">
        <f t="array" ref="CL21">_xlfn.IFS(CL$19&lt;YEAR($H21),0,CL$19=YEAR($H21),DATEDIF($H21,DATE(CL$19,12,31),"m")*$I21,AND(CL$19&gt;YEAR($H21),CL$19-YEAR($H21)&lt;20),$I21*12,CL$19-YEAR($H21)=20,DATEDIF(DATE(YEAR($H21),1,1),$H21,"m")*$I21,CL$19-YEAR($H21)&gt;20,0)</f>
        <v>71787.600000000006</v>
      </c>
      <c r="CM21" s="159" cm="1">
        <f t="array" ref="CM21">_xlfn.IFS(CM$19&lt;YEAR($H21),0,CM$19=YEAR($H21),DATEDIF($H21,DATE(CM$19,12,31),"m")*$I21,AND(CM$19&gt;YEAR($H21),CM$19-YEAR($H21)&lt;20),$I21*12,CM$19-YEAR($H21)=20,DATEDIF(DATE(YEAR($H21),1,1),$H21,"m")*$I21,CM$19-YEAR($H21)&gt;20,0)</f>
        <v>71787.600000000006</v>
      </c>
      <c r="CN21" s="159" cm="1">
        <f t="array" ref="CN21">_xlfn.IFS(CN$19&lt;YEAR($H21),0,CN$19=YEAR($H21),DATEDIF($H21,DATE(CN$19,12,31),"m")*$I21,AND(CN$19&gt;YEAR($H21),CN$19-YEAR($H21)&lt;20),$I21*12,CN$19-YEAR($H21)=20,DATEDIF(DATE(YEAR($H21),1,1),$H21,"m")*$I21,CN$19-YEAR($H21)&gt;20,0)</f>
        <v>71787.600000000006</v>
      </c>
      <c r="CO21" s="159" cm="1">
        <f t="array" ref="CO21">_xlfn.IFS(CO$19&lt;YEAR($H21),0,CO$19=YEAR($H21),DATEDIF($H21,DATE(CO$19,12,31),"m")*$I21,AND(CO$19&gt;YEAR($H21),CO$19-YEAR($H21)&lt;20),$I21*12,CO$19-YEAR($H21)=20,DATEDIF(DATE(YEAR($H21),1,1),$H21,"m")*$I21,CO$19-YEAR($H21)&gt;20,0)</f>
        <v>71787.600000000006</v>
      </c>
      <c r="CP21" s="159" cm="1">
        <f t="array" ref="CP21">_xlfn.IFS(CP$19&lt;YEAR($H21),0,CP$19=YEAR($H21),DATEDIF($H21,DATE(CP$19,12,31),"m")*$I21,AND(CP$19&gt;YEAR($H21),CP$19-YEAR($H21)&lt;20),$I21*12,CP$19-YEAR($H21)=20,DATEDIF(DATE(YEAR($H21),1,1),$H21,"m")*$I21,CP$19-YEAR($H21)&gt;20,0)</f>
        <v>71787.600000000006</v>
      </c>
      <c r="CQ21" s="159" cm="1">
        <f t="array" ref="CQ21">_xlfn.IFS(CQ$19&lt;YEAR($H21),0,CQ$19=YEAR($H21),DATEDIF($H21,DATE(CQ$19,12,31),"m")*$I21,AND(CQ$19&gt;YEAR($H21),CQ$19-YEAR($H21)&lt;20),$I21*12,CQ$19-YEAR($H21)=20,DATEDIF(DATE(YEAR($H21),1,1),$H21,"m")*$I21,CQ$19-YEAR($H21)&gt;20,0)</f>
        <v>71787.600000000006</v>
      </c>
      <c r="CR21" s="159" cm="1">
        <f t="array" ref="CR21">_xlfn.IFS(CR$19&lt;YEAR($H21),0,CR$19=YEAR($H21),DATEDIF($H21,DATE(CR$19,12,31),"m")*$I21,AND(CR$19&gt;YEAR($H21),CR$19-YEAR($H21)&lt;20),$I21*12,CR$19-YEAR($H21)=20,DATEDIF(DATE(YEAR($H21),1,1),$H21,"m")*$I21,CR$19-YEAR($H21)&gt;20,0)</f>
        <v>71787.600000000006</v>
      </c>
      <c r="CS21" s="159" cm="1">
        <f t="array" ref="CS21">_xlfn.IFS(CS$19&lt;YEAR($H21),0,CS$19=YEAR($H21),DATEDIF($H21,DATE(CS$19,12,31),"m")*$I21,AND(CS$19&gt;YEAR($H21),CS$19-YEAR($H21)&lt;20),$I21*12,CS$19-YEAR($H21)=20,DATEDIF(DATE(YEAR($H21),1,1),$H21,"m")*$I21,CS$19-YEAR($H21)&gt;20,0)</f>
        <v>71787.600000000006</v>
      </c>
      <c r="CT21" s="159" cm="1">
        <f t="array" ref="CT21">_xlfn.IFS(CT$19&lt;YEAR($H21),0,CT$19=YEAR($H21),DATEDIF($H21,DATE(CT$19,12,31),"m")*$I21,AND(CT$19&gt;YEAR($H21),CT$19-YEAR($H21)&lt;20),$I21*12,CT$19-YEAR($H21)=20,DATEDIF(DATE(YEAR($H21),1,1),$H21,"m")*$I21,CT$19-YEAR($H21)&gt;20,0)</f>
        <v>71787.600000000006</v>
      </c>
      <c r="CU21" s="159" cm="1">
        <f t="array" ref="CU21">_xlfn.IFS(CU$19&lt;YEAR($H21),0,CU$19=YEAR($H21),DATEDIF($H21,DATE(CU$19,12,31),"m")*$I21,AND(CU$19&gt;YEAR($H21),CU$19-YEAR($H21)&lt;20),$I21*12,CU$19-YEAR($H21)=20,DATEDIF(DATE(YEAR($H21),1,1),$H21,"m")*$I21,CU$19-YEAR($H21)&gt;20,0)</f>
        <v>71787.600000000006</v>
      </c>
      <c r="CV21" s="159" cm="1">
        <f t="array" ref="CV21">_xlfn.IFS(CV$19&lt;YEAR($H21),0,CV$19=YEAR($H21),DATEDIF($H21,DATE(CV$19,12,31),"m")*$I21,AND(CV$19&gt;YEAR($H21),CV$19-YEAR($H21)&lt;20),$I21*12,CV$19-YEAR($H21)=20,DATEDIF(DATE(YEAR($H21),1,1),$H21,"m")*$I21,CV$19-YEAR($H21)&gt;20,0)</f>
        <v>71787.600000000006</v>
      </c>
      <c r="CW21" s="159" cm="1">
        <f t="array" ref="CW21">_xlfn.IFS(CW$19&lt;YEAR($H21),0,CW$19=YEAR($H21),DATEDIF($H21,DATE(CW$19,12,31),"m")*$I21,AND(CW$19&gt;YEAR($H21),CW$19-YEAR($H21)&lt;20),$I21*12,CW$19-YEAR($H21)=20,DATEDIF(DATE(YEAR($H21),1,1),$H21,"m")*$I21,CW$19-YEAR($H21)&gt;20,0)</f>
        <v>71787.600000000006</v>
      </c>
      <c r="CX21" s="159" cm="1">
        <f t="array" ref="CX21">_xlfn.IFS(CX$19&lt;YEAR($H21),0,CX$19=YEAR($H21),DATEDIF($H21,DATE(CX$19,12,31),"m")*$I21,AND(CX$19&gt;YEAR($H21),CX$19-YEAR($H21)&lt;20),$I21*12,CX$19-YEAR($H21)=20,DATEDIF(DATE(YEAR($H21),1,1),$H21,"m")*$I21,CX$19-YEAR($H21)&gt;20,0)</f>
        <v>71787.600000000006</v>
      </c>
      <c r="CY21" s="159" cm="1">
        <f t="array" ref="CY21">_xlfn.IFS(CY$19&lt;YEAR($H21),0,CY$19=YEAR($H21),DATEDIF($H21,DATE(CY$19,12,31),"m")*$I21,AND(CY$19&gt;YEAR($H21),CY$19-YEAR($H21)&lt;20),$I21*12,CY$19-YEAR($H21)=20,DATEDIF(DATE(YEAR($H21),1,1),$H21,"m")*$I21,CY$19-YEAR($H21)&gt;20,0)</f>
        <v>71787.600000000006</v>
      </c>
      <c r="CZ21" s="159" cm="1">
        <f t="array" ref="CZ21">_xlfn.IFS(CZ$19&lt;YEAR($H21),0,CZ$19=YEAR($H21),DATEDIF($H21,DATE(CZ$19,12,31),"m")*$I21,AND(CZ$19&gt;YEAR($H21),CZ$19-YEAR($H21)&lt;20),$I21*12,CZ$19-YEAR($H21)=20,DATEDIF(DATE(YEAR($H21),1,1),$H21,"m")*$I21,CZ$19-YEAR($H21)&gt;20,0)</f>
        <v>11964.6</v>
      </c>
      <c r="DA21" s="159" cm="1">
        <f t="array" ref="DA21">_xlfn.IFS(DA$19&lt;YEAR($H21),0,DA$19=YEAR($H21),DATEDIF($H21,DATE(DA$19,12,31),"m")*$I21,AND(DA$19&gt;YEAR($H21),DA$19-YEAR($H21)&lt;20),$I21*12,DA$19-YEAR($H21)=20,DATEDIF(DATE(YEAR($H21),1,1),$H21,"m")*$I21,DA$19-YEAR($H21)&gt;20,0)</f>
        <v>0</v>
      </c>
      <c r="DB21" s="159" cm="1">
        <f t="array" ref="DB21">_xlfn.IFS(DB$19&lt;YEAR($H21),0,DB$19=YEAR($H21),DATEDIF($H21,DATE(DB$19,12,31),"m")*$I21,AND(DB$19&gt;YEAR($H21),DB$19-YEAR($H21)&lt;20),$I21*12,DB$19-YEAR($H21)=20,DATEDIF(DATE(YEAR($H21),1,1),$H21,"m")*$I21,DB$19-YEAR($H21)&gt;20,0)</f>
        <v>0</v>
      </c>
      <c r="DI21" s="165" t="s">
        <v>12</v>
      </c>
      <c r="DJ21" s="159">
        <f t="shared" si="8"/>
        <v>0</v>
      </c>
      <c r="DK21" s="159">
        <f t="shared" si="8"/>
        <v>63343.53</v>
      </c>
      <c r="DL21" s="159">
        <f t="shared" si="8"/>
        <v>147801.57</v>
      </c>
      <c r="DM21" s="159">
        <f t="shared" si="8"/>
        <v>168916.08000000002</v>
      </c>
      <c r="DN21" s="159">
        <f t="shared" si="8"/>
        <v>168916.08000000002</v>
      </c>
      <c r="DO21" s="159">
        <f t="shared" si="8"/>
        <v>168916.08000000002</v>
      </c>
      <c r="DP21" s="159">
        <f t="shared" si="8"/>
        <v>168916.08000000002</v>
      </c>
      <c r="DQ21" s="159">
        <f t="shared" si="8"/>
        <v>168916.08000000002</v>
      </c>
      <c r="DR21" s="159">
        <f t="shared" si="8"/>
        <v>168916.08000000002</v>
      </c>
      <c r="DS21" s="159">
        <f t="shared" si="8"/>
        <v>168916.08000000002</v>
      </c>
      <c r="DT21" s="159">
        <f t="shared" si="9"/>
        <v>168916.08000000002</v>
      </c>
      <c r="DU21" s="159">
        <f t="shared" si="9"/>
        <v>168916.08000000002</v>
      </c>
      <c r="DV21" s="159">
        <f t="shared" si="9"/>
        <v>168916.08000000002</v>
      </c>
      <c r="DW21" s="159">
        <f t="shared" si="9"/>
        <v>168916.08000000002</v>
      </c>
      <c r="DX21" s="159">
        <f t="shared" si="9"/>
        <v>168916.08000000002</v>
      </c>
      <c r="DY21" s="159">
        <f t="shared" si="9"/>
        <v>168916.08000000002</v>
      </c>
      <c r="DZ21" s="159">
        <f t="shared" si="9"/>
        <v>168916.08000000002</v>
      </c>
      <c r="EA21" s="159">
        <f t="shared" si="9"/>
        <v>168916.08000000002</v>
      </c>
      <c r="EB21" s="159">
        <f t="shared" si="9"/>
        <v>168916.08000000002</v>
      </c>
      <c r="EC21" s="159">
        <f t="shared" si="9"/>
        <v>168916.08000000002</v>
      </c>
      <c r="ED21" s="159">
        <f t="shared" si="10"/>
        <v>168916.08000000002</v>
      </c>
      <c r="EE21" s="159">
        <f t="shared" si="10"/>
        <v>98534.38</v>
      </c>
      <c r="EF21" s="159">
        <f t="shared" si="10"/>
        <v>14076.34</v>
      </c>
      <c r="EG21" s="159">
        <f t="shared" si="10"/>
        <v>0</v>
      </c>
    </row>
    <row r="22" spans="1:137">
      <c r="A22" s="165" t="s">
        <v>12</v>
      </c>
      <c r="B22" s="165">
        <v>2</v>
      </c>
      <c r="C22" s="165" t="s">
        <v>99</v>
      </c>
      <c r="D22" s="182">
        <f>VLOOKUP($M$2,$M$7:$Q$10,2,FALSE)*$D$16</f>
        <v>243.5049999999992</v>
      </c>
      <c r="E22" s="183">
        <v>46023</v>
      </c>
      <c r="F22" s="184">
        <f t="shared" si="11"/>
        <v>46569</v>
      </c>
      <c r="G22" s="184">
        <f t="shared" si="12"/>
        <v>46753</v>
      </c>
      <c r="H22" s="184">
        <f t="shared" si="5"/>
        <v>46813</v>
      </c>
      <c r="I22" s="157">
        <f t="shared" si="13"/>
        <v>175.93</v>
      </c>
      <c r="J22" s="164">
        <f t="shared" si="14"/>
        <v>0</v>
      </c>
      <c r="K22" s="164">
        <f t="shared" si="6"/>
        <v>0</v>
      </c>
      <c r="L22" s="164">
        <f t="shared" si="6"/>
        <v>0</v>
      </c>
      <c r="M22" s="164">
        <f t="shared" si="6"/>
        <v>0</v>
      </c>
      <c r="N22" s="164">
        <f t="shared" si="6"/>
        <v>0</v>
      </c>
      <c r="O22" s="164">
        <f t="shared" si="6"/>
        <v>0</v>
      </c>
      <c r="P22" s="164">
        <f t="shared" si="6"/>
        <v>0</v>
      </c>
      <c r="Q22" s="164">
        <f t="shared" si="6"/>
        <v>0</v>
      </c>
      <c r="R22" s="164">
        <f t="shared" si="6"/>
        <v>0</v>
      </c>
      <c r="S22" s="164">
        <f t="shared" si="6"/>
        <v>0</v>
      </c>
      <c r="T22" s="164">
        <f t="shared" si="6"/>
        <v>0</v>
      </c>
      <c r="U22" s="164">
        <f t="shared" si="6"/>
        <v>0</v>
      </c>
      <c r="V22" s="164">
        <f t="shared" si="6"/>
        <v>0</v>
      </c>
      <c r="W22" s="164">
        <f t="shared" si="6"/>
        <v>0</v>
      </c>
      <c r="X22" s="164">
        <f t="shared" si="6"/>
        <v>175.93</v>
      </c>
      <c r="Y22" s="164">
        <f t="shared" si="6"/>
        <v>175.93</v>
      </c>
      <c r="Z22" s="164">
        <f t="shared" si="6"/>
        <v>175.93</v>
      </c>
      <c r="AA22" s="164">
        <f t="shared" si="6"/>
        <v>175.93</v>
      </c>
      <c r="AB22" s="164">
        <f t="shared" si="6"/>
        <v>175.93</v>
      </c>
      <c r="AC22" s="164">
        <f t="shared" si="6"/>
        <v>175.93</v>
      </c>
      <c r="AD22" s="164">
        <f t="shared" si="6"/>
        <v>175.93</v>
      </c>
      <c r="AE22" s="164">
        <f t="shared" si="6"/>
        <v>175.93</v>
      </c>
      <c r="AF22" s="164">
        <f t="shared" si="6"/>
        <v>175.93</v>
      </c>
      <c r="AG22" s="164">
        <f t="shared" si="6"/>
        <v>175.93</v>
      </c>
      <c r="AH22" s="164">
        <f t="shared" si="6"/>
        <v>175.93</v>
      </c>
      <c r="AI22" s="164">
        <f t="shared" si="6"/>
        <v>175.93</v>
      </c>
      <c r="AJ22" s="164">
        <f t="shared" si="6"/>
        <v>175.93</v>
      </c>
      <c r="AK22" s="164">
        <f t="shared" si="6"/>
        <v>175.93</v>
      </c>
      <c r="AL22" s="164">
        <f t="shared" si="6"/>
        <v>175.93</v>
      </c>
      <c r="AM22" s="164">
        <f t="shared" si="6"/>
        <v>175.93</v>
      </c>
      <c r="AN22" s="164">
        <f t="shared" si="6"/>
        <v>175.93</v>
      </c>
      <c r="AO22" s="164">
        <f t="shared" si="6"/>
        <v>175.93</v>
      </c>
      <c r="AP22" s="164">
        <f t="shared" si="6"/>
        <v>175.93</v>
      </c>
      <c r="AQ22" s="164">
        <f t="shared" si="6"/>
        <v>175.93</v>
      </c>
      <c r="AR22" s="164">
        <f t="shared" si="6"/>
        <v>175.93</v>
      </c>
      <c r="AS22" s="164">
        <f t="shared" si="6"/>
        <v>175.93</v>
      </c>
      <c r="AT22" s="164">
        <f t="shared" si="6"/>
        <v>175.93</v>
      </c>
      <c r="AU22" s="164">
        <f t="shared" si="6"/>
        <v>175.93</v>
      </c>
      <c r="AV22" s="164">
        <f t="shared" si="6"/>
        <v>175.93</v>
      </c>
      <c r="AW22" s="164">
        <f t="shared" si="6"/>
        <v>175.93</v>
      </c>
      <c r="AX22" s="164">
        <f t="shared" si="6"/>
        <v>175.93</v>
      </c>
      <c r="AY22" s="164">
        <f t="shared" si="6"/>
        <v>175.93</v>
      </c>
      <c r="AZ22" s="164">
        <f t="shared" si="6"/>
        <v>175.93</v>
      </c>
      <c r="BA22" s="164">
        <f t="shared" si="6"/>
        <v>175.93</v>
      </c>
      <c r="BB22" s="164">
        <f t="shared" si="6"/>
        <v>175.93</v>
      </c>
      <c r="BC22" s="164">
        <f t="shared" si="6"/>
        <v>175.93</v>
      </c>
      <c r="BD22" s="164">
        <f t="shared" si="6"/>
        <v>175.93</v>
      </c>
      <c r="BE22" s="164">
        <f t="shared" si="6"/>
        <v>175.93</v>
      </c>
      <c r="BF22" s="164">
        <f t="shared" si="6"/>
        <v>175.93</v>
      </c>
      <c r="BG22" s="164">
        <f t="shared" si="6"/>
        <v>175.93</v>
      </c>
      <c r="BH22" s="164">
        <f t="shared" si="6"/>
        <v>175.93</v>
      </c>
      <c r="BI22" s="164">
        <f t="shared" si="6"/>
        <v>175.93</v>
      </c>
      <c r="BJ22" s="164">
        <f t="shared" si="6"/>
        <v>175.93</v>
      </c>
      <c r="BK22" s="164">
        <f t="shared" si="6"/>
        <v>175.93</v>
      </c>
      <c r="BL22" s="164">
        <f t="shared" si="6"/>
        <v>175.93</v>
      </c>
      <c r="BM22" s="164">
        <f t="shared" si="6"/>
        <v>175.93</v>
      </c>
      <c r="BN22" s="164">
        <f t="shared" si="6"/>
        <v>175.93</v>
      </c>
      <c r="BO22" s="164">
        <f t="shared" si="6"/>
        <v>175.93</v>
      </c>
      <c r="BP22" s="164">
        <f t="shared" si="6"/>
        <v>175.93</v>
      </c>
      <c r="BQ22" s="164">
        <f t="shared" si="6"/>
        <v>175.93</v>
      </c>
      <c r="BR22" s="164">
        <f t="shared" si="6"/>
        <v>175.93</v>
      </c>
      <c r="BS22" s="164">
        <f t="shared" si="6"/>
        <v>175.93</v>
      </c>
      <c r="BT22" s="164">
        <f t="shared" si="6"/>
        <v>175.93</v>
      </c>
      <c r="BU22" s="164">
        <f t="shared" si="6"/>
        <v>175.93</v>
      </c>
      <c r="BV22" s="164">
        <f t="shared" si="6"/>
        <v>175.93</v>
      </c>
      <c r="BW22" s="164">
        <f t="shared" si="7"/>
        <v>175.93</v>
      </c>
      <c r="BX22" s="164">
        <f t="shared" si="7"/>
        <v>175.93</v>
      </c>
      <c r="BY22" s="164">
        <f t="shared" si="7"/>
        <v>175.93</v>
      </c>
      <c r="BZ22" s="164">
        <f t="shared" si="7"/>
        <v>175.93</v>
      </c>
      <c r="CA22" s="164">
        <f t="shared" si="7"/>
        <v>175.93</v>
      </c>
      <c r="CB22" s="164">
        <f t="shared" si="7"/>
        <v>175.93</v>
      </c>
      <c r="CC22" s="164">
        <f t="shared" si="7"/>
        <v>175.93</v>
      </c>
      <c r="CE22" s="159" cm="1">
        <f t="array" ref="CE22">_xlfn.IFS(CE$19&lt;YEAR($H22),0,CE$19=YEAR($H22),DATEDIF($H22,DATE(CE$19,12,31),"m")*$I22,AND(CE$19&gt;YEAR($H22),CE$19-YEAR($H22)&lt;20),$I22*12,CE$19-YEAR($H22)=20,DATEDIF(DATE(YEAR($H22),1,1),$H22,"m")*$I22,CE$19-YEAR($H22)&gt;20,0)</f>
        <v>0</v>
      </c>
      <c r="CF22" s="159" cm="1">
        <f t="array" ref="CF22">_xlfn.IFS(CF$19&lt;YEAR($H22),0,CF$19=YEAR($H22),DATEDIF($H22,DATE(CF$19,12,31),"m")*$I22,AND(CF$19&gt;YEAR($H22),CF$19-YEAR($H22)&lt;20),$I22*12,CF$19-YEAR($H22)=20,DATEDIF(DATE(YEAR($H22),1,1),$H22,"m")*$I22,CF$19-YEAR($H22)&gt;20,0)</f>
        <v>1583.3700000000001</v>
      </c>
      <c r="CG22" s="159" cm="1">
        <f t="array" ref="CG22">_xlfn.IFS(CG$19&lt;YEAR($H22),0,CG$19=YEAR($H22),DATEDIF($H22,DATE(CG$19,12,31),"m")*$I22,AND(CG$19&gt;YEAR($H22),CG$19-YEAR($H22)&lt;20),$I22*12,CG$19-YEAR($H22)=20,DATEDIF(DATE(YEAR($H22),1,1),$H22,"m")*$I22,CG$19-YEAR($H22)&gt;20,0)</f>
        <v>2111.16</v>
      </c>
      <c r="CH22" s="159" cm="1">
        <f t="array" ref="CH22">_xlfn.IFS(CH$19&lt;YEAR($H22),0,CH$19=YEAR($H22),DATEDIF($H22,DATE(CH$19,12,31),"m")*$I22,AND(CH$19&gt;YEAR($H22),CH$19-YEAR($H22)&lt;20),$I22*12,CH$19-YEAR($H22)=20,DATEDIF(DATE(YEAR($H22),1,1),$H22,"m")*$I22,CH$19-YEAR($H22)&gt;20,0)</f>
        <v>2111.16</v>
      </c>
      <c r="CI22" s="159" cm="1">
        <f t="array" ref="CI22">_xlfn.IFS(CI$19&lt;YEAR($H22),0,CI$19=YEAR($H22),DATEDIF($H22,DATE(CI$19,12,31),"m")*$I22,AND(CI$19&gt;YEAR($H22),CI$19-YEAR($H22)&lt;20),$I22*12,CI$19-YEAR($H22)=20,DATEDIF(DATE(YEAR($H22),1,1),$H22,"m")*$I22,CI$19-YEAR($H22)&gt;20,0)</f>
        <v>2111.16</v>
      </c>
      <c r="CJ22" s="159" cm="1">
        <f t="array" ref="CJ22">_xlfn.IFS(CJ$19&lt;YEAR($H22),0,CJ$19=YEAR($H22),DATEDIF($H22,DATE(CJ$19,12,31),"m")*$I22,AND(CJ$19&gt;YEAR($H22),CJ$19-YEAR($H22)&lt;20),$I22*12,CJ$19-YEAR($H22)=20,DATEDIF(DATE(YEAR($H22),1,1),$H22,"m")*$I22,CJ$19-YEAR($H22)&gt;20,0)</f>
        <v>2111.16</v>
      </c>
      <c r="CK22" s="159" cm="1">
        <f t="array" ref="CK22">_xlfn.IFS(CK$19&lt;YEAR($H22),0,CK$19=YEAR($H22),DATEDIF($H22,DATE(CK$19,12,31),"m")*$I22,AND(CK$19&gt;YEAR($H22),CK$19-YEAR($H22)&lt;20),$I22*12,CK$19-YEAR($H22)=20,DATEDIF(DATE(YEAR($H22),1,1),$H22,"m")*$I22,CK$19-YEAR($H22)&gt;20,0)</f>
        <v>2111.16</v>
      </c>
      <c r="CL22" s="159" cm="1">
        <f t="array" ref="CL22">_xlfn.IFS(CL$19&lt;YEAR($H22),0,CL$19=YEAR($H22),DATEDIF($H22,DATE(CL$19,12,31),"m")*$I22,AND(CL$19&gt;YEAR($H22),CL$19-YEAR($H22)&lt;20),$I22*12,CL$19-YEAR($H22)=20,DATEDIF(DATE(YEAR($H22),1,1),$H22,"m")*$I22,CL$19-YEAR($H22)&gt;20,0)</f>
        <v>2111.16</v>
      </c>
      <c r="CM22" s="159" cm="1">
        <f t="array" ref="CM22">_xlfn.IFS(CM$19&lt;YEAR($H22),0,CM$19=YEAR($H22),DATEDIF($H22,DATE(CM$19,12,31),"m")*$I22,AND(CM$19&gt;YEAR($H22),CM$19-YEAR($H22)&lt;20),$I22*12,CM$19-YEAR($H22)=20,DATEDIF(DATE(YEAR($H22),1,1),$H22,"m")*$I22,CM$19-YEAR($H22)&gt;20,0)</f>
        <v>2111.16</v>
      </c>
      <c r="CN22" s="159" cm="1">
        <f t="array" ref="CN22">_xlfn.IFS(CN$19&lt;YEAR($H22),0,CN$19=YEAR($H22),DATEDIF($H22,DATE(CN$19,12,31),"m")*$I22,AND(CN$19&gt;YEAR($H22),CN$19-YEAR($H22)&lt;20),$I22*12,CN$19-YEAR($H22)=20,DATEDIF(DATE(YEAR($H22),1,1),$H22,"m")*$I22,CN$19-YEAR($H22)&gt;20,0)</f>
        <v>2111.16</v>
      </c>
      <c r="CO22" s="159" cm="1">
        <f t="array" ref="CO22">_xlfn.IFS(CO$19&lt;YEAR($H22),0,CO$19=YEAR($H22),DATEDIF($H22,DATE(CO$19,12,31),"m")*$I22,AND(CO$19&gt;YEAR($H22),CO$19-YEAR($H22)&lt;20),$I22*12,CO$19-YEAR($H22)=20,DATEDIF(DATE(YEAR($H22),1,1),$H22,"m")*$I22,CO$19-YEAR($H22)&gt;20,0)</f>
        <v>2111.16</v>
      </c>
      <c r="CP22" s="159" cm="1">
        <f t="array" ref="CP22">_xlfn.IFS(CP$19&lt;YEAR($H22),0,CP$19=YEAR($H22),DATEDIF($H22,DATE(CP$19,12,31),"m")*$I22,AND(CP$19&gt;YEAR($H22),CP$19-YEAR($H22)&lt;20),$I22*12,CP$19-YEAR($H22)=20,DATEDIF(DATE(YEAR($H22),1,1),$H22,"m")*$I22,CP$19-YEAR($H22)&gt;20,0)</f>
        <v>2111.16</v>
      </c>
      <c r="CQ22" s="159" cm="1">
        <f t="array" ref="CQ22">_xlfn.IFS(CQ$19&lt;YEAR($H22),0,CQ$19=YEAR($H22),DATEDIF($H22,DATE(CQ$19,12,31),"m")*$I22,AND(CQ$19&gt;YEAR($H22),CQ$19-YEAR($H22)&lt;20),$I22*12,CQ$19-YEAR($H22)=20,DATEDIF(DATE(YEAR($H22),1,1),$H22,"m")*$I22,CQ$19-YEAR($H22)&gt;20,0)</f>
        <v>2111.16</v>
      </c>
      <c r="CR22" s="159" cm="1">
        <f t="array" ref="CR22">_xlfn.IFS(CR$19&lt;YEAR($H22),0,CR$19=YEAR($H22),DATEDIF($H22,DATE(CR$19,12,31),"m")*$I22,AND(CR$19&gt;YEAR($H22),CR$19-YEAR($H22)&lt;20),$I22*12,CR$19-YEAR($H22)=20,DATEDIF(DATE(YEAR($H22),1,1),$H22,"m")*$I22,CR$19-YEAR($H22)&gt;20,0)</f>
        <v>2111.16</v>
      </c>
      <c r="CS22" s="159" cm="1">
        <f t="array" ref="CS22">_xlfn.IFS(CS$19&lt;YEAR($H22),0,CS$19=YEAR($H22),DATEDIF($H22,DATE(CS$19,12,31),"m")*$I22,AND(CS$19&gt;YEAR($H22),CS$19-YEAR($H22)&lt;20),$I22*12,CS$19-YEAR($H22)=20,DATEDIF(DATE(YEAR($H22),1,1),$H22,"m")*$I22,CS$19-YEAR($H22)&gt;20,0)</f>
        <v>2111.16</v>
      </c>
      <c r="CT22" s="159" cm="1">
        <f t="array" ref="CT22">_xlfn.IFS(CT$19&lt;YEAR($H22),0,CT$19=YEAR($H22),DATEDIF($H22,DATE(CT$19,12,31),"m")*$I22,AND(CT$19&gt;YEAR($H22),CT$19-YEAR($H22)&lt;20),$I22*12,CT$19-YEAR($H22)=20,DATEDIF(DATE(YEAR($H22),1,1),$H22,"m")*$I22,CT$19-YEAR($H22)&gt;20,0)</f>
        <v>2111.16</v>
      </c>
      <c r="CU22" s="159" cm="1">
        <f t="array" ref="CU22">_xlfn.IFS(CU$19&lt;YEAR($H22),0,CU$19=YEAR($H22),DATEDIF($H22,DATE(CU$19,12,31),"m")*$I22,AND(CU$19&gt;YEAR($H22),CU$19-YEAR($H22)&lt;20),$I22*12,CU$19-YEAR($H22)=20,DATEDIF(DATE(YEAR($H22),1,1),$H22,"m")*$I22,CU$19-YEAR($H22)&gt;20,0)</f>
        <v>2111.16</v>
      </c>
      <c r="CV22" s="159" cm="1">
        <f t="array" ref="CV22">_xlfn.IFS(CV$19&lt;YEAR($H22),0,CV$19=YEAR($H22),DATEDIF($H22,DATE(CV$19,12,31),"m")*$I22,AND(CV$19&gt;YEAR($H22),CV$19-YEAR($H22)&lt;20),$I22*12,CV$19-YEAR($H22)=20,DATEDIF(DATE(YEAR($H22),1,1),$H22,"m")*$I22,CV$19-YEAR($H22)&gt;20,0)</f>
        <v>2111.16</v>
      </c>
      <c r="CW22" s="159" cm="1">
        <f t="array" ref="CW22">_xlfn.IFS(CW$19&lt;YEAR($H22),0,CW$19=YEAR($H22),DATEDIF($H22,DATE(CW$19,12,31),"m")*$I22,AND(CW$19&gt;YEAR($H22),CW$19-YEAR($H22)&lt;20),$I22*12,CW$19-YEAR($H22)=20,DATEDIF(DATE(YEAR($H22),1,1),$H22,"m")*$I22,CW$19-YEAR($H22)&gt;20,0)</f>
        <v>2111.16</v>
      </c>
      <c r="CX22" s="159" cm="1">
        <f t="array" ref="CX22">_xlfn.IFS(CX$19&lt;YEAR($H22),0,CX$19=YEAR($H22),DATEDIF($H22,DATE(CX$19,12,31),"m")*$I22,AND(CX$19&gt;YEAR($H22),CX$19-YEAR($H22)&lt;20),$I22*12,CX$19-YEAR($H22)=20,DATEDIF(DATE(YEAR($H22),1,1),$H22,"m")*$I22,CX$19-YEAR($H22)&gt;20,0)</f>
        <v>2111.16</v>
      </c>
      <c r="CY22" s="159" cm="1">
        <f t="array" ref="CY22">_xlfn.IFS(CY$19&lt;YEAR($H22),0,CY$19=YEAR($H22),DATEDIF($H22,DATE(CY$19,12,31),"m")*$I22,AND(CY$19&gt;YEAR($H22),CY$19-YEAR($H22)&lt;20),$I22*12,CY$19-YEAR($H22)=20,DATEDIF(DATE(YEAR($H22),1,1),$H22,"m")*$I22,CY$19-YEAR($H22)&gt;20,0)</f>
        <v>2111.16</v>
      </c>
      <c r="CZ22" s="159" cm="1">
        <f t="array" ref="CZ22">_xlfn.IFS(CZ$19&lt;YEAR($H22),0,CZ$19=YEAR($H22),DATEDIF($H22,DATE(CZ$19,12,31),"m")*$I22,AND(CZ$19&gt;YEAR($H22),CZ$19-YEAR($H22)&lt;20),$I22*12,CZ$19-YEAR($H22)=20,DATEDIF(DATE(YEAR($H22),1,1),$H22,"m")*$I22,CZ$19-YEAR($H22)&gt;20,0)</f>
        <v>351.86</v>
      </c>
      <c r="DA22" s="159" cm="1">
        <f t="array" ref="DA22">_xlfn.IFS(DA$19&lt;YEAR($H22),0,DA$19=YEAR($H22),DATEDIF($H22,DATE(DA$19,12,31),"m")*$I22,AND(DA$19&gt;YEAR($H22),DA$19-YEAR($H22)&lt;20),$I22*12,DA$19-YEAR($H22)=20,DATEDIF(DATE(YEAR($H22),1,1),$H22,"m")*$I22,DA$19-YEAR($H22)&gt;20,0)</f>
        <v>0</v>
      </c>
      <c r="DB22" s="159" cm="1">
        <f t="array" ref="DB22">_xlfn.IFS(DB$19&lt;YEAR($H22),0,DB$19=YEAR($H22),DATEDIF($H22,DATE(DB$19,12,31),"m")*$I22,AND(DB$19&gt;YEAR($H22),DB$19-YEAR($H22)&lt;20),$I22*12,DB$19-YEAR($H22)=20,DATEDIF(DATE(YEAR($H22),1,1),$H22,"m")*$I22,DB$19-YEAR($H22)&gt;20,0)</f>
        <v>0</v>
      </c>
      <c r="DI22" s="165" t="s">
        <v>13</v>
      </c>
      <c r="DJ22" s="159">
        <f t="shared" si="8"/>
        <v>0</v>
      </c>
      <c r="DK22" s="159">
        <f t="shared" si="8"/>
        <v>1072.8899999999999</v>
      </c>
      <c r="DL22" s="159">
        <f t="shared" si="8"/>
        <v>2503.41</v>
      </c>
      <c r="DM22" s="159">
        <f t="shared" si="8"/>
        <v>2861.04</v>
      </c>
      <c r="DN22" s="159">
        <f t="shared" si="8"/>
        <v>2861.04</v>
      </c>
      <c r="DO22" s="159">
        <f t="shared" si="8"/>
        <v>2861.04</v>
      </c>
      <c r="DP22" s="159">
        <f t="shared" si="8"/>
        <v>2861.04</v>
      </c>
      <c r="DQ22" s="159">
        <f t="shared" si="8"/>
        <v>2861.04</v>
      </c>
      <c r="DR22" s="159">
        <f t="shared" si="8"/>
        <v>2861.04</v>
      </c>
      <c r="DS22" s="159">
        <f t="shared" si="8"/>
        <v>2861.04</v>
      </c>
      <c r="DT22" s="159">
        <f t="shared" si="9"/>
        <v>2861.04</v>
      </c>
      <c r="DU22" s="159">
        <f t="shared" si="9"/>
        <v>2861.04</v>
      </c>
      <c r="DV22" s="159">
        <f t="shared" si="9"/>
        <v>2861.04</v>
      </c>
      <c r="DW22" s="159">
        <f t="shared" si="9"/>
        <v>2861.04</v>
      </c>
      <c r="DX22" s="159">
        <f t="shared" si="9"/>
        <v>2861.04</v>
      </c>
      <c r="DY22" s="159">
        <f t="shared" si="9"/>
        <v>2861.04</v>
      </c>
      <c r="DZ22" s="159">
        <f t="shared" si="9"/>
        <v>2861.04</v>
      </c>
      <c r="EA22" s="159">
        <f t="shared" si="9"/>
        <v>2861.04</v>
      </c>
      <c r="EB22" s="159">
        <f t="shared" si="9"/>
        <v>2861.04</v>
      </c>
      <c r="EC22" s="159">
        <f t="shared" si="9"/>
        <v>2861.04</v>
      </c>
      <c r="ED22" s="159">
        <f t="shared" si="10"/>
        <v>2861.04</v>
      </c>
      <c r="EE22" s="159">
        <f t="shared" si="10"/>
        <v>1668.94</v>
      </c>
      <c r="EF22" s="159">
        <f t="shared" si="10"/>
        <v>238.42</v>
      </c>
      <c r="EG22" s="159">
        <f t="shared" si="10"/>
        <v>0</v>
      </c>
    </row>
    <row r="23" spans="1:137">
      <c r="A23" s="165" t="s">
        <v>12</v>
      </c>
      <c r="B23" s="165">
        <v>2</v>
      </c>
      <c r="C23" s="165" t="s">
        <v>75</v>
      </c>
      <c r="D23" s="182">
        <f>VLOOKUP($M$2,$M$7:$Q$10,2,FALSE)*$E$16</f>
        <v>17940.5</v>
      </c>
      <c r="E23" s="183">
        <v>46023</v>
      </c>
      <c r="F23" s="184">
        <f t="shared" si="11"/>
        <v>46569</v>
      </c>
      <c r="G23" s="184">
        <f t="shared" si="12"/>
        <v>46753</v>
      </c>
      <c r="H23" s="184">
        <f t="shared" si="5"/>
        <v>46813</v>
      </c>
      <c r="I23" s="157">
        <f t="shared" si="13"/>
        <v>6862.24</v>
      </c>
      <c r="J23" s="164">
        <f t="shared" si="14"/>
        <v>0</v>
      </c>
      <c r="K23" s="164">
        <f t="shared" si="6"/>
        <v>0</v>
      </c>
      <c r="L23" s="164">
        <f t="shared" si="6"/>
        <v>0</v>
      </c>
      <c r="M23" s="164">
        <f t="shared" si="6"/>
        <v>0</v>
      </c>
      <c r="N23" s="164">
        <f t="shared" si="6"/>
        <v>0</v>
      </c>
      <c r="O23" s="164">
        <f t="shared" si="6"/>
        <v>0</v>
      </c>
      <c r="P23" s="164">
        <f t="shared" si="6"/>
        <v>0</v>
      </c>
      <c r="Q23" s="164">
        <f t="shared" si="6"/>
        <v>0</v>
      </c>
      <c r="R23" s="164">
        <f t="shared" si="6"/>
        <v>0</v>
      </c>
      <c r="S23" s="164">
        <f t="shared" si="6"/>
        <v>0</v>
      </c>
      <c r="T23" s="164">
        <f t="shared" si="6"/>
        <v>0</v>
      </c>
      <c r="U23" s="164">
        <f t="shared" si="6"/>
        <v>0</v>
      </c>
      <c r="V23" s="164">
        <f t="shared" si="6"/>
        <v>0</v>
      </c>
      <c r="W23" s="164">
        <f t="shared" si="6"/>
        <v>0</v>
      </c>
      <c r="X23" s="164">
        <f t="shared" si="6"/>
        <v>6862.24</v>
      </c>
      <c r="Y23" s="164">
        <f t="shared" si="6"/>
        <v>6862.24</v>
      </c>
      <c r="Z23" s="164">
        <f t="shared" si="6"/>
        <v>6862.24</v>
      </c>
      <c r="AA23" s="164">
        <f t="shared" si="6"/>
        <v>6862.24</v>
      </c>
      <c r="AB23" s="164">
        <f t="shared" si="6"/>
        <v>6862.24</v>
      </c>
      <c r="AC23" s="164">
        <f t="shared" si="6"/>
        <v>6862.24</v>
      </c>
      <c r="AD23" s="164">
        <f t="shared" si="6"/>
        <v>6862.24</v>
      </c>
      <c r="AE23" s="164">
        <f t="shared" si="6"/>
        <v>6862.24</v>
      </c>
      <c r="AF23" s="164">
        <f t="shared" si="6"/>
        <v>6862.24</v>
      </c>
      <c r="AG23" s="164">
        <f t="shared" si="6"/>
        <v>6862.24</v>
      </c>
      <c r="AH23" s="164">
        <f t="shared" si="6"/>
        <v>6862.24</v>
      </c>
      <c r="AI23" s="164">
        <f t="shared" si="6"/>
        <v>6862.24</v>
      </c>
      <c r="AJ23" s="164">
        <f t="shared" si="6"/>
        <v>6862.24</v>
      </c>
      <c r="AK23" s="164">
        <f t="shared" si="6"/>
        <v>6862.24</v>
      </c>
      <c r="AL23" s="164">
        <f t="shared" si="6"/>
        <v>6862.24</v>
      </c>
      <c r="AM23" s="164">
        <f t="shared" si="6"/>
        <v>6862.24</v>
      </c>
      <c r="AN23" s="164">
        <f t="shared" si="6"/>
        <v>6862.24</v>
      </c>
      <c r="AO23" s="164">
        <f t="shared" si="6"/>
        <v>6862.24</v>
      </c>
      <c r="AP23" s="164">
        <f t="shared" si="6"/>
        <v>6862.24</v>
      </c>
      <c r="AQ23" s="164">
        <f t="shared" si="6"/>
        <v>6862.24</v>
      </c>
      <c r="AR23" s="164">
        <f t="shared" si="6"/>
        <v>6862.24</v>
      </c>
      <c r="AS23" s="164">
        <f t="shared" si="6"/>
        <v>6862.24</v>
      </c>
      <c r="AT23" s="164">
        <f t="shared" si="6"/>
        <v>6862.24</v>
      </c>
      <c r="AU23" s="164">
        <f t="shared" si="6"/>
        <v>6862.24</v>
      </c>
      <c r="AV23" s="164">
        <f t="shared" si="6"/>
        <v>6862.24</v>
      </c>
      <c r="AW23" s="164">
        <f t="shared" si="6"/>
        <v>6862.24</v>
      </c>
      <c r="AX23" s="164">
        <f t="shared" si="6"/>
        <v>6862.24</v>
      </c>
      <c r="AY23" s="164">
        <f t="shared" si="6"/>
        <v>6862.24</v>
      </c>
      <c r="AZ23" s="164">
        <f t="shared" si="6"/>
        <v>6862.24</v>
      </c>
      <c r="BA23" s="164">
        <f t="shared" si="6"/>
        <v>6862.24</v>
      </c>
      <c r="BB23" s="164">
        <f t="shared" si="6"/>
        <v>6862.24</v>
      </c>
      <c r="BC23" s="164">
        <f t="shared" si="6"/>
        <v>6862.24</v>
      </c>
      <c r="BD23" s="164">
        <f t="shared" si="6"/>
        <v>6862.24</v>
      </c>
      <c r="BE23" s="164">
        <f t="shared" si="6"/>
        <v>6862.24</v>
      </c>
      <c r="BF23" s="164">
        <f t="shared" si="6"/>
        <v>6862.24</v>
      </c>
      <c r="BG23" s="164">
        <f t="shared" si="6"/>
        <v>6862.24</v>
      </c>
      <c r="BH23" s="164">
        <f t="shared" si="6"/>
        <v>6862.24</v>
      </c>
      <c r="BI23" s="164">
        <f t="shared" si="6"/>
        <v>6862.24</v>
      </c>
      <c r="BJ23" s="164">
        <f t="shared" si="6"/>
        <v>6862.24</v>
      </c>
      <c r="BK23" s="164">
        <f t="shared" si="6"/>
        <v>6862.24</v>
      </c>
      <c r="BL23" s="164">
        <f t="shared" si="6"/>
        <v>6862.24</v>
      </c>
      <c r="BM23" s="164">
        <f t="shared" si="6"/>
        <v>6862.24</v>
      </c>
      <c r="BN23" s="164">
        <f t="shared" si="6"/>
        <v>6862.24</v>
      </c>
      <c r="BO23" s="164">
        <f t="shared" si="6"/>
        <v>6862.24</v>
      </c>
      <c r="BP23" s="164">
        <f t="shared" si="6"/>
        <v>6862.24</v>
      </c>
      <c r="BQ23" s="164">
        <f t="shared" si="6"/>
        <v>6862.24</v>
      </c>
      <c r="BR23" s="164">
        <f t="shared" si="6"/>
        <v>6862.24</v>
      </c>
      <c r="BS23" s="164">
        <f t="shared" si="6"/>
        <v>6862.24</v>
      </c>
      <c r="BT23" s="164">
        <f t="shared" si="6"/>
        <v>6862.24</v>
      </c>
      <c r="BU23" s="164">
        <f t="shared" si="6"/>
        <v>6862.24</v>
      </c>
      <c r="BV23" s="164">
        <f t="shared" ref="K23:BV27" si="15">IF(BV$19&gt;=$H23,$I23,0)</f>
        <v>6862.24</v>
      </c>
      <c r="BW23" s="164">
        <f t="shared" si="7"/>
        <v>6862.24</v>
      </c>
      <c r="BX23" s="164">
        <f t="shared" si="7"/>
        <v>6862.24</v>
      </c>
      <c r="BY23" s="164">
        <f t="shared" si="7"/>
        <v>6862.24</v>
      </c>
      <c r="BZ23" s="164">
        <f t="shared" si="7"/>
        <v>6862.24</v>
      </c>
      <c r="CA23" s="164">
        <f t="shared" si="7"/>
        <v>6862.24</v>
      </c>
      <c r="CB23" s="164">
        <f t="shared" si="7"/>
        <v>6862.24</v>
      </c>
      <c r="CC23" s="164">
        <f t="shared" si="7"/>
        <v>6862.24</v>
      </c>
      <c r="CE23" s="159" cm="1">
        <f t="array" ref="CE23">_xlfn.IFS(CE$19&lt;YEAR($H23),0,CE$19=YEAR($H23),DATEDIF($H23,DATE(CE$19,12,31),"m")*$I23,AND(CE$19&gt;YEAR($H23),CE$19-YEAR($H23)&lt;20),$I23*12,CE$19-YEAR($H23)=20,DATEDIF(DATE(YEAR($H23),1,1),$H23,"m")*$I23,CE$19-YEAR($H23)&gt;20,0)</f>
        <v>0</v>
      </c>
      <c r="CF23" s="159" cm="1">
        <f t="array" ref="CF23">_xlfn.IFS(CF$19&lt;YEAR($H23),0,CF$19=YEAR($H23),DATEDIF($H23,DATE(CF$19,12,31),"m")*$I23,AND(CF$19&gt;YEAR($H23),CF$19-YEAR($H23)&lt;20),$I23*12,CF$19-YEAR($H23)=20,DATEDIF(DATE(YEAR($H23),1,1),$H23,"m")*$I23,CF$19-YEAR($H23)&gt;20,0)</f>
        <v>61760.159999999996</v>
      </c>
      <c r="CG23" s="159" cm="1">
        <f t="array" ref="CG23">_xlfn.IFS(CG$19&lt;YEAR($H23),0,CG$19=YEAR($H23),DATEDIF($H23,DATE(CG$19,12,31),"m")*$I23,AND(CG$19&gt;YEAR($H23),CG$19-YEAR($H23)&lt;20),$I23*12,CG$19-YEAR($H23)=20,DATEDIF(DATE(YEAR($H23),1,1),$H23,"m")*$I23,CG$19-YEAR($H23)&gt;20,0)</f>
        <v>82346.880000000005</v>
      </c>
      <c r="CH23" s="159" cm="1">
        <f t="array" ref="CH23">_xlfn.IFS(CH$19&lt;YEAR($H23),0,CH$19=YEAR($H23),DATEDIF($H23,DATE(CH$19,12,31),"m")*$I23,AND(CH$19&gt;YEAR($H23),CH$19-YEAR($H23)&lt;20),$I23*12,CH$19-YEAR($H23)=20,DATEDIF(DATE(YEAR($H23),1,1),$H23,"m")*$I23,CH$19-YEAR($H23)&gt;20,0)</f>
        <v>82346.880000000005</v>
      </c>
      <c r="CI23" s="159" cm="1">
        <f t="array" ref="CI23">_xlfn.IFS(CI$19&lt;YEAR($H23),0,CI$19=YEAR($H23),DATEDIF($H23,DATE(CI$19,12,31),"m")*$I23,AND(CI$19&gt;YEAR($H23),CI$19-YEAR($H23)&lt;20),$I23*12,CI$19-YEAR($H23)=20,DATEDIF(DATE(YEAR($H23),1,1),$H23,"m")*$I23,CI$19-YEAR($H23)&gt;20,0)</f>
        <v>82346.880000000005</v>
      </c>
      <c r="CJ23" s="159" cm="1">
        <f t="array" ref="CJ23">_xlfn.IFS(CJ$19&lt;YEAR($H23),0,CJ$19=YEAR($H23),DATEDIF($H23,DATE(CJ$19,12,31),"m")*$I23,AND(CJ$19&gt;YEAR($H23),CJ$19-YEAR($H23)&lt;20),$I23*12,CJ$19-YEAR($H23)=20,DATEDIF(DATE(YEAR($H23),1,1),$H23,"m")*$I23,CJ$19-YEAR($H23)&gt;20,0)</f>
        <v>82346.880000000005</v>
      </c>
      <c r="CK23" s="159" cm="1">
        <f t="array" ref="CK23">_xlfn.IFS(CK$19&lt;YEAR($H23),0,CK$19=YEAR($H23),DATEDIF($H23,DATE(CK$19,12,31),"m")*$I23,AND(CK$19&gt;YEAR($H23),CK$19-YEAR($H23)&lt;20),$I23*12,CK$19-YEAR($H23)=20,DATEDIF(DATE(YEAR($H23),1,1),$H23,"m")*$I23,CK$19-YEAR($H23)&gt;20,0)</f>
        <v>82346.880000000005</v>
      </c>
      <c r="CL23" s="159" cm="1">
        <f t="array" ref="CL23">_xlfn.IFS(CL$19&lt;YEAR($H23),0,CL$19=YEAR($H23),DATEDIF($H23,DATE(CL$19,12,31),"m")*$I23,AND(CL$19&gt;YEAR($H23),CL$19-YEAR($H23)&lt;20),$I23*12,CL$19-YEAR($H23)=20,DATEDIF(DATE(YEAR($H23),1,1),$H23,"m")*$I23,CL$19-YEAR($H23)&gt;20,0)</f>
        <v>82346.880000000005</v>
      </c>
      <c r="CM23" s="159" cm="1">
        <f t="array" ref="CM23">_xlfn.IFS(CM$19&lt;YEAR($H23),0,CM$19=YEAR($H23),DATEDIF($H23,DATE(CM$19,12,31),"m")*$I23,AND(CM$19&gt;YEAR($H23),CM$19-YEAR($H23)&lt;20),$I23*12,CM$19-YEAR($H23)=20,DATEDIF(DATE(YEAR($H23),1,1),$H23,"m")*$I23,CM$19-YEAR($H23)&gt;20,0)</f>
        <v>82346.880000000005</v>
      </c>
      <c r="CN23" s="159" cm="1">
        <f t="array" ref="CN23">_xlfn.IFS(CN$19&lt;YEAR($H23),0,CN$19=YEAR($H23),DATEDIF($H23,DATE(CN$19,12,31),"m")*$I23,AND(CN$19&gt;YEAR($H23),CN$19-YEAR($H23)&lt;20),$I23*12,CN$19-YEAR($H23)=20,DATEDIF(DATE(YEAR($H23),1,1),$H23,"m")*$I23,CN$19-YEAR($H23)&gt;20,0)</f>
        <v>82346.880000000005</v>
      </c>
      <c r="CO23" s="159" cm="1">
        <f t="array" ref="CO23">_xlfn.IFS(CO$19&lt;YEAR($H23),0,CO$19=YEAR($H23),DATEDIF($H23,DATE(CO$19,12,31),"m")*$I23,AND(CO$19&gt;YEAR($H23),CO$19-YEAR($H23)&lt;20),$I23*12,CO$19-YEAR($H23)=20,DATEDIF(DATE(YEAR($H23),1,1),$H23,"m")*$I23,CO$19-YEAR($H23)&gt;20,0)</f>
        <v>82346.880000000005</v>
      </c>
      <c r="CP23" s="159" cm="1">
        <f t="array" ref="CP23">_xlfn.IFS(CP$19&lt;YEAR($H23),0,CP$19=YEAR($H23),DATEDIF($H23,DATE(CP$19,12,31),"m")*$I23,AND(CP$19&gt;YEAR($H23),CP$19-YEAR($H23)&lt;20),$I23*12,CP$19-YEAR($H23)=20,DATEDIF(DATE(YEAR($H23),1,1),$H23,"m")*$I23,CP$19-YEAR($H23)&gt;20,0)</f>
        <v>82346.880000000005</v>
      </c>
      <c r="CQ23" s="159" cm="1">
        <f t="array" ref="CQ23">_xlfn.IFS(CQ$19&lt;YEAR($H23),0,CQ$19=YEAR($H23),DATEDIF($H23,DATE(CQ$19,12,31),"m")*$I23,AND(CQ$19&gt;YEAR($H23),CQ$19-YEAR($H23)&lt;20),$I23*12,CQ$19-YEAR($H23)=20,DATEDIF(DATE(YEAR($H23),1,1),$H23,"m")*$I23,CQ$19-YEAR($H23)&gt;20,0)</f>
        <v>82346.880000000005</v>
      </c>
      <c r="CR23" s="159" cm="1">
        <f t="array" ref="CR23">_xlfn.IFS(CR$19&lt;YEAR($H23),0,CR$19=YEAR($H23),DATEDIF($H23,DATE(CR$19,12,31),"m")*$I23,AND(CR$19&gt;YEAR($H23),CR$19-YEAR($H23)&lt;20),$I23*12,CR$19-YEAR($H23)=20,DATEDIF(DATE(YEAR($H23),1,1),$H23,"m")*$I23,CR$19-YEAR($H23)&gt;20,0)</f>
        <v>82346.880000000005</v>
      </c>
      <c r="CS23" s="159" cm="1">
        <f t="array" ref="CS23">_xlfn.IFS(CS$19&lt;YEAR($H23),0,CS$19=YEAR($H23),DATEDIF($H23,DATE(CS$19,12,31),"m")*$I23,AND(CS$19&gt;YEAR($H23),CS$19-YEAR($H23)&lt;20),$I23*12,CS$19-YEAR($H23)=20,DATEDIF(DATE(YEAR($H23),1,1),$H23,"m")*$I23,CS$19-YEAR($H23)&gt;20,0)</f>
        <v>82346.880000000005</v>
      </c>
      <c r="CT23" s="159" cm="1">
        <f t="array" ref="CT23">_xlfn.IFS(CT$19&lt;YEAR($H23),0,CT$19=YEAR($H23),DATEDIF($H23,DATE(CT$19,12,31),"m")*$I23,AND(CT$19&gt;YEAR($H23),CT$19-YEAR($H23)&lt;20),$I23*12,CT$19-YEAR($H23)=20,DATEDIF(DATE(YEAR($H23),1,1),$H23,"m")*$I23,CT$19-YEAR($H23)&gt;20,0)</f>
        <v>82346.880000000005</v>
      </c>
      <c r="CU23" s="159" cm="1">
        <f t="array" ref="CU23">_xlfn.IFS(CU$19&lt;YEAR($H23),0,CU$19=YEAR($H23),DATEDIF($H23,DATE(CU$19,12,31),"m")*$I23,AND(CU$19&gt;YEAR($H23),CU$19-YEAR($H23)&lt;20),$I23*12,CU$19-YEAR($H23)=20,DATEDIF(DATE(YEAR($H23),1,1),$H23,"m")*$I23,CU$19-YEAR($H23)&gt;20,0)</f>
        <v>82346.880000000005</v>
      </c>
      <c r="CV23" s="159" cm="1">
        <f t="array" ref="CV23">_xlfn.IFS(CV$19&lt;YEAR($H23),0,CV$19=YEAR($H23),DATEDIF($H23,DATE(CV$19,12,31),"m")*$I23,AND(CV$19&gt;YEAR($H23),CV$19-YEAR($H23)&lt;20),$I23*12,CV$19-YEAR($H23)=20,DATEDIF(DATE(YEAR($H23),1,1),$H23,"m")*$I23,CV$19-YEAR($H23)&gt;20,0)</f>
        <v>82346.880000000005</v>
      </c>
      <c r="CW23" s="159" cm="1">
        <f t="array" ref="CW23">_xlfn.IFS(CW$19&lt;YEAR($H23),0,CW$19=YEAR($H23),DATEDIF($H23,DATE(CW$19,12,31),"m")*$I23,AND(CW$19&gt;YEAR($H23),CW$19-YEAR($H23)&lt;20),$I23*12,CW$19-YEAR($H23)=20,DATEDIF(DATE(YEAR($H23),1,1),$H23,"m")*$I23,CW$19-YEAR($H23)&gt;20,0)</f>
        <v>82346.880000000005</v>
      </c>
      <c r="CX23" s="159" cm="1">
        <f t="array" ref="CX23">_xlfn.IFS(CX$19&lt;YEAR($H23),0,CX$19=YEAR($H23),DATEDIF($H23,DATE(CX$19,12,31),"m")*$I23,AND(CX$19&gt;YEAR($H23),CX$19-YEAR($H23)&lt;20),$I23*12,CX$19-YEAR($H23)=20,DATEDIF(DATE(YEAR($H23),1,1),$H23,"m")*$I23,CX$19-YEAR($H23)&gt;20,0)</f>
        <v>82346.880000000005</v>
      </c>
      <c r="CY23" s="159" cm="1">
        <f t="array" ref="CY23">_xlfn.IFS(CY$19&lt;YEAR($H23),0,CY$19=YEAR($H23),DATEDIF($H23,DATE(CY$19,12,31),"m")*$I23,AND(CY$19&gt;YEAR($H23),CY$19-YEAR($H23)&lt;20),$I23*12,CY$19-YEAR($H23)=20,DATEDIF(DATE(YEAR($H23),1,1),$H23,"m")*$I23,CY$19-YEAR($H23)&gt;20,0)</f>
        <v>82346.880000000005</v>
      </c>
      <c r="CZ23" s="159" cm="1">
        <f t="array" ref="CZ23">_xlfn.IFS(CZ$19&lt;YEAR($H23),0,CZ$19=YEAR($H23),DATEDIF($H23,DATE(CZ$19,12,31),"m")*$I23,AND(CZ$19&gt;YEAR($H23),CZ$19-YEAR($H23)&lt;20),$I23*12,CZ$19-YEAR($H23)=20,DATEDIF(DATE(YEAR($H23),1,1),$H23,"m")*$I23,CZ$19-YEAR($H23)&gt;20,0)</f>
        <v>13724.48</v>
      </c>
      <c r="DA23" s="159" cm="1">
        <f t="array" ref="DA23">_xlfn.IFS(DA$19&lt;YEAR($H23),0,DA$19=YEAR($H23),DATEDIF($H23,DATE(DA$19,12,31),"m")*$I23,AND(DA$19&gt;YEAR($H23),DA$19-YEAR($H23)&lt;20),$I23*12,DA$19-YEAR($H23)=20,DATEDIF(DATE(YEAR($H23),1,1),$H23,"m")*$I23,DA$19-YEAR($H23)&gt;20,0)</f>
        <v>0</v>
      </c>
      <c r="DB23" s="159" cm="1">
        <f t="array" ref="DB23">_xlfn.IFS(DB$19&lt;YEAR($H23),0,DB$19=YEAR($H23),DATEDIF($H23,DATE(DB$19,12,31),"m")*$I23,AND(DB$19&gt;YEAR($H23),DB$19-YEAR($H23)&lt;20),$I23*12,DB$19-YEAR($H23)=20,DATEDIF(DATE(YEAR($H23),1,1),$H23,"m")*$I23,DB$19-YEAR($H23)&gt;20,0)</f>
        <v>0</v>
      </c>
      <c r="DI23" s="165" t="s">
        <v>100</v>
      </c>
      <c r="DJ23" s="158">
        <f>SUM(DJ20:DJ22)</f>
        <v>0</v>
      </c>
      <c r="DK23" s="158">
        <f t="shared" ref="DK23:EG23" si="16">SUM(DK20:DK22)</f>
        <v>118370.88</v>
      </c>
      <c r="DL23" s="158">
        <f t="shared" si="16"/>
        <v>276198.71999999997</v>
      </c>
      <c r="DM23" s="158">
        <f t="shared" si="16"/>
        <v>315655.67999999999</v>
      </c>
      <c r="DN23" s="158">
        <f t="shared" si="16"/>
        <v>315655.67999999999</v>
      </c>
      <c r="DO23" s="158">
        <f t="shared" si="16"/>
        <v>315655.67999999999</v>
      </c>
      <c r="DP23" s="158">
        <f t="shared" si="16"/>
        <v>315655.67999999999</v>
      </c>
      <c r="DQ23" s="158">
        <f t="shared" si="16"/>
        <v>315655.67999999999</v>
      </c>
      <c r="DR23" s="158">
        <f t="shared" si="16"/>
        <v>315655.67999999999</v>
      </c>
      <c r="DS23" s="158">
        <f t="shared" si="16"/>
        <v>315655.67999999999</v>
      </c>
      <c r="DT23" s="158">
        <f t="shared" si="16"/>
        <v>315655.67999999999</v>
      </c>
      <c r="DU23" s="158">
        <f t="shared" si="16"/>
        <v>315655.67999999999</v>
      </c>
      <c r="DV23" s="158">
        <f t="shared" si="16"/>
        <v>315655.67999999999</v>
      </c>
      <c r="DW23" s="158">
        <f t="shared" si="16"/>
        <v>315655.67999999999</v>
      </c>
      <c r="DX23" s="158">
        <f t="shared" si="16"/>
        <v>315655.67999999999</v>
      </c>
      <c r="DY23" s="158">
        <f t="shared" si="16"/>
        <v>315655.67999999999</v>
      </c>
      <c r="DZ23" s="158">
        <f t="shared" si="16"/>
        <v>315655.67999999999</v>
      </c>
      <c r="EA23" s="158">
        <f t="shared" si="16"/>
        <v>315655.67999999999</v>
      </c>
      <c r="EB23" s="158">
        <f t="shared" si="16"/>
        <v>315655.67999999999</v>
      </c>
      <c r="EC23" s="158">
        <f t="shared" si="16"/>
        <v>315655.67999999999</v>
      </c>
      <c r="ED23" s="158">
        <f t="shared" si="16"/>
        <v>315655.67999999999</v>
      </c>
      <c r="EE23" s="158">
        <f t="shared" si="16"/>
        <v>184132.48000000001</v>
      </c>
      <c r="EF23" s="158">
        <f t="shared" si="16"/>
        <v>26304.639999999999</v>
      </c>
      <c r="EG23" s="158">
        <f t="shared" si="16"/>
        <v>0</v>
      </c>
    </row>
    <row r="24" spans="1:137">
      <c r="A24" s="165" t="s">
        <v>13</v>
      </c>
      <c r="B24" s="165">
        <v>1</v>
      </c>
      <c r="C24" s="165" t="s">
        <v>99</v>
      </c>
      <c r="D24" s="182">
        <f>VLOOKUP($M$2,$M$7:$Q$10,2,FALSE)*$F$15</f>
        <v>165</v>
      </c>
      <c r="E24" s="183">
        <v>46023</v>
      </c>
      <c r="F24" s="184">
        <f t="shared" si="11"/>
        <v>46569</v>
      </c>
      <c r="G24" s="184">
        <f t="shared" si="12"/>
        <v>46753</v>
      </c>
      <c r="H24" s="184">
        <f t="shared" si="5"/>
        <v>46813</v>
      </c>
      <c r="I24" s="157">
        <f t="shared" si="13"/>
        <v>119.21</v>
      </c>
      <c r="J24" s="164">
        <f t="shared" si="14"/>
        <v>0</v>
      </c>
      <c r="K24" s="164">
        <f t="shared" si="15"/>
        <v>0</v>
      </c>
      <c r="L24" s="164">
        <f t="shared" si="15"/>
        <v>0</v>
      </c>
      <c r="M24" s="164">
        <f t="shared" si="15"/>
        <v>0</v>
      </c>
      <c r="N24" s="164">
        <f t="shared" si="15"/>
        <v>0</v>
      </c>
      <c r="O24" s="164">
        <f t="shared" si="15"/>
        <v>0</v>
      </c>
      <c r="P24" s="164">
        <f t="shared" si="15"/>
        <v>0</v>
      </c>
      <c r="Q24" s="164">
        <f t="shared" si="15"/>
        <v>0</v>
      </c>
      <c r="R24" s="164">
        <f t="shared" si="15"/>
        <v>0</v>
      </c>
      <c r="S24" s="164">
        <f t="shared" si="15"/>
        <v>0</v>
      </c>
      <c r="T24" s="164">
        <f t="shared" si="15"/>
        <v>0</v>
      </c>
      <c r="U24" s="164">
        <f t="shared" si="15"/>
        <v>0</v>
      </c>
      <c r="V24" s="164">
        <f t="shared" si="15"/>
        <v>0</v>
      </c>
      <c r="W24" s="164">
        <f t="shared" si="15"/>
        <v>0</v>
      </c>
      <c r="X24" s="164">
        <f t="shared" si="15"/>
        <v>119.21</v>
      </c>
      <c r="Y24" s="164">
        <f t="shared" si="15"/>
        <v>119.21</v>
      </c>
      <c r="Z24" s="164">
        <f t="shared" si="15"/>
        <v>119.21</v>
      </c>
      <c r="AA24" s="164">
        <f t="shared" si="15"/>
        <v>119.21</v>
      </c>
      <c r="AB24" s="164">
        <f t="shared" si="15"/>
        <v>119.21</v>
      </c>
      <c r="AC24" s="164">
        <f t="shared" si="15"/>
        <v>119.21</v>
      </c>
      <c r="AD24" s="164">
        <f t="shared" si="15"/>
        <v>119.21</v>
      </c>
      <c r="AE24" s="164">
        <f t="shared" si="15"/>
        <v>119.21</v>
      </c>
      <c r="AF24" s="164">
        <f t="shared" si="15"/>
        <v>119.21</v>
      </c>
      <c r="AG24" s="164">
        <f t="shared" si="15"/>
        <v>119.21</v>
      </c>
      <c r="AH24" s="164">
        <f t="shared" si="15"/>
        <v>119.21</v>
      </c>
      <c r="AI24" s="164">
        <f t="shared" si="15"/>
        <v>119.21</v>
      </c>
      <c r="AJ24" s="164">
        <f t="shared" si="15"/>
        <v>119.21</v>
      </c>
      <c r="AK24" s="164">
        <f t="shared" si="15"/>
        <v>119.21</v>
      </c>
      <c r="AL24" s="164">
        <f t="shared" si="15"/>
        <v>119.21</v>
      </c>
      <c r="AM24" s="164">
        <f t="shared" si="15"/>
        <v>119.21</v>
      </c>
      <c r="AN24" s="164">
        <f t="shared" si="15"/>
        <v>119.21</v>
      </c>
      <c r="AO24" s="164">
        <f t="shared" si="15"/>
        <v>119.21</v>
      </c>
      <c r="AP24" s="164">
        <f t="shared" si="15"/>
        <v>119.21</v>
      </c>
      <c r="AQ24" s="164">
        <f t="shared" si="15"/>
        <v>119.21</v>
      </c>
      <c r="AR24" s="164">
        <f t="shared" si="15"/>
        <v>119.21</v>
      </c>
      <c r="AS24" s="164">
        <f t="shared" si="15"/>
        <v>119.21</v>
      </c>
      <c r="AT24" s="164">
        <f t="shared" si="15"/>
        <v>119.21</v>
      </c>
      <c r="AU24" s="164">
        <f t="shared" si="15"/>
        <v>119.21</v>
      </c>
      <c r="AV24" s="164">
        <f t="shared" si="15"/>
        <v>119.21</v>
      </c>
      <c r="AW24" s="164">
        <f t="shared" si="15"/>
        <v>119.21</v>
      </c>
      <c r="AX24" s="164">
        <f t="shared" si="15"/>
        <v>119.21</v>
      </c>
      <c r="AY24" s="164">
        <f t="shared" si="15"/>
        <v>119.21</v>
      </c>
      <c r="AZ24" s="164">
        <f t="shared" si="15"/>
        <v>119.21</v>
      </c>
      <c r="BA24" s="164">
        <f t="shared" si="15"/>
        <v>119.21</v>
      </c>
      <c r="BB24" s="164">
        <f t="shared" si="15"/>
        <v>119.21</v>
      </c>
      <c r="BC24" s="164">
        <f t="shared" si="15"/>
        <v>119.21</v>
      </c>
      <c r="BD24" s="164">
        <f t="shared" si="15"/>
        <v>119.21</v>
      </c>
      <c r="BE24" s="164">
        <f t="shared" si="15"/>
        <v>119.21</v>
      </c>
      <c r="BF24" s="164">
        <f t="shared" si="15"/>
        <v>119.21</v>
      </c>
      <c r="BG24" s="164">
        <f t="shared" si="15"/>
        <v>119.21</v>
      </c>
      <c r="BH24" s="164">
        <f t="shared" si="15"/>
        <v>119.21</v>
      </c>
      <c r="BI24" s="164">
        <f t="shared" si="15"/>
        <v>119.21</v>
      </c>
      <c r="BJ24" s="164">
        <f t="shared" si="15"/>
        <v>119.21</v>
      </c>
      <c r="BK24" s="164">
        <f t="shared" si="15"/>
        <v>119.21</v>
      </c>
      <c r="BL24" s="164">
        <f t="shared" si="15"/>
        <v>119.21</v>
      </c>
      <c r="BM24" s="164">
        <f t="shared" si="15"/>
        <v>119.21</v>
      </c>
      <c r="BN24" s="164">
        <f t="shared" si="15"/>
        <v>119.21</v>
      </c>
      <c r="BO24" s="164">
        <f t="shared" si="15"/>
        <v>119.21</v>
      </c>
      <c r="BP24" s="164">
        <f t="shared" si="15"/>
        <v>119.21</v>
      </c>
      <c r="BQ24" s="164">
        <f t="shared" si="15"/>
        <v>119.21</v>
      </c>
      <c r="BR24" s="164">
        <f t="shared" si="15"/>
        <v>119.21</v>
      </c>
      <c r="BS24" s="164">
        <f t="shared" si="15"/>
        <v>119.21</v>
      </c>
      <c r="BT24" s="164">
        <f t="shared" si="15"/>
        <v>119.21</v>
      </c>
      <c r="BU24" s="164">
        <f t="shared" si="15"/>
        <v>119.21</v>
      </c>
      <c r="BV24" s="164">
        <f t="shared" si="15"/>
        <v>119.21</v>
      </c>
      <c r="BW24" s="164">
        <f t="shared" si="7"/>
        <v>119.21</v>
      </c>
      <c r="BX24" s="164">
        <f t="shared" si="7"/>
        <v>119.21</v>
      </c>
      <c r="BY24" s="164">
        <f t="shared" si="7"/>
        <v>119.21</v>
      </c>
      <c r="BZ24" s="164">
        <f t="shared" si="7"/>
        <v>119.21</v>
      </c>
      <c r="CA24" s="164">
        <f t="shared" si="7"/>
        <v>119.21</v>
      </c>
      <c r="CB24" s="164">
        <f t="shared" si="7"/>
        <v>119.21</v>
      </c>
      <c r="CC24" s="164">
        <f t="shared" si="7"/>
        <v>119.21</v>
      </c>
      <c r="CE24" s="159" cm="1">
        <f t="array" ref="CE24">_xlfn.IFS(CE$19&lt;YEAR($H24),0,CE$19=YEAR($H24),DATEDIF($H24,DATE(CE$19,12,31),"m")*$I24,AND(CE$19&gt;YEAR($H24),CE$19-YEAR($H24)&lt;20),$I24*12,CE$19-YEAR($H24)=20,DATEDIF(DATE(YEAR($H24),1,1),$H24,"m")*$I24,CE$19-YEAR($H24)&gt;20,0)</f>
        <v>0</v>
      </c>
      <c r="CF24" s="159" cm="1">
        <f t="array" ref="CF24">_xlfn.IFS(CF$19&lt;YEAR($H24),0,CF$19=YEAR($H24),DATEDIF($H24,DATE(CF$19,12,31),"m")*$I24,AND(CF$19&gt;YEAR($H24),CF$19-YEAR($H24)&lt;20),$I24*12,CF$19-YEAR($H24)=20,DATEDIF(DATE(YEAR($H24),1,1),$H24,"m")*$I24,CF$19-YEAR($H24)&gt;20,0)</f>
        <v>1072.8899999999999</v>
      </c>
      <c r="CG24" s="159" cm="1">
        <f t="array" ref="CG24">_xlfn.IFS(CG$19&lt;YEAR($H24),0,CG$19=YEAR($H24),DATEDIF($H24,DATE(CG$19,12,31),"m")*$I24,AND(CG$19&gt;YEAR($H24),CG$19-YEAR($H24)&lt;20),$I24*12,CG$19-YEAR($H24)=20,DATEDIF(DATE(YEAR($H24),1,1),$H24,"m")*$I24,CG$19-YEAR($H24)&gt;20,0)</f>
        <v>1430.52</v>
      </c>
      <c r="CH24" s="159" cm="1">
        <f t="array" ref="CH24">_xlfn.IFS(CH$19&lt;YEAR($H24),0,CH$19=YEAR($H24),DATEDIF($H24,DATE(CH$19,12,31),"m")*$I24,AND(CH$19&gt;YEAR($H24),CH$19-YEAR($H24)&lt;20),$I24*12,CH$19-YEAR($H24)=20,DATEDIF(DATE(YEAR($H24),1,1),$H24,"m")*$I24,CH$19-YEAR($H24)&gt;20,0)</f>
        <v>1430.52</v>
      </c>
      <c r="CI24" s="159" cm="1">
        <f t="array" ref="CI24">_xlfn.IFS(CI$19&lt;YEAR($H24),0,CI$19=YEAR($H24),DATEDIF($H24,DATE(CI$19,12,31),"m")*$I24,AND(CI$19&gt;YEAR($H24),CI$19-YEAR($H24)&lt;20),$I24*12,CI$19-YEAR($H24)=20,DATEDIF(DATE(YEAR($H24),1,1),$H24,"m")*$I24,CI$19-YEAR($H24)&gt;20,0)</f>
        <v>1430.52</v>
      </c>
      <c r="CJ24" s="159" cm="1">
        <f t="array" ref="CJ24">_xlfn.IFS(CJ$19&lt;YEAR($H24),0,CJ$19=YEAR($H24),DATEDIF($H24,DATE(CJ$19,12,31),"m")*$I24,AND(CJ$19&gt;YEAR($H24),CJ$19-YEAR($H24)&lt;20),$I24*12,CJ$19-YEAR($H24)=20,DATEDIF(DATE(YEAR($H24),1,1),$H24,"m")*$I24,CJ$19-YEAR($H24)&gt;20,0)</f>
        <v>1430.52</v>
      </c>
      <c r="CK24" s="159" cm="1">
        <f t="array" ref="CK24">_xlfn.IFS(CK$19&lt;YEAR($H24),0,CK$19=YEAR($H24),DATEDIF($H24,DATE(CK$19,12,31),"m")*$I24,AND(CK$19&gt;YEAR($H24),CK$19-YEAR($H24)&lt;20),$I24*12,CK$19-YEAR($H24)=20,DATEDIF(DATE(YEAR($H24),1,1),$H24,"m")*$I24,CK$19-YEAR($H24)&gt;20,0)</f>
        <v>1430.52</v>
      </c>
      <c r="CL24" s="159" cm="1">
        <f t="array" ref="CL24">_xlfn.IFS(CL$19&lt;YEAR($H24),0,CL$19=YEAR($H24),DATEDIF($H24,DATE(CL$19,12,31),"m")*$I24,AND(CL$19&gt;YEAR($H24),CL$19-YEAR($H24)&lt;20),$I24*12,CL$19-YEAR($H24)=20,DATEDIF(DATE(YEAR($H24),1,1),$H24,"m")*$I24,CL$19-YEAR($H24)&gt;20,0)</f>
        <v>1430.52</v>
      </c>
      <c r="CM24" s="159" cm="1">
        <f t="array" ref="CM24">_xlfn.IFS(CM$19&lt;YEAR($H24),0,CM$19=YEAR($H24),DATEDIF($H24,DATE(CM$19,12,31),"m")*$I24,AND(CM$19&gt;YEAR($H24),CM$19-YEAR($H24)&lt;20),$I24*12,CM$19-YEAR($H24)=20,DATEDIF(DATE(YEAR($H24),1,1),$H24,"m")*$I24,CM$19-YEAR($H24)&gt;20,0)</f>
        <v>1430.52</v>
      </c>
      <c r="CN24" s="159" cm="1">
        <f t="array" ref="CN24">_xlfn.IFS(CN$19&lt;YEAR($H24),0,CN$19=YEAR($H24),DATEDIF($H24,DATE(CN$19,12,31),"m")*$I24,AND(CN$19&gt;YEAR($H24),CN$19-YEAR($H24)&lt;20),$I24*12,CN$19-YEAR($H24)=20,DATEDIF(DATE(YEAR($H24),1,1),$H24,"m")*$I24,CN$19-YEAR($H24)&gt;20,0)</f>
        <v>1430.52</v>
      </c>
      <c r="CO24" s="159" cm="1">
        <f t="array" ref="CO24">_xlfn.IFS(CO$19&lt;YEAR($H24),0,CO$19=YEAR($H24),DATEDIF($H24,DATE(CO$19,12,31),"m")*$I24,AND(CO$19&gt;YEAR($H24),CO$19-YEAR($H24)&lt;20),$I24*12,CO$19-YEAR($H24)=20,DATEDIF(DATE(YEAR($H24),1,1),$H24,"m")*$I24,CO$19-YEAR($H24)&gt;20,0)</f>
        <v>1430.52</v>
      </c>
      <c r="CP24" s="159" cm="1">
        <f t="array" ref="CP24">_xlfn.IFS(CP$19&lt;YEAR($H24),0,CP$19=YEAR($H24),DATEDIF($H24,DATE(CP$19,12,31),"m")*$I24,AND(CP$19&gt;YEAR($H24),CP$19-YEAR($H24)&lt;20),$I24*12,CP$19-YEAR($H24)=20,DATEDIF(DATE(YEAR($H24),1,1),$H24,"m")*$I24,CP$19-YEAR($H24)&gt;20,0)</f>
        <v>1430.52</v>
      </c>
      <c r="CQ24" s="159" cm="1">
        <f t="array" ref="CQ24">_xlfn.IFS(CQ$19&lt;YEAR($H24),0,CQ$19=YEAR($H24),DATEDIF($H24,DATE(CQ$19,12,31),"m")*$I24,AND(CQ$19&gt;YEAR($H24),CQ$19-YEAR($H24)&lt;20),$I24*12,CQ$19-YEAR($H24)=20,DATEDIF(DATE(YEAR($H24),1,1),$H24,"m")*$I24,CQ$19-YEAR($H24)&gt;20,0)</f>
        <v>1430.52</v>
      </c>
      <c r="CR24" s="159" cm="1">
        <f t="array" ref="CR24">_xlfn.IFS(CR$19&lt;YEAR($H24),0,CR$19=YEAR($H24),DATEDIF($H24,DATE(CR$19,12,31),"m")*$I24,AND(CR$19&gt;YEAR($H24),CR$19-YEAR($H24)&lt;20),$I24*12,CR$19-YEAR($H24)=20,DATEDIF(DATE(YEAR($H24),1,1),$H24,"m")*$I24,CR$19-YEAR($H24)&gt;20,0)</f>
        <v>1430.52</v>
      </c>
      <c r="CS24" s="159" cm="1">
        <f t="array" ref="CS24">_xlfn.IFS(CS$19&lt;YEAR($H24),0,CS$19=YEAR($H24),DATEDIF($H24,DATE(CS$19,12,31),"m")*$I24,AND(CS$19&gt;YEAR($H24),CS$19-YEAR($H24)&lt;20),$I24*12,CS$19-YEAR($H24)=20,DATEDIF(DATE(YEAR($H24),1,1),$H24,"m")*$I24,CS$19-YEAR($H24)&gt;20,0)</f>
        <v>1430.52</v>
      </c>
      <c r="CT24" s="159" cm="1">
        <f t="array" ref="CT24">_xlfn.IFS(CT$19&lt;YEAR($H24),0,CT$19=YEAR($H24),DATEDIF($H24,DATE(CT$19,12,31),"m")*$I24,AND(CT$19&gt;YEAR($H24),CT$19-YEAR($H24)&lt;20),$I24*12,CT$19-YEAR($H24)=20,DATEDIF(DATE(YEAR($H24),1,1),$H24,"m")*$I24,CT$19-YEAR($H24)&gt;20,0)</f>
        <v>1430.52</v>
      </c>
      <c r="CU24" s="159" cm="1">
        <f t="array" ref="CU24">_xlfn.IFS(CU$19&lt;YEAR($H24),0,CU$19=YEAR($H24),DATEDIF($H24,DATE(CU$19,12,31),"m")*$I24,AND(CU$19&gt;YEAR($H24),CU$19-YEAR($H24)&lt;20),$I24*12,CU$19-YEAR($H24)=20,DATEDIF(DATE(YEAR($H24),1,1),$H24,"m")*$I24,CU$19-YEAR($H24)&gt;20,0)</f>
        <v>1430.52</v>
      </c>
      <c r="CV24" s="159" cm="1">
        <f t="array" ref="CV24">_xlfn.IFS(CV$19&lt;YEAR($H24),0,CV$19=YEAR($H24),DATEDIF($H24,DATE(CV$19,12,31),"m")*$I24,AND(CV$19&gt;YEAR($H24),CV$19-YEAR($H24)&lt;20),$I24*12,CV$19-YEAR($H24)=20,DATEDIF(DATE(YEAR($H24),1,1),$H24,"m")*$I24,CV$19-YEAR($H24)&gt;20,0)</f>
        <v>1430.52</v>
      </c>
      <c r="CW24" s="159" cm="1">
        <f t="array" ref="CW24">_xlfn.IFS(CW$19&lt;YEAR($H24),0,CW$19=YEAR($H24),DATEDIF($H24,DATE(CW$19,12,31),"m")*$I24,AND(CW$19&gt;YEAR($H24),CW$19-YEAR($H24)&lt;20),$I24*12,CW$19-YEAR($H24)=20,DATEDIF(DATE(YEAR($H24),1,1),$H24,"m")*$I24,CW$19-YEAR($H24)&gt;20,0)</f>
        <v>1430.52</v>
      </c>
      <c r="CX24" s="159" cm="1">
        <f t="array" ref="CX24">_xlfn.IFS(CX$19&lt;YEAR($H24),0,CX$19=YEAR($H24),DATEDIF($H24,DATE(CX$19,12,31),"m")*$I24,AND(CX$19&gt;YEAR($H24),CX$19-YEAR($H24)&lt;20),$I24*12,CX$19-YEAR($H24)=20,DATEDIF(DATE(YEAR($H24),1,1),$H24,"m")*$I24,CX$19-YEAR($H24)&gt;20,0)</f>
        <v>1430.52</v>
      </c>
      <c r="CY24" s="159" cm="1">
        <f t="array" ref="CY24">_xlfn.IFS(CY$19&lt;YEAR($H24),0,CY$19=YEAR($H24),DATEDIF($H24,DATE(CY$19,12,31),"m")*$I24,AND(CY$19&gt;YEAR($H24),CY$19-YEAR($H24)&lt;20),$I24*12,CY$19-YEAR($H24)=20,DATEDIF(DATE(YEAR($H24),1,1),$H24,"m")*$I24,CY$19-YEAR($H24)&gt;20,0)</f>
        <v>1430.52</v>
      </c>
      <c r="CZ24" s="159" cm="1">
        <f t="array" ref="CZ24">_xlfn.IFS(CZ$19&lt;YEAR($H24),0,CZ$19=YEAR($H24),DATEDIF($H24,DATE(CZ$19,12,31),"m")*$I24,AND(CZ$19&gt;YEAR($H24),CZ$19-YEAR($H24)&lt;20),$I24*12,CZ$19-YEAR($H24)=20,DATEDIF(DATE(YEAR($H24),1,1),$H24,"m")*$I24,CZ$19-YEAR($H24)&gt;20,0)</f>
        <v>238.42</v>
      </c>
      <c r="DA24" s="159" cm="1">
        <f t="array" ref="DA24">_xlfn.IFS(DA$19&lt;YEAR($H24),0,DA$19=YEAR($H24),DATEDIF($H24,DATE(DA$19,12,31),"m")*$I24,AND(DA$19&gt;YEAR($H24),DA$19-YEAR($H24)&lt;20),$I24*12,DA$19-YEAR($H24)=20,DATEDIF(DATE(YEAR($H24),1,1),$H24,"m")*$I24,DA$19-YEAR($H24)&gt;20,0)</f>
        <v>0</v>
      </c>
      <c r="DB24" s="159" cm="1">
        <f t="array" ref="DB24">_xlfn.IFS(DB$19&lt;YEAR($H24),0,DB$19=YEAR($H24),DATEDIF($H24,DATE(DB$19,12,31),"m")*$I24,AND(DB$19&gt;YEAR($H24),DB$19-YEAR($H24)&lt;20),$I24*12,DB$19-YEAR($H24)=20,DATEDIF(DATE(YEAR($H24),1,1),$H24,"m")*$I24,DB$19-YEAR($H24)&gt;20,0)</f>
        <v>0</v>
      </c>
      <c r="DJ24" t="b">
        <f>DJ23=CE18</f>
        <v>1</v>
      </c>
      <c r="DK24" t="b">
        <f t="shared" ref="DK24:EG24" si="17">DK23=CF18</f>
        <v>1</v>
      </c>
      <c r="DL24" t="b">
        <f t="shared" si="17"/>
        <v>1</v>
      </c>
      <c r="DM24" t="b">
        <f t="shared" si="17"/>
        <v>1</v>
      </c>
      <c r="DN24" t="b">
        <f t="shared" si="17"/>
        <v>1</v>
      </c>
      <c r="DO24" t="b">
        <f t="shared" si="17"/>
        <v>1</v>
      </c>
      <c r="DP24" t="b">
        <f t="shared" si="17"/>
        <v>1</v>
      </c>
      <c r="DQ24" t="b">
        <f t="shared" si="17"/>
        <v>1</v>
      </c>
      <c r="DR24" t="b">
        <f t="shared" si="17"/>
        <v>1</v>
      </c>
      <c r="DS24" t="b">
        <f t="shared" si="17"/>
        <v>1</v>
      </c>
      <c r="DT24" t="b">
        <f t="shared" si="17"/>
        <v>1</v>
      </c>
      <c r="DU24" t="b">
        <f t="shared" si="17"/>
        <v>1</v>
      </c>
      <c r="DV24" t="b">
        <f t="shared" si="17"/>
        <v>1</v>
      </c>
      <c r="DW24" t="b">
        <f t="shared" si="17"/>
        <v>1</v>
      </c>
      <c r="DX24" t="b">
        <f t="shared" si="17"/>
        <v>1</v>
      </c>
      <c r="DY24" t="b">
        <f t="shared" si="17"/>
        <v>1</v>
      </c>
      <c r="DZ24" t="b">
        <f t="shared" si="17"/>
        <v>1</v>
      </c>
      <c r="EA24" t="b">
        <f t="shared" si="17"/>
        <v>1</v>
      </c>
      <c r="EB24" t="b">
        <f t="shared" si="17"/>
        <v>1</v>
      </c>
      <c r="EC24" t="b">
        <f t="shared" si="17"/>
        <v>1</v>
      </c>
      <c r="ED24" t="b">
        <f t="shared" si="17"/>
        <v>1</v>
      </c>
      <c r="EE24" t="b">
        <f t="shared" si="17"/>
        <v>1</v>
      </c>
      <c r="EF24" t="b">
        <f t="shared" si="17"/>
        <v>1</v>
      </c>
      <c r="EG24" t="b">
        <f t="shared" si="17"/>
        <v>1</v>
      </c>
    </row>
    <row r="25" spans="1:137">
      <c r="A25" s="165" t="s">
        <v>11</v>
      </c>
      <c r="B25" s="165">
        <v>2</v>
      </c>
      <c r="C25" s="165" t="s">
        <v>99</v>
      </c>
      <c r="D25" s="182">
        <f>VLOOKUP($M$2,$M$7:$Q$10,3,FALSE)*$B$16</f>
        <v>17.5</v>
      </c>
      <c r="E25" s="183">
        <v>46388</v>
      </c>
      <c r="F25" s="184">
        <f t="shared" si="11"/>
        <v>46935</v>
      </c>
      <c r="G25" s="184">
        <f t="shared" si="12"/>
        <v>47119</v>
      </c>
      <c r="H25" s="184">
        <f t="shared" si="5"/>
        <v>47179</v>
      </c>
      <c r="I25" s="157">
        <f t="shared" si="13"/>
        <v>12.64</v>
      </c>
      <c r="J25" s="164">
        <f t="shared" si="14"/>
        <v>0</v>
      </c>
      <c r="K25" s="164">
        <f t="shared" si="15"/>
        <v>0</v>
      </c>
      <c r="L25" s="164">
        <f t="shared" si="15"/>
        <v>0</v>
      </c>
      <c r="M25" s="164">
        <f t="shared" si="15"/>
        <v>0</v>
      </c>
      <c r="N25" s="164">
        <f t="shared" si="15"/>
        <v>0</v>
      </c>
      <c r="O25" s="164">
        <f t="shared" si="15"/>
        <v>0</v>
      </c>
      <c r="P25" s="164">
        <f t="shared" si="15"/>
        <v>0</v>
      </c>
      <c r="Q25" s="164">
        <f t="shared" si="15"/>
        <v>0</v>
      </c>
      <c r="R25" s="164">
        <f t="shared" si="15"/>
        <v>0</v>
      </c>
      <c r="S25" s="164">
        <f t="shared" si="15"/>
        <v>0</v>
      </c>
      <c r="T25" s="164">
        <f t="shared" si="15"/>
        <v>0</v>
      </c>
      <c r="U25" s="164">
        <f t="shared" si="15"/>
        <v>0</v>
      </c>
      <c r="V25" s="164">
        <f t="shared" si="15"/>
        <v>0</v>
      </c>
      <c r="W25" s="164">
        <f t="shared" si="15"/>
        <v>0</v>
      </c>
      <c r="X25" s="164">
        <f t="shared" si="15"/>
        <v>0</v>
      </c>
      <c r="Y25" s="164">
        <f t="shared" si="15"/>
        <v>0</v>
      </c>
      <c r="Z25" s="164">
        <f t="shared" si="15"/>
        <v>0</v>
      </c>
      <c r="AA25" s="164">
        <f t="shared" si="15"/>
        <v>0</v>
      </c>
      <c r="AB25" s="164">
        <f t="shared" si="15"/>
        <v>0</v>
      </c>
      <c r="AC25" s="164">
        <f t="shared" si="15"/>
        <v>0</v>
      </c>
      <c r="AD25" s="164">
        <f t="shared" si="15"/>
        <v>0</v>
      </c>
      <c r="AE25" s="164">
        <f t="shared" si="15"/>
        <v>0</v>
      </c>
      <c r="AF25" s="164">
        <f t="shared" si="15"/>
        <v>0</v>
      </c>
      <c r="AG25" s="164">
        <f t="shared" si="15"/>
        <v>0</v>
      </c>
      <c r="AH25" s="164">
        <f t="shared" si="15"/>
        <v>0</v>
      </c>
      <c r="AI25" s="164">
        <f t="shared" si="15"/>
        <v>0</v>
      </c>
      <c r="AJ25" s="164">
        <f t="shared" si="15"/>
        <v>0</v>
      </c>
      <c r="AK25" s="164">
        <f t="shared" si="15"/>
        <v>12.64</v>
      </c>
      <c r="AL25" s="164">
        <f t="shared" si="15"/>
        <v>12.64</v>
      </c>
      <c r="AM25" s="164">
        <f t="shared" si="15"/>
        <v>12.64</v>
      </c>
      <c r="AN25" s="164">
        <f t="shared" si="15"/>
        <v>12.64</v>
      </c>
      <c r="AO25" s="164">
        <f t="shared" si="15"/>
        <v>12.64</v>
      </c>
      <c r="AP25" s="164">
        <f t="shared" si="15"/>
        <v>12.64</v>
      </c>
      <c r="AQ25" s="164">
        <f t="shared" si="15"/>
        <v>12.64</v>
      </c>
      <c r="AR25" s="164">
        <f t="shared" si="15"/>
        <v>12.64</v>
      </c>
      <c r="AS25" s="164">
        <f t="shared" si="15"/>
        <v>12.64</v>
      </c>
      <c r="AT25" s="164">
        <f t="shared" si="15"/>
        <v>12.64</v>
      </c>
      <c r="AU25" s="164">
        <f t="shared" si="15"/>
        <v>12.64</v>
      </c>
      <c r="AV25" s="164">
        <f t="shared" si="15"/>
        <v>12.64</v>
      </c>
      <c r="AW25" s="164">
        <f t="shared" si="15"/>
        <v>12.64</v>
      </c>
      <c r="AX25" s="164">
        <f t="shared" si="15"/>
        <v>12.64</v>
      </c>
      <c r="AY25" s="164">
        <f t="shared" si="15"/>
        <v>12.64</v>
      </c>
      <c r="AZ25" s="164">
        <f t="shared" si="15"/>
        <v>12.64</v>
      </c>
      <c r="BA25" s="164">
        <f t="shared" si="15"/>
        <v>12.64</v>
      </c>
      <c r="BB25" s="164">
        <f t="shared" si="15"/>
        <v>12.64</v>
      </c>
      <c r="BC25" s="164">
        <f t="shared" si="15"/>
        <v>12.64</v>
      </c>
      <c r="BD25" s="164">
        <f t="shared" si="15"/>
        <v>12.64</v>
      </c>
      <c r="BE25" s="164">
        <f t="shared" si="15"/>
        <v>12.64</v>
      </c>
      <c r="BF25" s="164">
        <f t="shared" si="15"/>
        <v>12.64</v>
      </c>
      <c r="BG25" s="164">
        <f t="shared" si="15"/>
        <v>12.64</v>
      </c>
      <c r="BH25" s="164">
        <f t="shared" si="15"/>
        <v>12.64</v>
      </c>
      <c r="BI25" s="164">
        <f t="shared" si="15"/>
        <v>12.64</v>
      </c>
      <c r="BJ25" s="164">
        <f t="shared" si="15"/>
        <v>12.64</v>
      </c>
      <c r="BK25" s="164">
        <f t="shared" si="15"/>
        <v>12.64</v>
      </c>
      <c r="BL25" s="164">
        <f t="shared" si="15"/>
        <v>12.64</v>
      </c>
      <c r="BM25" s="164">
        <f t="shared" si="15"/>
        <v>12.64</v>
      </c>
      <c r="BN25" s="164">
        <f t="shared" si="15"/>
        <v>12.64</v>
      </c>
      <c r="BO25" s="164">
        <f t="shared" si="15"/>
        <v>12.64</v>
      </c>
      <c r="BP25" s="164">
        <f t="shared" si="15"/>
        <v>12.64</v>
      </c>
      <c r="BQ25" s="164">
        <f t="shared" si="15"/>
        <v>12.64</v>
      </c>
      <c r="BR25" s="164">
        <f t="shared" si="15"/>
        <v>12.64</v>
      </c>
      <c r="BS25" s="164">
        <f t="shared" si="15"/>
        <v>12.64</v>
      </c>
      <c r="BT25" s="164">
        <f t="shared" si="15"/>
        <v>12.64</v>
      </c>
      <c r="BU25" s="164">
        <f t="shared" si="15"/>
        <v>12.64</v>
      </c>
      <c r="BV25" s="164">
        <f t="shared" si="15"/>
        <v>12.64</v>
      </c>
      <c r="BW25" s="164">
        <f t="shared" si="7"/>
        <v>12.64</v>
      </c>
      <c r="BX25" s="164">
        <f t="shared" si="7"/>
        <v>12.64</v>
      </c>
      <c r="BY25" s="164">
        <f t="shared" si="7"/>
        <v>12.64</v>
      </c>
      <c r="BZ25" s="164">
        <f t="shared" si="7"/>
        <v>12.64</v>
      </c>
      <c r="CA25" s="164">
        <f t="shared" si="7"/>
        <v>12.64</v>
      </c>
      <c r="CB25" s="164">
        <f t="shared" si="7"/>
        <v>12.64</v>
      </c>
      <c r="CC25" s="164">
        <f t="shared" si="7"/>
        <v>12.64</v>
      </c>
      <c r="CE25" s="159" cm="1">
        <f t="array" ref="CE25">_xlfn.IFS(CE$19&lt;YEAR($H25),0,CE$19=YEAR($H25),DATEDIF($H25,DATE(CE$19,12,31),"m")*$I25,AND(CE$19&gt;YEAR($H25),CE$19-YEAR($H25)&lt;20),$I25*12,CE$19-YEAR($H25)=20,DATEDIF(DATE(YEAR($H25),1,1),$H25,"m")*$I25,CE$19-YEAR($H25)&gt;20,0)</f>
        <v>0</v>
      </c>
      <c r="CF25" s="159" cm="1">
        <f t="array" ref="CF25">_xlfn.IFS(CF$19&lt;YEAR($H25),0,CF$19=YEAR($H25),DATEDIF($H25,DATE(CF$19,12,31),"m")*$I25,AND(CF$19&gt;YEAR($H25),CF$19-YEAR($H25)&lt;20),$I25*12,CF$19-YEAR($H25)=20,DATEDIF(DATE(YEAR($H25),1,1),$H25,"m")*$I25,CF$19-YEAR($H25)&gt;20,0)</f>
        <v>0</v>
      </c>
      <c r="CG25" s="159" cm="1">
        <f t="array" ref="CG25">_xlfn.IFS(CG$19&lt;YEAR($H25),0,CG$19=YEAR($H25),DATEDIF($H25,DATE(CG$19,12,31),"m")*$I25,AND(CG$19&gt;YEAR($H25),CG$19-YEAR($H25)&lt;20),$I25*12,CG$19-YEAR($H25)=20,DATEDIF(DATE(YEAR($H25),1,1),$H25,"m")*$I25,CG$19-YEAR($H25)&gt;20,0)</f>
        <v>113.76</v>
      </c>
      <c r="CH25" s="159" cm="1">
        <f t="array" ref="CH25">_xlfn.IFS(CH$19&lt;YEAR($H25),0,CH$19=YEAR($H25),DATEDIF($H25,DATE(CH$19,12,31),"m")*$I25,AND(CH$19&gt;YEAR($H25),CH$19-YEAR($H25)&lt;20),$I25*12,CH$19-YEAR($H25)=20,DATEDIF(DATE(YEAR($H25),1,1),$H25,"m")*$I25,CH$19-YEAR($H25)&gt;20,0)</f>
        <v>151.68</v>
      </c>
      <c r="CI25" s="159" cm="1">
        <f t="array" ref="CI25">_xlfn.IFS(CI$19&lt;YEAR($H25),0,CI$19=YEAR($H25),DATEDIF($H25,DATE(CI$19,12,31),"m")*$I25,AND(CI$19&gt;YEAR($H25),CI$19-YEAR($H25)&lt;20),$I25*12,CI$19-YEAR($H25)=20,DATEDIF(DATE(YEAR($H25),1,1),$H25,"m")*$I25,CI$19-YEAR($H25)&gt;20,0)</f>
        <v>151.68</v>
      </c>
      <c r="CJ25" s="159" cm="1">
        <f t="array" ref="CJ25">_xlfn.IFS(CJ$19&lt;YEAR($H25),0,CJ$19=YEAR($H25),DATEDIF($H25,DATE(CJ$19,12,31),"m")*$I25,AND(CJ$19&gt;YEAR($H25),CJ$19-YEAR($H25)&lt;20),$I25*12,CJ$19-YEAR($H25)=20,DATEDIF(DATE(YEAR($H25),1,1),$H25,"m")*$I25,CJ$19-YEAR($H25)&gt;20,0)</f>
        <v>151.68</v>
      </c>
      <c r="CK25" s="159" cm="1">
        <f t="array" ref="CK25">_xlfn.IFS(CK$19&lt;YEAR($H25),0,CK$19=YEAR($H25),DATEDIF($H25,DATE(CK$19,12,31),"m")*$I25,AND(CK$19&gt;YEAR($H25),CK$19-YEAR($H25)&lt;20),$I25*12,CK$19-YEAR($H25)=20,DATEDIF(DATE(YEAR($H25),1,1),$H25,"m")*$I25,CK$19-YEAR($H25)&gt;20,0)</f>
        <v>151.68</v>
      </c>
      <c r="CL25" s="159" cm="1">
        <f t="array" ref="CL25">_xlfn.IFS(CL$19&lt;YEAR($H25),0,CL$19=YEAR($H25),DATEDIF($H25,DATE(CL$19,12,31),"m")*$I25,AND(CL$19&gt;YEAR($H25),CL$19-YEAR($H25)&lt;20),$I25*12,CL$19-YEAR($H25)=20,DATEDIF(DATE(YEAR($H25),1,1),$H25,"m")*$I25,CL$19-YEAR($H25)&gt;20,0)</f>
        <v>151.68</v>
      </c>
      <c r="CM25" s="159" cm="1">
        <f t="array" ref="CM25">_xlfn.IFS(CM$19&lt;YEAR($H25),0,CM$19=YEAR($H25),DATEDIF($H25,DATE(CM$19,12,31),"m")*$I25,AND(CM$19&gt;YEAR($H25),CM$19-YEAR($H25)&lt;20),$I25*12,CM$19-YEAR($H25)=20,DATEDIF(DATE(YEAR($H25),1,1),$H25,"m")*$I25,CM$19-YEAR($H25)&gt;20,0)</f>
        <v>151.68</v>
      </c>
      <c r="CN25" s="159" cm="1">
        <f t="array" ref="CN25">_xlfn.IFS(CN$19&lt;YEAR($H25),0,CN$19=YEAR($H25),DATEDIF($H25,DATE(CN$19,12,31),"m")*$I25,AND(CN$19&gt;YEAR($H25),CN$19-YEAR($H25)&lt;20),$I25*12,CN$19-YEAR($H25)=20,DATEDIF(DATE(YEAR($H25),1,1),$H25,"m")*$I25,CN$19-YEAR($H25)&gt;20,0)</f>
        <v>151.68</v>
      </c>
      <c r="CO25" s="159" cm="1">
        <f t="array" ref="CO25">_xlfn.IFS(CO$19&lt;YEAR($H25),0,CO$19=YEAR($H25),DATEDIF($H25,DATE(CO$19,12,31),"m")*$I25,AND(CO$19&gt;YEAR($H25),CO$19-YEAR($H25)&lt;20),$I25*12,CO$19-YEAR($H25)=20,DATEDIF(DATE(YEAR($H25),1,1),$H25,"m")*$I25,CO$19-YEAR($H25)&gt;20,0)</f>
        <v>151.68</v>
      </c>
      <c r="CP25" s="159" cm="1">
        <f t="array" ref="CP25">_xlfn.IFS(CP$19&lt;YEAR($H25),0,CP$19=YEAR($H25),DATEDIF($H25,DATE(CP$19,12,31),"m")*$I25,AND(CP$19&gt;YEAR($H25),CP$19-YEAR($H25)&lt;20),$I25*12,CP$19-YEAR($H25)=20,DATEDIF(DATE(YEAR($H25),1,1),$H25,"m")*$I25,CP$19-YEAR($H25)&gt;20,0)</f>
        <v>151.68</v>
      </c>
      <c r="CQ25" s="159" cm="1">
        <f t="array" ref="CQ25">_xlfn.IFS(CQ$19&lt;YEAR($H25),0,CQ$19=YEAR($H25),DATEDIF($H25,DATE(CQ$19,12,31),"m")*$I25,AND(CQ$19&gt;YEAR($H25),CQ$19-YEAR($H25)&lt;20),$I25*12,CQ$19-YEAR($H25)=20,DATEDIF(DATE(YEAR($H25),1,1),$H25,"m")*$I25,CQ$19-YEAR($H25)&gt;20,0)</f>
        <v>151.68</v>
      </c>
      <c r="CR25" s="159" cm="1">
        <f t="array" ref="CR25">_xlfn.IFS(CR$19&lt;YEAR($H25),0,CR$19=YEAR($H25),DATEDIF($H25,DATE(CR$19,12,31),"m")*$I25,AND(CR$19&gt;YEAR($H25),CR$19-YEAR($H25)&lt;20),$I25*12,CR$19-YEAR($H25)=20,DATEDIF(DATE(YEAR($H25),1,1),$H25,"m")*$I25,CR$19-YEAR($H25)&gt;20,0)</f>
        <v>151.68</v>
      </c>
      <c r="CS25" s="159" cm="1">
        <f t="array" ref="CS25">_xlfn.IFS(CS$19&lt;YEAR($H25),0,CS$19=YEAR($H25),DATEDIF($H25,DATE(CS$19,12,31),"m")*$I25,AND(CS$19&gt;YEAR($H25),CS$19-YEAR($H25)&lt;20),$I25*12,CS$19-YEAR($H25)=20,DATEDIF(DATE(YEAR($H25),1,1),$H25,"m")*$I25,CS$19-YEAR($H25)&gt;20,0)</f>
        <v>151.68</v>
      </c>
      <c r="CT25" s="159" cm="1">
        <f t="array" ref="CT25">_xlfn.IFS(CT$19&lt;YEAR($H25),0,CT$19=YEAR($H25),DATEDIF($H25,DATE(CT$19,12,31),"m")*$I25,AND(CT$19&gt;YEAR($H25),CT$19-YEAR($H25)&lt;20),$I25*12,CT$19-YEAR($H25)=20,DATEDIF(DATE(YEAR($H25),1,1),$H25,"m")*$I25,CT$19-YEAR($H25)&gt;20,0)</f>
        <v>151.68</v>
      </c>
      <c r="CU25" s="159" cm="1">
        <f t="array" ref="CU25">_xlfn.IFS(CU$19&lt;YEAR($H25),0,CU$19=YEAR($H25),DATEDIF($H25,DATE(CU$19,12,31),"m")*$I25,AND(CU$19&gt;YEAR($H25),CU$19-YEAR($H25)&lt;20),$I25*12,CU$19-YEAR($H25)=20,DATEDIF(DATE(YEAR($H25),1,1),$H25,"m")*$I25,CU$19-YEAR($H25)&gt;20,0)</f>
        <v>151.68</v>
      </c>
      <c r="CV25" s="159" cm="1">
        <f t="array" ref="CV25">_xlfn.IFS(CV$19&lt;YEAR($H25),0,CV$19=YEAR($H25),DATEDIF($H25,DATE(CV$19,12,31),"m")*$I25,AND(CV$19&gt;YEAR($H25),CV$19-YEAR($H25)&lt;20),$I25*12,CV$19-YEAR($H25)=20,DATEDIF(DATE(YEAR($H25),1,1),$H25,"m")*$I25,CV$19-YEAR($H25)&gt;20,0)</f>
        <v>151.68</v>
      </c>
      <c r="CW25" s="159" cm="1">
        <f t="array" ref="CW25">_xlfn.IFS(CW$19&lt;YEAR($H25),0,CW$19=YEAR($H25),DATEDIF($H25,DATE(CW$19,12,31),"m")*$I25,AND(CW$19&gt;YEAR($H25),CW$19-YEAR($H25)&lt;20),$I25*12,CW$19-YEAR($H25)=20,DATEDIF(DATE(YEAR($H25),1,1),$H25,"m")*$I25,CW$19-YEAR($H25)&gt;20,0)</f>
        <v>151.68</v>
      </c>
      <c r="CX25" s="159" cm="1">
        <f t="array" ref="CX25">_xlfn.IFS(CX$19&lt;YEAR($H25),0,CX$19=YEAR($H25),DATEDIF($H25,DATE(CX$19,12,31),"m")*$I25,AND(CX$19&gt;YEAR($H25),CX$19-YEAR($H25)&lt;20),$I25*12,CX$19-YEAR($H25)=20,DATEDIF(DATE(YEAR($H25),1,1),$H25,"m")*$I25,CX$19-YEAR($H25)&gt;20,0)</f>
        <v>151.68</v>
      </c>
      <c r="CY25" s="159" cm="1">
        <f t="array" ref="CY25">_xlfn.IFS(CY$19&lt;YEAR($H25),0,CY$19=YEAR($H25),DATEDIF($H25,DATE(CY$19,12,31),"m")*$I25,AND(CY$19&gt;YEAR($H25),CY$19-YEAR($H25)&lt;20),$I25*12,CY$19-YEAR($H25)=20,DATEDIF(DATE(YEAR($H25),1,1),$H25,"m")*$I25,CY$19-YEAR($H25)&gt;20,0)</f>
        <v>151.68</v>
      </c>
      <c r="CZ25" s="159" cm="1">
        <f t="array" ref="CZ25">_xlfn.IFS(CZ$19&lt;YEAR($H25),0,CZ$19=YEAR($H25),DATEDIF($H25,DATE(CZ$19,12,31),"m")*$I25,AND(CZ$19&gt;YEAR($H25),CZ$19-YEAR($H25)&lt;20),$I25*12,CZ$19-YEAR($H25)=20,DATEDIF(DATE(YEAR($H25),1,1),$H25,"m")*$I25,CZ$19-YEAR($H25)&gt;20,0)</f>
        <v>151.68</v>
      </c>
      <c r="DA25" s="159" cm="1">
        <f t="array" ref="DA25">_xlfn.IFS(DA$19&lt;YEAR($H25),0,DA$19=YEAR($H25),DATEDIF($H25,DATE(DA$19,12,31),"m")*$I25,AND(DA$19&gt;YEAR($H25),DA$19-YEAR($H25)&lt;20),$I25*12,DA$19-YEAR($H25)=20,DATEDIF(DATE(YEAR($H25),1,1),$H25,"m")*$I25,DA$19-YEAR($H25)&gt;20,0)</f>
        <v>25.28</v>
      </c>
      <c r="DB25" s="159" cm="1">
        <f t="array" ref="DB25">_xlfn.IFS(DB$19&lt;YEAR($H25),0,DB$19=YEAR($H25),DATEDIF($H25,DATE(DB$19,12,31),"m")*$I25,AND(DB$19&gt;YEAR($H25),DB$19-YEAR($H25)&lt;20),$I25*12,DB$19-YEAR($H25)=20,DATEDIF(DATE(YEAR($H25),1,1),$H25,"m")*$I25,DB$19-YEAR($H25)&gt;20,0)</f>
        <v>0</v>
      </c>
      <c r="DI25" s="189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0"/>
      <c r="DX25" s="190"/>
      <c r="DY25" s="190"/>
      <c r="DZ25" s="190"/>
      <c r="EA25" s="190"/>
      <c r="EB25" s="190"/>
      <c r="EC25" s="190"/>
      <c r="ED25" s="190"/>
      <c r="EE25" s="190"/>
      <c r="EF25" s="190"/>
      <c r="EG25" s="190"/>
    </row>
    <row r="26" spans="1:137">
      <c r="A26" s="165" t="s">
        <v>11</v>
      </c>
      <c r="B26" s="165">
        <v>2</v>
      </c>
      <c r="C26" s="165" t="s">
        <v>75</v>
      </c>
      <c r="D26" s="182">
        <f>VLOOKUP($M$2,$M$7:$Q$10,3,FALSE)*$C$16</f>
        <v>15640</v>
      </c>
      <c r="E26" s="183">
        <v>46388</v>
      </c>
      <c r="F26" s="184">
        <f t="shared" si="11"/>
        <v>46935</v>
      </c>
      <c r="G26" s="184">
        <f t="shared" si="12"/>
        <v>47119</v>
      </c>
      <c r="H26" s="184">
        <f t="shared" si="5"/>
        <v>47179</v>
      </c>
      <c r="I26" s="157">
        <f t="shared" si="13"/>
        <v>5982.3</v>
      </c>
      <c r="J26" s="164">
        <f t="shared" si="14"/>
        <v>0</v>
      </c>
      <c r="K26" s="164">
        <f t="shared" si="15"/>
        <v>0</v>
      </c>
      <c r="L26" s="164">
        <f t="shared" si="15"/>
        <v>0</v>
      </c>
      <c r="M26" s="164">
        <f t="shared" si="15"/>
        <v>0</v>
      </c>
      <c r="N26" s="164">
        <f t="shared" si="15"/>
        <v>0</v>
      </c>
      <c r="O26" s="164">
        <f t="shared" si="15"/>
        <v>0</v>
      </c>
      <c r="P26" s="164">
        <f t="shared" si="15"/>
        <v>0</v>
      </c>
      <c r="Q26" s="164">
        <f t="shared" si="15"/>
        <v>0</v>
      </c>
      <c r="R26" s="164">
        <f t="shared" si="15"/>
        <v>0</v>
      </c>
      <c r="S26" s="164">
        <f t="shared" si="15"/>
        <v>0</v>
      </c>
      <c r="T26" s="164">
        <f t="shared" si="15"/>
        <v>0</v>
      </c>
      <c r="U26" s="164">
        <f t="shared" si="15"/>
        <v>0</v>
      </c>
      <c r="V26" s="164">
        <f t="shared" si="15"/>
        <v>0</v>
      </c>
      <c r="W26" s="164">
        <f t="shared" si="15"/>
        <v>0</v>
      </c>
      <c r="X26" s="164">
        <f t="shared" si="15"/>
        <v>0</v>
      </c>
      <c r="Y26" s="164">
        <f t="shared" si="15"/>
        <v>0</v>
      </c>
      <c r="Z26" s="164">
        <f t="shared" si="15"/>
        <v>0</v>
      </c>
      <c r="AA26" s="164">
        <f t="shared" si="15"/>
        <v>0</v>
      </c>
      <c r="AB26" s="164">
        <f t="shared" si="15"/>
        <v>0</v>
      </c>
      <c r="AC26" s="164">
        <f t="shared" si="15"/>
        <v>0</v>
      </c>
      <c r="AD26" s="164">
        <f t="shared" si="15"/>
        <v>0</v>
      </c>
      <c r="AE26" s="164">
        <f t="shared" si="15"/>
        <v>0</v>
      </c>
      <c r="AF26" s="164">
        <f t="shared" si="15"/>
        <v>0</v>
      </c>
      <c r="AG26" s="164">
        <f t="shared" si="15"/>
        <v>0</v>
      </c>
      <c r="AH26" s="164">
        <f t="shared" si="15"/>
        <v>0</v>
      </c>
      <c r="AI26" s="164">
        <f t="shared" si="15"/>
        <v>0</v>
      </c>
      <c r="AJ26" s="164">
        <f t="shared" si="15"/>
        <v>0</v>
      </c>
      <c r="AK26" s="164">
        <f t="shared" si="15"/>
        <v>5982.3</v>
      </c>
      <c r="AL26" s="164">
        <f t="shared" si="15"/>
        <v>5982.3</v>
      </c>
      <c r="AM26" s="164">
        <f t="shared" si="15"/>
        <v>5982.3</v>
      </c>
      <c r="AN26" s="164">
        <f t="shared" si="15"/>
        <v>5982.3</v>
      </c>
      <c r="AO26" s="164">
        <f t="shared" si="15"/>
        <v>5982.3</v>
      </c>
      <c r="AP26" s="164">
        <f t="shared" si="15"/>
        <v>5982.3</v>
      </c>
      <c r="AQ26" s="164">
        <f t="shared" si="15"/>
        <v>5982.3</v>
      </c>
      <c r="AR26" s="164">
        <f t="shared" si="15"/>
        <v>5982.3</v>
      </c>
      <c r="AS26" s="164">
        <f t="shared" si="15"/>
        <v>5982.3</v>
      </c>
      <c r="AT26" s="164">
        <f t="shared" si="15"/>
        <v>5982.3</v>
      </c>
      <c r="AU26" s="164">
        <f t="shared" si="15"/>
        <v>5982.3</v>
      </c>
      <c r="AV26" s="164">
        <f t="shared" si="15"/>
        <v>5982.3</v>
      </c>
      <c r="AW26" s="164">
        <f t="shared" si="15"/>
        <v>5982.3</v>
      </c>
      <c r="AX26" s="164">
        <f t="shared" si="15"/>
        <v>5982.3</v>
      </c>
      <c r="AY26" s="164">
        <f t="shared" si="15"/>
        <v>5982.3</v>
      </c>
      <c r="AZ26" s="164">
        <f t="shared" si="15"/>
        <v>5982.3</v>
      </c>
      <c r="BA26" s="164">
        <f t="shared" si="15"/>
        <v>5982.3</v>
      </c>
      <c r="BB26" s="164">
        <f t="shared" si="15"/>
        <v>5982.3</v>
      </c>
      <c r="BC26" s="164">
        <f t="shared" si="15"/>
        <v>5982.3</v>
      </c>
      <c r="BD26" s="164">
        <f t="shared" si="15"/>
        <v>5982.3</v>
      </c>
      <c r="BE26" s="164">
        <f t="shared" si="15"/>
        <v>5982.3</v>
      </c>
      <c r="BF26" s="164">
        <f t="shared" si="15"/>
        <v>5982.3</v>
      </c>
      <c r="BG26" s="164">
        <f t="shared" si="15"/>
        <v>5982.3</v>
      </c>
      <c r="BH26" s="164">
        <f t="shared" si="15"/>
        <v>5982.3</v>
      </c>
      <c r="BI26" s="164">
        <f t="shared" si="15"/>
        <v>5982.3</v>
      </c>
      <c r="BJ26" s="164">
        <f t="shared" si="15"/>
        <v>5982.3</v>
      </c>
      <c r="BK26" s="164">
        <f t="shared" si="15"/>
        <v>5982.3</v>
      </c>
      <c r="BL26" s="164">
        <f t="shared" si="15"/>
        <v>5982.3</v>
      </c>
      <c r="BM26" s="164">
        <f t="shared" si="15"/>
        <v>5982.3</v>
      </c>
      <c r="BN26" s="164">
        <f t="shared" si="15"/>
        <v>5982.3</v>
      </c>
      <c r="BO26" s="164">
        <f t="shared" si="15"/>
        <v>5982.3</v>
      </c>
      <c r="BP26" s="164">
        <f t="shared" si="15"/>
        <v>5982.3</v>
      </c>
      <c r="BQ26" s="164">
        <f t="shared" si="15"/>
        <v>5982.3</v>
      </c>
      <c r="BR26" s="164">
        <f t="shared" si="15"/>
        <v>5982.3</v>
      </c>
      <c r="BS26" s="164">
        <f t="shared" si="15"/>
        <v>5982.3</v>
      </c>
      <c r="BT26" s="164">
        <f t="shared" si="15"/>
        <v>5982.3</v>
      </c>
      <c r="BU26" s="164">
        <f t="shared" si="15"/>
        <v>5982.3</v>
      </c>
      <c r="BV26" s="164">
        <f t="shared" si="15"/>
        <v>5982.3</v>
      </c>
      <c r="BW26" s="164">
        <f t="shared" si="7"/>
        <v>5982.3</v>
      </c>
      <c r="BX26" s="164">
        <f t="shared" si="7"/>
        <v>5982.3</v>
      </c>
      <c r="BY26" s="164">
        <f t="shared" si="7"/>
        <v>5982.3</v>
      </c>
      <c r="BZ26" s="164">
        <f t="shared" si="7"/>
        <v>5982.3</v>
      </c>
      <c r="CA26" s="164">
        <f t="shared" si="7"/>
        <v>5982.3</v>
      </c>
      <c r="CB26" s="164">
        <f t="shared" si="7"/>
        <v>5982.3</v>
      </c>
      <c r="CC26" s="164">
        <f t="shared" si="7"/>
        <v>5982.3</v>
      </c>
      <c r="CE26" s="159" cm="1">
        <f t="array" ref="CE26">_xlfn.IFS(CE$19&lt;YEAR($H26),0,CE$19=YEAR($H26),DATEDIF($H26,DATE(CE$19,12,31),"m")*$I26,AND(CE$19&gt;YEAR($H26),CE$19-YEAR($H26)&lt;20),$I26*12,CE$19-YEAR($H26)=20,DATEDIF(DATE(YEAR($H26),1,1),$H26,"m")*$I26,CE$19-YEAR($H26)&gt;20,0)</f>
        <v>0</v>
      </c>
      <c r="CF26" s="159" cm="1">
        <f t="array" ref="CF26">_xlfn.IFS(CF$19&lt;YEAR($H26),0,CF$19=YEAR($H26),DATEDIF($H26,DATE(CF$19,12,31),"m")*$I26,AND(CF$19&gt;YEAR($H26),CF$19-YEAR($H26)&lt;20),$I26*12,CF$19-YEAR($H26)=20,DATEDIF(DATE(YEAR($H26),1,1),$H26,"m")*$I26,CF$19-YEAR($H26)&gt;20,0)</f>
        <v>0</v>
      </c>
      <c r="CG26" s="159" cm="1">
        <f t="array" ref="CG26">_xlfn.IFS(CG$19&lt;YEAR($H26),0,CG$19=YEAR($H26),DATEDIF($H26,DATE(CG$19,12,31),"m")*$I26,AND(CG$19&gt;YEAR($H26),CG$19-YEAR($H26)&lt;20),$I26*12,CG$19-YEAR($H26)=20,DATEDIF(DATE(YEAR($H26),1,1),$H26,"m")*$I26,CG$19-YEAR($H26)&gt;20,0)</f>
        <v>53840.700000000004</v>
      </c>
      <c r="CH26" s="159" cm="1">
        <f t="array" ref="CH26">_xlfn.IFS(CH$19&lt;YEAR($H26),0,CH$19=YEAR($H26),DATEDIF($H26,DATE(CH$19,12,31),"m")*$I26,AND(CH$19&gt;YEAR($H26),CH$19-YEAR($H26)&lt;20),$I26*12,CH$19-YEAR($H26)=20,DATEDIF(DATE(YEAR($H26),1,1),$H26,"m")*$I26,CH$19-YEAR($H26)&gt;20,0)</f>
        <v>71787.600000000006</v>
      </c>
      <c r="CI26" s="159" cm="1">
        <f t="array" ref="CI26">_xlfn.IFS(CI$19&lt;YEAR($H26),0,CI$19=YEAR($H26),DATEDIF($H26,DATE(CI$19,12,31),"m")*$I26,AND(CI$19&gt;YEAR($H26),CI$19-YEAR($H26)&lt;20),$I26*12,CI$19-YEAR($H26)=20,DATEDIF(DATE(YEAR($H26),1,1),$H26,"m")*$I26,CI$19-YEAR($H26)&gt;20,0)</f>
        <v>71787.600000000006</v>
      </c>
      <c r="CJ26" s="159" cm="1">
        <f t="array" ref="CJ26">_xlfn.IFS(CJ$19&lt;YEAR($H26),0,CJ$19=YEAR($H26),DATEDIF($H26,DATE(CJ$19,12,31),"m")*$I26,AND(CJ$19&gt;YEAR($H26),CJ$19-YEAR($H26)&lt;20),$I26*12,CJ$19-YEAR($H26)=20,DATEDIF(DATE(YEAR($H26),1,1),$H26,"m")*$I26,CJ$19-YEAR($H26)&gt;20,0)</f>
        <v>71787.600000000006</v>
      </c>
      <c r="CK26" s="159" cm="1">
        <f t="array" ref="CK26">_xlfn.IFS(CK$19&lt;YEAR($H26),0,CK$19=YEAR($H26),DATEDIF($H26,DATE(CK$19,12,31),"m")*$I26,AND(CK$19&gt;YEAR($H26),CK$19-YEAR($H26)&lt;20),$I26*12,CK$19-YEAR($H26)=20,DATEDIF(DATE(YEAR($H26),1,1),$H26,"m")*$I26,CK$19-YEAR($H26)&gt;20,0)</f>
        <v>71787.600000000006</v>
      </c>
      <c r="CL26" s="159" cm="1">
        <f t="array" ref="CL26">_xlfn.IFS(CL$19&lt;YEAR($H26),0,CL$19=YEAR($H26),DATEDIF($H26,DATE(CL$19,12,31),"m")*$I26,AND(CL$19&gt;YEAR($H26),CL$19-YEAR($H26)&lt;20),$I26*12,CL$19-YEAR($H26)=20,DATEDIF(DATE(YEAR($H26),1,1),$H26,"m")*$I26,CL$19-YEAR($H26)&gt;20,0)</f>
        <v>71787.600000000006</v>
      </c>
      <c r="CM26" s="159" cm="1">
        <f t="array" ref="CM26">_xlfn.IFS(CM$19&lt;YEAR($H26),0,CM$19=YEAR($H26),DATEDIF($H26,DATE(CM$19,12,31),"m")*$I26,AND(CM$19&gt;YEAR($H26),CM$19-YEAR($H26)&lt;20),$I26*12,CM$19-YEAR($H26)=20,DATEDIF(DATE(YEAR($H26),1,1),$H26,"m")*$I26,CM$19-YEAR($H26)&gt;20,0)</f>
        <v>71787.600000000006</v>
      </c>
      <c r="CN26" s="159" cm="1">
        <f t="array" ref="CN26">_xlfn.IFS(CN$19&lt;YEAR($H26),0,CN$19=YEAR($H26),DATEDIF($H26,DATE(CN$19,12,31),"m")*$I26,AND(CN$19&gt;YEAR($H26),CN$19-YEAR($H26)&lt;20),$I26*12,CN$19-YEAR($H26)=20,DATEDIF(DATE(YEAR($H26),1,1),$H26,"m")*$I26,CN$19-YEAR($H26)&gt;20,0)</f>
        <v>71787.600000000006</v>
      </c>
      <c r="CO26" s="159" cm="1">
        <f t="array" ref="CO26">_xlfn.IFS(CO$19&lt;YEAR($H26),0,CO$19=YEAR($H26),DATEDIF($H26,DATE(CO$19,12,31),"m")*$I26,AND(CO$19&gt;YEAR($H26),CO$19-YEAR($H26)&lt;20),$I26*12,CO$19-YEAR($H26)=20,DATEDIF(DATE(YEAR($H26),1,1),$H26,"m")*$I26,CO$19-YEAR($H26)&gt;20,0)</f>
        <v>71787.600000000006</v>
      </c>
      <c r="CP26" s="159" cm="1">
        <f t="array" ref="CP26">_xlfn.IFS(CP$19&lt;YEAR($H26),0,CP$19=YEAR($H26),DATEDIF($H26,DATE(CP$19,12,31),"m")*$I26,AND(CP$19&gt;YEAR($H26),CP$19-YEAR($H26)&lt;20),$I26*12,CP$19-YEAR($H26)=20,DATEDIF(DATE(YEAR($H26),1,1),$H26,"m")*$I26,CP$19-YEAR($H26)&gt;20,0)</f>
        <v>71787.600000000006</v>
      </c>
      <c r="CQ26" s="159" cm="1">
        <f t="array" ref="CQ26">_xlfn.IFS(CQ$19&lt;YEAR($H26),0,CQ$19=YEAR($H26),DATEDIF($H26,DATE(CQ$19,12,31),"m")*$I26,AND(CQ$19&gt;YEAR($H26),CQ$19-YEAR($H26)&lt;20),$I26*12,CQ$19-YEAR($H26)=20,DATEDIF(DATE(YEAR($H26),1,1),$H26,"m")*$I26,CQ$19-YEAR($H26)&gt;20,0)</f>
        <v>71787.600000000006</v>
      </c>
      <c r="CR26" s="159" cm="1">
        <f t="array" ref="CR26">_xlfn.IFS(CR$19&lt;YEAR($H26),0,CR$19=YEAR($H26),DATEDIF($H26,DATE(CR$19,12,31),"m")*$I26,AND(CR$19&gt;YEAR($H26),CR$19-YEAR($H26)&lt;20),$I26*12,CR$19-YEAR($H26)=20,DATEDIF(DATE(YEAR($H26),1,1),$H26,"m")*$I26,CR$19-YEAR($H26)&gt;20,0)</f>
        <v>71787.600000000006</v>
      </c>
      <c r="CS26" s="159" cm="1">
        <f t="array" ref="CS26">_xlfn.IFS(CS$19&lt;YEAR($H26),0,CS$19=YEAR($H26),DATEDIF($H26,DATE(CS$19,12,31),"m")*$I26,AND(CS$19&gt;YEAR($H26),CS$19-YEAR($H26)&lt;20),$I26*12,CS$19-YEAR($H26)=20,DATEDIF(DATE(YEAR($H26),1,1),$H26,"m")*$I26,CS$19-YEAR($H26)&gt;20,0)</f>
        <v>71787.600000000006</v>
      </c>
      <c r="CT26" s="159" cm="1">
        <f t="array" ref="CT26">_xlfn.IFS(CT$19&lt;YEAR($H26),0,CT$19=YEAR($H26),DATEDIF($H26,DATE(CT$19,12,31),"m")*$I26,AND(CT$19&gt;YEAR($H26),CT$19-YEAR($H26)&lt;20),$I26*12,CT$19-YEAR($H26)=20,DATEDIF(DATE(YEAR($H26),1,1),$H26,"m")*$I26,CT$19-YEAR($H26)&gt;20,0)</f>
        <v>71787.600000000006</v>
      </c>
      <c r="CU26" s="159" cm="1">
        <f t="array" ref="CU26">_xlfn.IFS(CU$19&lt;YEAR($H26),0,CU$19=YEAR($H26),DATEDIF($H26,DATE(CU$19,12,31),"m")*$I26,AND(CU$19&gt;YEAR($H26),CU$19-YEAR($H26)&lt;20),$I26*12,CU$19-YEAR($H26)=20,DATEDIF(DATE(YEAR($H26),1,1),$H26,"m")*$I26,CU$19-YEAR($H26)&gt;20,0)</f>
        <v>71787.600000000006</v>
      </c>
      <c r="CV26" s="159" cm="1">
        <f t="array" ref="CV26">_xlfn.IFS(CV$19&lt;YEAR($H26),0,CV$19=YEAR($H26),DATEDIF($H26,DATE(CV$19,12,31),"m")*$I26,AND(CV$19&gt;YEAR($H26),CV$19-YEAR($H26)&lt;20),$I26*12,CV$19-YEAR($H26)=20,DATEDIF(DATE(YEAR($H26),1,1),$H26,"m")*$I26,CV$19-YEAR($H26)&gt;20,0)</f>
        <v>71787.600000000006</v>
      </c>
      <c r="CW26" s="159" cm="1">
        <f t="array" ref="CW26">_xlfn.IFS(CW$19&lt;YEAR($H26),0,CW$19=YEAR($H26),DATEDIF($H26,DATE(CW$19,12,31),"m")*$I26,AND(CW$19&gt;YEAR($H26),CW$19-YEAR($H26)&lt;20),$I26*12,CW$19-YEAR($H26)=20,DATEDIF(DATE(YEAR($H26),1,1),$H26,"m")*$I26,CW$19-YEAR($H26)&gt;20,0)</f>
        <v>71787.600000000006</v>
      </c>
      <c r="CX26" s="159" cm="1">
        <f t="array" ref="CX26">_xlfn.IFS(CX$19&lt;YEAR($H26),0,CX$19=YEAR($H26),DATEDIF($H26,DATE(CX$19,12,31),"m")*$I26,AND(CX$19&gt;YEAR($H26),CX$19-YEAR($H26)&lt;20),$I26*12,CX$19-YEAR($H26)=20,DATEDIF(DATE(YEAR($H26),1,1),$H26,"m")*$I26,CX$19-YEAR($H26)&gt;20,0)</f>
        <v>71787.600000000006</v>
      </c>
      <c r="CY26" s="159" cm="1">
        <f t="array" ref="CY26">_xlfn.IFS(CY$19&lt;YEAR($H26),0,CY$19=YEAR($H26),DATEDIF($H26,DATE(CY$19,12,31),"m")*$I26,AND(CY$19&gt;YEAR($H26),CY$19-YEAR($H26)&lt;20),$I26*12,CY$19-YEAR($H26)=20,DATEDIF(DATE(YEAR($H26),1,1),$H26,"m")*$I26,CY$19-YEAR($H26)&gt;20,0)</f>
        <v>71787.600000000006</v>
      </c>
      <c r="CZ26" s="159" cm="1">
        <f t="array" ref="CZ26">_xlfn.IFS(CZ$19&lt;YEAR($H26),0,CZ$19=YEAR($H26),DATEDIF($H26,DATE(CZ$19,12,31),"m")*$I26,AND(CZ$19&gt;YEAR($H26),CZ$19-YEAR($H26)&lt;20),$I26*12,CZ$19-YEAR($H26)=20,DATEDIF(DATE(YEAR($H26),1,1),$H26,"m")*$I26,CZ$19-YEAR($H26)&gt;20,0)</f>
        <v>71787.600000000006</v>
      </c>
      <c r="DA26" s="159" cm="1">
        <f t="array" ref="DA26">_xlfn.IFS(DA$19&lt;YEAR($H26),0,DA$19=YEAR($H26),DATEDIF($H26,DATE(DA$19,12,31),"m")*$I26,AND(DA$19&gt;YEAR($H26),DA$19-YEAR($H26)&lt;20),$I26*12,DA$19-YEAR($H26)=20,DATEDIF(DATE(YEAR($H26),1,1),$H26,"m")*$I26,DA$19-YEAR($H26)&gt;20,0)</f>
        <v>11964.6</v>
      </c>
      <c r="DB26" s="159" cm="1">
        <f t="array" ref="DB26">_xlfn.IFS(DB$19&lt;YEAR($H26),0,DB$19=YEAR($H26),DATEDIF($H26,DATE(DB$19,12,31),"m")*$I26,AND(DB$19&gt;YEAR($H26),DB$19-YEAR($H26)&lt;20),$I26*12,DB$19-YEAR($H26)=20,DATEDIF(DATE(YEAR($H26),1,1),$H26,"m")*$I26,DB$19-YEAR($H26)&gt;20,0)</f>
        <v>0</v>
      </c>
    </row>
    <row r="27" spans="1:137">
      <c r="A27" s="165" t="s">
        <v>12</v>
      </c>
      <c r="B27" s="165">
        <v>2</v>
      </c>
      <c r="C27" s="165" t="s">
        <v>99</v>
      </c>
      <c r="D27" s="182">
        <f>VLOOKUP($M$2,$M$7:$Q$10,3,FALSE)*$D$16</f>
        <v>243.5049999999992</v>
      </c>
      <c r="E27" s="183">
        <v>46388</v>
      </c>
      <c r="F27" s="184">
        <f t="shared" si="11"/>
        <v>46935</v>
      </c>
      <c r="G27" s="184">
        <f t="shared" si="12"/>
        <v>47119</v>
      </c>
      <c r="H27" s="184">
        <f t="shared" si="5"/>
        <v>47179</v>
      </c>
      <c r="I27" s="157">
        <f t="shared" si="13"/>
        <v>175.93</v>
      </c>
      <c r="J27" s="164">
        <f t="shared" si="14"/>
        <v>0</v>
      </c>
      <c r="K27" s="164">
        <f t="shared" si="15"/>
        <v>0</v>
      </c>
      <c r="L27" s="164">
        <f t="shared" si="15"/>
        <v>0</v>
      </c>
      <c r="M27" s="164">
        <f t="shared" si="15"/>
        <v>0</v>
      </c>
      <c r="N27" s="164">
        <f t="shared" si="15"/>
        <v>0</v>
      </c>
      <c r="O27" s="164">
        <f t="shared" si="15"/>
        <v>0</v>
      </c>
      <c r="P27" s="164">
        <f t="shared" si="15"/>
        <v>0</v>
      </c>
      <c r="Q27" s="164">
        <f t="shared" si="15"/>
        <v>0</v>
      </c>
      <c r="R27" s="164">
        <f t="shared" si="15"/>
        <v>0</v>
      </c>
      <c r="S27" s="164">
        <f t="shared" si="15"/>
        <v>0</v>
      </c>
      <c r="T27" s="164">
        <f t="shared" si="15"/>
        <v>0</v>
      </c>
      <c r="U27" s="164">
        <f t="shared" si="15"/>
        <v>0</v>
      </c>
      <c r="V27" s="164">
        <f t="shared" si="15"/>
        <v>0</v>
      </c>
      <c r="W27" s="164">
        <f t="shared" si="15"/>
        <v>0</v>
      </c>
      <c r="X27" s="164">
        <f t="shared" si="15"/>
        <v>0</v>
      </c>
      <c r="Y27" s="164">
        <f t="shared" si="15"/>
        <v>0</v>
      </c>
      <c r="Z27" s="164">
        <f t="shared" si="15"/>
        <v>0</v>
      </c>
      <c r="AA27" s="164">
        <f t="shared" si="15"/>
        <v>0</v>
      </c>
      <c r="AB27" s="164">
        <f t="shared" si="15"/>
        <v>0</v>
      </c>
      <c r="AC27" s="164">
        <f t="shared" si="15"/>
        <v>0</v>
      </c>
      <c r="AD27" s="164">
        <f t="shared" si="15"/>
        <v>0</v>
      </c>
      <c r="AE27" s="164">
        <f t="shared" si="15"/>
        <v>0</v>
      </c>
      <c r="AF27" s="164">
        <f t="shared" si="15"/>
        <v>0</v>
      </c>
      <c r="AG27" s="164">
        <f t="shared" si="15"/>
        <v>0</v>
      </c>
      <c r="AH27" s="164">
        <f t="shared" si="15"/>
        <v>0</v>
      </c>
      <c r="AI27" s="164">
        <f t="shared" si="15"/>
        <v>0</v>
      </c>
      <c r="AJ27" s="164">
        <f t="shared" si="15"/>
        <v>0</v>
      </c>
      <c r="AK27" s="164">
        <f t="shared" si="15"/>
        <v>175.93</v>
      </c>
      <c r="AL27" s="164">
        <f t="shared" si="15"/>
        <v>175.93</v>
      </c>
      <c r="AM27" s="164">
        <f t="shared" si="15"/>
        <v>175.93</v>
      </c>
      <c r="AN27" s="164">
        <f t="shared" si="15"/>
        <v>175.93</v>
      </c>
      <c r="AO27" s="164">
        <f t="shared" si="15"/>
        <v>175.93</v>
      </c>
      <c r="AP27" s="164">
        <f t="shared" si="15"/>
        <v>175.93</v>
      </c>
      <c r="AQ27" s="164">
        <f t="shared" si="15"/>
        <v>175.93</v>
      </c>
      <c r="AR27" s="164">
        <f t="shared" si="15"/>
        <v>175.93</v>
      </c>
      <c r="AS27" s="164">
        <f t="shared" si="15"/>
        <v>175.93</v>
      </c>
      <c r="AT27" s="164">
        <f t="shared" si="15"/>
        <v>175.93</v>
      </c>
      <c r="AU27" s="164">
        <f t="shared" si="15"/>
        <v>175.93</v>
      </c>
      <c r="AV27" s="164">
        <f t="shared" si="15"/>
        <v>175.93</v>
      </c>
      <c r="AW27" s="164">
        <f t="shared" si="15"/>
        <v>175.93</v>
      </c>
      <c r="AX27" s="164">
        <f t="shared" si="15"/>
        <v>175.93</v>
      </c>
      <c r="AY27" s="164">
        <f t="shared" si="15"/>
        <v>175.93</v>
      </c>
      <c r="AZ27" s="164">
        <f t="shared" si="15"/>
        <v>175.93</v>
      </c>
      <c r="BA27" s="164">
        <f t="shared" si="15"/>
        <v>175.93</v>
      </c>
      <c r="BB27" s="164">
        <f t="shared" si="15"/>
        <v>175.93</v>
      </c>
      <c r="BC27" s="164">
        <f t="shared" si="15"/>
        <v>175.93</v>
      </c>
      <c r="BD27" s="164">
        <f t="shared" si="15"/>
        <v>175.93</v>
      </c>
      <c r="BE27" s="164">
        <f t="shared" si="15"/>
        <v>175.93</v>
      </c>
      <c r="BF27" s="164">
        <f t="shared" si="15"/>
        <v>175.93</v>
      </c>
      <c r="BG27" s="164">
        <f t="shared" si="15"/>
        <v>175.93</v>
      </c>
      <c r="BH27" s="164">
        <f t="shared" si="15"/>
        <v>175.93</v>
      </c>
      <c r="BI27" s="164">
        <f t="shared" si="15"/>
        <v>175.93</v>
      </c>
      <c r="BJ27" s="164">
        <f t="shared" si="15"/>
        <v>175.93</v>
      </c>
      <c r="BK27" s="164">
        <f t="shared" si="15"/>
        <v>175.93</v>
      </c>
      <c r="BL27" s="164">
        <f t="shared" si="15"/>
        <v>175.93</v>
      </c>
      <c r="BM27" s="164">
        <f t="shared" si="15"/>
        <v>175.93</v>
      </c>
      <c r="BN27" s="164">
        <f t="shared" si="15"/>
        <v>175.93</v>
      </c>
      <c r="BO27" s="164">
        <f t="shared" si="15"/>
        <v>175.93</v>
      </c>
      <c r="BP27" s="164">
        <f t="shared" si="15"/>
        <v>175.93</v>
      </c>
      <c r="BQ27" s="164">
        <f t="shared" si="15"/>
        <v>175.93</v>
      </c>
      <c r="BR27" s="164">
        <f t="shared" si="15"/>
        <v>175.93</v>
      </c>
      <c r="BS27" s="164">
        <f t="shared" si="15"/>
        <v>175.93</v>
      </c>
      <c r="BT27" s="164">
        <f t="shared" si="15"/>
        <v>175.93</v>
      </c>
      <c r="BU27" s="164">
        <f t="shared" ref="BU27:CC39" si="18">IF(BU$19&gt;=$H27,$I27,0)</f>
        <v>175.93</v>
      </c>
      <c r="BV27" s="164">
        <f t="shared" si="18"/>
        <v>175.93</v>
      </c>
      <c r="BW27" s="164">
        <f t="shared" si="7"/>
        <v>175.93</v>
      </c>
      <c r="BX27" s="164">
        <f t="shared" si="7"/>
        <v>175.93</v>
      </c>
      <c r="BY27" s="164">
        <f t="shared" si="7"/>
        <v>175.93</v>
      </c>
      <c r="BZ27" s="164">
        <f t="shared" si="7"/>
        <v>175.93</v>
      </c>
      <c r="CA27" s="164">
        <f t="shared" si="7"/>
        <v>175.93</v>
      </c>
      <c r="CB27" s="164">
        <f t="shared" si="7"/>
        <v>175.93</v>
      </c>
      <c r="CC27" s="164">
        <f t="shared" si="7"/>
        <v>175.93</v>
      </c>
      <c r="CE27" s="159" cm="1">
        <f t="array" ref="CE27">_xlfn.IFS(CE$19&lt;YEAR($H27),0,CE$19=YEAR($H27),DATEDIF($H27,DATE(CE$19,12,31),"m")*$I27,AND(CE$19&gt;YEAR($H27),CE$19-YEAR($H27)&lt;20),$I27*12,CE$19-YEAR($H27)=20,DATEDIF(DATE(YEAR($H27),1,1),$H27,"m")*$I27,CE$19-YEAR($H27)&gt;20,0)</f>
        <v>0</v>
      </c>
      <c r="CF27" s="159" cm="1">
        <f t="array" ref="CF27">_xlfn.IFS(CF$19&lt;YEAR($H27),0,CF$19=YEAR($H27),DATEDIF($H27,DATE(CF$19,12,31),"m")*$I27,AND(CF$19&gt;YEAR($H27),CF$19-YEAR($H27)&lt;20),$I27*12,CF$19-YEAR($H27)=20,DATEDIF(DATE(YEAR($H27),1,1),$H27,"m")*$I27,CF$19-YEAR($H27)&gt;20,0)</f>
        <v>0</v>
      </c>
      <c r="CG27" s="159" cm="1">
        <f t="array" ref="CG27">_xlfn.IFS(CG$19&lt;YEAR($H27),0,CG$19=YEAR($H27),DATEDIF($H27,DATE(CG$19,12,31),"m")*$I27,AND(CG$19&gt;YEAR($H27),CG$19-YEAR($H27)&lt;20),$I27*12,CG$19-YEAR($H27)=20,DATEDIF(DATE(YEAR($H27),1,1),$H27,"m")*$I27,CG$19-YEAR($H27)&gt;20,0)</f>
        <v>1583.3700000000001</v>
      </c>
      <c r="CH27" s="159" cm="1">
        <f t="array" ref="CH27">_xlfn.IFS(CH$19&lt;YEAR($H27),0,CH$19=YEAR($H27),DATEDIF($H27,DATE(CH$19,12,31),"m")*$I27,AND(CH$19&gt;YEAR($H27),CH$19-YEAR($H27)&lt;20),$I27*12,CH$19-YEAR($H27)=20,DATEDIF(DATE(YEAR($H27),1,1),$H27,"m")*$I27,CH$19-YEAR($H27)&gt;20,0)</f>
        <v>2111.16</v>
      </c>
      <c r="CI27" s="159" cm="1">
        <f t="array" ref="CI27">_xlfn.IFS(CI$19&lt;YEAR($H27),0,CI$19=YEAR($H27),DATEDIF($H27,DATE(CI$19,12,31),"m")*$I27,AND(CI$19&gt;YEAR($H27),CI$19-YEAR($H27)&lt;20),$I27*12,CI$19-YEAR($H27)=20,DATEDIF(DATE(YEAR($H27),1,1),$H27,"m")*$I27,CI$19-YEAR($H27)&gt;20,0)</f>
        <v>2111.16</v>
      </c>
      <c r="CJ27" s="159" cm="1">
        <f t="array" ref="CJ27">_xlfn.IFS(CJ$19&lt;YEAR($H27),0,CJ$19=YEAR($H27),DATEDIF($H27,DATE(CJ$19,12,31),"m")*$I27,AND(CJ$19&gt;YEAR($H27),CJ$19-YEAR($H27)&lt;20),$I27*12,CJ$19-YEAR($H27)=20,DATEDIF(DATE(YEAR($H27),1,1),$H27,"m")*$I27,CJ$19-YEAR($H27)&gt;20,0)</f>
        <v>2111.16</v>
      </c>
      <c r="CK27" s="159" cm="1">
        <f t="array" ref="CK27">_xlfn.IFS(CK$19&lt;YEAR($H27),0,CK$19=YEAR($H27),DATEDIF($H27,DATE(CK$19,12,31),"m")*$I27,AND(CK$19&gt;YEAR($H27),CK$19-YEAR($H27)&lt;20),$I27*12,CK$19-YEAR($H27)=20,DATEDIF(DATE(YEAR($H27),1,1),$H27,"m")*$I27,CK$19-YEAR($H27)&gt;20,0)</f>
        <v>2111.16</v>
      </c>
      <c r="CL27" s="159" cm="1">
        <f t="array" ref="CL27">_xlfn.IFS(CL$19&lt;YEAR($H27),0,CL$19=YEAR($H27),DATEDIF($H27,DATE(CL$19,12,31),"m")*$I27,AND(CL$19&gt;YEAR($H27),CL$19-YEAR($H27)&lt;20),$I27*12,CL$19-YEAR($H27)=20,DATEDIF(DATE(YEAR($H27),1,1),$H27,"m")*$I27,CL$19-YEAR($H27)&gt;20,0)</f>
        <v>2111.16</v>
      </c>
      <c r="CM27" s="159" cm="1">
        <f t="array" ref="CM27">_xlfn.IFS(CM$19&lt;YEAR($H27),0,CM$19=YEAR($H27),DATEDIF($H27,DATE(CM$19,12,31),"m")*$I27,AND(CM$19&gt;YEAR($H27),CM$19-YEAR($H27)&lt;20),$I27*12,CM$19-YEAR($H27)=20,DATEDIF(DATE(YEAR($H27),1,1),$H27,"m")*$I27,CM$19-YEAR($H27)&gt;20,0)</f>
        <v>2111.16</v>
      </c>
      <c r="CN27" s="159" cm="1">
        <f t="array" ref="CN27">_xlfn.IFS(CN$19&lt;YEAR($H27),0,CN$19=YEAR($H27),DATEDIF($H27,DATE(CN$19,12,31),"m")*$I27,AND(CN$19&gt;YEAR($H27),CN$19-YEAR($H27)&lt;20),$I27*12,CN$19-YEAR($H27)=20,DATEDIF(DATE(YEAR($H27),1,1),$H27,"m")*$I27,CN$19-YEAR($H27)&gt;20,0)</f>
        <v>2111.16</v>
      </c>
      <c r="CO27" s="159" cm="1">
        <f t="array" ref="CO27">_xlfn.IFS(CO$19&lt;YEAR($H27),0,CO$19=YEAR($H27),DATEDIF($H27,DATE(CO$19,12,31),"m")*$I27,AND(CO$19&gt;YEAR($H27),CO$19-YEAR($H27)&lt;20),$I27*12,CO$19-YEAR($H27)=20,DATEDIF(DATE(YEAR($H27),1,1),$H27,"m")*$I27,CO$19-YEAR($H27)&gt;20,0)</f>
        <v>2111.16</v>
      </c>
      <c r="CP27" s="159" cm="1">
        <f t="array" ref="CP27">_xlfn.IFS(CP$19&lt;YEAR($H27),0,CP$19=YEAR($H27),DATEDIF($H27,DATE(CP$19,12,31),"m")*$I27,AND(CP$19&gt;YEAR($H27),CP$19-YEAR($H27)&lt;20),$I27*12,CP$19-YEAR($H27)=20,DATEDIF(DATE(YEAR($H27),1,1),$H27,"m")*$I27,CP$19-YEAR($H27)&gt;20,0)</f>
        <v>2111.16</v>
      </c>
      <c r="CQ27" s="159" cm="1">
        <f t="array" ref="CQ27">_xlfn.IFS(CQ$19&lt;YEAR($H27),0,CQ$19=YEAR($H27),DATEDIF($H27,DATE(CQ$19,12,31),"m")*$I27,AND(CQ$19&gt;YEAR($H27),CQ$19-YEAR($H27)&lt;20),$I27*12,CQ$19-YEAR($H27)=20,DATEDIF(DATE(YEAR($H27),1,1),$H27,"m")*$I27,CQ$19-YEAR($H27)&gt;20,0)</f>
        <v>2111.16</v>
      </c>
      <c r="CR27" s="159" cm="1">
        <f t="array" ref="CR27">_xlfn.IFS(CR$19&lt;YEAR($H27),0,CR$19=YEAR($H27),DATEDIF($H27,DATE(CR$19,12,31),"m")*$I27,AND(CR$19&gt;YEAR($H27),CR$19-YEAR($H27)&lt;20),$I27*12,CR$19-YEAR($H27)=20,DATEDIF(DATE(YEAR($H27),1,1),$H27,"m")*$I27,CR$19-YEAR($H27)&gt;20,0)</f>
        <v>2111.16</v>
      </c>
      <c r="CS27" s="159" cm="1">
        <f t="array" ref="CS27">_xlfn.IFS(CS$19&lt;YEAR($H27),0,CS$19=YEAR($H27),DATEDIF($H27,DATE(CS$19,12,31),"m")*$I27,AND(CS$19&gt;YEAR($H27),CS$19-YEAR($H27)&lt;20),$I27*12,CS$19-YEAR($H27)=20,DATEDIF(DATE(YEAR($H27),1,1),$H27,"m")*$I27,CS$19-YEAR($H27)&gt;20,0)</f>
        <v>2111.16</v>
      </c>
      <c r="CT27" s="159" cm="1">
        <f t="array" ref="CT27">_xlfn.IFS(CT$19&lt;YEAR($H27),0,CT$19=YEAR($H27),DATEDIF($H27,DATE(CT$19,12,31),"m")*$I27,AND(CT$19&gt;YEAR($H27),CT$19-YEAR($H27)&lt;20),$I27*12,CT$19-YEAR($H27)=20,DATEDIF(DATE(YEAR($H27),1,1),$H27,"m")*$I27,CT$19-YEAR($H27)&gt;20,0)</f>
        <v>2111.16</v>
      </c>
      <c r="CU27" s="159" cm="1">
        <f t="array" ref="CU27">_xlfn.IFS(CU$19&lt;YEAR($H27),0,CU$19=YEAR($H27),DATEDIF($H27,DATE(CU$19,12,31),"m")*$I27,AND(CU$19&gt;YEAR($H27),CU$19-YEAR($H27)&lt;20),$I27*12,CU$19-YEAR($H27)=20,DATEDIF(DATE(YEAR($H27),1,1),$H27,"m")*$I27,CU$19-YEAR($H27)&gt;20,0)</f>
        <v>2111.16</v>
      </c>
      <c r="CV27" s="159" cm="1">
        <f t="array" ref="CV27">_xlfn.IFS(CV$19&lt;YEAR($H27),0,CV$19=YEAR($H27),DATEDIF($H27,DATE(CV$19,12,31),"m")*$I27,AND(CV$19&gt;YEAR($H27),CV$19-YEAR($H27)&lt;20),$I27*12,CV$19-YEAR($H27)=20,DATEDIF(DATE(YEAR($H27),1,1),$H27,"m")*$I27,CV$19-YEAR($H27)&gt;20,0)</f>
        <v>2111.16</v>
      </c>
      <c r="CW27" s="159" cm="1">
        <f t="array" ref="CW27">_xlfn.IFS(CW$19&lt;YEAR($H27),0,CW$19=YEAR($H27),DATEDIF($H27,DATE(CW$19,12,31),"m")*$I27,AND(CW$19&gt;YEAR($H27),CW$19-YEAR($H27)&lt;20),$I27*12,CW$19-YEAR($H27)=20,DATEDIF(DATE(YEAR($H27),1,1),$H27,"m")*$I27,CW$19-YEAR($H27)&gt;20,0)</f>
        <v>2111.16</v>
      </c>
      <c r="CX27" s="159" cm="1">
        <f t="array" ref="CX27">_xlfn.IFS(CX$19&lt;YEAR($H27),0,CX$19=YEAR($H27),DATEDIF($H27,DATE(CX$19,12,31),"m")*$I27,AND(CX$19&gt;YEAR($H27),CX$19-YEAR($H27)&lt;20),$I27*12,CX$19-YEAR($H27)=20,DATEDIF(DATE(YEAR($H27),1,1),$H27,"m")*$I27,CX$19-YEAR($H27)&gt;20,0)</f>
        <v>2111.16</v>
      </c>
      <c r="CY27" s="159" cm="1">
        <f t="array" ref="CY27">_xlfn.IFS(CY$19&lt;YEAR($H27),0,CY$19=YEAR($H27),DATEDIF($H27,DATE(CY$19,12,31),"m")*$I27,AND(CY$19&gt;YEAR($H27),CY$19-YEAR($H27)&lt;20),$I27*12,CY$19-YEAR($H27)=20,DATEDIF(DATE(YEAR($H27),1,1),$H27,"m")*$I27,CY$19-YEAR($H27)&gt;20,0)</f>
        <v>2111.16</v>
      </c>
      <c r="CZ27" s="159" cm="1">
        <f t="array" ref="CZ27">_xlfn.IFS(CZ$19&lt;YEAR($H27),0,CZ$19=YEAR($H27),DATEDIF($H27,DATE(CZ$19,12,31),"m")*$I27,AND(CZ$19&gt;YEAR($H27),CZ$19-YEAR($H27)&lt;20),$I27*12,CZ$19-YEAR($H27)=20,DATEDIF(DATE(YEAR($H27),1,1),$H27,"m")*$I27,CZ$19-YEAR($H27)&gt;20,0)</f>
        <v>2111.16</v>
      </c>
      <c r="DA27" s="159" cm="1">
        <f t="array" ref="DA27">_xlfn.IFS(DA$19&lt;YEAR($H27),0,DA$19=YEAR($H27),DATEDIF($H27,DATE(DA$19,12,31),"m")*$I27,AND(DA$19&gt;YEAR($H27),DA$19-YEAR($H27)&lt;20),$I27*12,DA$19-YEAR($H27)=20,DATEDIF(DATE(YEAR($H27),1,1),$H27,"m")*$I27,DA$19-YEAR($H27)&gt;20,0)</f>
        <v>351.86</v>
      </c>
      <c r="DB27" s="159" cm="1">
        <f t="array" ref="DB27">_xlfn.IFS(DB$19&lt;YEAR($H27),0,DB$19=YEAR($H27),DATEDIF($H27,DATE(DB$19,12,31),"m")*$I27,AND(DB$19&gt;YEAR($H27),DB$19-YEAR($H27)&lt;20),$I27*12,DB$19-YEAR($H27)=20,DATEDIF(DATE(YEAR($H27),1,1),$H27,"m")*$I27,DB$19-YEAR($H27)&gt;20,0)</f>
        <v>0</v>
      </c>
    </row>
    <row r="28" spans="1:137">
      <c r="A28" s="165" t="s">
        <v>12</v>
      </c>
      <c r="B28" s="165">
        <v>2</v>
      </c>
      <c r="C28" s="165" t="s">
        <v>75</v>
      </c>
      <c r="D28" s="182">
        <f>VLOOKUP($M$2,$M$7:$Q$10,3,FALSE)*$E$16</f>
        <v>17940.5</v>
      </c>
      <c r="E28" s="183">
        <v>46388</v>
      </c>
      <c r="F28" s="184">
        <f t="shared" si="11"/>
        <v>46935</v>
      </c>
      <c r="G28" s="184">
        <f t="shared" si="12"/>
        <v>47119</v>
      </c>
      <c r="H28" s="184">
        <f t="shared" si="5"/>
        <v>47179</v>
      </c>
      <c r="I28" s="157">
        <f t="shared" si="13"/>
        <v>6862.24</v>
      </c>
      <c r="J28" s="164">
        <f t="shared" si="14"/>
        <v>0</v>
      </c>
      <c r="K28" s="164">
        <f t="shared" si="14"/>
        <v>0</v>
      </c>
      <c r="L28" s="164">
        <f t="shared" si="14"/>
        <v>0</v>
      </c>
      <c r="M28" s="164">
        <f t="shared" si="14"/>
        <v>0</v>
      </c>
      <c r="N28" s="164">
        <f t="shared" si="14"/>
        <v>0</v>
      </c>
      <c r="O28" s="164">
        <f t="shared" si="14"/>
        <v>0</v>
      </c>
      <c r="P28" s="164">
        <f t="shared" si="14"/>
        <v>0</v>
      </c>
      <c r="Q28" s="164">
        <f t="shared" si="14"/>
        <v>0</v>
      </c>
      <c r="R28" s="164">
        <f t="shared" si="14"/>
        <v>0</v>
      </c>
      <c r="S28" s="164">
        <f t="shared" si="14"/>
        <v>0</v>
      </c>
      <c r="T28" s="164">
        <f t="shared" si="14"/>
        <v>0</v>
      </c>
      <c r="U28" s="164">
        <f t="shared" si="14"/>
        <v>0</v>
      </c>
      <c r="V28" s="164">
        <f t="shared" si="14"/>
        <v>0</v>
      </c>
      <c r="W28" s="164">
        <f t="shared" si="14"/>
        <v>0</v>
      </c>
      <c r="X28" s="164">
        <f t="shared" si="14"/>
        <v>0</v>
      </c>
      <c r="Y28" s="164">
        <f t="shared" si="14"/>
        <v>0</v>
      </c>
      <c r="Z28" s="164">
        <f t="shared" ref="Z28:AO39" si="19">IF(Z$19&gt;=$H28,$I28,0)</f>
        <v>0</v>
      </c>
      <c r="AA28" s="164">
        <f t="shared" si="19"/>
        <v>0</v>
      </c>
      <c r="AB28" s="164">
        <f t="shared" si="19"/>
        <v>0</v>
      </c>
      <c r="AC28" s="164">
        <f t="shared" si="19"/>
        <v>0</v>
      </c>
      <c r="AD28" s="164">
        <f t="shared" si="19"/>
        <v>0</v>
      </c>
      <c r="AE28" s="164">
        <f t="shared" si="19"/>
        <v>0</v>
      </c>
      <c r="AF28" s="164">
        <f t="shared" si="19"/>
        <v>0</v>
      </c>
      <c r="AG28" s="164">
        <f t="shared" si="19"/>
        <v>0</v>
      </c>
      <c r="AH28" s="164">
        <f t="shared" si="19"/>
        <v>0</v>
      </c>
      <c r="AI28" s="164">
        <f t="shared" si="19"/>
        <v>0</v>
      </c>
      <c r="AJ28" s="164">
        <f t="shared" si="19"/>
        <v>0</v>
      </c>
      <c r="AK28" s="164">
        <f t="shared" si="19"/>
        <v>6862.24</v>
      </c>
      <c r="AL28" s="164">
        <f t="shared" si="19"/>
        <v>6862.24</v>
      </c>
      <c r="AM28" s="164">
        <f t="shared" si="19"/>
        <v>6862.24</v>
      </c>
      <c r="AN28" s="164">
        <f t="shared" si="19"/>
        <v>6862.24</v>
      </c>
      <c r="AO28" s="164">
        <f t="shared" si="19"/>
        <v>6862.24</v>
      </c>
      <c r="AP28" s="164">
        <f t="shared" ref="AP28:BE39" si="20">IF(AP$19&gt;=$H28,$I28,0)</f>
        <v>6862.24</v>
      </c>
      <c r="AQ28" s="164">
        <f t="shared" si="20"/>
        <v>6862.24</v>
      </c>
      <c r="AR28" s="164">
        <f t="shared" si="20"/>
        <v>6862.24</v>
      </c>
      <c r="AS28" s="164">
        <f t="shared" si="20"/>
        <v>6862.24</v>
      </c>
      <c r="AT28" s="164">
        <f t="shared" si="20"/>
        <v>6862.24</v>
      </c>
      <c r="AU28" s="164">
        <f t="shared" si="20"/>
        <v>6862.24</v>
      </c>
      <c r="AV28" s="164">
        <f t="shared" si="20"/>
        <v>6862.24</v>
      </c>
      <c r="AW28" s="164">
        <f t="shared" si="20"/>
        <v>6862.24</v>
      </c>
      <c r="AX28" s="164">
        <f t="shared" si="20"/>
        <v>6862.24</v>
      </c>
      <c r="AY28" s="164">
        <f t="shared" si="20"/>
        <v>6862.24</v>
      </c>
      <c r="AZ28" s="164">
        <f t="shared" si="20"/>
        <v>6862.24</v>
      </c>
      <c r="BA28" s="164">
        <f t="shared" si="20"/>
        <v>6862.24</v>
      </c>
      <c r="BB28" s="164">
        <f t="shared" si="20"/>
        <v>6862.24</v>
      </c>
      <c r="BC28" s="164">
        <f t="shared" si="20"/>
        <v>6862.24</v>
      </c>
      <c r="BD28" s="164">
        <f t="shared" si="20"/>
        <v>6862.24</v>
      </c>
      <c r="BE28" s="164">
        <f t="shared" si="20"/>
        <v>6862.24</v>
      </c>
      <c r="BF28" s="164">
        <f t="shared" ref="BF28:BU39" si="21">IF(BF$19&gt;=$H28,$I28,0)</f>
        <v>6862.24</v>
      </c>
      <c r="BG28" s="164">
        <f t="shared" si="21"/>
        <v>6862.24</v>
      </c>
      <c r="BH28" s="164">
        <f t="shared" si="21"/>
        <v>6862.24</v>
      </c>
      <c r="BI28" s="164">
        <f t="shared" si="21"/>
        <v>6862.24</v>
      </c>
      <c r="BJ28" s="164">
        <f t="shared" si="21"/>
        <v>6862.24</v>
      </c>
      <c r="BK28" s="164">
        <f t="shared" si="21"/>
        <v>6862.24</v>
      </c>
      <c r="BL28" s="164">
        <f t="shared" si="21"/>
        <v>6862.24</v>
      </c>
      <c r="BM28" s="164">
        <f t="shared" si="21"/>
        <v>6862.24</v>
      </c>
      <c r="BN28" s="164">
        <f t="shared" si="21"/>
        <v>6862.24</v>
      </c>
      <c r="BO28" s="164">
        <f t="shared" si="21"/>
        <v>6862.24</v>
      </c>
      <c r="BP28" s="164">
        <f t="shared" si="21"/>
        <v>6862.24</v>
      </c>
      <c r="BQ28" s="164">
        <f t="shared" si="21"/>
        <v>6862.24</v>
      </c>
      <c r="BR28" s="164">
        <f t="shared" si="21"/>
        <v>6862.24</v>
      </c>
      <c r="BS28" s="164">
        <f t="shared" si="21"/>
        <v>6862.24</v>
      </c>
      <c r="BT28" s="164">
        <f t="shared" si="21"/>
        <v>6862.24</v>
      </c>
      <c r="BU28" s="164">
        <f t="shared" si="21"/>
        <v>6862.24</v>
      </c>
      <c r="BV28" s="164">
        <f t="shared" si="18"/>
        <v>6862.24</v>
      </c>
      <c r="BW28" s="164">
        <f t="shared" si="7"/>
        <v>6862.24</v>
      </c>
      <c r="BX28" s="164">
        <f t="shared" si="7"/>
        <v>6862.24</v>
      </c>
      <c r="BY28" s="164">
        <f t="shared" si="7"/>
        <v>6862.24</v>
      </c>
      <c r="BZ28" s="164">
        <f t="shared" si="7"/>
        <v>6862.24</v>
      </c>
      <c r="CA28" s="164">
        <f t="shared" si="7"/>
        <v>6862.24</v>
      </c>
      <c r="CB28" s="164">
        <f t="shared" si="7"/>
        <v>6862.24</v>
      </c>
      <c r="CC28" s="164">
        <f t="shared" si="7"/>
        <v>6862.24</v>
      </c>
      <c r="CE28" s="159" cm="1">
        <f t="array" ref="CE28">_xlfn.IFS(CE$19&lt;YEAR($H28),0,CE$19=YEAR($H28),DATEDIF($H28,DATE(CE$19,12,31),"m")*$I28,AND(CE$19&gt;YEAR($H28),CE$19-YEAR($H28)&lt;20),$I28*12,CE$19-YEAR($H28)=20,DATEDIF(DATE(YEAR($H28),1,1),$H28,"m")*$I28,CE$19-YEAR($H28)&gt;20,0)</f>
        <v>0</v>
      </c>
      <c r="CF28" s="159" cm="1">
        <f t="array" ref="CF28">_xlfn.IFS(CF$19&lt;YEAR($H28),0,CF$19=YEAR($H28),DATEDIF($H28,DATE(CF$19,12,31),"m")*$I28,AND(CF$19&gt;YEAR($H28),CF$19-YEAR($H28)&lt;20),$I28*12,CF$19-YEAR($H28)=20,DATEDIF(DATE(YEAR($H28),1,1),$H28,"m")*$I28,CF$19-YEAR($H28)&gt;20,0)</f>
        <v>0</v>
      </c>
      <c r="CG28" s="159" cm="1">
        <f t="array" ref="CG28">_xlfn.IFS(CG$19&lt;YEAR($H28),0,CG$19=YEAR($H28),DATEDIF($H28,DATE(CG$19,12,31),"m")*$I28,AND(CG$19&gt;YEAR($H28),CG$19-YEAR($H28)&lt;20),$I28*12,CG$19-YEAR($H28)=20,DATEDIF(DATE(YEAR($H28),1,1),$H28,"m")*$I28,CG$19-YEAR($H28)&gt;20,0)</f>
        <v>61760.159999999996</v>
      </c>
      <c r="CH28" s="159" cm="1">
        <f t="array" ref="CH28">_xlfn.IFS(CH$19&lt;YEAR($H28),0,CH$19=YEAR($H28),DATEDIF($H28,DATE(CH$19,12,31),"m")*$I28,AND(CH$19&gt;YEAR($H28),CH$19-YEAR($H28)&lt;20),$I28*12,CH$19-YEAR($H28)=20,DATEDIF(DATE(YEAR($H28),1,1),$H28,"m")*$I28,CH$19-YEAR($H28)&gt;20,0)</f>
        <v>82346.880000000005</v>
      </c>
      <c r="CI28" s="159" cm="1">
        <f t="array" ref="CI28">_xlfn.IFS(CI$19&lt;YEAR($H28),0,CI$19=YEAR($H28),DATEDIF($H28,DATE(CI$19,12,31),"m")*$I28,AND(CI$19&gt;YEAR($H28),CI$19-YEAR($H28)&lt;20),$I28*12,CI$19-YEAR($H28)=20,DATEDIF(DATE(YEAR($H28),1,1),$H28,"m")*$I28,CI$19-YEAR($H28)&gt;20,0)</f>
        <v>82346.880000000005</v>
      </c>
      <c r="CJ28" s="159" cm="1">
        <f t="array" ref="CJ28">_xlfn.IFS(CJ$19&lt;YEAR($H28),0,CJ$19=YEAR($H28),DATEDIF($H28,DATE(CJ$19,12,31),"m")*$I28,AND(CJ$19&gt;YEAR($H28),CJ$19-YEAR($H28)&lt;20),$I28*12,CJ$19-YEAR($H28)=20,DATEDIF(DATE(YEAR($H28),1,1),$H28,"m")*$I28,CJ$19-YEAR($H28)&gt;20,0)</f>
        <v>82346.880000000005</v>
      </c>
      <c r="CK28" s="159" cm="1">
        <f t="array" ref="CK28">_xlfn.IFS(CK$19&lt;YEAR($H28),0,CK$19=YEAR($H28),DATEDIF($H28,DATE(CK$19,12,31),"m")*$I28,AND(CK$19&gt;YEAR($H28),CK$19-YEAR($H28)&lt;20),$I28*12,CK$19-YEAR($H28)=20,DATEDIF(DATE(YEAR($H28),1,1),$H28,"m")*$I28,CK$19-YEAR($H28)&gt;20,0)</f>
        <v>82346.880000000005</v>
      </c>
      <c r="CL28" s="159" cm="1">
        <f t="array" ref="CL28">_xlfn.IFS(CL$19&lt;YEAR($H28),0,CL$19=YEAR($H28),DATEDIF($H28,DATE(CL$19,12,31),"m")*$I28,AND(CL$19&gt;YEAR($H28),CL$19-YEAR($H28)&lt;20),$I28*12,CL$19-YEAR($H28)=20,DATEDIF(DATE(YEAR($H28),1,1),$H28,"m")*$I28,CL$19-YEAR($H28)&gt;20,0)</f>
        <v>82346.880000000005</v>
      </c>
      <c r="CM28" s="159" cm="1">
        <f t="array" ref="CM28">_xlfn.IFS(CM$19&lt;YEAR($H28),0,CM$19=YEAR($H28),DATEDIF($H28,DATE(CM$19,12,31),"m")*$I28,AND(CM$19&gt;YEAR($H28),CM$19-YEAR($H28)&lt;20),$I28*12,CM$19-YEAR($H28)=20,DATEDIF(DATE(YEAR($H28),1,1),$H28,"m")*$I28,CM$19-YEAR($H28)&gt;20,0)</f>
        <v>82346.880000000005</v>
      </c>
      <c r="CN28" s="159" cm="1">
        <f t="array" ref="CN28">_xlfn.IFS(CN$19&lt;YEAR($H28),0,CN$19=YEAR($H28),DATEDIF($H28,DATE(CN$19,12,31),"m")*$I28,AND(CN$19&gt;YEAR($H28),CN$19-YEAR($H28)&lt;20),$I28*12,CN$19-YEAR($H28)=20,DATEDIF(DATE(YEAR($H28),1,1),$H28,"m")*$I28,CN$19-YEAR($H28)&gt;20,0)</f>
        <v>82346.880000000005</v>
      </c>
      <c r="CO28" s="159" cm="1">
        <f t="array" ref="CO28">_xlfn.IFS(CO$19&lt;YEAR($H28),0,CO$19=YEAR($H28),DATEDIF($H28,DATE(CO$19,12,31),"m")*$I28,AND(CO$19&gt;YEAR($H28),CO$19-YEAR($H28)&lt;20),$I28*12,CO$19-YEAR($H28)=20,DATEDIF(DATE(YEAR($H28),1,1),$H28,"m")*$I28,CO$19-YEAR($H28)&gt;20,0)</f>
        <v>82346.880000000005</v>
      </c>
      <c r="CP28" s="159" cm="1">
        <f t="array" ref="CP28">_xlfn.IFS(CP$19&lt;YEAR($H28),0,CP$19=YEAR($H28),DATEDIF($H28,DATE(CP$19,12,31),"m")*$I28,AND(CP$19&gt;YEAR($H28),CP$19-YEAR($H28)&lt;20),$I28*12,CP$19-YEAR($H28)=20,DATEDIF(DATE(YEAR($H28),1,1),$H28,"m")*$I28,CP$19-YEAR($H28)&gt;20,0)</f>
        <v>82346.880000000005</v>
      </c>
      <c r="CQ28" s="159" cm="1">
        <f t="array" ref="CQ28">_xlfn.IFS(CQ$19&lt;YEAR($H28),0,CQ$19=YEAR($H28),DATEDIF($H28,DATE(CQ$19,12,31),"m")*$I28,AND(CQ$19&gt;YEAR($H28),CQ$19-YEAR($H28)&lt;20),$I28*12,CQ$19-YEAR($H28)=20,DATEDIF(DATE(YEAR($H28),1,1),$H28,"m")*$I28,CQ$19-YEAR($H28)&gt;20,0)</f>
        <v>82346.880000000005</v>
      </c>
      <c r="CR28" s="159" cm="1">
        <f t="array" ref="CR28">_xlfn.IFS(CR$19&lt;YEAR($H28),0,CR$19=YEAR($H28),DATEDIF($H28,DATE(CR$19,12,31),"m")*$I28,AND(CR$19&gt;YEAR($H28),CR$19-YEAR($H28)&lt;20),$I28*12,CR$19-YEAR($H28)=20,DATEDIF(DATE(YEAR($H28),1,1),$H28,"m")*$I28,CR$19-YEAR($H28)&gt;20,0)</f>
        <v>82346.880000000005</v>
      </c>
      <c r="CS28" s="159" cm="1">
        <f t="array" ref="CS28">_xlfn.IFS(CS$19&lt;YEAR($H28),0,CS$19=YEAR($H28),DATEDIF($H28,DATE(CS$19,12,31),"m")*$I28,AND(CS$19&gt;YEAR($H28),CS$19-YEAR($H28)&lt;20),$I28*12,CS$19-YEAR($H28)=20,DATEDIF(DATE(YEAR($H28),1,1),$H28,"m")*$I28,CS$19-YEAR($H28)&gt;20,0)</f>
        <v>82346.880000000005</v>
      </c>
      <c r="CT28" s="159" cm="1">
        <f t="array" ref="CT28">_xlfn.IFS(CT$19&lt;YEAR($H28),0,CT$19=YEAR($H28),DATEDIF($H28,DATE(CT$19,12,31),"m")*$I28,AND(CT$19&gt;YEAR($H28),CT$19-YEAR($H28)&lt;20),$I28*12,CT$19-YEAR($H28)=20,DATEDIF(DATE(YEAR($H28),1,1),$H28,"m")*$I28,CT$19-YEAR($H28)&gt;20,0)</f>
        <v>82346.880000000005</v>
      </c>
      <c r="CU28" s="159" cm="1">
        <f t="array" ref="CU28">_xlfn.IFS(CU$19&lt;YEAR($H28),0,CU$19=YEAR($H28),DATEDIF($H28,DATE(CU$19,12,31),"m")*$I28,AND(CU$19&gt;YEAR($H28),CU$19-YEAR($H28)&lt;20),$I28*12,CU$19-YEAR($H28)=20,DATEDIF(DATE(YEAR($H28),1,1),$H28,"m")*$I28,CU$19-YEAR($H28)&gt;20,0)</f>
        <v>82346.880000000005</v>
      </c>
      <c r="CV28" s="159" cm="1">
        <f t="array" ref="CV28">_xlfn.IFS(CV$19&lt;YEAR($H28),0,CV$19=YEAR($H28),DATEDIF($H28,DATE(CV$19,12,31),"m")*$I28,AND(CV$19&gt;YEAR($H28),CV$19-YEAR($H28)&lt;20),$I28*12,CV$19-YEAR($H28)=20,DATEDIF(DATE(YEAR($H28),1,1),$H28,"m")*$I28,CV$19-YEAR($H28)&gt;20,0)</f>
        <v>82346.880000000005</v>
      </c>
      <c r="CW28" s="159" cm="1">
        <f t="array" ref="CW28">_xlfn.IFS(CW$19&lt;YEAR($H28),0,CW$19=YEAR($H28),DATEDIF($H28,DATE(CW$19,12,31),"m")*$I28,AND(CW$19&gt;YEAR($H28),CW$19-YEAR($H28)&lt;20),$I28*12,CW$19-YEAR($H28)=20,DATEDIF(DATE(YEAR($H28),1,1),$H28,"m")*$I28,CW$19-YEAR($H28)&gt;20,0)</f>
        <v>82346.880000000005</v>
      </c>
      <c r="CX28" s="159" cm="1">
        <f t="array" ref="CX28">_xlfn.IFS(CX$19&lt;YEAR($H28),0,CX$19=YEAR($H28),DATEDIF($H28,DATE(CX$19,12,31),"m")*$I28,AND(CX$19&gt;YEAR($H28),CX$19-YEAR($H28)&lt;20),$I28*12,CX$19-YEAR($H28)=20,DATEDIF(DATE(YEAR($H28),1,1),$H28,"m")*$I28,CX$19-YEAR($H28)&gt;20,0)</f>
        <v>82346.880000000005</v>
      </c>
      <c r="CY28" s="159" cm="1">
        <f t="array" ref="CY28">_xlfn.IFS(CY$19&lt;YEAR($H28),0,CY$19=YEAR($H28),DATEDIF($H28,DATE(CY$19,12,31),"m")*$I28,AND(CY$19&gt;YEAR($H28),CY$19-YEAR($H28)&lt;20),$I28*12,CY$19-YEAR($H28)=20,DATEDIF(DATE(YEAR($H28),1,1),$H28,"m")*$I28,CY$19-YEAR($H28)&gt;20,0)</f>
        <v>82346.880000000005</v>
      </c>
      <c r="CZ28" s="159" cm="1">
        <f t="array" ref="CZ28">_xlfn.IFS(CZ$19&lt;YEAR($H28),0,CZ$19=YEAR($H28),DATEDIF($H28,DATE(CZ$19,12,31),"m")*$I28,AND(CZ$19&gt;YEAR($H28),CZ$19-YEAR($H28)&lt;20),$I28*12,CZ$19-YEAR($H28)=20,DATEDIF(DATE(YEAR($H28),1,1),$H28,"m")*$I28,CZ$19-YEAR($H28)&gt;20,0)</f>
        <v>82346.880000000005</v>
      </c>
      <c r="DA28" s="159" cm="1">
        <f t="array" ref="DA28">_xlfn.IFS(DA$19&lt;YEAR($H28),0,DA$19=YEAR($H28),DATEDIF($H28,DATE(DA$19,12,31),"m")*$I28,AND(DA$19&gt;YEAR($H28),DA$19-YEAR($H28)&lt;20),$I28*12,DA$19-YEAR($H28)=20,DATEDIF(DATE(YEAR($H28),1,1),$H28,"m")*$I28,DA$19-YEAR($H28)&gt;20,0)</f>
        <v>13724.48</v>
      </c>
      <c r="DB28" s="159" cm="1">
        <f t="array" ref="DB28">_xlfn.IFS(DB$19&lt;YEAR($H28),0,DB$19=YEAR($H28),DATEDIF($H28,DATE(DB$19,12,31),"m")*$I28,AND(DB$19&gt;YEAR($H28),DB$19-YEAR($H28)&lt;20),$I28*12,DB$19-YEAR($H28)=20,DATEDIF(DATE(YEAR($H28),1,1),$H28,"m")*$I28,DB$19-YEAR($H28)&gt;20,0)</f>
        <v>0</v>
      </c>
      <c r="DJ28" s="34"/>
      <c r="DK28" s="34"/>
      <c r="DL28" s="34"/>
    </row>
    <row r="29" spans="1:137">
      <c r="A29" s="165" t="s">
        <v>13</v>
      </c>
      <c r="B29" s="165">
        <v>1</v>
      </c>
      <c r="C29" s="165" t="s">
        <v>99</v>
      </c>
      <c r="D29" s="182">
        <f>VLOOKUP($M$2,$M$7:$Q$10,3,FALSE)*$F$15</f>
        <v>165</v>
      </c>
      <c r="E29" s="183">
        <v>46388</v>
      </c>
      <c r="F29" s="184">
        <f t="shared" si="11"/>
        <v>46935</v>
      </c>
      <c r="G29" s="184">
        <f t="shared" si="12"/>
        <v>47119</v>
      </c>
      <c r="H29" s="184">
        <f t="shared" si="5"/>
        <v>47179</v>
      </c>
      <c r="I29" s="157">
        <f t="shared" si="13"/>
        <v>119.21</v>
      </c>
      <c r="J29" s="164">
        <f t="shared" si="14"/>
        <v>0</v>
      </c>
      <c r="K29" s="164">
        <f t="shared" si="14"/>
        <v>0</v>
      </c>
      <c r="L29" s="164">
        <f t="shared" si="14"/>
        <v>0</v>
      </c>
      <c r="M29" s="164">
        <f t="shared" si="14"/>
        <v>0</v>
      </c>
      <c r="N29" s="164">
        <f t="shared" si="14"/>
        <v>0</v>
      </c>
      <c r="O29" s="164">
        <f t="shared" si="14"/>
        <v>0</v>
      </c>
      <c r="P29" s="164">
        <f t="shared" si="14"/>
        <v>0</v>
      </c>
      <c r="Q29" s="164">
        <f t="shared" si="14"/>
        <v>0</v>
      </c>
      <c r="R29" s="164">
        <f t="shared" si="14"/>
        <v>0</v>
      </c>
      <c r="S29" s="164">
        <f t="shared" si="14"/>
        <v>0</v>
      </c>
      <c r="T29" s="164">
        <f t="shared" si="14"/>
        <v>0</v>
      </c>
      <c r="U29" s="164">
        <f t="shared" si="14"/>
        <v>0</v>
      </c>
      <c r="V29" s="164">
        <f t="shared" si="14"/>
        <v>0</v>
      </c>
      <c r="W29" s="164">
        <f t="shared" si="14"/>
        <v>0</v>
      </c>
      <c r="X29" s="164">
        <f t="shared" si="14"/>
        <v>0</v>
      </c>
      <c r="Y29" s="164">
        <f t="shared" si="14"/>
        <v>0</v>
      </c>
      <c r="Z29" s="164">
        <f t="shared" si="19"/>
        <v>0</v>
      </c>
      <c r="AA29" s="164">
        <f t="shared" si="19"/>
        <v>0</v>
      </c>
      <c r="AB29" s="164">
        <f t="shared" si="19"/>
        <v>0</v>
      </c>
      <c r="AC29" s="164">
        <f t="shared" si="19"/>
        <v>0</v>
      </c>
      <c r="AD29" s="164">
        <f t="shared" si="19"/>
        <v>0</v>
      </c>
      <c r="AE29" s="164">
        <f t="shared" si="19"/>
        <v>0</v>
      </c>
      <c r="AF29" s="164">
        <f t="shared" si="19"/>
        <v>0</v>
      </c>
      <c r="AG29" s="164">
        <f t="shared" si="19"/>
        <v>0</v>
      </c>
      <c r="AH29" s="164">
        <f t="shared" si="19"/>
        <v>0</v>
      </c>
      <c r="AI29" s="164">
        <f t="shared" si="19"/>
        <v>0</v>
      </c>
      <c r="AJ29" s="164">
        <f t="shared" si="19"/>
        <v>0</v>
      </c>
      <c r="AK29" s="164">
        <f t="shared" si="19"/>
        <v>119.21</v>
      </c>
      <c r="AL29" s="164">
        <f t="shared" si="19"/>
        <v>119.21</v>
      </c>
      <c r="AM29" s="164">
        <f t="shared" si="19"/>
        <v>119.21</v>
      </c>
      <c r="AN29" s="164">
        <f t="shared" si="19"/>
        <v>119.21</v>
      </c>
      <c r="AO29" s="164">
        <f t="shared" si="19"/>
        <v>119.21</v>
      </c>
      <c r="AP29" s="164">
        <f t="shared" si="20"/>
        <v>119.21</v>
      </c>
      <c r="AQ29" s="164">
        <f t="shared" si="20"/>
        <v>119.21</v>
      </c>
      <c r="AR29" s="164">
        <f t="shared" si="20"/>
        <v>119.21</v>
      </c>
      <c r="AS29" s="164">
        <f t="shared" si="20"/>
        <v>119.21</v>
      </c>
      <c r="AT29" s="164">
        <f t="shared" si="20"/>
        <v>119.21</v>
      </c>
      <c r="AU29" s="164">
        <f t="shared" si="20"/>
        <v>119.21</v>
      </c>
      <c r="AV29" s="164">
        <f t="shared" si="20"/>
        <v>119.21</v>
      </c>
      <c r="AW29" s="164">
        <f t="shared" si="20"/>
        <v>119.21</v>
      </c>
      <c r="AX29" s="164">
        <f t="shared" si="20"/>
        <v>119.21</v>
      </c>
      <c r="AY29" s="164">
        <f t="shared" si="20"/>
        <v>119.21</v>
      </c>
      <c r="AZ29" s="164">
        <f t="shared" si="20"/>
        <v>119.21</v>
      </c>
      <c r="BA29" s="164">
        <f t="shared" si="20"/>
        <v>119.21</v>
      </c>
      <c r="BB29" s="164">
        <f t="shared" si="20"/>
        <v>119.21</v>
      </c>
      <c r="BC29" s="164">
        <f t="shared" si="20"/>
        <v>119.21</v>
      </c>
      <c r="BD29" s="164">
        <f t="shared" si="20"/>
        <v>119.21</v>
      </c>
      <c r="BE29" s="164">
        <f t="shared" si="20"/>
        <v>119.21</v>
      </c>
      <c r="BF29" s="164">
        <f t="shared" si="21"/>
        <v>119.21</v>
      </c>
      <c r="BG29" s="164">
        <f t="shared" si="21"/>
        <v>119.21</v>
      </c>
      <c r="BH29" s="164">
        <f t="shared" si="21"/>
        <v>119.21</v>
      </c>
      <c r="BI29" s="164">
        <f t="shared" si="21"/>
        <v>119.21</v>
      </c>
      <c r="BJ29" s="164">
        <f t="shared" si="21"/>
        <v>119.21</v>
      </c>
      <c r="BK29" s="164">
        <f t="shared" si="21"/>
        <v>119.21</v>
      </c>
      <c r="BL29" s="164">
        <f t="shared" si="21"/>
        <v>119.21</v>
      </c>
      <c r="BM29" s="164">
        <f t="shared" si="21"/>
        <v>119.21</v>
      </c>
      <c r="BN29" s="164">
        <f t="shared" si="21"/>
        <v>119.21</v>
      </c>
      <c r="BO29" s="164">
        <f t="shared" si="21"/>
        <v>119.21</v>
      </c>
      <c r="BP29" s="164">
        <f t="shared" si="21"/>
        <v>119.21</v>
      </c>
      <c r="BQ29" s="164">
        <f t="shared" si="21"/>
        <v>119.21</v>
      </c>
      <c r="BR29" s="164">
        <f t="shared" si="21"/>
        <v>119.21</v>
      </c>
      <c r="BS29" s="164">
        <f t="shared" si="21"/>
        <v>119.21</v>
      </c>
      <c r="BT29" s="164">
        <f t="shared" si="21"/>
        <v>119.21</v>
      </c>
      <c r="BU29" s="164">
        <f t="shared" si="21"/>
        <v>119.21</v>
      </c>
      <c r="BV29" s="164">
        <f t="shared" si="18"/>
        <v>119.21</v>
      </c>
      <c r="BW29" s="164">
        <f t="shared" si="7"/>
        <v>119.21</v>
      </c>
      <c r="BX29" s="164">
        <f t="shared" si="7"/>
        <v>119.21</v>
      </c>
      <c r="BY29" s="164">
        <f t="shared" si="7"/>
        <v>119.21</v>
      </c>
      <c r="BZ29" s="164">
        <f t="shared" si="7"/>
        <v>119.21</v>
      </c>
      <c r="CA29" s="164">
        <f t="shared" si="7"/>
        <v>119.21</v>
      </c>
      <c r="CB29" s="164">
        <f t="shared" si="7"/>
        <v>119.21</v>
      </c>
      <c r="CC29" s="164">
        <f t="shared" si="7"/>
        <v>119.21</v>
      </c>
      <c r="CE29" s="159" cm="1">
        <f t="array" ref="CE29">_xlfn.IFS(CE$19&lt;YEAR($H29),0,CE$19=YEAR($H29),DATEDIF($H29,DATE(CE$19,12,31),"m")*$I29,AND(CE$19&gt;YEAR($H29),CE$19-YEAR($H29)&lt;20),$I29*12,CE$19-YEAR($H29)=20,DATEDIF(DATE(YEAR($H29),1,1),$H29,"m")*$I29,CE$19-YEAR($H29)&gt;20,0)</f>
        <v>0</v>
      </c>
      <c r="CF29" s="159" cm="1">
        <f t="array" ref="CF29">_xlfn.IFS(CF$19&lt;YEAR($H29),0,CF$19=YEAR($H29),DATEDIF($H29,DATE(CF$19,12,31),"m")*$I29,AND(CF$19&gt;YEAR($H29),CF$19-YEAR($H29)&lt;20),$I29*12,CF$19-YEAR($H29)=20,DATEDIF(DATE(YEAR($H29),1,1),$H29,"m")*$I29,CF$19-YEAR($H29)&gt;20,0)</f>
        <v>0</v>
      </c>
      <c r="CG29" s="159" cm="1">
        <f t="array" ref="CG29">_xlfn.IFS(CG$19&lt;YEAR($H29),0,CG$19=YEAR($H29),DATEDIF($H29,DATE(CG$19,12,31),"m")*$I29,AND(CG$19&gt;YEAR($H29),CG$19-YEAR($H29)&lt;20),$I29*12,CG$19-YEAR($H29)=20,DATEDIF(DATE(YEAR($H29),1,1),$H29,"m")*$I29,CG$19-YEAR($H29)&gt;20,0)</f>
        <v>1072.8899999999999</v>
      </c>
      <c r="CH29" s="159" cm="1">
        <f t="array" ref="CH29">_xlfn.IFS(CH$19&lt;YEAR($H29),0,CH$19=YEAR($H29),DATEDIF($H29,DATE(CH$19,12,31),"m")*$I29,AND(CH$19&gt;YEAR($H29),CH$19-YEAR($H29)&lt;20),$I29*12,CH$19-YEAR($H29)=20,DATEDIF(DATE(YEAR($H29),1,1),$H29,"m")*$I29,CH$19-YEAR($H29)&gt;20,0)</f>
        <v>1430.52</v>
      </c>
      <c r="CI29" s="159" cm="1">
        <f t="array" ref="CI29">_xlfn.IFS(CI$19&lt;YEAR($H29),0,CI$19=YEAR($H29),DATEDIF($H29,DATE(CI$19,12,31),"m")*$I29,AND(CI$19&gt;YEAR($H29),CI$19-YEAR($H29)&lt;20),$I29*12,CI$19-YEAR($H29)=20,DATEDIF(DATE(YEAR($H29),1,1),$H29,"m")*$I29,CI$19-YEAR($H29)&gt;20,0)</f>
        <v>1430.52</v>
      </c>
      <c r="CJ29" s="159" cm="1">
        <f t="array" ref="CJ29">_xlfn.IFS(CJ$19&lt;YEAR($H29),0,CJ$19=YEAR($H29),DATEDIF($H29,DATE(CJ$19,12,31),"m")*$I29,AND(CJ$19&gt;YEAR($H29),CJ$19-YEAR($H29)&lt;20),$I29*12,CJ$19-YEAR($H29)=20,DATEDIF(DATE(YEAR($H29),1,1),$H29,"m")*$I29,CJ$19-YEAR($H29)&gt;20,0)</f>
        <v>1430.52</v>
      </c>
      <c r="CK29" s="159" cm="1">
        <f t="array" ref="CK29">_xlfn.IFS(CK$19&lt;YEAR($H29),0,CK$19=YEAR($H29),DATEDIF($H29,DATE(CK$19,12,31),"m")*$I29,AND(CK$19&gt;YEAR($H29),CK$19-YEAR($H29)&lt;20),$I29*12,CK$19-YEAR($H29)=20,DATEDIF(DATE(YEAR($H29),1,1),$H29,"m")*$I29,CK$19-YEAR($H29)&gt;20,0)</f>
        <v>1430.52</v>
      </c>
      <c r="CL29" s="159" cm="1">
        <f t="array" ref="CL29">_xlfn.IFS(CL$19&lt;YEAR($H29),0,CL$19=YEAR($H29),DATEDIF($H29,DATE(CL$19,12,31),"m")*$I29,AND(CL$19&gt;YEAR($H29),CL$19-YEAR($H29)&lt;20),$I29*12,CL$19-YEAR($H29)=20,DATEDIF(DATE(YEAR($H29),1,1),$H29,"m")*$I29,CL$19-YEAR($H29)&gt;20,0)</f>
        <v>1430.52</v>
      </c>
      <c r="CM29" s="159" cm="1">
        <f t="array" ref="CM29">_xlfn.IFS(CM$19&lt;YEAR($H29),0,CM$19=YEAR($H29),DATEDIF($H29,DATE(CM$19,12,31),"m")*$I29,AND(CM$19&gt;YEAR($H29),CM$19-YEAR($H29)&lt;20),$I29*12,CM$19-YEAR($H29)=20,DATEDIF(DATE(YEAR($H29),1,1),$H29,"m")*$I29,CM$19-YEAR($H29)&gt;20,0)</f>
        <v>1430.52</v>
      </c>
      <c r="CN29" s="159" cm="1">
        <f t="array" ref="CN29">_xlfn.IFS(CN$19&lt;YEAR($H29),0,CN$19=YEAR($H29),DATEDIF($H29,DATE(CN$19,12,31),"m")*$I29,AND(CN$19&gt;YEAR($H29),CN$19-YEAR($H29)&lt;20),$I29*12,CN$19-YEAR($H29)=20,DATEDIF(DATE(YEAR($H29),1,1),$H29,"m")*$I29,CN$19-YEAR($H29)&gt;20,0)</f>
        <v>1430.52</v>
      </c>
      <c r="CO29" s="159" cm="1">
        <f t="array" ref="CO29">_xlfn.IFS(CO$19&lt;YEAR($H29),0,CO$19=YEAR($H29),DATEDIF($H29,DATE(CO$19,12,31),"m")*$I29,AND(CO$19&gt;YEAR($H29),CO$19-YEAR($H29)&lt;20),$I29*12,CO$19-YEAR($H29)=20,DATEDIF(DATE(YEAR($H29),1,1),$H29,"m")*$I29,CO$19-YEAR($H29)&gt;20,0)</f>
        <v>1430.52</v>
      </c>
      <c r="CP29" s="159" cm="1">
        <f t="array" ref="CP29">_xlfn.IFS(CP$19&lt;YEAR($H29),0,CP$19=YEAR($H29),DATEDIF($H29,DATE(CP$19,12,31),"m")*$I29,AND(CP$19&gt;YEAR($H29),CP$19-YEAR($H29)&lt;20),$I29*12,CP$19-YEAR($H29)=20,DATEDIF(DATE(YEAR($H29),1,1),$H29,"m")*$I29,CP$19-YEAR($H29)&gt;20,0)</f>
        <v>1430.52</v>
      </c>
      <c r="CQ29" s="159" cm="1">
        <f t="array" ref="CQ29">_xlfn.IFS(CQ$19&lt;YEAR($H29),0,CQ$19=YEAR($H29),DATEDIF($H29,DATE(CQ$19,12,31),"m")*$I29,AND(CQ$19&gt;YEAR($H29),CQ$19-YEAR($H29)&lt;20),$I29*12,CQ$19-YEAR($H29)=20,DATEDIF(DATE(YEAR($H29),1,1),$H29,"m")*$I29,CQ$19-YEAR($H29)&gt;20,0)</f>
        <v>1430.52</v>
      </c>
      <c r="CR29" s="159" cm="1">
        <f t="array" ref="CR29">_xlfn.IFS(CR$19&lt;YEAR($H29),0,CR$19=YEAR($H29),DATEDIF($H29,DATE(CR$19,12,31),"m")*$I29,AND(CR$19&gt;YEAR($H29),CR$19-YEAR($H29)&lt;20),$I29*12,CR$19-YEAR($H29)=20,DATEDIF(DATE(YEAR($H29),1,1),$H29,"m")*$I29,CR$19-YEAR($H29)&gt;20,0)</f>
        <v>1430.52</v>
      </c>
      <c r="CS29" s="159" cm="1">
        <f t="array" ref="CS29">_xlfn.IFS(CS$19&lt;YEAR($H29),0,CS$19=YEAR($H29),DATEDIF($H29,DATE(CS$19,12,31),"m")*$I29,AND(CS$19&gt;YEAR($H29),CS$19-YEAR($H29)&lt;20),$I29*12,CS$19-YEAR($H29)=20,DATEDIF(DATE(YEAR($H29),1,1),$H29,"m")*$I29,CS$19-YEAR($H29)&gt;20,0)</f>
        <v>1430.52</v>
      </c>
      <c r="CT29" s="159" cm="1">
        <f t="array" ref="CT29">_xlfn.IFS(CT$19&lt;YEAR($H29),0,CT$19=YEAR($H29),DATEDIF($H29,DATE(CT$19,12,31),"m")*$I29,AND(CT$19&gt;YEAR($H29),CT$19-YEAR($H29)&lt;20),$I29*12,CT$19-YEAR($H29)=20,DATEDIF(DATE(YEAR($H29),1,1),$H29,"m")*$I29,CT$19-YEAR($H29)&gt;20,0)</f>
        <v>1430.52</v>
      </c>
      <c r="CU29" s="159" cm="1">
        <f t="array" ref="CU29">_xlfn.IFS(CU$19&lt;YEAR($H29),0,CU$19=YEAR($H29),DATEDIF($H29,DATE(CU$19,12,31),"m")*$I29,AND(CU$19&gt;YEAR($H29),CU$19-YEAR($H29)&lt;20),$I29*12,CU$19-YEAR($H29)=20,DATEDIF(DATE(YEAR($H29),1,1),$H29,"m")*$I29,CU$19-YEAR($H29)&gt;20,0)</f>
        <v>1430.52</v>
      </c>
      <c r="CV29" s="159" cm="1">
        <f t="array" ref="CV29">_xlfn.IFS(CV$19&lt;YEAR($H29),0,CV$19=YEAR($H29),DATEDIF($H29,DATE(CV$19,12,31),"m")*$I29,AND(CV$19&gt;YEAR($H29),CV$19-YEAR($H29)&lt;20),$I29*12,CV$19-YEAR($H29)=20,DATEDIF(DATE(YEAR($H29),1,1),$H29,"m")*$I29,CV$19-YEAR($H29)&gt;20,0)</f>
        <v>1430.52</v>
      </c>
      <c r="CW29" s="159" cm="1">
        <f t="array" ref="CW29">_xlfn.IFS(CW$19&lt;YEAR($H29),0,CW$19=YEAR($H29),DATEDIF($H29,DATE(CW$19,12,31),"m")*$I29,AND(CW$19&gt;YEAR($H29),CW$19-YEAR($H29)&lt;20),$I29*12,CW$19-YEAR($H29)=20,DATEDIF(DATE(YEAR($H29),1,1),$H29,"m")*$I29,CW$19-YEAR($H29)&gt;20,0)</f>
        <v>1430.52</v>
      </c>
      <c r="CX29" s="159" cm="1">
        <f t="array" ref="CX29">_xlfn.IFS(CX$19&lt;YEAR($H29),0,CX$19=YEAR($H29),DATEDIF($H29,DATE(CX$19,12,31),"m")*$I29,AND(CX$19&gt;YEAR($H29),CX$19-YEAR($H29)&lt;20),$I29*12,CX$19-YEAR($H29)=20,DATEDIF(DATE(YEAR($H29),1,1),$H29,"m")*$I29,CX$19-YEAR($H29)&gt;20,0)</f>
        <v>1430.52</v>
      </c>
      <c r="CY29" s="159" cm="1">
        <f t="array" ref="CY29">_xlfn.IFS(CY$19&lt;YEAR($H29),0,CY$19=YEAR($H29),DATEDIF($H29,DATE(CY$19,12,31),"m")*$I29,AND(CY$19&gt;YEAR($H29),CY$19-YEAR($H29)&lt;20),$I29*12,CY$19-YEAR($H29)=20,DATEDIF(DATE(YEAR($H29),1,1),$H29,"m")*$I29,CY$19-YEAR($H29)&gt;20,0)</f>
        <v>1430.52</v>
      </c>
      <c r="CZ29" s="159" cm="1">
        <f t="array" ref="CZ29">_xlfn.IFS(CZ$19&lt;YEAR($H29),0,CZ$19=YEAR($H29),DATEDIF($H29,DATE(CZ$19,12,31),"m")*$I29,AND(CZ$19&gt;YEAR($H29),CZ$19-YEAR($H29)&lt;20),$I29*12,CZ$19-YEAR($H29)=20,DATEDIF(DATE(YEAR($H29),1,1),$H29,"m")*$I29,CZ$19-YEAR($H29)&gt;20,0)</f>
        <v>1430.52</v>
      </c>
      <c r="DA29" s="159" cm="1">
        <f t="array" ref="DA29">_xlfn.IFS(DA$19&lt;YEAR($H29),0,DA$19=YEAR($H29),DATEDIF($H29,DATE(DA$19,12,31),"m")*$I29,AND(DA$19&gt;YEAR($H29),DA$19-YEAR($H29)&lt;20),$I29*12,DA$19-YEAR($H29)=20,DATEDIF(DATE(YEAR($H29),1,1),$H29,"m")*$I29,DA$19-YEAR($H29)&gt;20,0)</f>
        <v>238.42</v>
      </c>
      <c r="DB29" s="159" cm="1">
        <f t="array" ref="DB29">_xlfn.IFS(DB$19&lt;YEAR($H29),0,DB$19=YEAR($H29),DATEDIF($H29,DATE(DB$19,12,31),"m")*$I29,AND(DB$19&gt;YEAR($H29),DB$19-YEAR($H29)&lt;20),$I29*12,DB$19-YEAR($H29)=20,DATEDIF(DATE(YEAR($H29),1,1),$H29,"m")*$I29,DB$19-YEAR($H29)&gt;20,0)</f>
        <v>0</v>
      </c>
      <c r="DJ29" s="34"/>
      <c r="DK29" s="34"/>
      <c r="DL29" s="34"/>
    </row>
    <row r="30" spans="1:137">
      <c r="A30" s="165" t="s">
        <v>11</v>
      </c>
      <c r="B30" s="165">
        <v>2</v>
      </c>
      <c r="C30" s="165" t="s">
        <v>99</v>
      </c>
      <c r="D30" s="182">
        <f>VLOOKUP($M$2,$M$7:$Q$10,4,FALSE)*$B$16</f>
        <v>0</v>
      </c>
      <c r="E30" s="183">
        <v>46753</v>
      </c>
      <c r="F30" s="184">
        <f t="shared" si="11"/>
        <v>47300</v>
      </c>
      <c r="G30" s="184">
        <f t="shared" si="12"/>
        <v>47484</v>
      </c>
      <c r="H30" s="184">
        <f t="shared" si="5"/>
        <v>47544</v>
      </c>
      <c r="I30" s="157">
        <f t="shared" si="13"/>
        <v>0</v>
      </c>
      <c r="J30" s="164">
        <f t="shared" si="14"/>
        <v>0</v>
      </c>
      <c r="K30" s="164">
        <f t="shared" si="14"/>
        <v>0</v>
      </c>
      <c r="L30" s="164">
        <f t="shared" si="14"/>
        <v>0</v>
      </c>
      <c r="M30" s="164">
        <f t="shared" si="14"/>
        <v>0</v>
      </c>
      <c r="N30" s="164">
        <f t="shared" si="14"/>
        <v>0</v>
      </c>
      <c r="O30" s="164">
        <f t="shared" si="14"/>
        <v>0</v>
      </c>
      <c r="P30" s="164">
        <f t="shared" si="14"/>
        <v>0</v>
      </c>
      <c r="Q30" s="164">
        <f t="shared" si="14"/>
        <v>0</v>
      </c>
      <c r="R30" s="164">
        <f t="shared" si="14"/>
        <v>0</v>
      </c>
      <c r="S30" s="164">
        <f t="shared" si="14"/>
        <v>0</v>
      </c>
      <c r="T30" s="164">
        <f t="shared" si="14"/>
        <v>0</v>
      </c>
      <c r="U30" s="164">
        <f t="shared" si="14"/>
        <v>0</v>
      </c>
      <c r="V30" s="164">
        <f t="shared" si="14"/>
        <v>0</v>
      </c>
      <c r="W30" s="164">
        <f t="shared" si="14"/>
        <v>0</v>
      </c>
      <c r="X30" s="164">
        <f t="shared" si="14"/>
        <v>0</v>
      </c>
      <c r="Y30" s="164">
        <f t="shared" si="14"/>
        <v>0</v>
      </c>
      <c r="Z30" s="164">
        <f t="shared" si="19"/>
        <v>0</v>
      </c>
      <c r="AA30" s="164">
        <f t="shared" si="19"/>
        <v>0</v>
      </c>
      <c r="AB30" s="164">
        <f t="shared" si="19"/>
        <v>0</v>
      </c>
      <c r="AC30" s="164">
        <f t="shared" si="19"/>
        <v>0</v>
      </c>
      <c r="AD30" s="164">
        <f t="shared" si="19"/>
        <v>0</v>
      </c>
      <c r="AE30" s="164">
        <f t="shared" si="19"/>
        <v>0</v>
      </c>
      <c r="AF30" s="164">
        <f t="shared" si="19"/>
        <v>0</v>
      </c>
      <c r="AG30" s="164">
        <f t="shared" si="19"/>
        <v>0</v>
      </c>
      <c r="AH30" s="164">
        <f t="shared" si="19"/>
        <v>0</v>
      </c>
      <c r="AI30" s="164">
        <f t="shared" si="19"/>
        <v>0</v>
      </c>
      <c r="AJ30" s="164">
        <f t="shared" si="19"/>
        <v>0</v>
      </c>
      <c r="AK30" s="164">
        <f t="shared" si="19"/>
        <v>0</v>
      </c>
      <c r="AL30" s="164">
        <f t="shared" si="19"/>
        <v>0</v>
      </c>
      <c r="AM30" s="164">
        <f t="shared" si="19"/>
        <v>0</v>
      </c>
      <c r="AN30" s="164">
        <f t="shared" si="19"/>
        <v>0</v>
      </c>
      <c r="AO30" s="164">
        <f t="shared" si="19"/>
        <v>0</v>
      </c>
      <c r="AP30" s="164">
        <f t="shared" si="20"/>
        <v>0</v>
      </c>
      <c r="AQ30" s="164">
        <f t="shared" si="20"/>
        <v>0</v>
      </c>
      <c r="AR30" s="164">
        <f t="shared" si="20"/>
        <v>0</v>
      </c>
      <c r="AS30" s="164">
        <f t="shared" si="20"/>
        <v>0</v>
      </c>
      <c r="AT30" s="164">
        <f t="shared" si="20"/>
        <v>0</v>
      </c>
      <c r="AU30" s="164">
        <f t="shared" si="20"/>
        <v>0</v>
      </c>
      <c r="AV30" s="164">
        <f t="shared" si="20"/>
        <v>0</v>
      </c>
      <c r="AW30" s="164">
        <f t="shared" si="20"/>
        <v>0</v>
      </c>
      <c r="AX30" s="164">
        <f t="shared" si="20"/>
        <v>0</v>
      </c>
      <c r="AY30" s="164">
        <f t="shared" si="20"/>
        <v>0</v>
      </c>
      <c r="AZ30" s="164">
        <f t="shared" si="20"/>
        <v>0</v>
      </c>
      <c r="BA30" s="164">
        <f t="shared" si="20"/>
        <v>0</v>
      </c>
      <c r="BB30" s="164">
        <f t="shared" si="20"/>
        <v>0</v>
      </c>
      <c r="BC30" s="164">
        <f t="shared" si="20"/>
        <v>0</v>
      </c>
      <c r="BD30" s="164">
        <f t="shared" si="20"/>
        <v>0</v>
      </c>
      <c r="BE30" s="164">
        <f t="shared" si="20"/>
        <v>0</v>
      </c>
      <c r="BF30" s="164">
        <f t="shared" si="21"/>
        <v>0</v>
      </c>
      <c r="BG30" s="164">
        <f t="shared" si="21"/>
        <v>0</v>
      </c>
      <c r="BH30" s="164">
        <f t="shared" si="21"/>
        <v>0</v>
      </c>
      <c r="BI30" s="164">
        <f t="shared" si="21"/>
        <v>0</v>
      </c>
      <c r="BJ30" s="164">
        <f t="shared" si="21"/>
        <v>0</v>
      </c>
      <c r="BK30" s="164">
        <f t="shared" si="21"/>
        <v>0</v>
      </c>
      <c r="BL30" s="164">
        <f t="shared" si="21"/>
        <v>0</v>
      </c>
      <c r="BM30" s="164">
        <f t="shared" si="21"/>
        <v>0</v>
      </c>
      <c r="BN30" s="164">
        <f t="shared" si="21"/>
        <v>0</v>
      </c>
      <c r="BO30" s="164">
        <f t="shared" si="21"/>
        <v>0</v>
      </c>
      <c r="BP30" s="164">
        <f t="shared" si="21"/>
        <v>0</v>
      </c>
      <c r="BQ30" s="164">
        <f t="shared" si="21"/>
        <v>0</v>
      </c>
      <c r="BR30" s="164">
        <f t="shared" si="21"/>
        <v>0</v>
      </c>
      <c r="BS30" s="164">
        <f t="shared" si="21"/>
        <v>0</v>
      </c>
      <c r="BT30" s="164">
        <f t="shared" si="21"/>
        <v>0</v>
      </c>
      <c r="BU30" s="164">
        <f t="shared" si="21"/>
        <v>0</v>
      </c>
      <c r="BV30" s="164">
        <f t="shared" si="18"/>
        <v>0</v>
      </c>
      <c r="BW30" s="164">
        <f t="shared" si="7"/>
        <v>0</v>
      </c>
      <c r="BX30" s="164">
        <f t="shared" si="7"/>
        <v>0</v>
      </c>
      <c r="BY30" s="164">
        <f t="shared" si="7"/>
        <v>0</v>
      </c>
      <c r="BZ30" s="164">
        <f t="shared" si="7"/>
        <v>0</v>
      </c>
      <c r="CA30" s="164">
        <f t="shared" si="7"/>
        <v>0</v>
      </c>
      <c r="CB30" s="164">
        <f t="shared" si="7"/>
        <v>0</v>
      </c>
      <c r="CC30" s="164">
        <f t="shared" si="7"/>
        <v>0</v>
      </c>
      <c r="CE30" s="159" cm="1">
        <f t="array" ref="CE30">_xlfn.IFS(CE$19&lt;YEAR($H30),0,CE$19=YEAR($H30),DATEDIF($H30,DATE(CE$19,12,31),"m")*$I30,AND(CE$19&gt;YEAR($H30),CE$19-YEAR($H30)&lt;20),$I30*12,CE$19-YEAR($H30)=20,DATEDIF(DATE(YEAR($H30),1,1),$H30,"m")*$I30,CE$19-YEAR($H30)&gt;20,0)</f>
        <v>0</v>
      </c>
      <c r="CF30" s="159" cm="1">
        <f t="array" ref="CF30">_xlfn.IFS(CF$19&lt;YEAR($H30),0,CF$19=YEAR($H30),DATEDIF($H30,DATE(CF$19,12,31),"m")*$I30,AND(CF$19&gt;YEAR($H30),CF$19-YEAR($H30)&lt;20),$I30*12,CF$19-YEAR($H30)=20,DATEDIF(DATE(YEAR($H30),1,1),$H30,"m")*$I30,CF$19-YEAR($H30)&gt;20,0)</f>
        <v>0</v>
      </c>
      <c r="CG30" s="159" cm="1">
        <f t="array" ref="CG30">_xlfn.IFS(CG$19&lt;YEAR($H30),0,CG$19=YEAR($H30),DATEDIF($H30,DATE(CG$19,12,31),"m")*$I30,AND(CG$19&gt;YEAR($H30),CG$19-YEAR($H30)&lt;20),$I30*12,CG$19-YEAR($H30)=20,DATEDIF(DATE(YEAR($H30),1,1),$H30,"m")*$I30,CG$19-YEAR($H30)&gt;20,0)</f>
        <v>0</v>
      </c>
      <c r="CH30" s="159" cm="1">
        <f t="array" ref="CH30">_xlfn.IFS(CH$19&lt;YEAR($H30),0,CH$19=YEAR($H30),DATEDIF($H30,DATE(CH$19,12,31),"m")*$I30,AND(CH$19&gt;YEAR($H30),CH$19-YEAR($H30)&lt;20),$I30*12,CH$19-YEAR($H30)=20,DATEDIF(DATE(YEAR($H30),1,1),$H30,"m")*$I30,CH$19-YEAR($H30)&gt;20,0)</f>
        <v>0</v>
      </c>
      <c r="CI30" s="159" cm="1">
        <f t="array" ref="CI30">_xlfn.IFS(CI$19&lt;YEAR($H30),0,CI$19=YEAR($H30),DATEDIF($H30,DATE(CI$19,12,31),"m")*$I30,AND(CI$19&gt;YEAR($H30),CI$19-YEAR($H30)&lt;20),$I30*12,CI$19-YEAR($H30)=20,DATEDIF(DATE(YEAR($H30),1,1),$H30,"m")*$I30,CI$19-YEAR($H30)&gt;20,0)</f>
        <v>0</v>
      </c>
      <c r="CJ30" s="159" cm="1">
        <f t="array" ref="CJ30">_xlfn.IFS(CJ$19&lt;YEAR($H30),0,CJ$19=YEAR($H30),DATEDIF($H30,DATE(CJ$19,12,31),"m")*$I30,AND(CJ$19&gt;YEAR($H30),CJ$19-YEAR($H30)&lt;20),$I30*12,CJ$19-YEAR($H30)=20,DATEDIF(DATE(YEAR($H30),1,1),$H30,"m")*$I30,CJ$19-YEAR($H30)&gt;20,0)</f>
        <v>0</v>
      </c>
      <c r="CK30" s="159" cm="1">
        <f t="array" ref="CK30">_xlfn.IFS(CK$19&lt;YEAR($H30),0,CK$19=YEAR($H30),DATEDIF($H30,DATE(CK$19,12,31),"m")*$I30,AND(CK$19&gt;YEAR($H30),CK$19-YEAR($H30)&lt;20),$I30*12,CK$19-YEAR($H30)=20,DATEDIF(DATE(YEAR($H30),1,1),$H30,"m")*$I30,CK$19-YEAR($H30)&gt;20,0)</f>
        <v>0</v>
      </c>
      <c r="CL30" s="159" cm="1">
        <f t="array" ref="CL30">_xlfn.IFS(CL$19&lt;YEAR($H30),0,CL$19=YEAR($H30),DATEDIF($H30,DATE(CL$19,12,31),"m")*$I30,AND(CL$19&gt;YEAR($H30),CL$19-YEAR($H30)&lt;20),$I30*12,CL$19-YEAR($H30)=20,DATEDIF(DATE(YEAR($H30),1,1),$H30,"m")*$I30,CL$19-YEAR($H30)&gt;20,0)</f>
        <v>0</v>
      </c>
      <c r="CM30" s="159" cm="1">
        <f t="array" ref="CM30">_xlfn.IFS(CM$19&lt;YEAR($H30),0,CM$19=YEAR($H30),DATEDIF($H30,DATE(CM$19,12,31),"m")*$I30,AND(CM$19&gt;YEAR($H30),CM$19-YEAR($H30)&lt;20),$I30*12,CM$19-YEAR($H30)=20,DATEDIF(DATE(YEAR($H30),1,1),$H30,"m")*$I30,CM$19-YEAR($H30)&gt;20,0)</f>
        <v>0</v>
      </c>
      <c r="CN30" s="159" cm="1">
        <f t="array" ref="CN30">_xlfn.IFS(CN$19&lt;YEAR($H30),0,CN$19=YEAR($H30),DATEDIF($H30,DATE(CN$19,12,31),"m")*$I30,AND(CN$19&gt;YEAR($H30),CN$19-YEAR($H30)&lt;20),$I30*12,CN$19-YEAR($H30)=20,DATEDIF(DATE(YEAR($H30),1,1),$H30,"m")*$I30,CN$19-YEAR($H30)&gt;20,0)</f>
        <v>0</v>
      </c>
      <c r="CO30" s="159" cm="1">
        <f t="array" ref="CO30">_xlfn.IFS(CO$19&lt;YEAR($H30),0,CO$19=YEAR($H30),DATEDIF($H30,DATE(CO$19,12,31),"m")*$I30,AND(CO$19&gt;YEAR($H30),CO$19-YEAR($H30)&lt;20),$I30*12,CO$19-YEAR($H30)=20,DATEDIF(DATE(YEAR($H30),1,1),$H30,"m")*$I30,CO$19-YEAR($H30)&gt;20,0)</f>
        <v>0</v>
      </c>
      <c r="CP30" s="159" cm="1">
        <f t="array" ref="CP30">_xlfn.IFS(CP$19&lt;YEAR($H30),0,CP$19=YEAR($H30),DATEDIF($H30,DATE(CP$19,12,31),"m")*$I30,AND(CP$19&gt;YEAR($H30),CP$19-YEAR($H30)&lt;20),$I30*12,CP$19-YEAR($H30)=20,DATEDIF(DATE(YEAR($H30),1,1),$H30,"m")*$I30,CP$19-YEAR($H30)&gt;20,0)</f>
        <v>0</v>
      </c>
      <c r="CQ30" s="159" cm="1">
        <f t="array" ref="CQ30">_xlfn.IFS(CQ$19&lt;YEAR($H30),0,CQ$19=YEAR($H30),DATEDIF($H30,DATE(CQ$19,12,31),"m")*$I30,AND(CQ$19&gt;YEAR($H30),CQ$19-YEAR($H30)&lt;20),$I30*12,CQ$19-YEAR($H30)=20,DATEDIF(DATE(YEAR($H30),1,1),$H30,"m")*$I30,CQ$19-YEAR($H30)&gt;20,0)</f>
        <v>0</v>
      </c>
      <c r="CR30" s="159" cm="1">
        <f t="array" ref="CR30">_xlfn.IFS(CR$19&lt;YEAR($H30),0,CR$19=YEAR($H30),DATEDIF($H30,DATE(CR$19,12,31),"m")*$I30,AND(CR$19&gt;YEAR($H30),CR$19-YEAR($H30)&lt;20),$I30*12,CR$19-YEAR($H30)=20,DATEDIF(DATE(YEAR($H30),1,1),$H30,"m")*$I30,CR$19-YEAR($H30)&gt;20,0)</f>
        <v>0</v>
      </c>
      <c r="CS30" s="159" cm="1">
        <f t="array" ref="CS30">_xlfn.IFS(CS$19&lt;YEAR($H30),0,CS$19=YEAR($H30),DATEDIF($H30,DATE(CS$19,12,31),"m")*$I30,AND(CS$19&gt;YEAR($H30),CS$19-YEAR($H30)&lt;20),$I30*12,CS$19-YEAR($H30)=20,DATEDIF(DATE(YEAR($H30),1,1),$H30,"m")*$I30,CS$19-YEAR($H30)&gt;20,0)</f>
        <v>0</v>
      </c>
      <c r="CT30" s="159" cm="1">
        <f t="array" ref="CT30">_xlfn.IFS(CT$19&lt;YEAR($H30),0,CT$19=YEAR($H30),DATEDIF($H30,DATE(CT$19,12,31),"m")*$I30,AND(CT$19&gt;YEAR($H30),CT$19-YEAR($H30)&lt;20),$I30*12,CT$19-YEAR($H30)=20,DATEDIF(DATE(YEAR($H30),1,1),$H30,"m")*$I30,CT$19-YEAR($H30)&gt;20,0)</f>
        <v>0</v>
      </c>
      <c r="CU30" s="159" cm="1">
        <f t="array" ref="CU30">_xlfn.IFS(CU$19&lt;YEAR($H30),0,CU$19=YEAR($H30),DATEDIF($H30,DATE(CU$19,12,31),"m")*$I30,AND(CU$19&gt;YEAR($H30),CU$19-YEAR($H30)&lt;20),$I30*12,CU$19-YEAR($H30)=20,DATEDIF(DATE(YEAR($H30),1,1),$H30,"m")*$I30,CU$19-YEAR($H30)&gt;20,0)</f>
        <v>0</v>
      </c>
      <c r="CV30" s="159" cm="1">
        <f t="array" ref="CV30">_xlfn.IFS(CV$19&lt;YEAR($H30),0,CV$19=YEAR($H30),DATEDIF($H30,DATE(CV$19,12,31),"m")*$I30,AND(CV$19&gt;YEAR($H30),CV$19-YEAR($H30)&lt;20),$I30*12,CV$19-YEAR($H30)=20,DATEDIF(DATE(YEAR($H30),1,1),$H30,"m")*$I30,CV$19-YEAR($H30)&gt;20,0)</f>
        <v>0</v>
      </c>
      <c r="CW30" s="159" cm="1">
        <f t="array" ref="CW30">_xlfn.IFS(CW$19&lt;YEAR($H30),0,CW$19=YEAR($H30),DATEDIF($H30,DATE(CW$19,12,31),"m")*$I30,AND(CW$19&gt;YEAR($H30),CW$19-YEAR($H30)&lt;20),$I30*12,CW$19-YEAR($H30)=20,DATEDIF(DATE(YEAR($H30),1,1),$H30,"m")*$I30,CW$19-YEAR($H30)&gt;20,0)</f>
        <v>0</v>
      </c>
      <c r="CX30" s="159" cm="1">
        <f t="array" ref="CX30">_xlfn.IFS(CX$19&lt;YEAR($H30),0,CX$19=YEAR($H30),DATEDIF($H30,DATE(CX$19,12,31),"m")*$I30,AND(CX$19&gt;YEAR($H30),CX$19-YEAR($H30)&lt;20),$I30*12,CX$19-YEAR($H30)=20,DATEDIF(DATE(YEAR($H30),1,1),$H30,"m")*$I30,CX$19-YEAR($H30)&gt;20,0)</f>
        <v>0</v>
      </c>
      <c r="CY30" s="159" cm="1">
        <f t="array" ref="CY30">_xlfn.IFS(CY$19&lt;YEAR($H30),0,CY$19=YEAR($H30),DATEDIF($H30,DATE(CY$19,12,31),"m")*$I30,AND(CY$19&gt;YEAR($H30),CY$19-YEAR($H30)&lt;20),$I30*12,CY$19-YEAR($H30)=20,DATEDIF(DATE(YEAR($H30),1,1),$H30,"m")*$I30,CY$19-YEAR($H30)&gt;20,0)</f>
        <v>0</v>
      </c>
      <c r="CZ30" s="159" cm="1">
        <f t="array" ref="CZ30">_xlfn.IFS(CZ$19&lt;YEAR($H30),0,CZ$19=YEAR($H30),DATEDIF($H30,DATE(CZ$19,12,31),"m")*$I30,AND(CZ$19&gt;YEAR($H30),CZ$19-YEAR($H30)&lt;20),$I30*12,CZ$19-YEAR($H30)=20,DATEDIF(DATE(YEAR($H30),1,1),$H30,"m")*$I30,CZ$19-YEAR($H30)&gt;20,0)</f>
        <v>0</v>
      </c>
      <c r="DA30" s="159" cm="1">
        <f t="array" ref="DA30">_xlfn.IFS(DA$19&lt;YEAR($H30),0,DA$19=YEAR($H30),DATEDIF($H30,DATE(DA$19,12,31),"m")*$I30,AND(DA$19&gt;YEAR($H30),DA$19-YEAR($H30)&lt;20),$I30*12,DA$19-YEAR($H30)=20,DATEDIF(DATE(YEAR($H30),1,1),$H30,"m")*$I30,DA$19-YEAR($H30)&gt;20,0)</f>
        <v>0</v>
      </c>
      <c r="DB30" s="159" cm="1">
        <f t="array" ref="DB30">_xlfn.IFS(DB$19&lt;YEAR($H30),0,DB$19=YEAR($H30),DATEDIF($H30,DATE(DB$19,12,31),"m")*$I30,AND(DB$19&gt;YEAR($H30),DB$19-YEAR($H30)&lt;20),$I30*12,DB$19-YEAR($H30)=20,DATEDIF(DATE(YEAR($H30),1,1),$H30,"m")*$I30,DB$19-YEAR($H30)&gt;20,0)</f>
        <v>0</v>
      </c>
      <c r="DI30" s="189"/>
      <c r="DJ30" s="215"/>
      <c r="DK30" s="215"/>
      <c r="DL30" s="215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0"/>
      <c r="DX30" s="190"/>
      <c r="DY30" s="190"/>
      <c r="DZ30" s="190"/>
      <c r="EA30" s="190"/>
      <c r="EB30" s="190"/>
      <c r="EC30" s="190"/>
      <c r="ED30" s="190"/>
      <c r="EE30" s="190"/>
      <c r="EF30" s="190"/>
      <c r="EG30" s="190"/>
    </row>
    <row r="31" spans="1:137">
      <c r="A31" s="165" t="s">
        <v>11</v>
      </c>
      <c r="B31" s="165">
        <v>2</v>
      </c>
      <c r="C31" s="165" t="s">
        <v>75</v>
      </c>
      <c r="D31" s="182">
        <f>VLOOKUP($M$2,$M$7:$Q$10,4,FALSE)*$C$16</f>
        <v>0</v>
      </c>
      <c r="E31" s="183">
        <v>46753</v>
      </c>
      <c r="F31" s="184">
        <f t="shared" si="11"/>
        <v>47300</v>
      </c>
      <c r="G31" s="184">
        <f t="shared" si="12"/>
        <v>47484</v>
      </c>
      <c r="H31" s="184">
        <f t="shared" si="5"/>
        <v>47544</v>
      </c>
      <c r="I31" s="157">
        <f t="shared" si="13"/>
        <v>0</v>
      </c>
      <c r="J31" s="164">
        <f t="shared" si="14"/>
        <v>0</v>
      </c>
      <c r="K31" s="164">
        <f t="shared" si="14"/>
        <v>0</v>
      </c>
      <c r="L31" s="164">
        <f t="shared" si="14"/>
        <v>0</v>
      </c>
      <c r="M31" s="164">
        <f t="shared" si="14"/>
        <v>0</v>
      </c>
      <c r="N31" s="164">
        <f t="shared" si="14"/>
        <v>0</v>
      </c>
      <c r="O31" s="164">
        <f t="shared" si="14"/>
        <v>0</v>
      </c>
      <c r="P31" s="164">
        <f t="shared" si="14"/>
        <v>0</v>
      </c>
      <c r="Q31" s="164">
        <f t="shared" si="14"/>
        <v>0</v>
      </c>
      <c r="R31" s="164">
        <f t="shared" si="14"/>
        <v>0</v>
      </c>
      <c r="S31" s="164">
        <f t="shared" si="14"/>
        <v>0</v>
      </c>
      <c r="T31" s="164">
        <f t="shared" si="14"/>
        <v>0</v>
      </c>
      <c r="U31" s="164">
        <f t="shared" si="14"/>
        <v>0</v>
      </c>
      <c r="V31" s="164">
        <f t="shared" si="14"/>
        <v>0</v>
      </c>
      <c r="W31" s="164">
        <f t="shared" si="14"/>
        <v>0</v>
      </c>
      <c r="X31" s="164">
        <f t="shared" si="14"/>
        <v>0</v>
      </c>
      <c r="Y31" s="164">
        <f t="shared" si="14"/>
        <v>0</v>
      </c>
      <c r="Z31" s="164">
        <f t="shared" si="19"/>
        <v>0</v>
      </c>
      <c r="AA31" s="164">
        <f t="shared" si="19"/>
        <v>0</v>
      </c>
      <c r="AB31" s="164">
        <f t="shared" si="19"/>
        <v>0</v>
      </c>
      <c r="AC31" s="164">
        <f t="shared" si="19"/>
        <v>0</v>
      </c>
      <c r="AD31" s="164">
        <f t="shared" si="19"/>
        <v>0</v>
      </c>
      <c r="AE31" s="164">
        <f t="shared" si="19"/>
        <v>0</v>
      </c>
      <c r="AF31" s="164">
        <f t="shared" si="19"/>
        <v>0</v>
      </c>
      <c r="AG31" s="164">
        <f t="shared" si="19"/>
        <v>0</v>
      </c>
      <c r="AH31" s="164">
        <f t="shared" si="19"/>
        <v>0</v>
      </c>
      <c r="AI31" s="164">
        <f t="shared" si="19"/>
        <v>0</v>
      </c>
      <c r="AJ31" s="164">
        <f t="shared" si="19"/>
        <v>0</v>
      </c>
      <c r="AK31" s="164">
        <f t="shared" si="19"/>
        <v>0</v>
      </c>
      <c r="AL31" s="164">
        <f t="shared" si="19"/>
        <v>0</v>
      </c>
      <c r="AM31" s="164">
        <f t="shared" si="19"/>
        <v>0</v>
      </c>
      <c r="AN31" s="164">
        <f t="shared" si="19"/>
        <v>0</v>
      </c>
      <c r="AO31" s="164">
        <f t="shared" si="19"/>
        <v>0</v>
      </c>
      <c r="AP31" s="164">
        <f t="shared" si="20"/>
        <v>0</v>
      </c>
      <c r="AQ31" s="164">
        <f t="shared" si="20"/>
        <v>0</v>
      </c>
      <c r="AR31" s="164">
        <f t="shared" si="20"/>
        <v>0</v>
      </c>
      <c r="AS31" s="164">
        <f t="shared" si="20"/>
        <v>0</v>
      </c>
      <c r="AT31" s="164">
        <f t="shared" si="20"/>
        <v>0</v>
      </c>
      <c r="AU31" s="164">
        <f t="shared" si="20"/>
        <v>0</v>
      </c>
      <c r="AV31" s="164">
        <f t="shared" si="20"/>
        <v>0</v>
      </c>
      <c r="AW31" s="164">
        <f t="shared" si="20"/>
        <v>0</v>
      </c>
      <c r="AX31" s="164">
        <f t="shared" si="20"/>
        <v>0</v>
      </c>
      <c r="AY31" s="164">
        <f t="shared" si="20"/>
        <v>0</v>
      </c>
      <c r="AZ31" s="164">
        <f t="shared" si="20"/>
        <v>0</v>
      </c>
      <c r="BA31" s="164">
        <f t="shared" si="20"/>
        <v>0</v>
      </c>
      <c r="BB31" s="164">
        <f t="shared" si="20"/>
        <v>0</v>
      </c>
      <c r="BC31" s="164">
        <f t="shared" si="20"/>
        <v>0</v>
      </c>
      <c r="BD31" s="164">
        <f t="shared" si="20"/>
        <v>0</v>
      </c>
      <c r="BE31" s="164">
        <f t="shared" si="20"/>
        <v>0</v>
      </c>
      <c r="BF31" s="164">
        <f t="shared" si="21"/>
        <v>0</v>
      </c>
      <c r="BG31" s="164">
        <f t="shared" si="21"/>
        <v>0</v>
      </c>
      <c r="BH31" s="164">
        <f t="shared" si="21"/>
        <v>0</v>
      </c>
      <c r="BI31" s="164">
        <f t="shared" si="21"/>
        <v>0</v>
      </c>
      <c r="BJ31" s="164">
        <f t="shared" si="21"/>
        <v>0</v>
      </c>
      <c r="BK31" s="164">
        <f t="shared" si="21"/>
        <v>0</v>
      </c>
      <c r="BL31" s="164">
        <f t="shared" si="21"/>
        <v>0</v>
      </c>
      <c r="BM31" s="164">
        <f t="shared" si="21"/>
        <v>0</v>
      </c>
      <c r="BN31" s="164">
        <f t="shared" si="21"/>
        <v>0</v>
      </c>
      <c r="BO31" s="164">
        <f t="shared" si="21"/>
        <v>0</v>
      </c>
      <c r="BP31" s="164">
        <f t="shared" si="21"/>
        <v>0</v>
      </c>
      <c r="BQ31" s="164">
        <f t="shared" si="21"/>
        <v>0</v>
      </c>
      <c r="BR31" s="164">
        <f t="shared" si="21"/>
        <v>0</v>
      </c>
      <c r="BS31" s="164">
        <f t="shared" si="21"/>
        <v>0</v>
      </c>
      <c r="BT31" s="164">
        <f t="shared" si="21"/>
        <v>0</v>
      </c>
      <c r="BU31" s="164">
        <f t="shared" si="21"/>
        <v>0</v>
      </c>
      <c r="BV31" s="164">
        <f t="shared" si="18"/>
        <v>0</v>
      </c>
      <c r="BW31" s="164">
        <f t="shared" si="7"/>
        <v>0</v>
      </c>
      <c r="BX31" s="164">
        <f t="shared" si="7"/>
        <v>0</v>
      </c>
      <c r="BY31" s="164">
        <f t="shared" si="7"/>
        <v>0</v>
      </c>
      <c r="BZ31" s="164">
        <f t="shared" si="7"/>
        <v>0</v>
      </c>
      <c r="CA31" s="164">
        <f t="shared" si="7"/>
        <v>0</v>
      </c>
      <c r="CB31" s="164">
        <f t="shared" si="7"/>
        <v>0</v>
      </c>
      <c r="CC31" s="164">
        <f t="shared" si="7"/>
        <v>0</v>
      </c>
      <c r="CE31" s="159" cm="1">
        <f t="array" ref="CE31">_xlfn.IFS(CE$19&lt;YEAR($H31),0,CE$19=YEAR($H31),DATEDIF($H31,DATE(CE$19,12,31),"m")*$I31,AND(CE$19&gt;YEAR($H31),CE$19-YEAR($H31)&lt;20),$I31*12,CE$19-YEAR($H31)=20,DATEDIF(DATE(YEAR($H31),1,1),$H31,"m")*$I31,CE$19-YEAR($H31)&gt;20,0)</f>
        <v>0</v>
      </c>
      <c r="CF31" s="159" cm="1">
        <f t="array" ref="CF31">_xlfn.IFS(CF$19&lt;YEAR($H31),0,CF$19=YEAR($H31),DATEDIF($H31,DATE(CF$19,12,31),"m")*$I31,AND(CF$19&gt;YEAR($H31),CF$19-YEAR($H31)&lt;20),$I31*12,CF$19-YEAR($H31)=20,DATEDIF(DATE(YEAR($H31),1,1),$H31,"m")*$I31,CF$19-YEAR($H31)&gt;20,0)</f>
        <v>0</v>
      </c>
      <c r="CG31" s="159" cm="1">
        <f t="array" ref="CG31">_xlfn.IFS(CG$19&lt;YEAR($H31),0,CG$19=YEAR($H31),DATEDIF($H31,DATE(CG$19,12,31),"m")*$I31,AND(CG$19&gt;YEAR($H31),CG$19-YEAR($H31)&lt;20),$I31*12,CG$19-YEAR($H31)=20,DATEDIF(DATE(YEAR($H31),1,1),$H31,"m")*$I31,CG$19-YEAR($H31)&gt;20,0)</f>
        <v>0</v>
      </c>
      <c r="CH31" s="159" cm="1">
        <f t="array" ref="CH31">_xlfn.IFS(CH$19&lt;YEAR($H31),0,CH$19=YEAR($H31),DATEDIF($H31,DATE(CH$19,12,31),"m")*$I31,AND(CH$19&gt;YEAR($H31),CH$19-YEAR($H31)&lt;20),$I31*12,CH$19-YEAR($H31)=20,DATEDIF(DATE(YEAR($H31),1,1),$H31,"m")*$I31,CH$19-YEAR($H31)&gt;20,0)</f>
        <v>0</v>
      </c>
      <c r="CI31" s="159" cm="1">
        <f t="array" ref="CI31">_xlfn.IFS(CI$19&lt;YEAR($H31),0,CI$19=YEAR($H31),DATEDIF($H31,DATE(CI$19,12,31),"m")*$I31,AND(CI$19&gt;YEAR($H31),CI$19-YEAR($H31)&lt;20),$I31*12,CI$19-YEAR($H31)=20,DATEDIF(DATE(YEAR($H31),1,1),$H31,"m")*$I31,CI$19-YEAR($H31)&gt;20,0)</f>
        <v>0</v>
      </c>
      <c r="CJ31" s="159" cm="1">
        <f t="array" ref="CJ31">_xlfn.IFS(CJ$19&lt;YEAR($H31),0,CJ$19=YEAR($H31),DATEDIF($H31,DATE(CJ$19,12,31),"m")*$I31,AND(CJ$19&gt;YEAR($H31),CJ$19-YEAR($H31)&lt;20),$I31*12,CJ$19-YEAR($H31)=20,DATEDIF(DATE(YEAR($H31),1,1),$H31,"m")*$I31,CJ$19-YEAR($H31)&gt;20,0)</f>
        <v>0</v>
      </c>
      <c r="CK31" s="159" cm="1">
        <f t="array" ref="CK31">_xlfn.IFS(CK$19&lt;YEAR($H31),0,CK$19=YEAR($H31),DATEDIF($H31,DATE(CK$19,12,31),"m")*$I31,AND(CK$19&gt;YEAR($H31),CK$19-YEAR($H31)&lt;20),$I31*12,CK$19-YEAR($H31)=20,DATEDIF(DATE(YEAR($H31),1,1),$H31,"m")*$I31,CK$19-YEAR($H31)&gt;20,0)</f>
        <v>0</v>
      </c>
      <c r="CL31" s="159" cm="1">
        <f t="array" ref="CL31">_xlfn.IFS(CL$19&lt;YEAR($H31),0,CL$19=YEAR($H31),DATEDIF($H31,DATE(CL$19,12,31),"m")*$I31,AND(CL$19&gt;YEAR($H31),CL$19-YEAR($H31)&lt;20),$I31*12,CL$19-YEAR($H31)=20,DATEDIF(DATE(YEAR($H31),1,1),$H31,"m")*$I31,CL$19-YEAR($H31)&gt;20,0)</f>
        <v>0</v>
      </c>
      <c r="CM31" s="159" cm="1">
        <f t="array" ref="CM31">_xlfn.IFS(CM$19&lt;YEAR($H31),0,CM$19=YEAR($H31),DATEDIF($H31,DATE(CM$19,12,31),"m")*$I31,AND(CM$19&gt;YEAR($H31),CM$19-YEAR($H31)&lt;20),$I31*12,CM$19-YEAR($H31)=20,DATEDIF(DATE(YEAR($H31),1,1),$H31,"m")*$I31,CM$19-YEAR($H31)&gt;20,0)</f>
        <v>0</v>
      </c>
      <c r="CN31" s="159" cm="1">
        <f t="array" ref="CN31">_xlfn.IFS(CN$19&lt;YEAR($H31),0,CN$19=YEAR($H31),DATEDIF($H31,DATE(CN$19,12,31),"m")*$I31,AND(CN$19&gt;YEAR($H31),CN$19-YEAR($H31)&lt;20),$I31*12,CN$19-YEAR($H31)=20,DATEDIF(DATE(YEAR($H31),1,1),$H31,"m")*$I31,CN$19-YEAR($H31)&gt;20,0)</f>
        <v>0</v>
      </c>
      <c r="CO31" s="159" cm="1">
        <f t="array" ref="CO31">_xlfn.IFS(CO$19&lt;YEAR($H31),0,CO$19=YEAR($H31),DATEDIF($H31,DATE(CO$19,12,31),"m")*$I31,AND(CO$19&gt;YEAR($H31),CO$19-YEAR($H31)&lt;20),$I31*12,CO$19-YEAR($H31)=20,DATEDIF(DATE(YEAR($H31),1,1),$H31,"m")*$I31,CO$19-YEAR($H31)&gt;20,0)</f>
        <v>0</v>
      </c>
      <c r="CP31" s="159" cm="1">
        <f t="array" ref="CP31">_xlfn.IFS(CP$19&lt;YEAR($H31),0,CP$19=YEAR($H31),DATEDIF($H31,DATE(CP$19,12,31),"m")*$I31,AND(CP$19&gt;YEAR($H31),CP$19-YEAR($H31)&lt;20),$I31*12,CP$19-YEAR($H31)=20,DATEDIF(DATE(YEAR($H31),1,1),$H31,"m")*$I31,CP$19-YEAR($H31)&gt;20,0)</f>
        <v>0</v>
      </c>
      <c r="CQ31" s="159" cm="1">
        <f t="array" ref="CQ31">_xlfn.IFS(CQ$19&lt;YEAR($H31),0,CQ$19=YEAR($H31),DATEDIF($H31,DATE(CQ$19,12,31),"m")*$I31,AND(CQ$19&gt;YEAR($H31),CQ$19-YEAR($H31)&lt;20),$I31*12,CQ$19-YEAR($H31)=20,DATEDIF(DATE(YEAR($H31),1,1),$H31,"m")*$I31,CQ$19-YEAR($H31)&gt;20,0)</f>
        <v>0</v>
      </c>
      <c r="CR31" s="159" cm="1">
        <f t="array" ref="CR31">_xlfn.IFS(CR$19&lt;YEAR($H31),0,CR$19=YEAR($H31),DATEDIF($H31,DATE(CR$19,12,31),"m")*$I31,AND(CR$19&gt;YEAR($H31),CR$19-YEAR($H31)&lt;20),$I31*12,CR$19-YEAR($H31)=20,DATEDIF(DATE(YEAR($H31),1,1),$H31,"m")*$I31,CR$19-YEAR($H31)&gt;20,0)</f>
        <v>0</v>
      </c>
      <c r="CS31" s="159" cm="1">
        <f t="array" ref="CS31">_xlfn.IFS(CS$19&lt;YEAR($H31),0,CS$19=YEAR($H31),DATEDIF($H31,DATE(CS$19,12,31),"m")*$I31,AND(CS$19&gt;YEAR($H31),CS$19-YEAR($H31)&lt;20),$I31*12,CS$19-YEAR($H31)=20,DATEDIF(DATE(YEAR($H31),1,1),$H31,"m")*$I31,CS$19-YEAR($H31)&gt;20,0)</f>
        <v>0</v>
      </c>
      <c r="CT31" s="159" cm="1">
        <f t="array" ref="CT31">_xlfn.IFS(CT$19&lt;YEAR($H31),0,CT$19=YEAR($H31),DATEDIF($H31,DATE(CT$19,12,31),"m")*$I31,AND(CT$19&gt;YEAR($H31),CT$19-YEAR($H31)&lt;20),$I31*12,CT$19-YEAR($H31)=20,DATEDIF(DATE(YEAR($H31),1,1),$H31,"m")*$I31,CT$19-YEAR($H31)&gt;20,0)</f>
        <v>0</v>
      </c>
      <c r="CU31" s="159" cm="1">
        <f t="array" ref="CU31">_xlfn.IFS(CU$19&lt;YEAR($H31),0,CU$19=YEAR($H31),DATEDIF($H31,DATE(CU$19,12,31),"m")*$I31,AND(CU$19&gt;YEAR($H31),CU$19-YEAR($H31)&lt;20),$I31*12,CU$19-YEAR($H31)=20,DATEDIF(DATE(YEAR($H31),1,1),$H31,"m")*$I31,CU$19-YEAR($H31)&gt;20,0)</f>
        <v>0</v>
      </c>
      <c r="CV31" s="159" cm="1">
        <f t="array" ref="CV31">_xlfn.IFS(CV$19&lt;YEAR($H31),0,CV$19=YEAR($H31),DATEDIF($H31,DATE(CV$19,12,31),"m")*$I31,AND(CV$19&gt;YEAR($H31),CV$19-YEAR($H31)&lt;20),$I31*12,CV$19-YEAR($H31)=20,DATEDIF(DATE(YEAR($H31),1,1),$H31,"m")*$I31,CV$19-YEAR($H31)&gt;20,0)</f>
        <v>0</v>
      </c>
      <c r="CW31" s="159" cm="1">
        <f t="array" ref="CW31">_xlfn.IFS(CW$19&lt;YEAR($H31),0,CW$19=YEAR($H31),DATEDIF($H31,DATE(CW$19,12,31),"m")*$I31,AND(CW$19&gt;YEAR($H31),CW$19-YEAR($H31)&lt;20),$I31*12,CW$19-YEAR($H31)=20,DATEDIF(DATE(YEAR($H31),1,1),$H31,"m")*$I31,CW$19-YEAR($H31)&gt;20,0)</f>
        <v>0</v>
      </c>
      <c r="CX31" s="159" cm="1">
        <f t="array" ref="CX31">_xlfn.IFS(CX$19&lt;YEAR($H31),0,CX$19=YEAR($H31),DATEDIF($H31,DATE(CX$19,12,31),"m")*$I31,AND(CX$19&gt;YEAR($H31),CX$19-YEAR($H31)&lt;20),$I31*12,CX$19-YEAR($H31)=20,DATEDIF(DATE(YEAR($H31),1,1),$H31,"m")*$I31,CX$19-YEAR($H31)&gt;20,0)</f>
        <v>0</v>
      </c>
      <c r="CY31" s="159" cm="1">
        <f t="array" ref="CY31">_xlfn.IFS(CY$19&lt;YEAR($H31),0,CY$19=YEAR($H31),DATEDIF($H31,DATE(CY$19,12,31),"m")*$I31,AND(CY$19&gt;YEAR($H31),CY$19-YEAR($H31)&lt;20),$I31*12,CY$19-YEAR($H31)=20,DATEDIF(DATE(YEAR($H31),1,1),$H31,"m")*$I31,CY$19-YEAR($H31)&gt;20,0)</f>
        <v>0</v>
      </c>
      <c r="CZ31" s="159" cm="1">
        <f t="array" ref="CZ31">_xlfn.IFS(CZ$19&lt;YEAR($H31),0,CZ$19=YEAR($H31),DATEDIF($H31,DATE(CZ$19,12,31),"m")*$I31,AND(CZ$19&gt;YEAR($H31),CZ$19-YEAR($H31)&lt;20),$I31*12,CZ$19-YEAR($H31)=20,DATEDIF(DATE(YEAR($H31),1,1),$H31,"m")*$I31,CZ$19-YEAR($H31)&gt;20,0)</f>
        <v>0</v>
      </c>
      <c r="DA31" s="159" cm="1">
        <f t="array" ref="DA31">_xlfn.IFS(DA$19&lt;YEAR($H31),0,DA$19=YEAR($H31),DATEDIF($H31,DATE(DA$19,12,31),"m")*$I31,AND(DA$19&gt;YEAR($H31),DA$19-YEAR($H31)&lt;20),$I31*12,DA$19-YEAR($H31)=20,DATEDIF(DATE(YEAR($H31),1,1),$H31,"m")*$I31,DA$19-YEAR($H31)&gt;20,0)</f>
        <v>0</v>
      </c>
      <c r="DB31" s="159" cm="1">
        <f t="array" ref="DB31">_xlfn.IFS(DB$19&lt;YEAR($H31),0,DB$19=YEAR($H31),DATEDIF($H31,DATE(DB$19,12,31),"m")*$I31,AND(DB$19&gt;YEAR($H31),DB$19-YEAR($H31)&lt;20),$I31*12,DB$19-YEAR($H31)=20,DATEDIF(DATE(YEAR($H31),1,1),$H31,"m")*$I31,DB$19-YEAR($H31)&gt;20,0)</f>
        <v>0</v>
      </c>
      <c r="DJ31" s="34"/>
      <c r="DK31" s="34"/>
      <c r="DL31" s="34"/>
    </row>
    <row r="32" spans="1:137">
      <c r="A32" s="165" t="s">
        <v>12</v>
      </c>
      <c r="B32" s="165">
        <v>2</v>
      </c>
      <c r="C32" s="165" t="s">
        <v>99</v>
      </c>
      <c r="D32" s="182">
        <f>VLOOKUP($M$2,$M$7:$Q$10,4,FALSE)*$D$16</f>
        <v>0</v>
      </c>
      <c r="E32" s="183">
        <v>46753</v>
      </c>
      <c r="F32" s="184">
        <f t="shared" si="11"/>
        <v>47300</v>
      </c>
      <c r="G32" s="184">
        <f t="shared" si="12"/>
        <v>47484</v>
      </c>
      <c r="H32" s="184">
        <f t="shared" si="5"/>
        <v>47544</v>
      </c>
      <c r="I32" s="157">
        <f t="shared" si="13"/>
        <v>0</v>
      </c>
      <c r="J32" s="164">
        <f t="shared" si="14"/>
        <v>0</v>
      </c>
      <c r="K32" s="164">
        <f t="shared" si="14"/>
        <v>0</v>
      </c>
      <c r="L32" s="164">
        <f t="shared" si="14"/>
        <v>0</v>
      </c>
      <c r="M32" s="164">
        <f t="shared" si="14"/>
        <v>0</v>
      </c>
      <c r="N32" s="164">
        <f t="shared" si="14"/>
        <v>0</v>
      </c>
      <c r="O32" s="164">
        <f t="shared" si="14"/>
        <v>0</v>
      </c>
      <c r="P32" s="164">
        <f t="shared" si="14"/>
        <v>0</v>
      </c>
      <c r="Q32" s="164">
        <f t="shared" si="14"/>
        <v>0</v>
      </c>
      <c r="R32" s="164">
        <f t="shared" si="14"/>
        <v>0</v>
      </c>
      <c r="S32" s="164">
        <f t="shared" si="14"/>
        <v>0</v>
      </c>
      <c r="T32" s="164">
        <f t="shared" si="14"/>
        <v>0</v>
      </c>
      <c r="U32" s="164">
        <f t="shared" si="14"/>
        <v>0</v>
      </c>
      <c r="V32" s="164">
        <f t="shared" si="14"/>
        <v>0</v>
      </c>
      <c r="W32" s="164">
        <f t="shared" si="14"/>
        <v>0</v>
      </c>
      <c r="X32" s="164">
        <f t="shared" si="14"/>
        <v>0</v>
      </c>
      <c r="Y32" s="164">
        <f t="shared" si="14"/>
        <v>0</v>
      </c>
      <c r="Z32" s="164">
        <f t="shared" si="19"/>
        <v>0</v>
      </c>
      <c r="AA32" s="164">
        <f t="shared" si="19"/>
        <v>0</v>
      </c>
      <c r="AB32" s="164">
        <f t="shared" si="19"/>
        <v>0</v>
      </c>
      <c r="AC32" s="164">
        <f t="shared" si="19"/>
        <v>0</v>
      </c>
      <c r="AD32" s="164">
        <f t="shared" si="19"/>
        <v>0</v>
      </c>
      <c r="AE32" s="164">
        <f t="shared" si="19"/>
        <v>0</v>
      </c>
      <c r="AF32" s="164">
        <f t="shared" si="19"/>
        <v>0</v>
      </c>
      <c r="AG32" s="164">
        <f t="shared" si="19"/>
        <v>0</v>
      </c>
      <c r="AH32" s="164">
        <f t="shared" si="19"/>
        <v>0</v>
      </c>
      <c r="AI32" s="164">
        <f t="shared" si="19"/>
        <v>0</v>
      </c>
      <c r="AJ32" s="164">
        <f t="shared" si="19"/>
        <v>0</v>
      </c>
      <c r="AK32" s="164">
        <f t="shared" si="19"/>
        <v>0</v>
      </c>
      <c r="AL32" s="164">
        <f t="shared" si="19"/>
        <v>0</v>
      </c>
      <c r="AM32" s="164">
        <f t="shared" si="19"/>
        <v>0</v>
      </c>
      <c r="AN32" s="164">
        <f t="shared" si="19"/>
        <v>0</v>
      </c>
      <c r="AO32" s="164">
        <f t="shared" si="19"/>
        <v>0</v>
      </c>
      <c r="AP32" s="164">
        <f t="shared" si="20"/>
        <v>0</v>
      </c>
      <c r="AQ32" s="164">
        <f t="shared" si="20"/>
        <v>0</v>
      </c>
      <c r="AR32" s="164">
        <f t="shared" si="20"/>
        <v>0</v>
      </c>
      <c r="AS32" s="164">
        <f t="shared" si="20"/>
        <v>0</v>
      </c>
      <c r="AT32" s="164">
        <f t="shared" si="20"/>
        <v>0</v>
      </c>
      <c r="AU32" s="164">
        <f t="shared" si="20"/>
        <v>0</v>
      </c>
      <c r="AV32" s="164">
        <f t="shared" si="20"/>
        <v>0</v>
      </c>
      <c r="AW32" s="164">
        <f t="shared" si="20"/>
        <v>0</v>
      </c>
      <c r="AX32" s="164">
        <f t="shared" si="20"/>
        <v>0</v>
      </c>
      <c r="AY32" s="164">
        <f t="shared" si="20"/>
        <v>0</v>
      </c>
      <c r="AZ32" s="164">
        <f t="shared" si="20"/>
        <v>0</v>
      </c>
      <c r="BA32" s="164">
        <f t="shared" si="20"/>
        <v>0</v>
      </c>
      <c r="BB32" s="164">
        <f t="shared" si="20"/>
        <v>0</v>
      </c>
      <c r="BC32" s="164">
        <f t="shared" si="20"/>
        <v>0</v>
      </c>
      <c r="BD32" s="164">
        <f t="shared" si="20"/>
        <v>0</v>
      </c>
      <c r="BE32" s="164">
        <f t="shared" si="20"/>
        <v>0</v>
      </c>
      <c r="BF32" s="164">
        <f t="shared" si="21"/>
        <v>0</v>
      </c>
      <c r="BG32" s="164">
        <f t="shared" si="21"/>
        <v>0</v>
      </c>
      <c r="BH32" s="164">
        <f t="shared" si="21"/>
        <v>0</v>
      </c>
      <c r="BI32" s="164">
        <f t="shared" si="21"/>
        <v>0</v>
      </c>
      <c r="BJ32" s="164">
        <f t="shared" si="21"/>
        <v>0</v>
      </c>
      <c r="BK32" s="164">
        <f t="shared" si="21"/>
        <v>0</v>
      </c>
      <c r="BL32" s="164">
        <f t="shared" si="21"/>
        <v>0</v>
      </c>
      <c r="BM32" s="164">
        <f t="shared" si="21"/>
        <v>0</v>
      </c>
      <c r="BN32" s="164">
        <f t="shared" si="21"/>
        <v>0</v>
      </c>
      <c r="BO32" s="164">
        <f t="shared" si="21"/>
        <v>0</v>
      </c>
      <c r="BP32" s="164">
        <f t="shared" si="21"/>
        <v>0</v>
      </c>
      <c r="BQ32" s="164">
        <f t="shared" si="21"/>
        <v>0</v>
      </c>
      <c r="BR32" s="164">
        <f t="shared" si="21"/>
        <v>0</v>
      </c>
      <c r="BS32" s="164">
        <f t="shared" si="21"/>
        <v>0</v>
      </c>
      <c r="BT32" s="164">
        <f t="shared" si="21"/>
        <v>0</v>
      </c>
      <c r="BU32" s="164">
        <f t="shared" si="21"/>
        <v>0</v>
      </c>
      <c r="BV32" s="164">
        <f t="shared" si="18"/>
        <v>0</v>
      </c>
      <c r="BW32" s="164">
        <f t="shared" si="7"/>
        <v>0</v>
      </c>
      <c r="BX32" s="164">
        <f t="shared" si="7"/>
        <v>0</v>
      </c>
      <c r="BY32" s="164">
        <f t="shared" si="7"/>
        <v>0</v>
      </c>
      <c r="BZ32" s="164">
        <f t="shared" si="7"/>
        <v>0</v>
      </c>
      <c r="CA32" s="164">
        <f t="shared" si="7"/>
        <v>0</v>
      </c>
      <c r="CB32" s="164">
        <f t="shared" si="7"/>
        <v>0</v>
      </c>
      <c r="CC32" s="164">
        <f t="shared" si="7"/>
        <v>0</v>
      </c>
      <c r="CE32" s="159" cm="1">
        <f t="array" ref="CE32">_xlfn.IFS(CE$19&lt;YEAR($H32),0,CE$19=YEAR($H32),DATEDIF($H32,DATE(CE$19,12,31),"m")*$I32,AND(CE$19&gt;YEAR($H32),CE$19-YEAR($H32)&lt;20),$I32*12,CE$19-YEAR($H32)=20,DATEDIF(DATE(YEAR($H32),1,1),$H32,"m")*$I32,CE$19-YEAR($H32)&gt;20,0)</f>
        <v>0</v>
      </c>
      <c r="CF32" s="159" cm="1">
        <f t="array" ref="CF32">_xlfn.IFS(CF$19&lt;YEAR($H32),0,CF$19=YEAR($H32),DATEDIF($H32,DATE(CF$19,12,31),"m")*$I32,AND(CF$19&gt;YEAR($H32),CF$19-YEAR($H32)&lt;20),$I32*12,CF$19-YEAR($H32)=20,DATEDIF(DATE(YEAR($H32),1,1),$H32,"m")*$I32,CF$19-YEAR($H32)&gt;20,0)</f>
        <v>0</v>
      </c>
      <c r="CG32" s="159" cm="1">
        <f t="array" ref="CG32">_xlfn.IFS(CG$19&lt;YEAR($H32),0,CG$19=YEAR($H32),DATEDIF($H32,DATE(CG$19,12,31),"m")*$I32,AND(CG$19&gt;YEAR($H32),CG$19-YEAR($H32)&lt;20),$I32*12,CG$19-YEAR($H32)=20,DATEDIF(DATE(YEAR($H32),1,1),$H32,"m")*$I32,CG$19-YEAR($H32)&gt;20,0)</f>
        <v>0</v>
      </c>
      <c r="CH32" s="159" cm="1">
        <f t="array" ref="CH32">_xlfn.IFS(CH$19&lt;YEAR($H32),0,CH$19=YEAR($H32),DATEDIF($H32,DATE(CH$19,12,31),"m")*$I32,AND(CH$19&gt;YEAR($H32),CH$19-YEAR($H32)&lt;20),$I32*12,CH$19-YEAR($H32)=20,DATEDIF(DATE(YEAR($H32),1,1),$H32,"m")*$I32,CH$19-YEAR($H32)&gt;20,0)</f>
        <v>0</v>
      </c>
      <c r="CI32" s="159" cm="1">
        <f t="array" ref="CI32">_xlfn.IFS(CI$19&lt;YEAR($H32),0,CI$19=YEAR($H32),DATEDIF($H32,DATE(CI$19,12,31),"m")*$I32,AND(CI$19&gt;YEAR($H32),CI$19-YEAR($H32)&lt;20),$I32*12,CI$19-YEAR($H32)=20,DATEDIF(DATE(YEAR($H32),1,1),$H32,"m")*$I32,CI$19-YEAR($H32)&gt;20,0)</f>
        <v>0</v>
      </c>
      <c r="CJ32" s="159" cm="1">
        <f t="array" ref="CJ32">_xlfn.IFS(CJ$19&lt;YEAR($H32),0,CJ$19=YEAR($H32),DATEDIF($H32,DATE(CJ$19,12,31),"m")*$I32,AND(CJ$19&gt;YEAR($H32),CJ$19-YEAR($H32)&lt;20),$I32*12,CJ$19-YEAR($H32)=20,DATEDIF(DATE(YEAR($H32),1,1),$H32,"m")*$I32,CJ$19-YEAR($H32)&gt;20,0)</f>
        <v>0</v>
      </c>
      <c r="CK32" s="159" cm="1">
        <f t="array" ref="CK32">_xlfn.IFS(CK$19&lt;YEAR($H32),0,CK$19=YEAR($H32),DATEDIF($H32,DATE(CK$19,12,31),"m")*$I32,AND(CK$19&gt;YEAR($H32),CK$19-YEAR($H32)&lt;20),$I32*12,CK$19-YEAR($H32)=20,DATEDIF(DATE(YEAR($H32),1,1),$H32,"m")*$I32,CK$19-YEAR($H32)&gt;20,0)</f>
        <v>0</v>
      </c>
      <c r="CL32" s="159" cm="1">
        <f t="array" ref="CL32">_xlfn.IFS(CL$19&lt;YEAR($H32),0,CL$19=YEAR($H32),DATEDIF($H32,DATE(CL$19,12,31),"m")*$I32,AND(CL$19&gt;YEAR($H32),CL$19-YEAR($H32)&lt;20),$I32*12,CL$19-YEAR($H32)=20,DATEDIF(DATE(YEAR($H32),1,1),$H32,"m")*$I32,CL$19-YEAR($H32)&gt;20,0)</f>
        <v>0</v>
      </c>
      <c r="CM32" s="159" cm="1">
        <f t="array" ref="CM32">_xlfn.IFS(CM$19&lt;YEAR($H32),0,CM$19=YEAR($H32),DATEDIF($H32,DATE(CM$19,12,31),"m")*$I32,AND(CM$19&gt;YEAR($H32),CM$19-YEAR($H32)&lt;20),$I32*12,CM$19-YEAR($H32)=20,DATEDIF(DATE(YEAR($H32),1,1),$H32,"m")*$I32,CM$19-YEAR($H32)&gt;20,0)</f>
        <v>0</v>
      </c>
      <c r="CN32" s="159" cm="1">
        <f t="array" ref="CN32">_xlfn.IFS(CN$19&lt;YEAR($H32),0,CN$19=YEAR($H32),DATEDIF($H32,DATE(CN$19,12,31),"m")*$I32,AND(CN$19&gt;YEAR($H32),CN$19-YEAR($H32)&lt;20),$I32*12,CN$19-YEAR($H32)=20,DATEDIF(DATE(YEAR($H32),1,1),$H32,"m")*$I32,CN$19-YEAR($H32)&gt;20,0)</f>
        <v>0</v>
      </c>
      <c r="CO32" s="159" cm="1">
        <f t="array" ref="CO32">_xlfn.IFS(CO$19&lt;YEAR($H32),0,CO$19=YEAR($H32),DATEDIF($H32,DATE(CO$19,12,31),"m")*$I32,AND(CO$19&gt;YEAR($H32),CO$19-YEAR($H32)&lt;20),$I32*12,CO$19-YEAR($H32)=20,DATEDIF(DATE(YEAR($H32),1,1),$H32,"m")*$I32,CO$19-YEAR($H32)&gt;20,0)</f>
        <v>0</v>
      </c>
      <c r="CP32" s="159" cm="1">
        <f t="array" ref="CP32">_xlfn.IFS(CP$19&lt;YEAR($H32),0,CP$19=YEAR($H32),DATEDIF($H32,DATE(CP$19,12,31),"m")*$I32,AND(CP$19&gt;YEAR($H32),CP$19-YEAR($H32)&lt;20),$I32*12,CP$19-YEAR($H32)=20,DATEDIF(DATE(YEAR($H32),1,1),$H32,"m")*$I32,CP$19-YEAR($H32)&gt;20,0)</f>
        <v>0</v>
      </c>
      <c r="CQ32" s="159" cm="1">
        <f t="array" ref="CQ32">_xlfn.IFS(CQ$19&lt;YEAR($H32),0,CQ$19=YEAR($H32),DATEDIF($H32,DATE(CQ$19,12,31),"m")*$I32,AND(CQ$19&gt;YEAR($H32),CQ$19-YEAR($H32)&lt;20),$I32*12,CQ$19-YEAR($H32)=20,DATEDIF(DATE(YEAR($H32),1,1),$H32,"m")*$I32,CQ$19-YEAR($H32)&gt;20,0)</f>
        <v>0</v>
      </c>
      <c r="CR32" s="159" cm="1">
        <f t="array" ref="CR32">_xlfn.IFS(CR$19&lt;YEAR($H32),0,CR$19=YEAR($H32),DATEDIF($H32,DATE(CR$19,12,31),"m")*$I32,AND(CR$19&gt;YEAR($H32),CR$19-YEAR($H32)&lt;20),$I32*12,CR$19-YEAR($H32)=20,DATEDIF(DATE(YEAR($H32),1,1),$H32,"m")*$I32,CR$19-YEAR($H32)&gt;20,0)</f>
        <v>0</v>
      </c>
      <c r="CS32" s="159" cm="1">
        <f t="array" ref="CS32">_xlfn.IFS(CS$19&lt;YEAR($H32),0,CS$19=YEAR($H32),DATEDIF($H32,DATE(CS$19,12,31),"m")*$I32,AND(CS$19&gt;YEAR($H32),CS$19-YEAR($H32)&lt;20),$I32*12,CS$19-YEAR($H32)=20,DATEDIF(DATE(YEAR($H32),1,1),$H32,"m")*$I32,CS$19-YEAR($H32)&gt;20,0)</f>
        <v>0</v>
      </c>
      <c r="CT32" s="159" cm="1">
        <f t="array" ref="CT32">_xlfn.IFS(CT$19&lt;YEAR($H32),0,CT$19=YEAR($H32),DATEDIF($H32,DATE(CT$19,12,31),"m")*$I32,AND(CT$19&gt;YEAR($H32),CT$19-YEAR($H32)&lt;20),$I32*12,CT$19-YEAR($H32)=20,DATEDIF(DATE(YEAR($H32),1,1),$H32,"m")*$I32,CT$19-YEAR($H32)&gt;20,0)</f>
        <v>0</v>
      </c>
      <c r="CU32" s="159" cm="1">
        <f t="array" ref="CU32">_xlfn.IFS(CU$19&lt;YEAR($H32),0,CU$19=YEAR($H32),DATEDIF($H32,DATE(CU$19,12,31),"m")*$I32,AND(CU$19&gt;YEAR($H32),CU$19-YEAR($H32)&lt;20),$I32*12,CU$19-YEAR($H32)=20,DATEDIF(DATE(YEAR($H32),1,1),$H32,"m")*$I32,CU$19-YEAR($H32)&gt;20,0)</f>
        <v>0</v>
      </c>
      <c r="CV32" s="159" cm="1">
        <f t="array" ref="CV32">_xlfn.IFS(CV$19&lt;YEAR($H32),0,CV$19=YEAR($H32),DATEDIF($H32,DATE(CV$19,12,31),"m")*$I32,AND(CV$19&gt;YEAR($H32),CV$19-YEAR($H32)&lt;20),$I32*12,CV$19-YEAR($H32)=20,DATEDIF(DATE(YEAR($H32),1,1),$H32,"m")*$I32,CV$19-YEAR($H32)&gt;20,0)</f>
        <v>0</v>
      </c>
      <c r="CW32" s="159" cm="1">
        <f t="array" ref="CW32">_xlfn.IFS(CW$19&lt;YEAR($H32),0,CW$19=YEAR($H32),DATEDIF($H32,DATE(CW$19,12,31),"m")*$I32,AND(CW$19&gt;YEAR($H32),CW$19-YEAR($H32)&lt;20),$I32*12,CW$19-YEAR($H32)=20,DATEDIF(DATE(YEAR($H32),1,1),$H32,"m")*$I32,CW$19-YEAR($H32)&gt;20,0)</f>
        <v>0</v>
      </c>
      <c r="CX32" s="159" cm="1">
        <f t="array" ref="CX32">_xlfn.IFS(CX$19&lt;YEAR($H32),0,CX$19=YEAR($H32),DATEDIF($H32,DATE(CX$19,12,31),"m")*$I32,AND(CX$19&gt;YEAR($H32),CX$19-YEAR($H32)&lt;20),$I32*12,CX$19-YEAR($H32)=20,DATEDIF(DATE(YEAR($H32),1,1),$H32,"m")*$I32,CX$19-YEAR($H32)&gt;20,0)</f>
        <v>0</v>
      </c>
      <c r="CY32" s="159" cm="1">
        <f t="array" ref="CY32">_xlfn.IFS(CY$19&lt;YEAR($H32),0,CY$19=YEAR($H32),DATEDIF($H32,DATE(CY$19,12,31),"m")*$I32,AND(CY$19&gt;YEAR($H32),CY$19-YEAR($H32)&lt;20),$I32*12,CY$19-YEAR($H32)=20,DATEDIF(DATE(YEAR($H32),1,1),$H32,"m")*$I32,CY$19-YEAR($H32)&gt;20,0)</f>
        <v>0</v>
      </c>
      <c r="CZ32" s="159" cm="1">
        <f t="array" ref="CZ32">_xlfn.IFS(CZ$19&lt;YEAR($H32),0,CZ$19=YEAR($H32),DATEDIF($H32,DATE(CZ$19,12,31),"m")*$I32,AND(CZ$19&gt;YEAR($H32),CZ$19-YEAR($H32)&lt;20),$I32*12,CZ$19-YEAR($H32)=20,DATEDIF(DATE(YEAR($H32),1,1),$H32,"m")*$I32,CZ$19-YEAR($H32)&gt;20,0)</f>
        <v>0</v>
      </c>
      <c r="DA32" s="159" cm="1">
        <f t="array" ref="DA32">_xlfn.IFS(DA$19&lt;YEAR($H32),0,DA$19=YEAR($H32),DATEDIF($H32,DATE(DA$19,12,31),"m")*$I32,AND(DA$19&gt;YEAR($H32),DA$19-YEAR($H32)&lt;20),$I32*12,DA$19-YEAR($H32)=20,DATEDIF(DATE(YEAR($H32),1,1),$H32,"m")*$I32,DA$19-YEAR($H32)&gt;20,0)</f>
        <v>0</v>
      </c>
      <c r="DB32" s="159" cm="1">
        <f t="array" ref="DB32">_xlfn.IFS(DB$19&lt;YEAR($H32),0,DB$19=YEAR($H32),DATEDIF($H32,DATE(DB$19,12,31),"m")*$I32,AND(DB$19&gt;YEAR($H32),DB$19-YEAR($H32)&lt;20),$I32*12,DB$19-YEAR($H32)=20,DATEDIF(DATE(YEAR($H32),1,1),$H32,"m")*$I32,DB$19-YEAR($H32)&gt;20,0)</f>
        <v>0</v>
      </c>
      <c r="DJ32" s="34"/>
      <c r="DK32" s="34"/>
      <c r="DL32" s="34"/>
    </row>
    <row r="33" spans="1:137">
      <c r="A33" s="165" t="s">
        <v>12</v>
      </c>
      <c r="B33" s="165">
        <v>2</v>
      </c>
      <c r="C33" s="165" t="s">
        <v>75</v>
      </c>
      <c r="D33" s="182">
        <f>VLOOKUP($M$2,$M$7:$Q$10,4,FALSE)*$E$16</f>
        <v>0</v>
      </c>
      <c r="E33" s="183">
        <v>46753</v>
      </c>
      <c r="F33" s="184">
        <f t="shared" si="11"/>
        <v>47300</v>
      </c>
      <c r="G33" s="184">
        <f t="shared" si="12"/>
        <v>47484</v>
      </c>
      <c r="H33" s="184">
        <f t="shared" si="5"/>
        <v>47544</v>
      </c>
      <c r="I33" s="157">
        <f t="shared" si="13"/>
        <v>0</v>
      </c>
      <c r="J33" s="164">
        <f t="shared" si="14"/>
        <v>0</v>
      </c>
      <c r="K33" s="164">
        <f t="shared" si="14"/>
        <v>0</v>
      </c>
      <c r="L33" s="164">
        <f t="shared" si="14"/>
        <v>0</v>
      </c>
      <c r="M33" s="164">
        <f t="shared" si="14"/>
        <v>0</v>
      </c>
      <c r="N33" s="164">
        <f t="shared" si="14"/>
        <v>0</v>
      </c>
      <c r="O33" s="164">
        <f t="shared" si="14"/>
        <v>0</v>
      </c>
      <c r="P33" s="164">
        <f t="shared" si="14"/>
        <v>0</v>
      </c>
      <c r="Q33" s="164">
        <f t="shared" si="14"/>
        <v>0</v>
      </c>
      <c r="R33" s="164">
        <f t="shared" si="14"/>
        <v>0</v>
      </c>
      <c r="S33" s="164">
        <f t="shared" si="14"/>
        <v>0</v>
      </c>
      <c r="T33" s="164">
        <f t="shared" si="14"/>
        <v>0</v>
      </c>
      <c r="U33" s="164">
        <f t="shared" si="14"/>
        <v>0</v>
      </c>
      <c r="V33" s="164">
        <f t="shared" si="14"/>
        <v>0</v>
      </c>
      <c r="W33" s="164">
        <f t="shared" si="14"/>
        <v>0</v>
      </c>
      <c r="X33" s="164">
        <f t="shared" si="14"/>
        <v>0</v>
      </c>
      <c r="Y33" s="164">
        <f t="shared" si="14"/>
        <v>0</v>
      </c>
      <c r="Z33" s="164">
        <f t="shared" si="19"/>
        <v>0</v>
      </c>
      <c r="AA33" s="164">
        <f t="shared" si="19"/>
        <v>0</v>
      </c>
      <c r="AB33" s="164">
        <f t="shared" si="19"/>
        <v>0</v>
      </c>
      <c r="AC33" s="164">
        <f t="shared" si="19"/>
        <v>0</v>
      </c>
      <c r="AD33" s="164">
        <f t="shared" si="19"/>
        <v>0</v>
      </c>
      <c r="AE33" s="164">
        <f t="shared" si="19"/>
        <v>0</v>
      </c>
      <c r="AF33" s="164">
        <f t="shared" si="19"/>
        <v>0</v>
      </c>
      <c r="AG33" s="164">
        <f t="shared" si="19"/>
        <v>0</v>
      </c>
      <c r="AH33" s="164">
        <f t="shared" si="19"/>
        <v>0</v>
      </c>
      <c r="AI33" s="164">
        <f t="shared" si="19"/>
        <v>0</v>
      </c>
      <c r="AJ33" s="164">
        <f t="shared" si="19"/>
        <v>0</v>
      </c>
      <c r="AK33" s="164">
        <f t="shared" si="19"/>
        <v>0</v>
      </c>
      <c r="AL33" s="164">
        <f t="shared" si="19"/>
        <v>0</v>
      </c>
      <c r="AM33" s="164">
        <f t="shared" si="19"/>
        <v>0</v>
      </c>
      <c r="AN33" s="164">
        <f t="shared" si="19"/>
        <v>0</v>
      </c>
      <c r="AO33" s="164">
        <f t="shared" si="19"/>
        <v>0</v>
      </c>
      <c r="AP33" s="164">
        <f t="shared" si="20"/>
        <v>0</v>
      </c>
      <c r="AQ33" s="164">
        <f t="shared" si="20"/>
        <v>0</v>
      </c>
      <c r="AR33" s="164">
        <f t="shared" si="20"/>
        <v>0</v>
      </c>
      <c r="AS33" s="164">
        <f t="shared" si="20"/>
        <v>0</v>
      </c>
      <c r="AT33" s="164">
        <f t="shared" si="20"/>
        <v>0</v>
      </c>
      <c r="AU33" s="164">
        <f t="shared" si="20"/>
        <v>0</v>
      </c>
      <c r="AV33" s="164">
        <f t="shared" si="20"/>
        <v>0</v>
      </c>
      <c r="AW33" s="164">
        <f t="shared" si="20"/>
        <v>0</v>
      </c>
      <c r="AX33" s="164">
        <f t="shared" si="20"/>
        <v>0</v>
      </c>
      <c r="AY33" s="164">
        <f t="shared" si="20"/>
        <v>0</v>
      </c>
      <c r="AZ33" s="164">
        <f t="shared" si="20"/>
        <v>0</v>
      </c>
      <c r="BA33" s="164">
        <f t="shared" si="20"/>
        <v>0</v>
      </c>
      <c r="BB33" s="164">
        <f t="shared" si="20"/>
        <v>0</v>
      </c>
      <c r="BC33" s="164">
        <f t="shared" si="20"/>
        <v>0</v>
      </c>
      <c r="BD33" s="164">
        <f t="shared" si="20"/>
        <v>0</v>
      </c>
      <c r="BE33" s="164">
        <f t="shared" si="20"/>
        <v>0</v>
      </c>
      <c r="BF33" s="164">
        <f t="shared" si="21"/>
        <v>0</v>
      </c>
      <c r="BG33" s="164">
        <f t="shared" si="21"/>
        <v>0</v>
      </c>
      <c r="BH33" s="164">
        <f t="shared" si="21"/>
        <v>0</v>
      </c>
      <c r="BI33" s="164">
        <f t="shared" si="21"/>
        <v>0</v>
      </c>
      <c r="BJ33" s="164">
        <f t="shared" si="21"/>
        <v>0</v>
      </c>
      <c r="BK33" s="164">
        <f t="shared" si="21"/>
        <v>0</v>
      </c>
      <c r="BL33" s="164">
        <f t="shared" si="21"/>
        <v>0</v>
      </c>
      <c r="BM33" s="164">
        <f t="shared" si="21"/>
        <v>0</v>
      </c>
      <c r="BN33" s="164">
        <f t="shared" si="21"/>
        <v>0</v>
      </c>
      <c r="BO33" s="164">
        <f t="shared" si="21"/>
        <v>0</v>
      </c>
      <c r="BP33" s="164">
        <f t="shared" si="21"/>
        <v>0</v>
      </c>
      <c r="BQ33" s="164">
        <f t="shared" si="21"/>
        <v>0</v>
      </c>
      <c r="BR33" s="164">
        <f t="shared" si="21"/>
        <v>0</v>
      </c>
      <c r="BS33" s="164">
        <f t="shared" si="21"/>
        <v>0</v>
      </c>
      <c r="BT33" s="164">
        <f t="shared" si="21"/>
        <v>0</v>
      </c>
      <c r="BU33" s="164">
        <f t="shared" si="21"/>
        <v>0</v>
      </c>
      <c r="BV33" s="164">
        <f t="shared" si="18"/>
        <v>0</v>
      </c>
      <c r="BW33" s="164">
        <f t="shared" si="7"/>
        <v>0</v>
      </c>
      <c r="BX33" s="164">
        <f t="shared" si="7"/>
        <v>0</v>
      </c>
      <c r="BY33" s="164">
        <f t="shared" si="7"/>
        <v>0</v>
      </c>
      <c r="BZ33" s="164">
        <f t="shared" si="7"/>
        <v>0</v>
      </c>
      <c r="CA33" s="164">
        <f t="shared" si="7"/>
        <v>0</v>
      </c>
      <c r="CB33" s="164">
        <f t="shared" si="7"/>
        <v>0</v>
      </c>
      <c r="CC33" s="164">
        <f t="shared" si="7"/>
        <v>0</v>
      </c>
      <c r="CE33" s="159" cm="1">
        <f t="array" ref="CE33">_xlfn.IFS(CE$19&lt;YEAR($H33),0,CE$19=YEAR($H33),DATEDIF($H33,DATE(CE$19,12,31),"m")*$I33,AND(CE$19&gt;YEAR($H33),CE$19-YEAR($H33)&lt;20),$I33*12,CE$19-YEAR($H33)=20,DATEDIF(DATE(YEAR($H33),1,1),$H33,"m")*$I33,CE$19-YEAR($H33)&gt;20,0)</f>
        <v>0</v>
      </c>
      <c r="CF33" s="159" cm="1">
        <f t="array" ref="CF33">_xlfn.IFS(CF$19&lt;YEAR($H33),0,CF$19=YEAR($H33),DATEDIF($H33,DATE(CF$19,12,31),"m")*$I33,AND(CF$19&gt;YEAR($H33),CF$19-YEAR($H33)&lt;20),$I33*12,CF$19-YEAR($H33)=20,DATEDIF(DATE(YEAR($H33),1,1),$H33,"m")*$I33,CF$19-YEAR($H33)&gt;20,0)</f>
        <v>0</v>
      </c>
      <c r="CG33" s="159" cm="1">
        <f t="array" ref="CG33">_xlfn.IFS(CG$19&lt;YEAR($H33),0,CG$19=YEAR($H33),DATEDIF($H33,DATE(CG$19,12,31),"m")*$I33,AND(CG$19&gt;YEAR($H33),CG$19-YEAR($H33)&lt;20),$I33*12,CG$19-YEAR($H33)=20,DATEDIF(DATE(YEAR($H33),1,1),$H33,"m")*$I33,CG$19-YEAR($H33)&gt;20,0)</f>
        <v>0</v>
      </c>
      <c r="CH33" s="159" cm="1">
        <f t="array" ref="CH33">_xlfn.IFS(CH$19&lt;YEAR($H33),0,CH$19=YEAR($H33),DATEDIF($H33,DATE(CH$19,12,31),"m")*$I33,AND(CH$19&gt;YEAR($H33),CH$19-YEAR($H33)&lt;20),$I33*12,CH$19-YEAR($H33)=20,DATEDIF(DATE(YEAR($H33),1,1),$H33,"m")*$I33,CH$19-YEAR($H33)&gt;20,0)</f>
        <v>0</v>
      </c>
      <c r="CI33" s="159" cm="1">
        <f t="array" ref="CI33">_xlfn.IFS(CI$19&lt;YEAR($H33),0,CI$19=YEAR($H33),DATEDIF($H33,DATE(CI$19,12,31),"m")*$I33,AND(CI$19&gt;YEAR($H33),CI$19-YEAR($H33)&lt;20),$I33*12,CI$19-YEAR($H33)=20,DATEDIF(DATE(YEAR($H33),1,1),$H33,"m")*$I33,CI$19-YEAR($H33)&gt;20,0)</f>
        <v>0</v>
      </c>
      <c r="CJ33" s="159" cm="1">
        <f t="array" ref="CJ33">_xlfn.IFS(CJ$19&lt;YEAR($H33),0,CJ$19=YEAR($H33),DATEDIF($H33,DATE(CJ$19,12,31),"m")*$I33,AND(CJ$19&gt;YEAR($H33),CJ$19-YEAR($H33)&lt;20),$I33*12,CJ$19-YEAR($H33)=20,DATEDIF(DATE(YEAR($H33),1,1),$H33,"m")*$I33,CJ$19-YEAR($H33)&gt;20,0)</f>
        <v>0</v>
      </c>
      <c r="CK33" s="159" cm="1">
        <f t="array" ref="CK33">_xlfn.IFS(CK$19&lt;YEAR($H33),0,CK$19=YEAR($H33),DATEDIF($H33,DATE(CK$19,12,31),"m")*$I33,AND(CK$19&gt;YEAR($H33),CK$19-YEAR($H33)&lt;20),$I33*12,CK$19-YEAR($H33)=20,DATEDIF(DATE(YEAR($H33),1,1),$H33,"m")*$I33,CK$19-YEAR($H33)&gt;20,0)</f>
        <v>0</v>
      </c>
      <c r="CL33" s="159" cm="1">
        <f t="array" ref="CL33">_xlfn.IFS(CL$19&lt;YEAR($H33),0,CL$19=YEAR($H33),DATEDIF($H33,DATE(CL$19,12,31),"m")*$I33,AND(CL$19&gt;YEAR($H33),CL$19-YEAR($H33)&lt;20),$I33*12,CL$19-YEAR($H33)=20,DATEDIF(DATE(YEAR($H33),1,1),$H33,"m")*$I33,CL$19-YEAR($H33)&gt;20,0)</f>
        <v>0</v>
      </c>
      <c r="CM33" s="159" cm="1">
        <f t="array" ref="CM33">_xlfn.IFS(CM$19&lt;YEAR($H33),0,CM$19=YEAR($H33),DATEDIF($H33,DATE(CM$19,12,31),"m")*$I33,AND(CM$19&gt;YEAR($H33),CM$19-YEAR($H33)&lt;20),$I33*12,CM$19-YEAR($H33)=20,DATEDIF(DATE(YEAR($H33),1,1),$H33,"m")*$I33,CM$19-YEAR($H33)&gt;20,0)</f>
        <v>0</v>
      </c>
      <c r="CN33" s="159" cm="1">
        <f t="array" ref="CN33">_xlfn.IFS(CN$19&lt;YEAR($H33),0,CN$19=YEAR($H33),DATEDIF($H33,DATE(CN$19,12,31),"m")*$I33,AND(CN$19&gt;YEAR($H33),CN$19-YEAR($H33)&lt;20),$I33*12,CN$19-YEAR($H33)=20,DATEDIF(DATE(YEAR($H33),1,1),$H33,"m")*$I33,CN$19-YEAR($H33)&gt;20,0)</f>
        <v>0</v>
      </c>
      <c r="CO33" s="159" cm="1">
        <f t="array" ref="CO33">_xlfn.IFS(CO$19&lt;YEAR($H33),0,CO$19=YEAR($H33),DATEDIF($H33,DATE(CO$19,12,31),"m")*$I33,AND(CO$19&gt;YEAR($H33),CO$19-YEAR($H33)&lt;20),$I33*12,CO$19-YEAR($H33)=20,DATEDIF(DATE(YEAR($H33),1,1),$H33,"m")*$I33,CO$19-YEAR($H33)&gt;20,0)</f>
        <v>0</v>
      </c>
      <c r="CP33" s="159" cm="1">
        <f t="array" ref="CP33">_xlfn.IFS(CP$19&lt;YEAR($H33),0,CP$19=YEAR($H33),DATEDIF($H33,DATE(CP$19,12,31),"m")*$I33,AND(CP$19&gt;YEAR($H33),CP$19-YEAR($H33)&lt;20),$I33*12,CP$19-YEAR($H33)=20,DATEDIF(DATE(YEAR($H33),1,1),$H33,"m")*$I33,CP$19-YEAR($H33)&gt;20,0)</f>
        <v>0</v>
      </c>
      <c r="CQ33" s="159" cm="1">
        <f t="array" ref="CQ33">_xlfn.IFS(CQ$19&lt;YEAR($H33),0,CQ$19=YEAR($H33),DATEDIF($H33,DATE(CQ$19,12,31),"m")*$I33,AND(CQ$19&gt;YEAR($H33),CQ$19-YEAR($H33)&lt;20),$I33*12,CQ$19-YEAR($H33)=20,DATEDIF(DATE(YEAR($H33),1,1),$H33,"m")*$I33,CQ$19-YEAR($H33)&gt;20,0)</f>
        <v>0</v>
      </c>
      <c r="CR33" s="159" cm="1">
        <f t="array" ref="CR33">_xlfn.IFS(CR$19&lt;YEAR($H33),0,CR$19=YEAR($H33),DATEDIF($H33,DATE(CR$19,12,31),"m")*$I33,AND(CR$19&gt;YEAR($H33),CR$19-YEAR($H33)&lt;20),$I33*12,CR$19-YEAR($H33)=20,DATEDIF(DATE(YEAR($H33),1,1),$H33,"m")*$I33,CR$19-YEAR($H33)&gt;20,0)</f>
        <v>0</v>
      </c>
      <c r="CS33" s="159" cm="1">
        <f t="array" ref="CS33">_xlfn.IFS(CS$19&lt;YEAR($H33),0,CS$19=YEAR($H33),DATEDIF($H33,DATE(CS$19,12,31),"m")*$I33,AND(CS$19&gt;YEAR($H33),CS$19-YEAR($H33)&lt;20),$I33*12,CS$19-YEAR($H33)=20,DATEDIF(DATE(YEAR($H33),1,1),$H33,"m")*$I33,CS$19-YEAR($H33)&gt;20,0)</f>
        <v>0</v>
      </c>
      <c r="CT33" s="159" cm="1">
        <f t="array" ref="CT33">_xlfn.IFS(CT$19&lt;YEAR($H33),0,CT$19=YEAR($H33),DATEDIF($H33,DATE(CT$19,12,31),"m")*$I33,AND(CT$19&gt;YEAR($H33),CT$19-YEAR($H33)&lt;20),$I33*12,CT$19-YEAR($H33)=20,DATEDIF(DATE(YEAR($H33),1,1),$H33,"m")*$I33,CT$19-YEAR($H33)&gt;20,0)</f>
        <v>0</v>
      </c>
      <c r="CU33" s="159" cm="1">
        <f t="array" ref="CU33">_xlfn.IFS(CU$19&lt;YEAR($H33),0,CU$19=YEAR($H33),DATEDIF($H33,DATE(CU$19,12,31),"m")*$I33,AND(CU$19&gt;YEAR($H33),CU$19-YEAR($H33)&lt;20),$I33*12,CU$19-YEAR($H33)=20,DATEDIF(DATE(YEAR($H33),1,1),$H33,"m")*$I33,CU$19-YEAR($H33)&gt;20,0)</f>
        <v>0</v>
      </c>
      <c r="CV33" s="159" cm="1">
        <f t="array" ref="CV33">_xlfn.IFS(CV$19&lt;YEAR($H33),0,CV$19=YEAR($H33),DATEDIF($H33,DATE(CV$19,12,31),"m")*$I33,AND(CV$19&gt;YEAR($H33),CV$19-YEAR($H33)&lt;20),$I33*12,CV$19-YEAR($H33)=20,DATEDIF(DATE(YEAR($H33),1,1),$H33,"m")*$I33,CV$19-YEAR($H33)&gt;20,0)</f>
        <v>0</v>
      </c>
      <c r="CW33" s="159" cm="1">
        <f t="array" ref="CW33">_xlfn.IFS(CW$19&lt;YEAR($H33),0,CW$19=YEAR($H33),DATEDIF($H33,DATE(CW$19,12,31),"m")*$I33,AND(CW$19&gt;YEAR($H33),CW$19-YEAR($H33)&lt;20),$I33*12,CW$19-YEAR($H33)=20,DATEDIF(DATE(YEAR($H33),1,1),$H33,"m")*$I33,CW$19-YEAR($H33)&gt;20,0)</f>
        <v>0</v>
      </c>
      <c r="CX33" s="159" cm="1">
        <f t="array" ref="CX33">_xlfn.IFS(CX$19&lt;YEAR($H33),0,CX$19=YEAR($H33),DATEDIF($H33,DATE(CX$19,12,31),"m")*$I33,AND(CX$19&gt;YEAR($H33),CX$19-YEAR($H33)&lt;20),$I33*12,CX$19-YEAR($H33)=20,DATEDIF(DATE(YEAR($H33),1,1),$H33,"m")*$I33,CX$19-YEAR($H33)&gt;20,0)</f>
        <v>0</v>
      </c>
      <c r="CY33" s="159" cm="1">
        <f t="array" ref="CY33">_xlfn.IFS(CY$19&lt;YEAR($H33),0,CY$19=YEAR($H33),DATEDIF($H33,DATE(CY$19,12,31),"m")*$I33,AND(CY$19&gt;YEAR($H33),CY$19-YEAR($H33)&lt;20),$I33*12,CY$19-YEAR($H33)=20,DATEDIF(DATE(YEAR($H33),1,1),$H33,"m")*$I33,CY$19-YEAR($H33)&gt;20,0)</f>
        <v>0</v>
      </c>
      <c r="CZ33" s="159" cm="1">
        <f t="array" ref="CZ33">_xlfn.IFS(CZ$19&lt;YEAR($H33),0,CZ$19=YEAR($H33),DATEDIF($H33,DATE(CZ$19,12,31),"m")*$I33,AND(CZ$19&gt;YEAR($H33),CZ$19-YEAR($H33)&lt;20),$I33*12,CZ$19-YEAR($H33)=20,DATEDIF(DATE(YEAR($H33),1,1),$H33,"m")*$I33,CZ$19-YEAR($H33)&gt;20,0)</f>
        <v>0</v>
      </c>
      <c r="DA33" s="159" cm="1">
        <f t="array" ref="DA33">_xlfn.IFS(DA$19&lt;YEAR($H33),0,DA$19=YEAR($H33),DATEDIF($H33,DATE(DA$19,12,31),"m")*$I33,AND(DA$19&gt;YEAR($H33),DA$19-YEAR($H33)&lt;20),$I33*12,DA$19-YEAR($H33)=20,DATEDIF(DATE(YEAR($H33),1,1),$H33,"m")*$I33,DA$19-YEAR($H33)&gt;20,0)</f>
        <v>0</v>
      </c>
      <c r="DB33" s="159" cm="1">
        <f t="array" ref="DB33">_xlfn.IFS(DB$19&lt;YEAR($H33),0,DB$19=YEAR($H33),DATEDIF($H33,DATE(DB$19,12,31),"m")*$I33,AND(DB$19&gt;YEAR($H33),DB$19-YEAR($H33)&lt;20),$I33*12,DB$19-YEAR($H33)=20,DATEDIF(DATE(YEAR($H33),1,1),$H33,"m")*$I33,DB$19-YEAR($H33)&gt;20,0)</f>
        <v>0</v>
      </c>
      <c r="DJ33" s="34"/>
      <c r="DK33" s="34"/>
      <c r="DL33" s="34"/>
    </row>
    <row r="34" spans="1:137">
      <c r="A34" s="165" t="s">
        <v>13</v>
      </c>
      <c r="B34" s="165">
        <v>1</v>
      </c>
      <c r="C34" s="165" t="s">
        <v>99</v>
      </c>
      <c r="D34" s="182">
        <f>VLOOKUP($M$2,$M$7:$Q$10,4,FALSE)*$F$15</f>
        <v>0</v>
      </c>
      <c r="E34" s="183">
        <v>46753</v>
      </c>
      <c r="F34" s="184">
        <f t="shared" si="11"/>
        <v>47300</v>
      </c>
      <c r="G34" s="184">
        <f t="shared" si="12"/>
        <v>47484</v>
      </c>
      <c r="H34" s="184">
        <f t="shared" si="5"/>
        <v>47544</v>
      </c>
      <c r="I34" s="157">
        <f t="shared" si="13"/>
        <v>0</v>
      </c>
      <c r="J34" s="164">
        <f t="shared" si="14"/>
        <v>0</v>
      </c>
      <c r="K34" s="164">
        <f t="shared" si="14"/>
        <v>0</v>
      </c>
      <c r="L34" s="164">
        <f t="shared" si="14"/>
        <v>0</v>
      </c>
      <c r="M34" s="164">
        <f t="shared" si="14"/>
        <v>0</v>
      </c>
      <c r="N34" s="164">
        <f t="shared" si="14"/>
        <v>0</v>
      </c>
      <c r="O34" s="164">
        <f t="shared" si="14"/>
        <v>0</v>
      </c>
      <c r="P34" s="164">
        <f t="shared" si="14"/>
        <v>0</v>
      </c>
      <c r="Q34" s="164">
        <f t="shared" si="14"/>
        <v>0</v>
      </c>
      <c r="R34" s="164">
        <f t="shared" si="14"/>
        <v>0</v>
      </c>
      <c r="S34" s="164">
        <f t="shared" si="14"/>
        <v>0</v>
      </c>
      <c r="T34" s="164">
        <f t="shared" si="14"/>
        <v>0</v>
      </c>
      <c r="U34" s="164">
        <f t="shared" si="14"/>
        <v>0</v>
      </c>
      <c r="V34" s="164">
        <f t="shared" si="14"/>
        <v>0</v>
      </c>
      <c r="W34" s="164">
        <f t="shared" si="14"/>
        <v>0</v>
      </c>
      <c r="X34" s="164">
        <f t="shared" si="14"/>
        <v>0</v>
      </c>
      <c r="Y34" s="164">
        <f t="shared" si="14"/>
        <v>0</v>
      </c>
      <c r="Z34" s="164">
        <f t="shared" si="19"/>
        <v>0</v>
      </c>
      <c r="AA34" s="164">
        <f t="shared" si="19"/>
        <v>0</v>
      </c>
      <c r="AB34" s="164">
        <f t="shared" si="19"/>
        <v>0</v>
      </c>
      <c r="AC34" s="164">
        <f t="shared" si="19"/>
        <v>0</v>
      </c>
      <c r="AD34" s="164">
        <f t="shared" si="19"/>
        <v>0</v>
      </c>
      <c r="AE34" s="164">
        <f t="shared" si="19"/>
        <v>0</v>
      </c>
      <c r="AF34" s="164">
        <f t="shared" si="19"/>
        <v>0</v>
      </c>
      <c r="AG34" s="164">
        <f t="shared" si="19"/>
        <v>0</v>
      </c>
      <c r="AH34" s="164">
        <f t="shared" si="19"/>
        <v>0</v>
      </c>
      <c r="AI34" s="164">
        <f t="shared" si="19"/>
        <v>0</v>
      </c>
      <c r="AJ34" s="164">
        <f t="shared" si="19"/>
        <v>0</v>
      </c>
      <c r="AK34" s="164">
        <f t="shared" si="19"/>
        <v>0</v>
      </c>
      <c r="AL34" s="164">
        <f t="shared" si="19"/>
        <v>0</v>
      </c>
      <c r="AM34" s="164">
        <f t="shared" si="19"/>
        <v>0</v>
      </c>
      <c r="AN34" s="164">
        <f t="shared" si="19"/>
        <v>0</v>
      </c>
      <c r="AO34" s="164">
        <f t="shared" si="19"/>
        <v>0</v>
      </c>
      <c r="AP34" s="164">
        <f t="shared" si="20"/>
        <v>0</v>
      </c>
      <c r="AQ34" s="164">
        <f t="shared" si="20"/>
        <v>0</v>
      </c>
      <c r="AR34" s="164">
        <f t="shared" si="20"/>
        <v>0</v>
      </c>
      <c r="AS34" s="164">
        <f t="shared" si="20"/>
        <v>0</v>
      </c>
      <c r="AT34" s="164">
        <f t="shared" si="20"/>
        <v>0</v>
      </c>
      <c r="AU34" s="164">
        <f t="shared" si="20"/>
        <v>0</v>
      </c>
      <c r="AV34" s="164">
        <f t="shared" si="20"/>
        <v>0</v>
      </c>
      <c r="AW34" s="164">
        <f t="shared" si="20"/>
        <v>0</v>
      </c>
      <c r="AX34" s="164">
        <f t="shared" si="20"/>
        <v>0</v>
      </c>
      <c r="AY34" s="164">
        <f t="shared" si="20"/>
        <v>0</v>
      </c>
      <c r="AZ34" s="164">
        <f t="shared" si="20"/>
        <v>0</v>
      </c>
      <c r="BA34" s="164">
        <f t="shared" si="20"/>
        <v>0</v>
      </c>
      <c r="BB34" s="164">
        <f t="shared" si="20"/>
        <v>0</v>
      </c>
      <c r="BC34" s="164">
        <f t="shared" si="20"/>
        <v>0</v>
      </c>
      <c r="BD34" s="164">
        <f t="shared" si="20"/>
        <v>0</v>
      </c>
      <c r="BE34" s="164">
        <f t="shared" si="20"/>
        <v>0</v>
      </c>
      <c r="BF34" s="164">
        <f t="shared" si="21"/>
        <v>0</v>
      </c>
      <c r="BG34" s="164">
        <f t="shared" si="21"/>
        <v>0</v>
      </c>
      <c r="BH34" s="164">
        <f t="shared" si="21"/>
        <v>0</v>
      </c>
      <c r="BI34" s="164">
        <f t="shared" si="21"/>
        <v>0</v>
      </c>
      <c r="BJ34" s="164">
        <f t="shared" si="21"/>
        <v>0</v>
      </c>
      <c r="BK34" s="164">
        <f t="shared" si="21"/>
        <v>0</v>
      </c>
      <c r="BL34" s="164">
        <f t="shared" si="21"/>
        <v>0</v>
      </c>
      <c r="BM34" s="164">
        <f t="shared" si="21"/>
        <v>0</v>
      </c>
      <c r="BN34" s="164">
        <f t="shared" si="21"/>
        <v>0</v>
      </c>
      <c r="BO34" s="164">
        <f t="shared" si="21"/>
        <v>0</v>
      </c>
      <c r="BP34" s="164">
        <f t="shared" si="21"/>
        <v>0</v>
      </c>
      <c r="BQ34" s="164">
        <f t="shared" si="21"/>
        <v>0</v>
      </c>
      <c r="BR34" s="164">
        <f t="shared" si="21"/>
        <v>0</v>
      </c>
      <c r="BS34" s="164">
        <f t="shared" si="21"/>
        <v>0</v>
      </c>
      <c r="BT34" s="164">
        <f t="shared" si="21"/>
        <v>0</v>
      </c>
      <c r="BU34" s="164">
        <f t="shared" si="21"/>
        <v>0</v>
      </c>
      <c r="BV34" s="164">
        <f t="shared" si="18"/>
        <v>0</v>
      </c>
      <c r="BW34" s="164">
        <f t="shared" si="7"/>
        <v>0</v>
      </c>
      <c r="BX34" s="164">
        <f t="shared" si="7"/>
        <v>0</v>
      </c>
      <c r="BY34" s="164">
        <f t="shared" si="7"/>
        <v>0</v>
      </c>
      <c r="BZ34" s="164">
        <f t="shared" si="7"/>
        <v>0</v>
      </c>
      <c r="CA34" s="164">
        <f t="shared" si="7"/>
        <v>0</v>
      </c>
      <c r="CB34" s="164">
        <f t="shared" si="7"/>
        <v>0</v>
      </c>
      <c r="CC34" s="164">
        <f t="shared" si="7"/>
        <v>0</v>
      </c>
      <c r="CE34" s="159" cm="1">
        <f t="array" ref="CE34">_xlfn.IFS(CE$19&lt;YEAR($H34),0,CE$19=YEAR($H34),DATEDIF($H34,DATE(CE$19,12,31),"m")*$I34,AND(CE$19&gt;YEAR($H34),CE$19-YEAR($H34)&lt;20),$I34*12,CE$19-YEAR($H34)=20,DATEDIF(DATE(YEAR($H34),1,1),$H34,"m")*$I34,CE$19-YEAR($H34)&gt;20,0)</f>
        <v>0</v>
      </c>
      <c r="CF34" s="159" cm="1">
        <f t="array" ref="CF34">_xlfn.IFS(CF$19&lt;YEAR($H34),0,CF$19=YEAR($H34),DATEDIF($H34,DATE(CF$19,12,31),"m")*$I34,AND(CF$19&gt;YEAR($H34),CF$19-YEAR($H34)&lt;20),$I34*12,CF$19-YEAR($H34)=20,DATEDIF(DATE(YEAR($H34),1,1),$H34,"m")*$I34,CF$19-YEAR($H34)&gt;20,0)</f>
        <v>0</v>
      </c>
      <c r="CG34" s="159" cm="1">
        <f t="array" ref="CG34">_xlfn.IFS(CG$19&lt;YEAR($H34),0,CG$19=YEAR($H34),DATEDIF($H34,DATE(CG$19,12,31),"m")*$I34,AND(CG$19&gt;YEAR($H34),CG$19-YEAR($H34)&lt;20),$I34*12,CG$19-YEAR($H34)=20,DATEDIF(DATE(YEAR($H34),1,1),$H34,"m")*$I34,CG$19-YEAR($H34)&gt;20,0)</f>
        <v>0</v>
      </c>
      <c r="CH34" s="159" cm="1">
        <f t="array" ref="CH34">_xlfn.IFS(CH$19&lt;YEAR($H34),0,CH$19=YEAR($H34),DATEDIF($H34,DATE(CH$19,12,31),"m")*$I34,AND(CH$19&gt;YEAR($H34),CH$19-YEAR($H34)&lt;20),$I34*12,CH$19-YEAR($H34)=20,DATEDIF(DATE(YEAR($H34),1,1),$H34,"m")*$I34,CH$19-YEAR($H34)&gt;20,0)</f>
        <v>0</v>
      </c>
      <c r="CI34" s="159" cm="1">
        <f t="array" ref="CI34">_xlfn.IFS(CI$19&lt;YEAR($H34),0,CI$19=YEAR($H34),DATEDIF($H34,DATE(CI$19,12,31),"m")*$I34,AND(CI$19&gt;YEAR($H34),CI$19-YEAR($H34)&lt;20),$I34*12,CI$19-YEAR($H34)=20,DATEDIF(DATE(YEAR($H34),1,1),$H34,"m")*$I34,CI$19-YEAR($H34)&gt;20,0)</f>
        <v>0</v>
      </c>
      <c r="CJ34" s="159" cm="1">
        <f t="array" ref="CJ34">_xlfn.IFS(CJ$19&lt;YEAR($H34),0,CJ$19=YEAR($H34),DATEDIF($H34,DATE(CJ$19,12,31),"m")*$I34,AND(CJ$19&gt;YEAR($H34),CJ$19-YEAR($H34)&lt;20),$I34*12,CJ$19-YEAR($H34)=20,DATEDIF(DATE(YEAR($H34),1,1),$H34,"m")*$I34,CJ$19-YEAR($H34)&gt;20,0)</f>
        <v>0</v>
      </c>
      <c r="CK34" s="159" cm="1">
        <f t="array" ref="CK34">_xlfn.IFS(CK$19&lt;YEAR($H34),0,CK$19=YEAR($H34),DATEDIF($H34,DATE(CK$19,12,31),"m")*$I34,AND(CK$19&gt;YEAR($H34),CK$19-YEAR($H34)&lt;20),$I34*12,CK$19-YEAR($H34)=20,DATEDIF(DATE(YEAR($H34),1,1),$H34,"m")*$I34,CK$19-YEAR($H34)&gt;20,0)</f>
        <v>0</v>
      </c>
      <c r="CL34" s="159" cm="1">
        <f t="array" ref="CL34">_xlfn.IFS(CL$19&lt;YEAR($H34),0,CL$19=YEAR($H34),DATEDIF($H34,DATE(CL$19,12,31),"m")*$I34,AND(CL$19&gt;YEAR($H34),CL$19-YEAR($H34)&lt;20),$I34*12,CL$19-YEAR($H34)=20,DATEDIF(DATE(YEAR($H34),1,1),$H34,"m")*$I34,CL$19-YEAR($H34)&gt;20,0)</f>
        <v>0</v>
      </c>
      <c r="CM34" s="159" cm="1">
        <f t="array" ref="CM34">_xlfn.IFS(CM$19&lt;YEAR($H34),0,CM$19=YEAR($H34),DATEDIF($H34,DATE(CM$19,12,31),"m")*$I34,AND(CM$19&gt;YEAR($H34),CM$19-YEAR($H34)&lt;20),$I34*12,CM$19-YEAR($H34)=20,DATEDIF(DATE(YEAR($H34),1,1),$H34,"m")*$I34,CM$19-YEAR($H34)&gt;20,0)</f>
        <v>0</v>
      </c>
      <c r="CN34" s="159" cm="1">
        <f t="array" ref="CN34">_xlfn.IFS(CN$19&lt;YEAR($H34),0,CN$19=YEAR($H34),DATEDIF($H34,DATE(CN$19,12,31),"m")*$I34,AND(CN$19&gt;YEAR($H34),CN$19-YEAR($H34)&lt;20),$I34*12,CN$19-YEAR($H34)=20,DATEDIF(DATE(YEAR($H34),1,1),$H34,"m")*$I34,CN$19-YEAR($H34)&gt;20,0)</f>
        <v>0</v>
      </c>
      <c r="CO34" s="159" cm="1">
        <f t="array" ref="CO34">_xlfn.IFS(CO$19&lt;YEAR($H34),0,CO$19=YEAR($H34),DATEDIF($H34,DATE(CO$19,12,31),"m")*$I34,AND(CO$19&gt;YEAR($H34),CO$19-YEAR($H34)&lt;20),$I34*12,CO$19-YEAR($H34)=20,DATEDIF(DATE(YEAR($H34),1,1),$H34,"m")*$I34,CO$19-YEAR($H34)&gt;20,0)</f>
        <v>0</v>
      </c>
      <c r="CP34" s="159" cm="1">
        <f t="array" ref="CP34">_xlfn.IFS(CP$19&lt;YEAR($H34),0,CP$19=YEAR($H34),DATEDIF($H34,DATE(CP$19,12,31),"m")*$I34,AND(CP$19&gt;YEAR($H34),CP$19-YEAR($H34)&lt;20),$I34*12,CP$19-YEAR($H34)=20,DATEDIF(DATE(YEAR($H34),1,1),$H34,"m")*$I34,CP$19-YEAR($H34)&gt;20,0)</f>
        <v>0</v>
      </c>
      <c r="CQ34" s="159" cm="1">
        <f t="array" ref="CQ34">_xlfn.IFS(CQ$19&lt;YEAR($H34),0,CQ$19=YEAR($H34),DATEDIF($H34,DATE(CQ$19,12,31),"m")*$I34,AND(CQ$19&gt;YEAR($H34),CQ$19-YEAR($H34)&lt;20),$I34*12,CQ$19-YEAR($H34)=20,DATEDIF(DATE(YEAR($H34),1,1),$H34,"m")*$I34,CQ$19-YEAR($H34)&gt;20,0)</f>
        <v>0</v>
      </c>
      <c r="CR34" s="159" cm="1">
        <f t="array" ref="CR34">_xlfn.IFS(CR$19&lt;YEAR($H34),0,CR$19=YEAR($H34),DATEDIF($H34,DATE(CR$19,12,31),"m")*$I34,AND(CR$19&gt;YEAR($H34),CR$19-YEAR($H34)&lt;20),$I34*12,CR$19-YEAR($H34)=20,DATEDIF(DATE(YEAR($H34),1,1),$H34,"m")*$I34,CR$19-YEAR($H34)&gt;20,0)</f>
        <v>0</v>
      </c>
      <c r="CS34" s="159" cm="1">
        <f t="array" ref="CS34">_xlfn.IFS(CS$19&lt;YEAR($H34),0,CS$19=YEAR($H34),DATEDIF($H34,DATE(CS$19,12,31),"m")*$I34,AND(CS$19&gt;YEAR($H34),CS$19-YEAR($H34)&lt;20),$I34*12,CS$19-YEAR($H34)=20,DATEDIF(DATE(YEAR($H34),1,1),$H34,"m")*$I34,CS$19-YEAR($H34)&gt;20,0)</f>
        <v>0</v>
      </c>
      <c r="CT34" s="159" cm="1">
        <f t="array" ref="CT34">_xlfn.IFS(CT$19&lt;YEAR($H34),0,CT$19=YEAR($H34),DATEDIF($H34,DATE(CT$19,12,31),"m")*$I34,AND(CT$19&gt;YEAR($H34),CT$19-YEAR($H34)&lt;20),$I34*12,CT$19-YEAR($H34)=20,DATEDIF(DATE(YEAR($H34),1,1),$H34,"m")*$I34,CT$19-YEAR($H34)&gt;20,0)</f>
        <v>0</v>
      </c>
      <c r="CU34" s="159" cm="1">
        <f t="array" ref="CU34">_xlfn.IFS(CU$19&lt;YEAR($H34),0,CU$19=YEAR($H34),DATEDIF($H34,DATE(CU$19,12,31),"m")*$I34,AND(CU$19&gt;YEAR($H34),CU$19-YEAR($H34)&lt;20),$I34*12,CU$19-YEAR($H34)=20,DATEDIF(DATE(YEAR($H34),1,1),$H34,"m")*$I34,CU$19-YEAR($H34)&gt;20,0)</f>
        <v>0</v>
      </c>
      <c r="CV34" s="159" cm="1">
        <f t="array" ref="CV34">_xlfn.IFS(CV$19&lt;YEAR($H34),0,CV$19=YEAR($H34),DATEDIF($H34,DATE(CV$19,12,31),"m")*$I34,AND(CV$19&gt;YEAR($H34),CV$19-YEAR($H34)&lt;20),$I34*12,CV$19-YEAR($H34)=20,DATEDIF(DATE(YEAR($H34),1,1),$H34,"m")*$I34,CV$19-YEAR($H34)&gt;20,0)</f>
        <v>0</v>
      </c>
      <c r="CW34" s="159" cm="1">
        <f t="array" ref="CW34">_xlfn.IFS(CW$19&lt;YEAR($H34),0,CW$19=YEAR($H34),DATEDIF($H34,DATE(CW$19,12,31),"m")*$I34,AND(CW$19&gt;YEAR($H34),CW$19-YEAR($H34)&lt;20),$I34*12,CW$19-YEAR($H34)=20,DATEDIF(DATE(YEAR($H34),1,1),$H34,"m")*$I34,CW$19-YEAR($H34)&gt;20,0)</f>
        <v>0</v>
      </c>
      <c r="CX34" s="159" cm="1">
        <f t="array" ref="CX34">_xlfn.IFS(CX$19&lt;YEAR($H34),0,CX$19=YEAR($H34),DATEDIF($H34,DATE(CX$19,12,31),"m")*$I34,AND(CX$19&gt;YEAR($H34),CX$19-YEAR($H34)&lt;20),$I34*12,CX$19-YEAR($H34)=20,DATEDIF(DATE(YEAR($H34),1,1),$H34,"m")*$I34,CX$19-YEAR($H34)&gt;20,0)</f>
        <v>0</v>
      </c>
      <c r="CY34" s="159" cm="1">
        <f t="array" ref="CY34">_xlfn.IFS(CY$19&lt;YEAR($H34),0,CY$19=YEAR($H34),DATEDIF($H34,DATE(CY$19,12,31),"m")*$I34,AND(CY$19&gt;YEAR($H34),CY$19-YEAR($H34)&lt;20),$I34*12,CY$19-YEAR($H34)=20,DATEDIF(DATE(YEAR($H34),1,1),$H34,"m")*$I34,CY$19-YEAR($H34)&gt;20,0)</f>
        <v>0</v>
      </c>
      <c r="CZ34" s="159" cm="1">
        <f t="array" ref="CZ34">_xlfn.IFS(CZ$19&lt;YEAR($H34),0,CZ$19=YEAR($H34),DATEDIF($H34,DATE(CZ$19,12,31),"m")*$I34,AND(CZ$19&gt;YEAR($H34),CZ$19-YEAR($H34)&lt;20),$I34*12,CZ$19-YEAR($H34)=20,DATEDIF(DATE(YEAR($H34),1,1),$H34,"m")*$I34,CZ$19-YEAR($H34)&gt;20,0)</f>
        <v>0</v>
      </c>
      <c r="DA34" s="159" cm="1">
        <f t="array" ref="DA34">_xlfn.IFS(DA$19&lt;YEAR($H34),0,DA$19=YEAR($H34),DATEDIF($H34,DATE(DA$19,12,31),"m")*$I34,AND(DA$19&gt;YEAR($H34),DA$19-YEAR($H34)&lt;20),$I34*12,DA$19-YEAR($H34)=20,DATEDIF(DATE(YEAR($H34),1,1),$H34,"m")*$I34,DA$19-YEAR($H34)&gt;20,0)</f>
        <v>0</v>
      </c>
      <c r="DB34" s="159" cm="1">
        <f t="array" ref="DB34">_xlfn.IFS(DB$19&lt;YEAR($H34),0,DB$19=YEAR($H34),DATEDIF($H34,DATE(DB$19,12,31),"m")*$I34,AND(DB$19&gt;YEAR($H34),DB$19-YEAR($H34)&lt;20),$I34*12,DB$19-YEAR($H34)=20,DATEDIF(DATE(YEAR($H34),1,1),$H34,"m")*$I34,DB$19-YEAR($H34)&gt;20,0)</f>
        <v>0</v>
      </c>
      <c r="DJ34" s="34"/>
      <c r="DK34" s="34"/>
      <c r="DL34" s="34"/>
    </row>
    <row r="35" spans="1:137">
      <c r="A35" s="165" t="s">
        <v>11</v>
      </c>
      <c r="B35" s="165">
        <v>2</v>
      </c>
      <c r="C35" s="165" t="s">
        <v>99</v>
      </c>
      <c r="D35" s="182">
        <f>VLOOKUP($M$2,$M$7:$Q$10,5,FALSE)*$B$16</f>
        <v>0</v>
      </c>
      <c r="E35" s="183">
        <v>47119</v>
      </c>
      <c r="F35" s="184">
        <f t="shared" si="11"/>
        <v>47665</v>
      </c>
      <c r="G35" s="184">
        <f t="shared" si="12"/>
        <v>47849</v>
      </c>
      <c r="H35" s="184">
        <f t="shared" si="5"/>
        <v>47909</v>
      </c>
      <c r="I35" s="157">
        <f t="shared" si="13"/>
        <v>0</v>
      </c>
      <c r="J35" s="164">
        <f t="shared" si="14"/>
        <v>0</v>
      </c>
      <c r="K35" s="164">
        <f t="shared" si="14"/>
        <v>0</v>
      </c>
      <c r="L35" s="164">
        <f t="shared" si="14"/>
        <v>0</v>
      </c>
      <c r="M35" s="164">
        <f t="shared" si="14"/>
        <v>0</v>
      </c>
      <c r="N35" s="164">
        <f t="shared" si="14"/>
        <v>0</v>
      </c>
      <c r="O35" s="164">
        <f t="shared" si="14"/>
        <v>0</v>
      </c>
      <c r="P35" s="164">
        <f t="shared" si="14"/>
        <v>0</v>
      </c>
      <c r="Q35" s="164">
        <f t="shared" si="14"/>
        <v>0</v>
      </c>
      <c r="R35" s="164">
        <f t="shared" si="14"/>
        <v>0</v>
      </c>
      <c r="S35" s="164">
        <f t="shared" si="14"/>
        <v>0</v>
      </c>
      <c r="T35" s="164">
        <f t="shared" si="14"/>
        <v>0</v>
      </c>
      <c r="U35" s="164">
        <f t="shared" si="14"/>
        <v>0</v>
      </c>
      <c r="V35" s="164">
        <f t="shared" si="14"/>
        <v>0</v>
      </c>
      <c r="W35" s="164">
        <f t="shared" si="14"/>
        <v>0</v>
      </c>
      <c r="X35" s="164">
        <f t="shared" si="14"/>
        <v>0</v>
      </c>
      <c r="Y35" s="164">
        <f t="shared" si="14"/>
        <v>0</v>
      </c>
      <c r="Z35" s="164">
        <f t="shared" si="19"/>
        <v>0</v>
      </c>
      <c r="AA35" s="164">
        <f t="shared" si="19"/>
        <v>0</v>
      </c>
      <c r="AB35" s="164">
        <f t="shared" si="19"/>
        <v>0</v>
      </c>
      <c r="AC35" s="164">
        <f t="shared" si="19"/>
        <v>0</v>
      </c>
      <c r="AD35" s="164">
        <f t="shared" si="19"/>
        <v>0</v>
      </c>
      <c r="AE35" s="164">
        <f t="shared" si="19"/>
        <v>0</v>
      </c>
      <c r="AF35" s="164">
        <f t="shared" si="19"/>
        <v>0</v>
      </c>
      <c r="AG35" s="164">
        <f t="shared" si="19"/>
        <v>0</v>
      </c>
      <c r="AH35" s="164">
        <f t="shared" si="19"/>
        <v>0</v>
      </c>
      <c r="AI35" s="164">
        <f t="shared" si="19"/>
        <v>0</v>
      </c>
      <c r="AJ35" s="164">
        <f t="shared" si="19"/>
        <v>0</v>
      </c>
      <c r="AK35" s="164">
        <f t="shared" si="19"/>
        <v>0</v>
      </c>
      <c r="AL35" s="164">
        <f t="shared" si="19"/>
        <v>0</v>
      </c>
      <c r="AM35" s="164">
        <f t="shared" si="19"/>
        <v>0</v>
      </c>
      <c r="AN35" s="164">
        <f t="shared" si="19"/>
        <v>0</v>
      </c>
      <c r="AO35" s="164">
        <f t="shared" si="19"/>
        <v>0</v>
      </c>
      <c r="AP35" s="164">
        <f t="shared" si="20"/>
        <v>0</v>
      </c>
      <c r="AQ35" s="164">
        <f t="shared" si="20"/>
        <v>0</v>
      </c>
      <c r="AR35" s="164">
        <f t="shared" si="20"/>
        <v>0</v>
      </c>
      <c r="AS35" s="164">
        <f t="shared" si="20"/>
        <v>0</v>
      </c>
      <c r="AT35" s="164">
        <f t="shared" si="20"/>
        <v>0</v>
      </c>
      <c r="AU35" s="164">
        <f t="shared" si="20"/>
        <v>0</v>
      </c>
      <c r="AV35" s="164">
        <f t="shared" si="20"/>
        <v>0</v>
      </c>
      <c r="AW35" s="164">
        <f t="shared" si="20"/>
        <v>0</v>
      </c>
      <c r="AX35" s="164">
        <f t="shared" si="20"/>
        <v>0</v>
      </c>
      <c r="AY35" s="164">
        <f t="shared" si="20"/>
        <v>0</v>
      </c>
      <c r="AZ35" s="164">
        <f t="shared" si="20"/>
        <v>0</v>
      </c>
      <c r="BA35" s="164">
        <f t="shared" si="20"/>
        <v>0</v>
      </c>
      <c r="BB35" s="164">
        <f t="shared" si="20"/>
        <v>0</v>
      </c>
      <c r="BC35" s="164">
        <f t="shared" si="20"/>
        <v>0</v>
      </c>
      <c r="BD35" s="164">
        <f t="shared" si="20"/>
        <v>0</v>
      </c>
      <c r="BE35" s="164">
        <f t="shared" si="20"/>
        <v>0</v>
      </c>
      <c r="BF35" s="164">
        <f t="shared" si="21"/>
        <v>0</v>
      </c>
      <c r="BG35" s="164">
        <f t="shared" si="21"/>
        <v>0</v>
      </c>
      <c r="BH35" s="164">
        <f t="shared" si="21"/>
        <v>0</v>
      </c>
      <c r="BI35" s="164">
        <f t="shared" si="21"/>
        <v>0</v>
      </c>
      <c r="BJ35" s="164">
        <f t="shared" si="21"/>
        <v>0</v>
      </c>
      <c r="BK35" s="164">
        <f t="shared" si="21"/>
        <v>0</v>
      </c>
      <c r="BL35" s="164">
        <f t="shared" si="21"/>
        <v>0</v>
      </c>
      <c r="BM35" s="164">
        <f t="shared" si="21"/>
        <v>0</v>
      </c>
      <c r="BN35" s="164">
        <f t="shared" si="21"/>
        <v>0</v>
      </c>
      <c r="BO35" s="164">
        <f t="shared" si="21"/>
        <v>0</v>
      </c>
      <c r="BP35" s="164">
        <f t="shared" si="21"/>
        <v>0</v>
      </c>
      <c r="BQ35" s="164">
        <f t="shared" si="21"/>
        <v>0</v>
      </c>
      <c r="BR35" s="164">
        <f t="shared" si="21"/>
        <v>0</v>
      </c>
      <c r="BS35" s="164">
        <f t="shared" si="21"/>
        <v>0</v>
      </c>
      <c r="BT35" s="164">
        <f t="shared" si="21"/>
        <v>0</v>
      </c>
      <c r="BU35" s="164">
        <f t="shared" si="21"/>
        <v>0</v>
      </c>
      <c r="BV35" s="164">
        <f t="shared" si="18"/>
        <v>0</v>
      </c>
      <c r="BW35" s="164">
        <f t="shared" si="7"/>
        <v>0</v>
      </c>
      <c r="BX35" s="164">
        <f t="shared" si="7"/>
        <v>0</v>
      </c>
      <c r="BY35" s="164">
        <f t="shared" si="7"/>
        <v>0</v>
      </c>
      <c r="BZ35" s="164">
        <f t="shared" si="7"/>
        <v>0</v>
      </c>
      <c r="CA35" s="164">
        <f t="shared" si="7"/>
        <v>0</v>
      </c>
      <c r="CB35" s="164">
        <f t="shared" si="7"/>
        <v>0</v>
      </c>
      <c r="CC35" s="164">
        <f t="shared" si="7"/>
        <v>0</v>
      </c>
      <c r="CE35" s="159" cm="1">
        <f t="array" ref="CE35">_xlfn.IFS(CE$19&lt;YEAR($H35),0,CE$19=YEAR($H35),DATEDIF($H35,DATE(CE$19,12,31),"m")*$I35,AND(CE$19&gt;YEAR($H35),CE$19-YEAR($H35)&lt;20),$I35*12,CE$19-YEAR($H35)=20,DATEDIF(DATE(YEAR($H35),1,1),$H35,"m")*$I35,CE$19-YEAR($H35)&gt;20,0)</f>
        <v>0</v>
      </c>
      <c r="CF35" s="159" cm="1">
        <f t="array" ref="CF35">_xlfn.IFS(CF$19&lt;YEAR($H35),0,CF$19=YEAR($H35),DATEDIF($H35,DATE(CF$19,12,31),"m")*$I35,AND(CF$19&gt;YEAR($H35),CF$19-YEAR($H35)&lt;20),$I35*12,CF$19-YEAR($H35)=20,DATEDIF(DATE(YEAR($H35),1,1),$H35,"m")*$I35,CF$19-YEAR($H35)&gt;20,0)</f>
        <v>0</v>
      </c>
      <c r="CG35" s="159" cm="1">
        <f t="array" ref="CG35">_xlfn.IFS(CG$19&lt;YEAR($H35),0,CG$19=YEAR($H35),DATEDIF($H35,DATE(CG$19,12,31),"m")*$I35,AND(CG$19&gt;YEAR($H35),CG$19-YEAR($H35)&lt;20),$I35*12,CG$19-YEAR($H35)=20,DATEDIF(DATE(YEAR($H35),1,1),$H35,"m")*$I35,CG$19-YEAR($H35)&gt;20,0)</f>
        <v>0</v>
      </c>
      <c r="CH35" s="159" cm="1">
        <f t="array" ref="CH35">_xlfn.IFS(CH$19&lt;YEAR($H35),0,CH$19=YEAR($H35),DATEDIF($H35,DATE(CH$19,12,31),"m")*$I35,AND(CH$19&gt;YEAR($H35),CH$19-YEAR($H35)&lt;20),$I35*12,CH$19-YEAR($H35)=20,DATEDIF(DATE(YEAR($H35),1,1),$H35,"m")*$I35,CH$19-YEAR($H35)&gt;20,0)</f>
        <v>0</v>
      </c>
      <c r="CI35" s="159" cm="1">
        <f t="array" ref="CI35">_xlfn.IFS(CI$19&lt;YEAR($H35),0,CI$19=YEAR($H35),DATEDIF($H35,DATE(CI$19,12,31),"m")*$I35,AND(CI$19&gt;YEAR($H35),CI$19-YEAR($H35)&lt;20),$I35*12,CI$19-YEAR($H35)=20,DATEDIF(DATE(YEAR($H35),1,1),$H35,"m")*$I35,CI$19-YEAR($H35)&gt;20,0)</f>
        <v>0</v>
      </c>
      <c r="CJ35" s="159" cm="1">
        <f t="array" ref="CJ35">_xlfn.IFS(CJ$19&lt;YEAR($H35),0,CJ$19=YEAR($H35),DATEDIF($H35,DATE(CJ$19,12,31),"m")*$I35,AND(CJ$19&gt;YEAR($H35),CJ$19-YEAR($H35)&lt;20),$I35*12,CJ$19-YEAR($H35)=20,DATEDIF(DATE(YEAR($H35),1,1),$H35,"m")*$I35,CJ$19-YEAR($H35)&gt;20,0)</f>
        <v>0</v>
      </c>
      <c r="CK35" s="159" cm="1">
        <f t="array" ref="CK35">_xlfn.IFS(CK$19&lt;YEAR($H35),0,CK$19=YEAR($H35),DATEDIF($H35,DATE(CK$19,12,31),"m")*$I35,AND(CK$19&gt;YEAR($H35),CK$19-YEAR($H35)&lt;20),$I35*12,CK$19-YEAR($H35)=20,DATEDIF(DATE(YEAR($H35),1,1),$H35,"m")*$I35,CK$19-YEAR($H35)&gt;20,0)</f>
        <v>0</v>
      </c>
      <c r="CL35" s="159" cm="1">
        <f t="array" ref="CL35">_xlfn.IFS(CL$19&lt;YEAR($H35),0,CL$19=YEAR($H35),DATEDIF($H35,DATE(CL$19,12,31),"m")*$I35,AND(CL$19&gt;YEAR($H35),CL$19-YEAR($H35)&lt;20),$I35*12,CL$19-YEAR($H35)=20,DATEDIF(DATE(YEAR($H35),1,1),$H35,"m")*$I35,CL$19-YEAR($H35)&gt;20,0)</f>
        <v>0</v>
      </c>
      <c r="CM35" s="159" cm="1">
        <f t="array" ref="CM35">_xlfn.IFS(CM$19&lt;YEAR($H35),0,CM$19=YEAR($H35),DATEDIF($H35,DATE(CM$19,12,31),"m")*$I35,AND(CM$19&gt;YEAR($H35),CM$19-YEAR($H35)&lt;20),$I35*12,CM$19-YEAR($H35)=20,DATEDIF(DATE(YEAR($H35),1,1),$H35,"m")*$I35,CM$19-YEAR($H35)&gt;20,0)</f>
        <v>0</v>
      </c>
      <c r="CN35" s="159" cm="1">
        <f t="array" ref="CN35">_xlfn.IFS(CN$19&lt;YEAR($H35),0,CN$19=YEAR($H35),DATEDIF($H35,DATE(CN$19,12,31),"m")*$I35,AND(CN$19&gt;YEAR($H35),CN$19-YEAR($H35)&lt;20),$I35*12,CN$19-YEAR($H35)=20,DATEDIF(DATE(YEAR($H35),1,1),$H35,"m")*$I35,CN$19-YEAR($H35)&gt;20,0)</f>
        <v>0</v>
      </c>
      <c r="CO35" s="159" cm="1">
        <f t="array" ref="CO35">_xlfn.IFS(CO$19&lt;YEAR($H35),0,CO$19=YEAR($H35),DATEDIF($H35,DATE(CO$19,12,31),"m")*$I35,AND(CO$19&gt;YEAR($H35),CO$19-YEAR($H35)&lt;20),$I35*12,CO$19-YEAR($H35)=20,DATEDIF(DATE(YEAR($H35),1,1),$H35,"m")*$I35,CO$19-YEAR($H35)&gt;20,0)</f>
        <v>0</v>
      </c>
      <c r="CP35" s="159" cm="1">
        <f t="array" ref="CP35">_xlfn.IFS(CP$19&lt;YEAR($H35),0,CP$19=YEAR($H35),DATEDIF($H35,DATE(CP$19,12,31),"m")*$I35,AND(CP$19&gt;YEAR($H35),CP$19-YEAR($H35)&lt;20),$I35*12,CP$19-YEAR($H35)=20,DATEDIF(DATE(YEAR($H35),1,1),$H35,"m")*$I35,CP$19-YEAR($H35)&gt;20,0)</f>
        <v>0</v>
      </c>
      <c r="CQ35" s="159" cm="1">
        <f t="array" ref="CQ35">_xlfn.IFS(CQ$19&lt;YEAR($H35),0,CQ$19=YEAR($H35),DATEDIF($H35,DATE(CQ$19,12,31),"m")*$I35,AND(CQ$19&gt;YEAR($H35),CQ$19-YEAR($H35)&lt;20),$I35*12,CQ$19-YEAR($H35)=20,DATEDIF(DATE(YEAR($H35),1,1),$H35,"m")*$I35,CQ$19-YEAR($H35)&gt;20,0)</f>
        <v>0</v>
      </c>
      <c r="CR35" s="159" cm="1">
        <f t="array" ref="CR35">_xlfn.IFS(CR$19&lt;YEAR($H35),0,CR$19=YEAR($H35),DATEDIF($H35,DATE(CR$19,12,31),"m")*$I35,AND(CR$19&gt;YEAR($H35),CR$19-YEAR($H35)&lt;20),$I35*12,CR$19-YEAR($H35)=20,DATEDIF(DATE(YEAR($H35),1,1),$H35,"m")*$I35,CR$19-YEAR($H35)&gt;20,0)</f>
        <v>0</v>
      </c>
      <c r="CS35" s="159" cm="1">
        <f t="array" ref="CS35">_xlfn.IFS(CS$19&lt;YEAR($H35),0,CS$19=YEAR($H35),DATEDIF($H35,DATE(CS$19,12,31),"m")*$I35,AND(CS$19&gt;YEAR($H35),CS$19-YEAR($H35)&lt;20),$I35*12,CS$19-YEAR($H35)=20,DATEDIF(DATE(YEAR($H35),1,1),$H35,"m")*$I35,CS$19-YEAR($H35)&gt;20,0)</f>
        <v>0</v>
      </c>
      <c r="CT35" s="159" cm="1">
        <f t="array" ref="CT35">_xlfn.IFS(CT$19&lt;YEAR($H35),0,CT$19=YEAR($H35),DATEDIF($H35,DATE(CT$19,12,31),"m")*$I35,AND(CT$19&gt;YEAR($H35),CT$19-YEAR($H35)&lt;20),$I35*12,CT$19-YEAR($H35)=20,DATEDIF(DATE(YEAR($H35),1,1),$H35,"m")*$I35,CT$19-YEAR($H35)&gt;20,0)</f>
        <v>0</v>
      </c>
      <c r="CU35" s="159" cm="1">
        <f t="array" ref="CU35">_xlfn.IFS(CU$19&lt;YEAR($H35),0,CU$19=YEAR($H35),DATEDIF($H35,DATE(CU$19,12,31),"m")*$I35,AND(CU$19&gt;YEAR($H35),CU$19-YEAR($H35)&lt;20),$I35*12,CU$19-YEAR($H35)=20,DATEDIF(DATE(YEAR($H35),1,1),$H35,"m")*$I35,CU$19-YEAR($H35)&gt;20,0)</f>
        <v>0</v>
      </c>
      <c r="CV35" s="159" cm="1">
        <f t="array" ref="CV35">_xlfn.IFS(CV$19&lt;YEAR($H35),0,CV$19=YEAR($H35),DATEDIF($H35,DATE(CV$19,12,31),"m")*$I35,AND(CV$19&gt;YEAR($H35),CV$19-YEAR($H35)&lt;20),$I35*12,CV$19-YEAR($H35)=20,DATEDIF(DATE(YEAR($H35),1,1),$H35,"m")*$I35,CV$19-YEAR($H35)&gt;20,0)</f>
        <v>0</v>
      </c>
      <c r="CW35" s="159" cm="1">
        <f t="array" ref="CW35">_xlfn.IFS(CW$19&lt;YEAR($H35),0,CW$19=YEAR($H35),DATEDIF($H35,DATE(CW$19,12,31),"m")*$I35,AND(CW$19&gt;YEAR($H35),CW$19-YEAR($H35)&lt;20),$I35*12,CW$19-YEAR($H35)=20,DATEDIF(DATE(YEAR($H35),1,1),$H35,"m")*$I35,CW$19-YEAR($H35)&gt;20,0)</f>
        <v>0</v>
      </c>
      <c r="CX35" s="159" cm="1">
        <f t="array" ref="CX35">_xlfn.IFS(CX$19&lt;YEAR($H35),0,CX$19=YEAR($H35),DATEDIF($H35,DATE(CX$19,12,31),"m")*$I35,AND(CX$19&gt;YEAR($H35),CX$19-YEAR($H35)&lt;20),$I35*12,CX$19-YEAR($H35)=20,DATEDIF(DATE(YEAR($H35),1,1),$H35,"m")*$I35,CX$19-YEAR($H35)&gt;20,0)</f>
        <v>0</v>
      </c>
      <c r="CY35" s="159" cm="1">
        <f t="array" ref="CY35">_xlfn.IFS(CY$19&lt;YEAR($H35),0,CY$19=YEAR($H35),DATEDIF($H35,DATE(CY$19,12,31),"m")*$I35,AND(CY$19&gt;YEAR($H35),CY$19-YEAR($H35)&lt;20),$I35*12,CY$19-YEAR($H35)=20,DATEDIF(DATE(YEAR($H35),1,1),$H35,"m")*$I35,CY$19-YEAR($H35)&gt;20,0)</f>
        <v>0</v>
      </c>
      <c r="CZ35" s="159" cm="1">
        <f t="array" ref="CZ35">_xlfn.IFS(CZ$19&lt;YEAR($H35),0,CZ$19=YEAR($H35),DATEDIF($H35,DATE(CZ$19,12,31),"m")*$I35,AND(CZ$19&gt;YEAR($H35),CZ$19-YEAR($H35)&lt;20),$I35*12,CZ$19-YEAR($H35)=20,DATEDIF(DATE(YEAR($H35),1,1),$H35,"m")*$I35,CZ$19-YEAR($H35)&gt;20,0)</f>
        <v>0</v>
      </c>
      <c r="DA35" s="159" cm="1">
        <f t="array" ref="DA35">_xlfn.IFS(DA$19&lt;YEAR($H35),0,DA$19=YEAR($H35),DATEDIF($H35,DATE(DA$19,12,31),"m")*$I35,AND(DA$19&gt;YEAR($H35),DA$19-YEAR($H35)&lt;20),$I35*12,DA$19-YEAR($H35)=20,DATEDIF(DATE(YEAR($H35),1,1),$H35,"m")*$I35,DA$19-YEAR($H35)&gt;20,0)</f>
        <v>0</v>
      </c>
      <c r="DB35" s="159" cm="1">
        <f t="array" ref="DB35">_xlfn.IFS(DB$19&lt;YEAR($H35),0,DB$19=YEAR($H35),DATEDIF($H35,DATE(DB$19,12,31),"m")*$I35,AND(DB$19&gt;YEAR($H35),DB$19-YEAR($H35)&lt;20),$I35*12,DB$19-YEAR($H35)=20,DATEDIF(DATE(YEAR($H35),1,1),$H35,"m")*$I35,DB$19-YEAR($H35)&gt;20,0)</f>
        <v>0</v>
      </c>
      <c r="DI35" s="189"/>
      <c r="DJ35" s="215"/>
      <c r="DK35" s="215"/>
      <c r="DL35" s="215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0"/>
      <c r="DX35" s="190"/>
      <c r="DY35" s="190"/>
      <c r="DZ35" s="190"/>
      <c r="EA35" s="190"/>
      <c r="EB35" s="190"/>
      <c r="EC35" s="190"/>
      <c r="ED35" s="190"/>
      <c r="EE35" s="190"/>
      <c r="EF35" s="190"/>
      <c r="EG35" s="190"/>
    </row>
    <row r="36" spans="1:137">
      <c r="A36" s="165" t="s">
        <v>11</v>
      </c>
      <c r="B36" s="165">
        <v>2</v>
      </c>
      <c r="C36" s="165" t="s">
        <v>75</v>
      </c>
      <c r="D36" s="182">
        <f>VLOOKUP($M$2,$M$7:$Q$10,5,FALSE)*$C$16</f>
        <v>0</v>
      </c>
      <c r="E36" s="183">
        <v>47119</v>
      </c>
      <c r="F36" s="184">
        <f t="shared" si="11"/>
        <v>47665</v>
      </c>
      <c r="G36" s="184">
        <f t="shared" si="12"/>
        <v>47849</v>
      </c>
      <c r="H36" s="184">
        <f t="shared" si="5"/>
        <v>47909</v>
      </c>
      <c r="I36" s="157">
        <f t="shared" si="13"/>
        <v>0</v>
      </c>
      <c r="J36" s="164">
        <f t="shared" si="14"/>
        <v>0</v>
      </c>
      <c r="K36" s="164">
        <f t="shared" si="14"/>
        <v>0</v>
      </c>
      <c r="L36" s="164">
        <f t="shared" si="14"/>
        <v>0</v>
      </c>
      <c r="M36" s="164">
        <f t="shared" si="14"/>
        <v>0</v>
      </c>
      <c r="N36" s="164">
        <f t="shared" si="14"/>
        <v>0</v>
      </c>
      <c r="O36" s="164">
        <f t="shared" si="14"/>
        <v>0</v>
      </c>
      <c r="P36" s="164">
        <f t="shared" si="14"/>
        <v>0</v>
      </c>
      <c r="Q36" s="164">
        <f t="shared" si="14"/>
        <v>0</v>
      </c>
      <c r="R36" s="164">
        <f t="shared" si="14"/>
        <v>0</v>
      </c>
      <c r="S36" s="164">
        <f t="shared" si="14"/>
        <v>0</v>
      </c>
      <c r="T36" s="164">
        <f t="shared" si="14"/>
        <v>0</v>
      </c>
      <c r="U36" s="164">
        <f t="shared" si="14"/>
        <v>0</v>
      </c>
      <c r="V36" s="164">
        <f t="shared" si="14"/>
        <v>0</v>
      </c>
      <c r="W36" s="164">
        <f t="shared" si="14"/>
        <v>0</v>
      </c>
      <c r="X36" s="164">
        <f t="shared" si="14"/>
        <v>0</v>
      </c>
      <c r="Y36" s="164">
        <f t="shared" si="14"/>
        <v>0</v>
      </c>
      <c r="Z36" s="164">
        <f t="shared" si="19"/>
        <v>0</v>
      </c>
      <c r="AA36" s="164">
        <f t="shared" si="19"/>
        <v>0</v>
      </c>
      <c r="AB36" s="164">
        <f t="shared" si="19"/>
        <v>0</v>
      </c>
      <c r="AC36" s="164">
        <f t="shared" si="19"/>
        <v>0</v>
      </c>
      <c r="AD36" s="164">
        <f t="shared" si="19"/>
        <v>0</v>
      </c>
      <c r="AE36" s="164">
        <f t="shared" si="19"/>
        <v>0</v>
      </c>
      <c r="AF36" s="164">
        <f t="shared" si="19"/>
        <v>0</v>
      </c>
      <c r="AG36" s="164">
        <f t="shared" si="19"/>
        <v>0</v>
      </c>
      <c r="AH36" s="164">
        <f t="shared" si="19"/>
        <v>0</v>
      </c>
      <c r="AI36" s="164">
        <f t="shared" si="19"/>
        <v>0</v>
      </c>
      <c r="AJ36" s="164">
        <f t="shared" si="19"/>
        <v>0</v>
      </c>
      <c r="AK36" s="164">
        <f t="shared" si="19"/>
        <v>0</v>
      </c>
      <c r="AL36" s="164">
        <f t="shared" si="19"/>
        <v>0</v>
      </c>
      <c r="AM36" s="164">
        <f t="shared" si="19"/>
        <v>0</v>
      </c>
      <c r="AN36" s="164">
        <f t="shared" si="19"/>
        <v>0</v>
      </c>
      <c r="AO36" s="164">
        <f t="shared" si="19"/>
        <v>0</v>
      </c>
      <c r="AP36" s="164">
        <f t="shared" si="20"/>
        <v>0</v>
      </c>
      <c r="AQ36" s="164">
        <f t="shared" si="20"/>
        <v>0</v>
      </c>
      <c r="AR36" s="164">
        <f t="shared" si="20"/>
        <v>0</v>
      </c>
      <c r="AS36" s="164">
        <f t="shared" si="20"/>
        <v>0</v>
      </c>
      <c r="AT36" s="164">
        <f t="shared" si="20"/>
        <v>0</v>
      </c>
      <c r="AU36" s="164">
        <f t="shared" si="20"/>
        <v>0</v>
      </c>
      <c r="AV36" s="164">
        <f t="shared" si="20"/>
        <v>0</v>
      </c>
      <c r="AW36" s="164">
        <f t="shared" si="20"/>
        <v>0</v>
      </c>
      <c r="AX36" s="164">
        <f t="shared" si="20"/>
        <v>0</v>
      </c>
      <c r="AY36" s="164">
        <f t="shared" si="20"/>
        <v>0</v>
      </c>
      <c r="AZ36" s="164">
        <f t="shared" si="20"/>
        <v>0</v>
      </c>
      <c r="BA36" s="164">
        <f t="shared" si="20"/>
        <v>0</v>
      </c>
      <c r="BB36" s="164">
        <f t="shared" si="20"/>
        <v>0</v>
      </c>
      <c r="BC36" s="164">
        <f t="shared" si="20"/>
        <v>0</v>
      </c>
      <c r="BD36" s="164">
        <f t="shared" si="20"/>
        <v>0</v>
      </c>
      <c r="BE36" s="164">
        <f t="shared" si="20"/>
        <v>0</v>
      </c>
      <c r="BF36" s="164">
        <f t="shared" si="21"/>
        <v>0</v>
      </c>
      <c r="BG36" s="164">
        <f t="shared" si="21"/>
        <v>0</v>
      </c>
      <c r="BH36" s="164">
        <f t="shared" si="21"/>
        <v>0</v>
      </c>
      <c r="BI36" s="164">
        <f t="shared" si="21"/>
        <v>0</v>
      </c>
      <c r="BJ36" s="164">
        <f t="shared" si="21"/>
        <v>0</v>
      </c>
      <c r="BK36" s="164">
        <f t="shared" si="21"/>
        <v>0</v>
      </c>
      <c r="BL36" s="164">
        <f t="shared" si="21"/>
        <v>0</v>
      </c>
      <c r="BM36" s="164">
        <f t="shared" si="21"/>
        <v>0</v>
      </c>
      <c r="BN36" s="164">
        <f t="shared" si="21"/>
        <v>0</v>
      </c>
      <c r="BO36" s="164">
        <f t="shared" si="21"/>
        <v>0</v>
      </c>
      <c r="BP36" s="164">
        <f t="shared" si="21"/>
        <v>0</v>
      </c>
      <c r="BQ36" s="164">
        <f t="shared" si="21"/>
        <v>0</v>
      </c>
      <c r="BR36" s="164">
        <f t="shared" si="21"/>
        <v>0</v>
      </c>
      <c r="BS36" s="164">
        <f t="shared" si="21"/>
        <v>0</v>
      </c>
      <c r="BT36" s="164">
        <f t="shared" si="21"/>
        <v>0</v>
      </c>
      <c r="BU36" s="164">
        <f t="shared" si="21"/>
        <v>0</v>
      </c>
      <c r="BV36" s="164">
        <f t="shared" si="18"/>
        <v>0</v>
      </c>
      <c r="BW36" s="164">
        <f t="shared" si="18"/>
        <v>0</v>
      </c>
      <c r="BX36" s="164">
        <f t="shared" si="18"/>
        <v>0</v>
      </c>
      <c r="BY36" s="164">
        <f t="shared" si="18"/>
        <v>0</v>
      </c>
      <c r="BZ36" s="164">
        <f t="shared" si="18"/>
        <v>0</v>
      </c>
      <c r="CA36" s="164">
        <f t="shared" si="18"/>
        <v>0</v>
      </c>
      <c r="CB36" s="164">
        <f t="shared" si="18"/>
        <v>0</v>
      </c>
      <c r="CC36" s="164">
        <f t="shared" si="18"/>
        <v>0</v>
      </c>
      <c r="CE36" s="159" cm="1">
        <f t="array" ref="CE36">_xlfn.IFS(CE$19&lt;YEAR($H36),0,CE$19=YEAR($H36),DATEDIF($H36,DATE(CE$19,12,31),"m")*$I36,AND(CE$19&gt;YEAR($H36),CE$19-YEAR($H36)&lt;20),$I36*12,CE$19-YEAR($H36)=20,DATEDIF(DATE(YEAR($H36),1,1),$H36,"m")*$I36,CE$19-YEAR($H36)&gt;20,0)</f>
        <v>0</v>
      </c>
      <c r="CF36" s="159" cm="1">
        <f t="array" ref="CF36">_xlfn.IFS(CF$19&lt;YEAR($H36),0,CF$19=YEAR($H36),DATEDIF($H36,DATE(CF$19,12,31),"m")*$I36,AND(CF$19&gt;YEAR($H36),CF$19-YEAR($H36)&lt;20),$I36*12,CF$19-YEAR($H36)=20,DATEDIF(DATE(YEAR($H36),1,1),$H36,"m")*$I36,CF$19-YEAR($H36)&gt;20,0)</f>
        <v>0</v>
      </c>
      <c r="CG36" s="159" cm="1">
        <f t="array" ref="CG36">_xlfn.IFS(CG$19&lt;YEAR($H36),0,CG$19=YEAR($H36),DATEDIF($H36,DATE(CG$19,12,31),"m")*$I36,AND(CG$19&gt;YEAR($H36),CG$19-YEAR($H36)&lt;20),$I36*12,CG$19-YEAR($H36)=20,DATEDIF(DATE(YEAR($H36),1,1),$H36,"m")*$I36,CG$19-YEAR($H36)&gt;20,0)</f>
        <v>0</v>
      </c>
      <c r="CH36" s="159" cm="1">
        <f t="array" ref="CH36">_xlfn.IFS(CH$19&lt;YEAR($H36),0,CH$19=YEAR($H36),DATEDIF($H36,DATE(CH$19,12,31),"m")*$I36,AND(CH$19&gt;YEAR($H36),CH$19-YEAR($H36)&lt;20),$I36*12,CH$19-YEAR($H36)=20,DATEDIF(DATE(YEAR($H36),1,1),$H36,"m")*$I36,CH$19-YEAR($H36)&gt;20,0)</f>
        <v>0</v>
      </c>
      <c r="CI36" s="159" cm="1">
        <f t="array" ref="CI36">_xlfn.IFS(CI$19&lt;YEAR($H36),0,CI$19=YEAR($H36),DATEDIF($H36,DATE(CI$19,12,31),"m")*$I36,AND(CI$19&gt;YEAR($H36),CI$19-YEAR($H36)&lt;20),$I36*12,CI$19-YEAR($H36)=20,DATEDIF(DATE(YEAR($H36),1,1),$H36,"m")*$I36,CI$19-YEAR($H36)&gt;20,0)</f>
        <v>0</v>
      </c>
      <c r="CJ36" s="159" cm="1">
        <f t="array" ref="CJ36">_xlfn.IFS(CJ$19&lt;YEAR($H36),0,CJ$19=YEAR($H36),DATEDIF($H36,DATE(CJ$19,12,31),"m")*$I36,AND(CJ$19&gt;YEAR($H36),CJ$19-YEAR($H36)&lt;20),$I36*12,CJ$19-YEAR($H36)=20,DATEDIF(DATE(YEAR($H36),1,1),$H36,"m")*$I36,CJ$19-YEAR($H36)&gt;20,0)</f>
        <v>0</v>
      </c>
      <c r="CK36" s="159" cm="1">
        <f t="array" ref="CK36">_xlfn.IFS(CK$19&lt;YEAR($H36),0,CK$19=YEAR($H36),DATEDIF($H36,DATE(CK$19,12,31),"m")*$I36,AND(CK$19&gt;YEAR($H36),CK$19-YEAR($H36)&lt;20),$I36*12,CK$19-YEAR($H36)=20,DATEDIF(DATE(YEAR($H36),1,1),$H36,"m")*$I36,CK$19-YEAR($H36)&gt;20,0)</f>
        <v>0</v>
      </c>
      <c r="CL36" s="159" cm="1">
        <f t="array" ref="CL36">_xlfn.IFS(CL$19&lt;YEAR($H36),0,CL$19=YEAR($H36),DATEDIF($H36,DATE(CL$19,12,31),"m")*$I36,AND(CL$19&gt;YEAR($H36),CL$19-YEAR($H36)&lt;20),$I36*12,CL$19-YEAR($H36)=20,DATEDIF(DATE(YEAR($H36),1,1),$H36,"m")*$I36,CL$19-YEAR($H36)&gt;20,0)</f>
        <v>0</v>
      </c>
      <c r="CM36" s="159" cm="1">
        <f t="array" ref="CM36">_xlfn.IFS(CM$19&lt;YEAR($H36),0,CM$19=YEAR($H36),DATEDIF($H36,DATE(CM$19,12,31),"m")*$I36,AND(CM$19&gt;YEAR($H36),CM$19-YEAR($H36)&lt;20),$I36*12,CM$19-YEAR($H36)=20,DATEDIF(DATE(YEAR($H36),1,1),$H36,"m")*$I36,CM$19-YEAR($H36)&gt;20,0)</f>
        <v>0</v>
      </c>
      <c r="CN36" s="159" cm="1">
        <f t="array" ref="CN36">_xlfn.IFS(CN$19&lt;YEAR($H36),0,CN$19=YEAR($H36),DATEDIF($H36,DATE(CN$19,12,31),"m")*$I36,AND(CN$19&gt;YEAR($H36),CN$19-YEAR($H36)&lt;20),$I36*12,CN$19-YEAR($H36)=20,DATEDIF(DATE(YEAR($H36),1,1),$H36,"m")*$I36,CN$19-YEAR($H36)&gt;20,0)</f>
        <v>0</v>
      </c>
      <c r="CO36" s="159" cm="1">
        <f t="array" ref="CO36">_xlfn.IFS(CO$19&lt;YEAR($H36),0,CO$19=YEAR($H36),DATEDIF($H36,DATE(CO$19,12,31),"m")*$I36,AND(CO$19&gt;YEAR($H36),CO$19-YEAR($H36)&lt;20),$I36*12,CO$19-YEAR($H36)=20,DATEDIF(DATE(YEAR($H36),1,1),$H36,"m")*$I36,CO$19-YEAR($H36)&gt;20,0)</f>
        <v>0</v>
      </c>
      <c r="CP36" s="159" cm="1">
        <f t="array" ref="CP36">_xlfn.IFS(CP$19&lt;YEAR($H36),0,CP$19=YEAR($H36),DATEDIF($H36,DATE(CP$19,12,31),"m")*$I36,AND(CP$19&gt;YEAR($H36),CP$19-YEAR($H36)&lt;20),$I36*12,CP$19-YEAR($H36)=20,DATEDIF(DATE(YEAR($H36),1,1),$H36,"m")*$I36,CP$19-YEAR($H36)&gt;20,0)</f>
        <v>0</v>
      </c>
      <c r="CQ36" s="159" cm="1">
        <f t="array" ref="CQ36">_xlfn.IFS(CQ$19&lt;YEAR($H36),0,CQ$19=YEAR($H36),DATEDIF($H36,DATE(CQ$19,12,31),"m")*$I36,AND(CQ$19&gt;YEAR($H36),CQ$19-YEAR($H36)&lt;20),$I36*12,CQ$19-YEAR($H36)=20,DATEDIF(DATE(YEAR($H36),1,1),$H36,"m")*$I36,CQ$19-YEAR($H36)&gt;20,0)</f>
        <v>0</v>
      </c>
      <c r="CR36" s="159" cm="1">
        <f t="array" ref="CR36">_xlfn.IFS(CR$19&lt;YEAR($H36),0,CR$19=YEAR($H36),DATEDIF($H36,DATE(CR$19,12,31),"m")*$I36,AND(CR$19&gt;YEAR($H36),CR$19-YEAR($H36)&lt;20),$I36*12,CR$19-YEAR($H36)=20,DATEDIF(DATE(YEAR($H36),1,1),$H36,"m")*$I36,CR$19-YEAR($H36)&gt;20,0)</f>
        <v>0</v>
      </c>
      <c r="CS36" s="159" cm="1">
        <f t="array" ref="CS36">_xlfn.IFS(CS$19&lt;YEAR($H36),0,CS$19=YEAR($H36),DATEDIF($H36,DATE(CS$19,12,31),"m")*$I36,AND(CS$19&gt;YEAR($H36),CS$19-YEAR($H36)&lt;20),$I36*12,CS$19-YEAR($H36)=20,DATEDIF(DATE(YEAR($H36),1,1),$H36,"m")*$I36,CS$19-YEAR($H36)&gt;20,0)</f>
        <v>0</v>
      </c>
      <c r="CT36" s="159" cm="1">
        <f t="array" ref="CT36">_xlfn.IFS(CT$19&lt;YEAR($H36),0,CT$19=YEAR($H36),DATEDIF($H36,DATE(CT$19,12,31),"m")*$I36,AND(CT$19&gt;YEAR($H36),CT$19-YEAR($H36)&lt;20),$I36*12,CT$19-YEAR($H36)=20,DATEDIF(DATE(YEAR($H36),1,1),$H36,"m")*$I36,CT$19-YEAR($H36)&gt;20,0)</f>
        <v>0</v>
      </c>
      <c r="CU36" s="159" cm="1">
        <f t="array" ref="CU36">_xlfn.IFS(CU$19&lt;YEAR($H36),0,CU$19=YEAR($H36),DATEDIF($H36,DATE(CU$19,12,31),"m")*$I36,AND(CU$19&gt;YEAR($H36),CU$19-YEAR($H36)&lt;20),$I36*12,CU$19-YEAR($H36)=20,DATEDIF(DATE(YEAR($H36),1,1),$H36,"m")*$I36,CU$19-YEAR($H36)&gt;20,0)</f>
        <v>0</v>
      </c>
      <c r="CV36" s="159" cm="1">
        <f t="array" ref="CV36">_xlfn.IFS(CV$19&lt;YEAR($H36),0,CV$19=YEAR($H36),DATEDIF($H36,DATE(CV$19,12,31),"m")*$I36,AND(CV$19&gt;YEAR($H36),CV$19-YEAR($H36)&lt;20),$I36*12,CV$19-YEAR($H36)=20,DATEDIF(DATE(YEAR($H36),1,1),$H36,"m")*$I36,CV$19-YEAR($H36)&gt;20,0)</f>
        <v>0</v>
      </c>
      <c r="CW36" s="159" cm="1">
        <f t="array" ref="CW36">_xlfn.IFS(CW$19&lt;YEAR($H36),0,CW$19=YEAR($H36),DATEDIF($H36,DATE(CW$19,12,31),"m")*$I36,AND(CW$19&gt;YEAR($H36),CW$19-YEAR($H36)&lt;20),$I36*12,CW$19-YEAR($H36)=20,DATEDIF(DATE(YEAR($H36),1,1),$H36,"m")*$I36,CW$19-YEAR($H36)&gt;20,0)</f>
        <v>0</v>
      </c>
      <c r="CX36" s="159" cm="1">
        <f t="array" ref="CX36">_xlfn.IFS(CX$19&lt;YEAR($H36),0,CX$19=YEAR($H36),DATEDIF($H36,DATE(CX$19,12,31),"m")*$I36,AND(CX$19&gt;YEAR($H36),CX$19-YEAR($H36)&lt;20),$I36*12,CX$19-YEAR($H36)=20,DATEDIF(DATE(YEAR($H36),1,1),$H36,"m")*$I36,CX$19-YEAR($H36)&gt;20,0)</f>
        <v>0</v>
      </c>
      <c r="CY36" s="159" cm="1">
        <f t="array" ref="CY36">_xlfn.IFS(CY$19&lt;YEAR($H36),0,CY$19=YEAR($H36),DATEDIF($H36,DATE(CY$19,12,31),"m")*$I36,AND(CY$19&gt;YEAR($H36),CY$19-YEAR($H36)&lt;20),$I36*12,CY$19-YEAR($H36)=20,DATEDIF(DATE(YEAR($H36),1,1),$H36,"m")*$I36,CY$19-YEAR($H36)&gt;20,0)</f>
        <v>0</v>
      </c>
      <c r="CZ36" s="159" cm="1">
        <f t="array" ref="CZ36">_xlfn.IFS(CZ$19&lt;YEAR($H36),0,CZ$19=YEAR($H36),DATEDIF($H36,DATE(CZ$19,12,31),"m")*$I36,AND(CZ$19&gt;YEAR($H36),CZ$19-YEAR($H36)&lt;20),$I36*12,CZ$19-YEAR($H36)=20,DATEDIF(DATE(YEAR($H36),1,1),$H36,"m")*$I36,CZ$19-YEAR($H36)&gt;20,0)</f>
        <v>0</v>
      </c>
      <c r="DA36" s="159" cm="1">
        <f t="array" ref="DA36">_xlfn.IFS(DA$19&lt;YEAR($H36),0,DA$19=YEAR($H36),DATEDIF($H36,DATE(DA$19,12,31),"m")*$I36,AND(DA$19&gt;YEAR($H36),DA$19-YEAR($H36)&lt;20),$I36*12,DA$19-YEAR($H36)=20,DATEDIF(DATE(YEAR($H36),1,1),$H36,"m")*$I36,DA$19-YEAR($H36)&gt;20,0)</f>
        <v>0</v>
      </c>
      <c r="DB36" s="159" cm="1">
        <f t="array" ref="DB36">_xlfn.IFS(DB$19&lt;YEAR($H36),0,DB$19=YEAR($H36),DATEDIF($H36,DATE(DB$19,12,31),"m")*$I36,AND(DB$19&gt;YEAR($H36),DB$19-YEAR($H36)&lt;20),$I36*12,DB$19-YEAR($H36)=20,DATEDIF(DATE(YEAR($H36),1,1),$H36,"m")*$I36,DB$19-YEAR($H36)&gt;20,0)</f>
        <v>0</v>
      </c>
      <c r="DJ36" s="34"/>
      <c r="DK36" s="34"/>
      <c r="DL36" s="34"/>
    </row>
    <row r="37" spans="1:137">
      <c r="A37" s="165" t="s">
        <v>12</v>
      </c>
      <c r="B37" s="165">
        <v>2</v>
      </c>
      <c r="C37" s="165" t="s">
        <v>99</v>
      </c>
      <c r="D37" s="182">
        <f>VLOOKUP($M$2,$M$7:$Q$10,5,FALSE)*$D$16</f>
        <v>0</v>
      </c>
      <c r="E37" s="183">
        <v>47119</v>
      </c>
      <c r="F37" s="184">
        <f t="shared" si="11"/>
        <v>47665</v>
      </c>
      <c r="G37" s="184">
        <f t="shared" si="12"/>
        <v>47849</v>
      </c>
      <c r="H37" s="184">
        <f t="shared" si="5"/>
        <v>47909</v>
      </c>
      <c r="I37" s="157">
        <f t="shared" si="13"/>
        <v>0</v>
      </c>
      <c r="J37" s="164">
        <f t="shared" si="14"/>
        <v>0</v>
      </c>
      <c r="K37" s="164">
        <f t="shared" si="14"/>
        <v>0</v>
      </c>
      <c r="L37" s="164">
        <f t="shared" si="14"/>
        <v>0</v>
      </c>
      <c r="M37" s="164">
        <f t="shared" si="14"/>
        <v>0</v>
      </c>
      <c r="N37" s="164">
        <f t="shared" si="14"/>
        <v>0</v>
      </c>
      <c r="O37" s="164">
        <f t="shared" si="14"/>
        <v>0</v>
      </c>
      <c r="P37" s="164">
        <f t="shared" si="14"/>
        <v>0</v>
      </c>
      <c r="Q37" s="164">
        <f t="shared" si="14"/>
        <v>0</v>
      </c>
      <c r="R37" s="164">
        <f t="shared" si="14"/>
        <v>0</v>
      </c>
      <c r="S37" s="164">
        <f t="shared" si="14"/>
        <v>0</v>
      </c>
      <c r="T37" s="164">
        <f t="shared" si="14"/>
        <v>0</v>
      </c>
      <c r="U37" s="164">
        <f t="shared" si="14"/>
        <v>0</v>
      </c>
      <c r="V37" s="164">
        <f t="shared" si="14"/>
        <v>0</v>
      </c>
      <c r="W37" s="164">
        <f t="shared" si="14"/>
        <v>0</v>
      </c>
      <c r="X37" s="164">
        <f t="shared" si="14"/>
        <v>0</v>
      </c>
      <c r="Y37" s="164">
        <f t="shared" si="14"/>
        <v>0</v>
      </c>
      <c r="Z37" s="164">
        <f t="shared" si="19"/>
        <v>0</v>
      </c>
      <c r="AA37" s="164">
        <f t="shared" si="19"/>
        <v>0</v>
      </c>
      <c r="AB37" s="164">
        <f t="shared" si="19"/>
        <v>0</v>
      </c>
      <c r="AC37" s="164">
        <f t="shared" si="19"/>
        <v>0</v>
      </c>
      <c r="AD37" s="164">
        <f t="shared" si="19"/>
        <v>0</v>
      </c>
      <c r="AE37" s="164">
        <f t="shared" si="19"/>
        <v>0</v>
      </c>
      <c r="AF37" s="164">
        <f t="shared" si="19"/>
        <v>0</v>
      </c>
      <c r="AG37" s="164">
        <f t="shared" si="19"/>
        <v>0</v>
      </c>
      <c r="AH37" s="164">
        <f t="shared" si="19"/>
        <v>0</v>
      </c>
      <c r="AI37" s="164">
        <f t="shared" si="19"/>
        <v>0</v>
      </c>
      <c r="AJ37" s="164">
        <f t="shared" si="19"/>
        <v>0</v>
      </c>
      <c r="AK37" s="164">
        <f t="shared" si="19"/>
        <v>0</v>
      </c>
      <c r="AL37" s="164">
        <f t="shared" si="19"/>
        <v>0</v>
      </c>
      <c r="AM37" s="164">
        <f t="shared" si="19"/>
        <v>0</v>
      </c>
      <c r="AN37" s="164">
        <f t="shared" si="19"/>
        <v>0</v>
      </c>
      <c r="AO37" s="164">
        <f t="shared" si="19"/>
        <v>0</v>
      </c>
      <c r="AP37" s="164">
        <f t="shared" si="20"/>
        <v>0</v>
      </c>
      <c r="AQ37" s="164">
        <f t="shared" si="20"/>
        <v>0</v>
      </c>
      <c r="AR37" s="164">
        <f t="shared" si="20"/>
        <v>0</v>
      </c>
      <c r="AS37" s="164">
        <f t="shared" si="20"/>
        <v>0</v>
      </c>
      <c r="AT37" s="164">
        <f t="shared" si="20"/>
        <v>0</v>
      </c>
      <c r="AU37" s="164">
        <f t="shared" si="20"/>
        <v>0</v>
      </c>
      <c r="AV37" s="164">
        <f t="shared" si="20"/>
        <v>0</v>
      </c>
      <c r="AW37" s="164">
        <f t="shared" si="20"/>
        <v>0</v>
      </c>
      <c r="AX37" s="164">
        <f t="shared" si="20"/>
        <v>0</v>
      </c>
      <c r="AY37" s="164">
        <f t="shared" si="20"/>
        <v>0</v>
      </c>
      <c r="AZ37" s="164">
        <f t="shared" si="20"/>
        <v>0</v>
      </c>
      <c r="BA37" s="164">
        <f t="shared" si="20"/>
        <v>0</v>
      </c>
      <c r="BB37" s="164">
        <f t="shared" si="20"/>
        <v>0</v>
      </c>
      <c r="BC37" s="164">
        <f t="shared" si="20"/>
        <v>0</v>
      </c>
      <c r="BD37" s="164">
        <f t="shared" si="20"/>
        <v>0</v>
      </c>
      <c r="BE37" s="164">
        <f t="shared" si="20"/>
        <v>0</v>
      </c>
      <c r="BF37" s="164">
        <f t="shared" si="21"/>
        <v>0</v>
      </c>
      <c r="BG37" s="164">
        <f t="shared" si="21"/>
        <v>0</v>
      </c>
      <c r="BH37" s="164">
        <f t="shared" si="21"/>
        <v>0</v>
      </c>
      <c r="BI37" s="164">
        <f t="shared" si="21"/>
        <v>0</v>
      </c>
      <c r="BJ37" s="164">
        <f t="shared" si="21"/>
        <v>0</v>
      </c>
      <c r="BK37" s="164">
        <f t="shared" si="21"/>
        <v>0</v>
      </c>
      <c r="BL37" s="164">
        <f t="shared" si="21"/>
        <v>0</v>
      </c>
      <c r="BM37" s="164">
        <f t="shared" si="21"/>
        <v>0</v>
      </c>
      <c r="BN37" s="164">
        <f t="shared" si="21"/>
        <v>0</v>
      </c>
      <c r="BO37" s="164">
        <f t="shared" si="21"/>
        <v>0</v>
      </c>
      <c r="BP37" s="164">
        <f t="shared" si="21"/>
        <v>0</v>
      </c>
      <c r="BQ37" s="164">
        <f t="shared" si="21"/>
        <v>0</v>
      </c>
      <c r="BR37" s="164">
        <f t="shared" si="21"/>
        <v>0</v>
      </c>
      <c r="BS37" s="164">
        <f t="shared" si="21"/>
        <v>0</v>
      </c>
      <c r="BT37" s="164">
        <f t="shared" si="21"/>
        <v>0</v>
      </c>
      <c r="BU37" s="164">
        <f t="shared" si="21"/>
        <v>0</v>
      </c>
      <c r="BV37" s="164">
        <f t="shared" si="18"/>
        <v>0</v>
      </c>
      <c r="BW37" s="164">
        <f t="shared" si="18"/>
        <v>0</v>
      </c>
      <c r="BX37" s="164">
        <f t="shared" si="18"/>
        <v>0</v>
      </c>
      <c r="BY37" s="164">
        <f t="shared" si="18"/>
        <v>0</v>
      </c>
      <c r="BZ37" s="164">
        <f t="shared" si="18"/>
        <v>0</v>
      </c>
      <c r="CA37" s="164">
        <f t="shared" si="18"/>
        <v>0</v>
      </c>
      <c r="CB37" s="164">
        <f t="shared" si="18"/>
        <v>0</v>
      </c>
      <c r="CC37" s="164">
        <f t="shared" si="18"/>
        <v>0</v>
      </c>
      <c r="CE37" s="159" cm="1">
        <f t="array" ref="CE37">_xlfn.IFS(CE$19&lt;YEAR($H37),0,CE$19=YEAR($H37),DATEDIF($H37,DATE(CE$19,12,31),"m")*$I37,AND(CE$19&gt;YEAR($H37),CE$19-YEAR($H37)&lt;20),$I37*12,CE$19-YEAR($H37)=20,DATEDIF(DATE(YEAR($H37),1,1),$H37,"m")*$I37,CE$19-YEAR($H37)&gt;20,0)</f>
        <v>0</v>
      </c>
      <c r="CF37" s="159" cm="1">
        <f t="array" ref="CF37">_xlfn.IFS(CF$19&lt;YEAR($H37),0,CF$19=YEAR($H37),DATEDIF($H37,DATE(CF$19,12,31),"m")*$I37,AND(CF$19&gt;YEAR($H37),CF$19-YEAR($H37)&lt;20),$I37*12,CF$19-YEAR($H37)=20,DATEDIF(DATE(YEAR($H37),1,1),$H37,"m")*$I37,CF$19-YEAR($H37)&gt;20,0)</f>
        <v>0</v>
      </c>
      <c r="CG37" s="159" cm="1">
        <f t="array" ref="CG37">_xlfn.IFS(CG$19&lt;YEAR($H37),0,CG$19=YEAR($H37),DATEDIF($H37,DATE(CG$19,12,31),"m")*$I37,AND(CG$19&gt;YEAR($H37),CG$19-YEAR($H37)&lt;20),$I37*12,CG$19-YEAR($H37)=20,DATEDIF(DATE(YEAR($H37),1,1),$H37,"m")*$I37,CG$19-YEAR($H37)&gt;20,0)</f>
        <v>0</v>
      </c>
      <c r="CH37" s="159" cm="1">
        <f t="array" ref="CH37">_xlfn.IFS(CH$19&lt;YEAR($H37),0,CH$19=YEAR($H37),DATEDIF($H37,DATE(CH$19,12,31),"m")*$I37,AND(CH$19&gt;YEAR($H37),CH$19-YEAR($H37)&lt;20),$I37*12,CH$19-YEAR($H37)=20,DATEDIF(DATE(YEAR($H37),1,1),$H37,"m")*$I37,CH$19-YEAR($H37)&gt;20,0)</f>
        <v>0</v>
      </c>
      <c r="CI37" s="159" cm="1">
        <f t="array" ref="CI37">_xlfn.IFS(CI$19&lt;YEAR($H37),0,CI$19=YEAR($H37),DATEDIF($H37,DATE(CI$19,12,31),"m")*$I37,AND(CI$19&gt;YEAR($H37),CI$19-YEAR($H37)&lt;20),$I37*12,CI$19-YEAR($H37)=20,DATEDIF(DATE(YEAR($H37),1,1),$H37,"m")*$I37,CI$19-YEAR($H37)&gt;20,0)</f>
        <v>0</v>
      </c>
      <c r="CJ37" s="159" cm="1">
        <f t="array" ref="CJ37">_xlfn.IFS(CJ$19&lt;YEAR($H37),0,CJ$19=YEAR($H37),DATEDIF($H37,DATE(CJ$19,12,31),"m")*$I37,AND(CJ$19&gt;YEAR($H37),CJ$19-YEAR($H37)&lt;20),$I37*12,CJ$19-YEAR($H37)=20,DATEDIF(DATE(YEAR($H37),1,1),$H37,"m")*$I37,CJ$19-YEAR($H37)&gt;20,0)</f>
        <v>0</v>
      </c>
      <c r="CK37" s="159" cm="1">
        <f t="array" ref="CK37">_xlfn.IFS(CK$19&lt;YEAR($H37),0,CK$19=YEAR($H37),DATEDIF($H37,DATE(CK$19,12,31),"m")*$I37,AND(CK$19&gt;YEAR($H37),CK$19-YEAR($H37)&lt;20),$I37*12,CK$19-YEAR($H37)=20,DATEDIF(DATE(YEAR($H37),1,1),$H37,"m")*$I37,CK$19-YEAR($H37)&gt;20,0)</f>
        <v>0</v>
      </c>
      <c r="CL37" s="159" cm="1">
        <f t="array" ref="CL37">_xlfn.IFS(CL$19&lt;YEAR($H37),0,CL$19=YEAR($H37),DATEDIF($H37,DATE(CL$19,12,31),"m")*$I37,AND(CL$19&gt;YEAR($H37),CL$19-YEAR($H37)&lt;20),$I37*12,CL$19-YEAR($H37)=20,DATEDIF(DATE(YEAR($H37),1,1),$H37,"m")*$I37,CL$19-YEAR($H37)&gt;20,0)</f>
        <v>0</v>
      </c>
      <c r="CM37" s="159" cm="1">
        <f t="array" ref="CM37">_xlfn.IFS(CM$19&lt;YEAR($H37),0,CM$19=YEAR($H37),DATEDIF($H37,DATE(CM$19,12,31),"m")*$I37,AND(CM$19&gt;YEAR($H37),CM$19-YEAR($H37)&lt;20),$I37*12,CM$19-YEAR($H37)=20,DATEDIF(DATE(YEAR($H37),1,1),$H37,"m")*$I37,CM$19-YEAR($H37)&gt;20,0)</f>
        <v>0</v>
      </c>
      <c r="CN37" s="159" cm="1">
        <f t="array" ref="CN37">_xlfn.IFS(CN$19&lt;YEAR($H37),0,CN$19=YEAR($H37),DATEDIF($H37,DATE(CN$19,12,31),"m")*$I37,AND(CN$19&gt;YEAR($H37),CN$19-YEAR($H37)&lt;20),$I37*12,CN$19-YEAR($H37)=20,DATEDIF(DATE(YEAR($H37),1,1),$H37,"m")*$I37,CN$19-YEAR($H37)&gt;20,0)</f>
        <v>0</v>
      </c>
      <c r="CO37" s="159" cm="1">
        <f t="array" ref="CO37">_xlfn.IFS(CO$19&lt;YEAR($H37),0,CO$19=YEAR($H37),DATEDIF($H37,DATE(CO$19,12,31),"m")*$I37,AND(CO$19&gt;YEAR($H37),CO$19-YEAR($H37)&lt;20),$I37*12,CO$19-YEAR($H37)=20,DATEDIF(DATE(YEAR($H37),1,1),$H37,"m")*$I37,CO$19-YEAR($H37)&gt;20,0)</f>
        <v>0</v>
      </c>
      <c r="CP37" s="159" cm="1">
        <f t="array" ref="CP37">_xlfn.IFS(CP$19&lt;YEAR($H37),0,CP$19=YEAR($H37),DATEDIF($H37,DATE(CP$19,12,31),"m")*$I37,AND(CP$19&gt;YEAR($H37),CP$19-YEAR($H37)&lt;20),$I37*12,CP$19-YEAR($H37)=20,DATEDIF(DATE(YEAR($H37),1,1),$H37,"m")*$I37,CP$19-YEAR($H37)&gt;20,0)</f>
        <v>0</v>
      </c>
      <c r="CQ37" s="159" cm="1">
        <f t="array" ref="CQ37">_xlfn.IFS(CQ$19&lt;YEAR($H37),0,CQ$19=YEAR($H37),DATEDIF($H37,DATE(CQ$19,12,31),"m")*$I37,AND(CQ$19&gt;YEAR($H37),CQ$19-YEAR($H37)&lt;20),$I37*12,CQ$19-YEAR($H37)=20,DATEDIF(DATE(YEAR($H37),1,1),$H37,"m")*$I37,CQ$19-YEAR($H37)&gt;20,0)</f>
        <v>0</v>
      </c>
      <c r="CR37" s="159" cm="1">
        <f t="array" ref="CR37">_xlfn.IFS(CR$19&lt;YEAR($H37),0,CR$19=YEAR($H37),DATEDIF($H37,DATE(CR$19,12,31),"m")*$I37,AND(CR$19&gt;YEAR($H37),CR$19-YEAR($H37)&lt;20),$I37*12,CR$19-YEAR($H37)=20,DATEDIF(DATE(YEAR($H37),1,1),$H37,"m")*$I37,CR$19-YEAR($H37)&gt;20,0)</f>
        <v>0</v>
      </c>
      <c r="CS37" s="159" cm="1">
        <f t="array" ref="CS37">_xlfn.IFS(CS$19&lt;YEAR($H37),0,CS$19=YEAR($H37),DATEDIF($H37,DATE(CS$19,12,31),"m")*$I37,AND(CS$19&gt;YEAR($H37),CS$19-YEAR($H37)&lt;20),$I37*12,CS$19-YEAR($H37)=20,DATEDIF(DATE(YEAR($H37),1,1),$H37,"m")*$I37,CS$19-YEAR($H37)&gt;20,0)</f>
        <v>0</v>
      </c>
      <c r="CT37" s="159" cm="1">
        <f t="array" ref="CT37">_xlfn.IFS(CT$19&lt;YEAR($H37),0,CT$19=YEAR($H37),DATEDIF($H37,DATE(CT$19,12,31),"m")*$I37,AND(CT$19&gt;YEAR($H37),CT$19-YEAR($H37)&lt;20),$I37*12,CT$19-YEAR($H37)=20,DATEDIF(DATE(YEAR($H37),1,1),$H37,"m")*$I37,CT$19-YEAR($H37)&gt;20,0)</f>
        <v>0</v>
      </c>
      <c r="CU37" s="159" cm="1">
        <f t="array" ref="CU37">_xlfn.IFS(CU$19&lt;YEAR($H37),0,CU$19=YEAR($H37),DATEDIF($H37,DATE(CU$19,12,31),"m")*$I37,AND(CU$19&gt;YEAR($H37),CU$19-YEAR($H37)&lt;20),$I37*12,CU$19-YEAR($H37)=20,DATEDIF(DATE(YEAR($H37),1,1),$H37,"m")*$I37,CU$19-YEAR($H37)&gt;20,0)</f>
        <v>0</v>
      </c>
      <c r="CV37" s="159" cm="1">
        <f t="array" ref="CV37">_xlfn.IFS(CV$19&lt;YEAR($H37),0,CV$19=YEAR($H37),DATEDIF($H37,DATE(CV$19,12,31),"m")*$I37,AND(CV$19&gt;YEAR($H37),CV$19-YEAR($H37)&lt;20),$I37*12,CV$19-YEAR($H37)=20,DATEDIF(DATE(YEAR($H37),1,1),$H37,"m")*$I37,CV$19-YEAR($H37)&gt;20,0)</f>
        <v>0</v>
      </c>
      <c r="CW37" s="159" cm="1">
        <f t="array" ref="CW37">_xlfn.IFS(CW$19&lt;YEAR($H37),0,CW$19=YEAR($H37),DATEDIF($H37,DATE(CW$19,12,31),"m")*$I37,AND(CW$19&gt;YEAR($H37),CW$19-YEAR($H37)&lt;20),$I37*12,CW$19-YEAR($H37)=20,DATEDIF(DATE(YEAR($H37),1,1),$H37,"m")*$I37,CW$19-YEAR($H37)&gt;20,0)</f>
        <v>0</v>
      </c>
      <c r="CX37" s="159" cm="1">
        <f t="array" ref="CX37">_xlfn.IFS(CX$19&lt;YEAR($H37),0,CX$19=YEAR($H37),DATEDIF($H37,DATE(CX$19,12,31),"m")*$I37,AND(CX$19&gt;YEAR($H37),CX$19-YEAR($H37)&lt;20),$I37*12,CX$19-YEAR($H37)=20,DATEDIF(DATE(YEAR($H37),1,1),$H37,"m")*$I37,CX$19-YEAR($H37)&gt;20,0)</f>
        <v>0</v>
      </c>
      <c r="CY37" s="159" cm="1">
        <f t="array" ref="CY37">_xlfn.IFS(CY$19&lt;YEAR($H37),0,CY$19=YEAR($H37),DATEDIF($H37,DATE(CY$19,12,31),"m")*$I37,AND(CY$19&gt;YEAR($H37),CY$19-YEAR($H37)&lt;20),$I37*12,CY$19-YEAR($H37)=20,DATEDIF(DATE(YEAR($H37),1,1),$H37,"m")*$I37,CY$19-YEAR($H37)&gt;20,0)</f>
        <v>0</v>
      </c>
      <c r="CZ37" s="159" cm="1">
        <f t="array" ref="CZ37">_xlfn.IFS(CZ$19&lt;YEAR($H37),0,CZ$19=YEAR($H37),DATEDIF($H37,DATE(CZ$19,12,31),"m")*$I37,AND(CZ$19&gt;YEAR($H37),CZ$19-YEAR($H37)&lt;20),$I37*12,CZ$19-YEAR($H37)=20,DATEDIF(DATE(YEAR($H37),1,1),$H37,"m")*$I37,CZ$19-YEAR($H37)&gt;20,0)</f>
        <v>0</v>
      </c>
      <c r="DA37" s="159" cm="1">
        <f t="array" ref="DA37">_xlfn.IFS(DA$19&lt;YEAR($H37),0,DA$19=YEAR($H37),DATEDIF($H37,DATE(DA$19,12,31),"m")*$I37,AND(DA$19&gt;YEAR($H37),DA$19-YEAR($H37)&lt;20),$I37*12,DA$19-YEAR($H37)=20,DATEDIF(DATE(YEAR($H37),1,1),$H37,"m")*$I37,DA$19-YEAR($H37)&gt;20,0)</f>
        <v>0</v>
      </c>
      <c r="DB37" s="159" cm="1">
        <f t="array" ref="DB37">_xlfn.IFS(DB$19&lt;YEAR($H37),0,DB$19=YEAR($H37),DATEDIF($H37,DATE(DB$19,12,31),"m")*$I37,AND(DB$19&gt;YEAR($H37),DB$19-YEAR($H37)&lt;20),$I37*12,DB$19-YEAR($H37)=20,DATEDIF(DATE(YEAR($H37),1,1),$H37,"m")*$I37,DB$19-YEAR($H37)&gt;20,0)</f>
        <v>0</v>
      </c>
      <c r="DJ37" s="34"/>
      <c r="DK37" s="34"/>
      <c r="DL37" s="34"/>
    </row>
    <row r="38" spans="1:137">
      <c r="A38" s="165" t="s">
        <v>12</v>
      </c>
      <c r="B38" s="165">
        <v>2</v>
      </c>
      <c r="C38" s="165" t="s">
        <v>75</v>
      </c>
      <c r="D38" s="182">
        <f>VLOOKUP($M$2,$M$7:$Q$10,5,FALSE)*$E$16</f>
        <v>0</v>
      </c>
      <c r="E38" s="183">
        <v>47119</v>
      </c>
      <c r="F38" s="184">
        <f t="shared" si="11"/>
        <v>47665</v>
      </c>
      <c r="G38" s="184">
        <f t="shared" si="12"/>
        <v>47849</v>
      </c>
      <c r="H38" s="184">
        <f t="shared" si="5"/>
        <v>47909</v>
      </c>
      <c r="I38" s="157">
        <f t="shared" si="13"/>
        <v>0</v>
      </c>
      <c r="J38" s="164">
        <f t="shared" si="14"/>
        <v>0</v>
      </c>
      <c r="K38" s="164">
        <f t="shared" si="14"/>
        <v>0</v>
      </c>
      <c r="L38" s="164">
        <f t="shared" si="14"/>
        <v>0</v>
      </c>
      <c r="M38" s="164">
        <f t="shared" si="14"/>
        <v>0</v>
      </c>
      <c r="N38" s="164">
        <f t="shared" si="14"/>
        <v>0</v>
      </c>
      <c r="O38" s="164">
        <f t="shared" si="14"/>
        <v>0</v>
      </c>
      <c r="P38" s="164">
        <f t="shared" si="14"/>
        <v>0</v>
      </c>
      <c r="Q38" s="164">
        <f t="shared" si="14"/>
        <v>0</v>
      </c>
      <c r="R38" s="164">
        <f t="shared" si="14"/>
        <v>0</v>
      </c>
      <c r="S38" s="164">
        <f t="shared" si="14"/>
        <v>0</v>
      </c>
      <c r="T38" s="164">
        <f t="shared" si="14"/>
        <v>0</v>
      </c>
      <c r="U38" s="164">
        <f t="shared" si="14"/>
        <v>0</v>
      </c>
      <c r="V38" s="164">
        <f t="shared" si="14"/>
        <v>0</v>
      </c>
      <c r="W38" s="164">
        <f t="shared" si="14"/>
        <v>0</v>
      </c>
      <c r="X38" s="164">
        <f t="shared" si="14"/>
        <v>0</v>
      </c>
      <c r="Y38" s="164">
        <f t="shared" si="14"/>
        <v>0</v>
      </c>
      <c r="Z38" s="164">
        <f t="shared" si="19"/>
        <v>0</v>
      </c>
      <c r="AA38" s="164">
        <f t="shared" si="19"/>
        <v>0</v>
      </c>
      <c r="AB38" s="164">
        <f t="shared" si="19"/>
        <v>0</v>
      </c>
      <c r="AC38" s="164">
        <f t="shared" si="19"/>
        <v>0</v>
      </c>
      <c r="AD38" s="164">
        <f t="shared" si="19"/>
        <v>0</v>
      </c>
      <c r="AE38" s="164">
        <f t="shared" si="19"/>
        <v>0</v>
      </c>
      <c r="AF38" s="164">
        <f t="shared" si="19"/>
        <v>0</v>
      </c>
      <c r="AG38" s="164">
        <f t="shared" si="19"/>
        <v>0</v>
      </c>
      <c r="AH38" s="164">
        <f t="shared" si="19"/>
        <v>0</v>
      </c>
      <c r="AI38" s="164">
        <f t="shared" si="19"/>
        <v>0</v>
      </c>
      <c r="AJ38" s="164">
        <f t="shared" si="19"/>
        <v>0</v>
      </c>
      <c r="AK38" s="164">
        <f t="shared" si="19"/>
        <v>0</v>
      </c>
      <c r="AL38" s="164">
        <f t="shared" si="19"/>
        <v>0</v>
      </c>
      <c r="AM38" s="164">
        <f t="shared" si="19"/>
        <v>0</v>
      </c>
      <c r="AN38" s="164">
        <f t="shared" si="19"/>
        <v>0</v>
      </c>
      <c r="AO38" s="164">
        <f t="shared" si="19"/>
        <v>0</v>
      </c>
      <c r="AP38" s="164">
        <f t="shared" si="20"/>
        <v>0</v>
      </c>
      <c r="AQ38" s="164">
        <f t="shared" si="20"/>
        <v>0</v>
      </c>
      <c r="AR38" s="164">
        <f t="shared" si="20"/>
        <v>0</v>
      </c>
      <c r="AS38" s="164">
        <f t="shared" si="20"/>
        <v>0</v>
      </c>
      <c r="AT38" s="164">
        <f t="shared" si="20"/>
        <v>0</v>
      </c>
      <c r="AU38" s="164">
        <f t="shared" si="20"/>
        <v>0</v>
      </c>
      <c r="AV38" s="164">
        <f t="shared" si="20"/>
        <v>0</v>
      </c>
      <c r="AW38" s="164">
        <f t="shared" si="20"/>
        <v>0</v>
      </c>
      <c r="AX38" s="164">
        <f t="shared" si="20"/>
        <v>0</v>
      </c>
      <c r="AY38" s="164">
        <f t="shared" si="20"/>
        <v>0</v>
      </c>
      <c r="AZ38" s="164">
        <f t="shared" si="20"/>
        <v>0</v>
      </c>
      <c r="BA38" s="164">
        <f t="shared" si="20"/>
        <v>0</v>
      </c>
      <c r="BB38" s="164">
        <f t="shared" si="20"/>
        <v>0</v>
      </c>
      <c r="BC38" s="164">
        <f t="shared" si="20"/>
        <v>0</v>
      </c>
      <c r="BD38" s="164">
        <f t="shared" si="20"/>
        <v>0</v>
      </c>
      <c r="BE38" s="164">
        <f t="shared" si="20"/>
        <v>0</v>
      </c>
      <c r="BF38" s="164">
        <f t="shared" si="21"/>
        <v>0</v>
      </c>
      <c r="BG38" s="164">
        <f t="shared" si="21"/>
        <v>0</v>
      </c>
      <c r="BH38" s="164">
        <f t="shared" si="21"/>
        <v>0</v>
      </c>
      <c r="BI38" s="164">
        <f t="shared" si="21"/>
        <v>0</v>
      </c>
      <c r="BJ38" s="164">
        <f t="shared" si="21"/>
        <v>0</v>
      </c>
      <c r="BK38" s="164">
        <f t="shared" si="21"/>
        <v>0</v>
      </c>
      <c r="BL38" s="164">
        <f t="shared" si="21"/>
        <v>0</v>
      </c>
      <c r="BM38" s="164">
        <f t="shared" si="21"/>
        <v>0</v>
      </c>
      <c r="BN38" s="164">
        <f t="shared" si="21"/>
        <v>0</v>
      </c>
      <c r="BO38" s="164">
        <f t="shared" si="21"/>
        <v>0</v>
      </c>
      <c r="BP38" s="164">
        <f t="shared" si="21"/>
        <v>0</v>
      </c>
      <c r="BQ38" s="164">
        <f t="shared" si="21"/>
        <v>0</v>
      </c>
      <c r="BR38" s="164">
        <f t="shared" si="21"/>
        <v>0</v>
      </c>
      <c r="BS38" s="164">
        <f t="shared" si="21"/>
        <v>0</v>
      </c>
      <c r="BT38" s="164">
        <f t="shared" si="21"/>
        <v>0</v>
      </c>
      <c r="BU38" s="164">
        <f t="shared" si="21"/>
        <v>0</v>
      </c>
      <c r="BV38" s="164">
        <f t="shared" si="18"/>
        <v>0</v>
      </c>
      <c r="BW38" s="164">
        <f t="shared" si="18"/>
        <v>0</v>
      </c>
      <c r="BX38" s="164">
        <f t="shared" si="18"/>
        <v>0</v>
      </c>
      <c r="BY38" s="164">
        <f t="shared" si="18"/>
        <v>0</v>
      </c>
      <c r="BZ38" s="164">
        <f t="shared" si="18"/>
        <v>0</v>
      </c>
      <c r="CA38" s="164">
        <f t="shared" si="18"/>
        <v>0</v>
      </c>
      <c r="CB38" s="164">
        <f t="shared" si="18"/>
        <v>0</v>
      </c>
      <c r="CC38" s="164">
        <f t="shared" si="18"/>
        <v>0</v>
      </c>
      <c r="CE38" s="159" cm="1">
        <f t="array" ref="CE38">_xlfn.IFS(CE$19&lt;YEAR($H38),0,CE$19=YEAR($H38),DATEDIF($H38,DATE(CE$19,12,31),"m")*$I38,AND(CE$19&gt;YEAR($H38),CE$19-YEAR($H38)&lt;20),$I38*12,CE$19-YEAR($H38)=20,DATEDIF(DATE(YEAR($H38),1,1),$H38,"m")*$I38,CE$19-YEAR($H38)&gt;20,0)</f>
        <v>0</v>
      </c>
      <c r="CF38" s="159" cm="1">
        <f t="array" ref="CF38">_xlfn.IFS(CF$19&lt;YEAR($H38),0,CF$19=YEAR($H38),DATEDIF($H38,DATE(CF$19,12,31),"m")*$I38,AND(CF$19&gt;YEAR($H38),CF$19-YEAR($H38)&lt;20),$I38*12,CF$19-YEAR($H38)=20,DATEDIF(DATE(YEAR($H38),1,1),$H38,"m")*$I38,CF$19-YEAR($H38)&gt;20,0)</f>
        <v>0</v>
      </c>
      <c r="CG38" s="159" cm="1">
        <f t="array" ref="CG38">_xlfn.IFS(CG$19&lt;YEAR($H38),0,CG$19=YEAR($H38),DATEDIF($H38,DATE(CG$19,12,31),"m")*$I38,AND(CG$19&gt;YEAR($H38),CG$19-YEAR($H38)&lt;20),$I38*12,CG$19-YEAR($H38)=20,DATEDIF(DATE(YEAR($H38),1,1),$H38,"m")*$I38,CG$19-YEAR($H38)&gt;20,0)</f>
        <v>0</v>
      </c>
      <c r="CH38" s="159" cm="1">
        <f t="array" ref="CH38">_xlfn.IFS(CH$19&lt;YEAR($H38),0,CH$19=YEAR($H38),DATEDIF($H38,DATE(CH$19,12,31),"m")*$I38,AND(CH$19&gt;YEAR($H38),CH$19-YEAR($H38)&lt;20),$I38*12,CH$19-YEAR($H38)=20,DATEDIF(DATE(YEAR($H38),1,1),$H38,"m")*$I38,CH$19-YEAR($H38)&gt;20,0)</f>
        <v>0</v>
      </c>
      <c r="CI38" s="159" cm="1">
        <f t="array" ref="CI38">_xlfn.IFS(CI$19&lt;YEAR($H38),0,CI$19=YEAR($H38),DATEDIF($H38,DATE(CI$19,12,31),"m")*$I38,AND(CI$19&gt;YEAR($H38),CI$19-YEAR($H38)&lt;20),$I38*12,CI$19-YEAR($H38)=20,DATEDIF(DATE(YEAR($H38),1,1),$H38,"m")*$I38,CI$19-YEAR($H38)&gt;20,0)</f>
        <v>0</v>
      </c>
      <c r="CJ38" s="159" cm="1">
        <f t="array" ref="CJ38">_xlfn.IFS(CJ$19&lt;YEAR($H38),0,CJ$19=YEAR($H38),DATEDIF($H38,DATE(CJ$19,12,31),"m")*$I38,AND(CJ$19&gt;YEAR($H38),CJ$19-YEAR($H38)&lt;20),$I38*12,CJ$19-YEAR($H38)=20,DATEDIF(DATE(YEAR($H38),1,1),$H38,"m")*$I38,CJ$19-YEAR($H38)&gt;20,0)</f>
        <v>0</v>
      </c>
      <c r="CK38" s="159" cm="1">
        <f t="array" ref="CK38">_xlfn.IFS(CK$19&lt;YEAR($H38),0,CK$19=YEAR($H38),DATEDIF($H38,DATE(CK$19,12,31),"m")*$I38,AND(CK$19&gt;YEAR($H38),CK$19-YEAR($H38)&lt;20),$I38*12,CK$19-YEAR($H38)=20,DATEDIF(DATE(YEAR($H38),1,1),$H38,"m")*$I38,CK$19-YEAR($H38)&gt;20,0)</f>
        <v>0</v>
      </c>
      <c r="CL38" s="159" cm="1">
        <f t="array" ref="CL38">_xlfn.IFS(CL$19&lt;YEAR($H38),0,CL$19=YEAR($H38),DATEDIF($H38,DATE(CL$19,12,31),"m")*$I38,AND(CL$19&gt;YEAR($H38),CL$19-YEAR($H38)&lt;20),$I38*12,CL$19-YEAR($H38)=20,DATEDIF(DATE(YEAR($H38),1,1),$H38,"m")*$I38,CL$19-YEAR($H38)&gt;20,0)</f>
        <v>0</v>
      </c>
      <c r="CM38" s="159" cm="1">
        <f t="array" ref="CM38">_xlfn.IFS(CM$19&lt;YEAR($H38),0,CM$19=YEAR($H38),DATEDIF($H38,DATE(CM$19,12,31),"m")*$I38,AND(CM$19&gt;YEAR($H38),CM$19-YEAR($H38)&lt;20),$I38*12,CM$19-YEAR($H38)=20,DATEDIF(DATE(YEAR($H38),1,1),$H38,"m")*$I38,CM$19-YEAR($H38)&gt;20,0)</f>
        <v>0</v>
      </c>
      <c r="CN38" s="159" cm="1">
        <f t="array" ref="CN38">_xlfn.IFS(CN$19&lt;YEAR($H38),0,CN$19=YEAR($H38),DATEDIF($H38,DATE(CN$19,12,31),"m")*$I38,AND(CN$19&gt;YEAR($H38),CN$19-YEAR($H38)&lt;20),$I38*12,CN$19-YEAR($H38)=20,DATEDIF(DATE(YEAR($H38),1,1),$H38,"m")*$I38,CN$19-YEAR($H38)&gt;20,0)</f>
        <v>0</v>
      </c>
      <c r="CO38" s="159" cm="1">
        <f t="array" ref="CO38">_xlfn.IFS(CO$19&lt;YEAR($H38),0,CO$19=YEAR($H38),DATEDIF($H38,DATE(CO$19,12,31),"m")*$I38,AND(CO$19&gt;YEAR($H38),CO$19-YEAR($H38)&lt;20),$I38*12,CO$19-YEAR($H38)=20,DATEDIF(DATE(YEAR($H38),1,1),$H38,"m")*$I38,CO$19-YEAR($H38)&gt;20,0)</f>
        <v>0</v>
      </c>
      <c r="CP38" s="159" cm="1">
        <f t="array" ref="CP38">_xlfn.IFS(CP$19&lt;YEAR($H38),0,CP$19=YEAR($H38),DATEDIF($H38,DATE(CP$19,12,31),"m")*$I38,AND(CP$19&gt;YEAR($H38),CP$19-YEAR($H38)&lt;20),$I38*12,CP$19-YEAR($H38)=20,DATEDIF(DATE(YEAR($H38),1,1),$H38,"m")*$I38,CP$19-YEAR($H38)&gt;20,0)</f>
        <v>0</v>
      </c>
      <c r="CQ38" s="159" cm="1">
        <f t="array" ref="CQ38">_xlfn.IFS(CQ$19&lt;YEAR($H38),0,CQ$19=YEAR($H38),DATEDIF($H38,DATE(CQ$19,12,31),"m")*$I38,AND(CQ$19&gt;YEAR($H38),CQ$19-YEAR($H38)&lt;20),$I38*12,CQ$19-YEAR($H38)=20,DATEDIF(DATE(YEAR($H38),1,1),$H38,"m")*$I38,CQ$19-YEAR($H38)&gt;20,0)</f>
        <v>0</v>
      </c>
      <c r="CR38" s="159" cm="1">
        <f t="array" ref="CR38">_xlfn.IFS(CR$19&lt;YEAR($H38),0,CR$19=YEAR($H38),DATEDIF($H38,DATE(CR$19,12,31),"m")*$I38,AND(CR$19&gt;YEAR($H38),CR$19-YEAR($H38)&lt;20),$I38*12,CR$19-YEAR($H38)=20,DATEDIF(DATE(YEAR($H38),1,1),$H38,"m")*$I38,CR$19-YEAR($H38)&gt;20,0)</f>
        <v>0</v>
      </c>
      <c r="CS38" s="159" cm="1">
        <f t="array" ref="CS38">_xlfn.IFS(CS$19&lt;YEAR($H38),0,CS$19=YEAR($H38),DATEDIF($H38,DATE(CS$19,12,31),"m")*$I38,AND(CS$19&gt;YEAR($H38),CS$19-YEAR($H38)&lt;20),$I38*12,CS$19-YEAR($H38)=20,DATEDIF(DATE(YEAR($H38),1,1),$H38,"m")*$I38,CS$19-YEAR($H38)&gt;20,0)</f>
        <v>0</v>
      </c>
      <c r="CT38" s="159" cm="1">
        <f t="array" ref="CT38">_xlfn.IFS(CT$19&lt;YEAR($H38),0,CT$19=YEAR($H38),DATEDIF($H38,DATE(CT$19,12,31),"m")*$I38,AND(CT$19&gt;YEAR($H38),CT$19-YEAR($H38)&lt;20),$I38*12,CT$19-YEAR($H38)=20,DATEDIF(DATE(YEAR($H38),1,1),$H38,"m")*$I38,CT$19-YEAR($H38)&gt;20,0)</f>
        <v>0</v>
      </c>
      <c r="CU38" s="159" cm="1">
        <f t="array" ref="CU38">_xlfn.IFS(CU$19&lt;YEAR($H38),0,CU$19=YEAR($H38),DATEDIF($H38,DATE(CU$19,12,31),"m")*$I38,AND(CU$19&gt;YEAR($H38),CU$19-YEAR($H38)&lt;20),$I38*12,CU$19-YEAR($H38)=20,DATEDIF(DATE(YEAR($H38),1,1),$H38,"m")*$I38,CU$19-YEAR($H38)&gt;20,0)</f>
        <v>0</v>
      </c>
      <c r="CV38" s="159" cm="1">
        <f t="array" ref="CV38">_xlfn.IFS(CV$19&lt;YEAR($H38),0,CV$19=YEAR($H38),DATEDIF($H38,DATE(CV$19,12,31),"m")*$I38,AND(CV$19&gt;YEAR($H38),CV$19-YEAR($H38)&lt;20),$I38*12,CV$19-YEAR($H38)=20,DATEDIF(DATE(YEAR($H38),1,1),$H38,"m")*$I38,CV$19-YEAR($H38)&gt;20,0)</f>
        <v>0</v>
      </c>
      <c r="CW38" s="159" cm="1">
        <f t="array" ref="CW38">_xlfn.IFS(CW$19&lt;YEAR($H38),0,CW$19=YEAR($H38),DATEDIF($H38,DATE(CW$19,12,31),"m")*$I38,AND(CW$19&gt;YEAR($H38),CW$19-YEAR($H38)&lt;20),$I38*12,CW$19-YEAR($H38)=20,DATEDIF(DATE(YEAR($H38),1,1),$H38,"m")*$I38,CW$19-YEAR($H38)&gt;20,0)</f>
        <v>0</v>
      </c>
      <c r="CX38" s="159" cm="1">
        <f t="array" ref="CX38">_xlfn.IFS(CX$19&lt;YEAR($H38),0,CX$19=YEAR($H38),DATEDIF($H38,DATE(CX$19,12,31),"m")*$I38,AND(CX$19&gt;YEAR($H38),CX$19-YEAR($H38)&lt;20),$I38*12,CX$19-YEAR($H38)=20,DATEDIF(DATE(YEAR($H38),1,1),$H38,"m")*$I38,CX$19-YEAR($H38)&gt;20,0)</f>
        <v>0</v>
      </c>
      <c r="CY38" s="159" cm="1">
        <f t="array" ref="CY38">_xlfn.IFS(CY$19&lt;YEAR($H38),0,CY$19=YEAR($H38),DATEDIF($H38,DATE(CY$19,12,31),"m")*$I38,AND(CY$19&gt;YEAR($H38),CY$19-YEAR($H38)&lt;20),$I38*12,CY$19-YEAR($H38)=20,DATEDIF(DATE(YEAR($H38),1,1),$H38,"m")*$I38,CY$19-YEAR($H38)&gt;20,0)</f>
        <v>0</v>
      </c>
      <c r="CZ38" s="159" cm="1">
        <f t="array" ref="CZ38">_xlfn.IFS(CZ$19&lt;YEAR($H38),0,CZ$19=YEAR($H38),DATEDIF($H38,DATE(CZ$19,12,31),"m")*$I38,AND(CZ$19&gt;YEAR($H38),CZ$19-YEAR($H38)&lt;20),$I38*12,CZ$19-YEAR($H38)=20,DATEDIF(DATE(YEAR($H38),1,1),$H38,"m")*$I38,CZ$19-YEAR($H38)&gt;20,0)</f>
        <v>0</v>
      </c>
      <c r="DA38" s="159" cm="1">
        <f t="array" ref="DA38">_xlfn.IFS(DA$19&lt;YEAR($H38),0,DA$19=YEAR($H38),DATEDIF($H38,DATE(DA$19,12,31),"m")*$I38,AND(DA$19&gt;YEAR($H38),DA$19-YEAR($H38)&lt;20),$I38*12,DA$19-YEAR($H38)=20,DATEDIF(DATE(YEAR($H38),1,1),$H38,"m")*$I38,DA$19-YEAR($H38)&gt;20,0)</f>
        <v>0</v>
      </c>
      <c r="DB38" s="159" cm="1">
        <f t="array" ref="DB38">_xlfn.IFS(DB$19&lt;YEAR($H38),0,DB$19=YEAR($H38),DATEDIF($H38,DATE(DB$19,12,31),"m")*$I38,AND(DB$19&gt;YEAR($H38),DB$19-YEAR($H38)&lt;20),$I38*12,DB$19-YEAR($H38)=20,DATEDIF(DATE(YEAR($H38),1,1),$H38,"m")*$I38,DB$19-YEAR($H38)&gt;20,0)</f>
        <v>0</v>
      </c>
      <c r="DJ38" s="34"/>
      <c r="DK38" s="34"/>
      <c r="DL38" s="34"/>
    </row>
    <row r="39" spans="1:137">
      <c r="A39" s="165" t="s">
        <v>13</v>
      </c>
      <c r="B39" s="165">
        <v>1</v>
      </c>
      <c r="C39" s="165" t="s">
        <v>99</v>
      </c>
      <c r="D39" s="182">
        <f>VLOOKUP($M$2,$M$7:$Q$10,5,FALSE)*$F$15</f>
        <v>0</v>
      </c>
      <c r="E39" s="183">
        <v>47119</v>
      </c>
      <c r="F39" s="184">
        <f t="shared" si="11"/>
        <v>47665</v>
      </c>
      <c r="G39" s="184">
        <f t="shared" si="12"/>
        <v>47849</v>
      </c>
      <c r="H39" s="184">
        <f t="shared" si="5"/>
        <v>47909</v>
      </c>
      <c r="I39" s="157">
        <f t="shared" si="13"/>
        <v>0</v>
      </c>
      <c r="J39" s="164">
        <f t="shared" si="14"/>
        <v>0</v>
      </c>
      <c r="K39" s="164">
        <f t="shared" si="14"/>
        <v>0</v>
      </c>
      <c r="L39" s="164">
        <f t="shared" si="14"/>
        <v>0</v>
      </c>
      <c r="M39" s="164">
        <f t="shared" si="14"/>
        <v>0</v>
      </c>
      <c r="N39" s="164">
        <f t="shared" si="14"/>
        <v>0</v>
      </c>
      <c r="O39" s="164">
        <f t="shared" si="14"/>
        <v>0</v>
      </c>
      <c r="P39" s="164">
        <f t="shared" si="14"/>
        <v>0</v>
      </c>
      <c r="Q39" s="164">
        <f t="shared" si="14"/>
        <v>0</v>
      </c>
      <c r="R39" s="164">
        <f t="shared" si="14"/>
        <v>0</v>
      </c>
      <c r="S39" s="164">
        <f t="shared" si="14"/>
        <v>0</v>
      </c>
      <c r="T39" s="164">
        <f t="shared" si="14"/>
        <v>0</v>
      </c>
      <c r="U39" s="164">
        <f t="shared" si="14"/>
        <v>0</v>
      </c>
      <c r="V39" s="164">
        <f t="shared" si="14"/>
        <v>0</v>
      </c>
      <c r="W39" s="164">
        <f t="shared" si="14"/>
        <v>0</v>
      </c>
      <c r="X39" s="164">
        <f t="shared" si="14"/>
        <v>0</v>
      </c>
      <c r="Y39" s="164">
        <f t="shared" si="14"/>
        <v>0</v>
      </c>
      <c r="Z39" s="164">
        <f t="shared" si="19"/>
        <v>0</v>
      </c>
      <c r="AA39" s="164">
        <f t="shared" si="19"/>
        <v>0</v>
      </c>
      <c r="AB39" s="164">
        <f t="shared" si="19"/>
        <v>0</v>
      </c>
      <c r="AC39" s="164">
        <f t="shared" si="19"/>
        <v>0</v>
      </c>
      <c r="AD39" s="164">
        <f t="shared" si="19"/>
        <v>0</v>
      </c>
      <c r="AE39" s="164">
        <f t="shared" si="19"/>
        <v>0</v>
      </c>
      <c r="AF39" s="164">
        <f t="shared" si="19"/>
        <v>0</v>
      </c>
      <c r="AG39" s="164">
        <f t="shared" si="19"/>
        <v>0</v>
      </c>
      <c r="AH39" s="164">
        <f t="shared" si="19"/>
        <v>0</v>
      </c>
      <c r="AI39" s="164">
        <f t="shared" si="19"/>
        <v>0</v>
      </c>
      <c r="AJ39" s="164">
        <f t="shared" si="19"/>
        <v>0</v>
      </c>
      <c r="AK39" s="164">
        <f t="shared" si="19"/>
        <v>0</v>
      </c>
      <c r="AL39" s="164">
        <f t="shared" si="19"/>
        <v>0</v>
      </c>
      <c r="AM39" s="164">
        <f t="shared" si="19"/>
        <v>0</v>
      </c>
      <c r="AN39" s="164">
        <f t="shared" si="19"/>
        <v>0</v>
      </c>
      <c r="AO39" s="164">
        <f t="shared" si="19"/>
        <v>0</v>
      </c>
      <c r="AP39" s="164">
        <f t="shared" si="20"/>
        <v>0</v>
      </c>
      <c r="AQ39" s="164">
        <f t="shared" si="20"/>
        <v>0</v>
      </c>
      <c r="AR39" s="164">
        <f t="shared" si="20"/>
        <v>0</v>
      </c>
      <c r="AS39" s="164">
        <f t="shared" si="20"/>
        <v>0</v>
      </c>
      <c r="AT39" s="164">
        <f t="shared" si="20"/>
        <v>0</v>
      </c>
      <c r="AU39" s="164">
        <f t="shared" si="20"/>
        <v>0</v>
      </c>
      <c r="AV39" s="164">
        <f t="shared" si="20"/>
        <v>0</v>
      </c>
      <c r="AW39" s="164">
        <f t="shared" si="20"/>
        <v>0</v>
      </c>
      <c r="AX39" s="164">
        <f t="shared" si="20"/>
        <v>0</v>
      </c>
      <c r="AY39" s="164">
        <f t="shared" si="20"/>
        <v>0</v>
      </c>
      <c r="AZ39" s="164">
        <f t="shared" si="20"/>
        <v>0</v>
      </c>
      <c r="BA39" s="164">
        <f t="shared" si="20"/>
        <v>0</v>
      </c>
      <c r="BB39" s="164">
        <f t="shared" si="20"/>
        <v>0</v>
      </c>
      <c r="BC39" s="164">
        <f t="shared" si="20"/>
        <v>0</v>
      </c>
      <c r="BD39" s="164">
        <f t="shared" si="20"/>
        <v>0</v>
      </c>
      <c r="BE39" s="164">
        <f t="shared" si="20"/>
        <v>0</v>
      </c>
      <c r="BF39" s="164">
        <f t="shared" si="21"/>
        <v>0</v>
      </c>
      <c r="BG39" s="164">
        <f t="shared" si="21"/>
        <v>0</v>
      </c>
      <c r="BH39" s="164">
        <f t="shared" si="21"/>
        <v>0</v>
      </c>
      <c r="BI39" s="164">
        <f t="shared" si="21"/>
        <v>0</v>
      </c>
      <c r="BJ39" s="164">
        <f t="shared" si="21"/>
        <v>0</v>
      </c>
      <c r="BK39" s="164">
        <f t="shared" si="21"/>
        <v>0</v>
      </c>
      <c r="BL39" s="164">
        <f t="shared" si="21"/>
        <v>0</v>
      </c>
      <c r="BM39" s="164">
        <f t="shared" si="21"/>
        <v>0</v>
      </c>
      <c r="BN39" s="164">
        <f t="shared" si="21"/>
        <v>0</v>
      </c>
      <c r="BO39" s="164">
        <f t="shared" si="21"/>
        <v>0</v>
      </c>
      <c r="BP39" s="164">
        <f t="shared" si="21"/>
        <v>0</v>
      </c>
      <c r="BQ39" s="164">
        <f t="shared" si="21"/>
        <v>0</v>
      </c>
      <c r="BR39" s="164">
        <f t="shared" si="21"/>
        <v>0</v>
      </c>
      <c r="BS39" s="164">
        <f t="shared" si="21"/>
        <v>0</v>
      </c>
      <c r="BT39" s="164">
        <f t="shared" si="21"/>
        <v>0</v>
      </c>
      <c r="BU39" s="164">
        <f t="shared" si="21"/>
        <v>0</v>
      </c>
      <c r="BV39" s="164">
        <f t="shared" si="18"/>
        <v>0</v>
      </c>
      <c r="BW39" s="164">
        <f t="shared" si="18"/>
        <v>0</v>
      </c>
      <c r="BX39" s="164">
        <f t="shared" si="18"/>
        <v>0</v>
      </c>
      <c r="BY39" s="164">
        <f t="shared" si="18"/>
        <v>0</v>
      </c>
      <c r="BZ39" s="164">
        <f t="shared" si="18"/>
        <v>0</v>
      </c>
      <c r="CA39" s="164">
        <f t="shared" si="18"/>
        <v>0</v>
      </c>
      <c r="CB39" s="164">
        <f t="shared" si="18"/>
        <v>0</v>
      </c>
      <c r="CC39" s="164">
        <f t="shared" si="18"/>
        <v>0</v>
      </c>
      <c r="CE39" s="159" cm="1">
        <f t="array" ref="CE39">_xlfn.IFS(CE$19&lt;YEAR($H39),0,CE$19=YEAR($H39),DATEDIF($H39,DATE(CE$19,12,31),"m")*$I39,AND(CE$19&gt;YEAR($H39),CE$19-YEAR($H39)&lt;20),$I39*12,CE$19-YEAR($H39)=20,DATEDIF(DATE(YEAR($H39),1,1),$H39,"m")*$I39,CE$19-YEAR($H39)&gt;20,0)</f>
        <v>0</v>
      </c>
      <c r="CF39" s="159" cm="1">
        <f t="array" ref="CF39">_xlfn.IFS(CF$19&lt;YEAR($H39),0,CF$19=YEAR($H39),DATEDIF($H39,DATE(CF$19,12,31),"m")*$I39,AND(CF$19&gt;YEAR($H39),CF$19-YEAR($H39)&lt;20),$I39*12,CF$19-YEAR($H39)=20,DATEDIF(DATE(YEAR($H39),1,1),$H39,"m")*$I39,CF$19-YEAR($H39)&gt;20,0)</f>
        <v>0</v>
      </c>
      <c r="CG39" s="159" cm="1">
        <f t="array" ref="CG39">_xlfn.IFS(CG$19&lt;YEAR($H39),0,CG$19=YEAR($H39),DATEDIF($H39,DATE(CG$19,12,31),"m")*$I39,AND(CG$19&gt;YEAR($H39),CG$19-YEAR($H39)&lt;20),$I39*12,CG$19-YEAR($H39)=20,DATEDIF(DATE(YEAR($H39),1,1),$H39,"m")*$I39,CG$19-YEAR($H39)&gt;20,0)</f>
        <v>0</v>
      </c>
      <c r="CH39" s="159" cm="1">
        <f t="array" ref="CH39">_xlfn.IFS(CH$19&lt;YEAR($H39),0,CH$19=YEAR($H39),DATEDIF($H39,DATE(CH$19,12,31),"m")*$I39,AND(CH$19&gt;YEAR($H39),CH$19-YEAR($H39)&lt;20),$I39*12,CH$19-YEAR($H39)=20,DATEDIF(DATE(YEAR($H39),1,1),$H39,"m")*$I39,CH$19-YEAR($H39)&gt;20,0)</f>
        <v>0</v>
      </c>
      <c r="CI39" s="159" cm="1">
        <f t="array" ref="CI39">_xlfn.IFS(CI$19&lt;YEAR($H39),0,CI$19=YEAR($H39),DATEDIF($H39,DATE(CI$19,12,31),"m")*$I39,AND(CI$19&gt;YEAR($H39),CI$19-YEAR($H39)&lt;20),$I39*12,CI$19-YEAR($H39)=20,DATEDIF(DATE(YEAR($H39),1,1),$H39,"m")*$I39,CI$19-YEAR($H39)&gt;20,0)</f>
        <v>0</v>
      </c>
      <c r="CJ39" s="159" cm="1">
        <f t="array" ref="CJ39">_xlfn.IFS(CJ$19&lt;YEAR($H39),0,CJ$19=YEAR($H39),DATEDIF($H39,DATE(CJ$19,12,31),"m")*$I39,AND(CJ$19&gt;YEAR($H39),CJ$19-YEAR($H39)&lt;20),$I39*12,CJ$19-YEAR($H39)=20,DATEDIF(DATE(YEAR($H39),1,1),$H39,"m")*$I39,CJ$19-YEAR($H39)&gt;20,0)</f>
        <v>0</v>
      </c>
      <c r="CK39" s="159" cm="1">
        <f t="array" ref="CK39">_xlfn.IFS(CK$19&lt;YEAR($H39),0,CK$19=YEAR($H39),DATEDIF($H39,DATE(CK$19,12,31),"m")*$I39,AND(CK$19&gt;YEAR($H39),CK$19-YEAR($H39)&lt;20),$I39*12,CK$19-YEAR($H39)=20,DATEDIF(DATE(YEAR($H39),1,1),$H39,"m")*$I39,CK$19-YEAR($H39)&gt;20,0)</f>
        <v>0</v>
      </c>
      <c r="CL39" s="159" cm="1">
        <f t="array" ref="CL39">_xlfn.IFS(CL$19&lt;YEAR($H39),0,CL$19=YEAR($H39),DATEDIF($H39,DATE(CL$19,12,31),"m")*$I39,AND(CL$19&gt;YEAR($H39),CL$19-YEAR($H39)&lt;20),$I39*12,CL$19-YEAR($H39)=20,DATEDIF(DATE(YEAR($H39),1,1),$H39,"m")*$I39,CL$19-YEAR($H39)&gt;20,0)</f>
        <v>0</v>
      </c>
      <c r="CM39" s="159" cm="1">
        <f t="array" ref="CM39">_xlfn.IFS(CM$19&lt;YEAR($H39),0,CM$19=YEAR($H39),DATEDIF($H39,DATE(CM$19,12,31),"m")*$I39,AND(CM$19&gt;YEAR($H39),CM$19-YEAR($H39)&lt;20),$I39*12,CM$19-YEAR($H39)=20,DATEDIF(DATE(YEAR($H39),1,1),$H39,"m")*$I39,CM$19-YEAR($H39)&gt;20,0)</f>
        <v>0</v>
      </c>
      <c r="CN39" s="159" cm="1">
        <f t="array" ref="CN39">_xlfn.IFS(CN$19&lt;YEAR($H39),0,CN$19=YEAR($H39),DATEDIF($H39,DATE(CN$19,12,31),"m")*$I39,AND(CN$19&gt;YEAR($H39),CN$19-YEAR($H39)&lt;20),$I39*12,CN$19-YEAR($H39)=20,DATEDIF(DATE(YEAR($H39),1,1),$H39,"m")*$I39,CN$19-YEAR($H39)&gt;20,0)</f>
        <v>0</v>
      </c>
      <c r="CO39" s="159" cm="1">
        <f t="array" ref="CO39">_xlfn.IFS(CO$19&lt;YEAR($H39),0,CO$19=YEAR($H39),DATEDIF($H39,DATE(CO$19,12,31),"m")*$I39,AND(CO$19&gt;YEAR($H39),CO$19-YEAR($H39)&lt;20),$I39*12,CO$19-YEAR($H39)=20,DATEDIF(DATE(YEAR($H39),1,1),$H39,"m")*$I39,CO$19-YEAR($H39)&gt;20,0)</f>
        <v>0</v>
      </c>
      <c r="CP39" s="159" cm="1">
        <f t="array" ref="CP39">_xlfn.IFS(CP$19&lt;YEAR($H39),0,CP$19=YEAR($H39),DATEDIF($H39,DATE(CP$19,12,31),"m")*$I39,AND(CP$19&gt;YEAR($H39),CP$19-YEAR($H39)&lt;20),$I39*12,CP$19-YEAR($H39)=20,DATEDIF(DATE(YEAR($H39),1,1),$H39,"m")*$I39,CP$19-YEAR($H39)&gt;20,0)</f>
        <v>0</v>
      </c>
      <c r="CQ39" s="159" cm="1">
        <f t="array" ref="CQ39">_xlfn.IFS(CQ$19&lt;YEAR($H39),0,CQ$19=YEAR($H39),DATEDIF($H39,DATE(CQ$19,12,31),"m")*$I39,AND(CQ$19&gt;YEAR($H39),CQ$19-YEAR($H39)&lt;20),$I39*12,CQ$19-YEAR($H39)=20,DATEDIF(DATE(YEAR($H39),1,1),$H39,"m")*$I39,CQ$19-YEAR($H39)&gt;20,0)</f>
        <v>0</v>
      </c>
      <c r="CR39" s="159" cm="1">
        <f t="array" ref="CR39">_xlfn.IFS(CR$19&lt;YEAR($H39),0,CR$19=YEAR($H39),DATEDIF($H39,DATE(CR$19,12,31),"m")*$I39,AND(CR$19&gt;YEAR($H39),CR$19-YEAR($H39)&lt;20),$I39*12,CR$19-YEAR($H39)=20,DATEDIF(DATE(YEAR($H39),1,1),$H39,"m")*$I39,CR$19-YEAR($H39)&gt;20,0)</f>
        <v>0</v>
      </c>
      <c r="CS39" s="159" cm="1">
        <f t="array" ref="CS39">_xlfn.IFS(CS$19&lt;YEAR($H39),0,CS$19=YEAR($H39),DATEDIF($H39,DATE(CS$19,12,31),"m")*$I39,AND(CS$19&gt;YEAR($H39),CS$19-YEAR($H39)&lt;20),$I39*12,CS$19-YEAR($H39)=20,DATEDIF(DATE(YEAR($H39),1,1),$H39,"m")*$I39,CS$19-YEAR($H39)&gt;20,0)</f>
        <v>0</v>
      </c>
      <c r="CT39" s="159" cm="1">
        <f t="array" ref="CT39">_xlfn.IFS(CT$19&lt;YEAR($H39),0,CT$19=YEAR($H39),DATEDIF($H39,DATE(CT$19,12,31),"m")*$I39,AND(CT$19&gt;YEAR($H39),CT$19-YEAR($H39)&lt;20),$I39*12,CT$19-YEAR($H39)=20,DATEDIF(DATE(YEAR($H39),1,1),$H39,"m")*$I39,CT$19-YEAR($H39)&gt;20,0)</f>
        <v>0</v>
      </c>
      <c r="CU39" s="159" cm="1">
        <f t="array" ref="CU39">_xlfn.IFS(CU$19&lt;YEAR($H39),0,CU$19=YEAR($H39),DATEDIF($H39,DATE(CU$19,12,31),"m")*$I39,AND(CU$19&gt;YEAR($H39),CU$19-YEAR($H39)&lt;20),$I39*12,CU$19-YEAR($H39)=20,DATEDIF(DATE(YEAR($H39),1,1),$H39,"m")*$I39,CU$19-YEAR($H39)&gt;20,0)</f>
        <v>0</v>
      </c>
      <c r="CV39" s="159" cm="1">
        <f t="array" ref="CV39">_xlfn.IFS(CV$19&lt;YEAR($H39),0,CV$19=YEAR($H39),DATEDIF($H39,DATE(CV$19,12,31),"m")*$I39,AND(CV$19&gt;YEAR($H39),CV$19-YEAR($H39)&lt;20),$I39*12,CV$19-YEAR($H39)=20,DATEDIF(DATE(YEAR($H39),1,1),$H39,"m")*$I39,CV$19-YEAR($H39)&gt;20,0)</f>
        <v>0</v>
      </c>
      <c r="CW39" s="159" cm="1">
        <f t="array" ref="CW39">_xlfn.IFS(CW$19&lt;YEAR($H39),0,CW$19=YEAR($H39),DATEDIF($H39,DATE(CW$19,12,31),"m")*$I39,AND(CW$19&gt;YEAR($H39),CW$19-YEAR($H39)&lt;20),$I39*12,CW$19-YEAR($H39)=20,DATEDIF(DATE(YEAR($H39),1,1),$H39,"m")*$I39,CW$19-YEAR($H39)&gt;20,0)</f>
        <v>0</v>
      </c>
      <c r="CX39" s="159" cm="1">
        <f t="array" ref="CX39">_xlfn.IFS(CX$19&lt;YEAR($H39),0,CX$19=YEAR($H39),DATEDIF($H39,DATE(CX$19,12,31),"m")*$I39,AND(CX$19&gt;YEAR($H39),CX$19-YEAR($H39)&lt;20),$I39*12,CX$19-YEAR($H39)=20,DATEDIF(DATE(YEAR($H39),1,1),$H39,"m")*$I39,CX$19-YEAR($H39)&gt;20,0)</f>
        <v>0</v>
      </c>
      <c r="CY39" s="159" cm="1">
        <f t="array" ref="CY39">_xlfn.IFS(CY$19&lt;YEAR($H39),0,CY$19=YEAR($H39),DATEDIF($H39,DATE(CY$19,12,31),"m")*$I39,AND(CY$19&gt;YEAR($H39),CY$19-YEAR($H39)&lt;20),$I39*12,CY$19-YEAR($H39)=20,DATEDIF(DATE(YEAR($H39),1,1),$H39,"m")*$I39,CY$19-YEAR($H39)&gt;20,0)</f>
        <v>0</v>
      </c>
      <c r="CZ39" s="159" cm="1">
        <f t="array" ref="CZ39">_xlfn.IFS(CZ$19&lt;YEAR($H39),0,CZ$19=YEAR($H39),DATEDIF($H39,DATE(CZ$19,12,31),"m")*$I39,AND(CZ$19&gt;YEAR($H39),CZ$19-YEAR($H39)&lt;20),$I39*12,CZ$19-YEAR($H39)=20,DATEDIF(DATE(YEAR($H39),1,1),$H39,"m")*$I39,CZ$19-YEAR($H39)&gt;20,0)</f>
        <v>0</v>
      </c>
      <c r="DA39" s="159" cm="1">
        <f t="array" ref="DA39">_xlfn.IFS(DA$19&lt;YEAR($H39),0,DA$19=YEAR($H39),DATEDIF($H39,DATE(DA$19,12,31),"m")*$I39,AND(DA$19&gt;YEAR($H39),DA$19-YEAR($H39)&lt;20),$I39*12,DA$19-YEAR($H39)=20,DATEDIF(DATE(YEAR($H39),1,1),$H39,"m")*$I39,DA$19-YEAR($H39)&gt;20,0)</f>
        <v>0</v>
      </c>
      <c r="DB39" s="159" cm="1">
        <f t="array" ref="DB39">_xlfn.IFS(DB$19&lt;YEAR($H39),0,DB$19=YEAR($H39),DATEDIF($H39,DATE(DB$19,12,31),"m")*$I39,AND(DB$19&gt;YEAR($H39),DB$19-YEAR($H39)&lt;20),$I39*12,DB$19-YEAR($H39)=20,DATEDIF(DATE(YEAR($H39),1,1),$H39,"m")*$I39,DB$19-YEAR($H39)&gt;20,0)</f>
        <v>0</v>
      </c>
      <c r="DJ39" s="34"/>
      <c r="DK39" s="34"/>
      <c r="DL39" s="34"/>
    </row>
    <row r="40" spans="1:137">
      <c r="DJ40" s="34"/>
      <c r="DK40" s="34"/>
      <c r="DL40" s="34"/>
    </row>
    <row r="41" spans="1:137">
      <c r="A41" s="380" t="s">
        <v>101</v>
      </c>
      <c r="B41" s="380"/>
      <c r="C41" s="380"/>
      <c r="D41" s="380"/>
      <c r="E41" s="380"/>
      <c r="DJ41" s="34"/>
      <c r="DK41" s="34"/>
      <c r="DL41" s="34"/>
    </row>
    <row r="42" spans="1:137">
      <c r="A42" s="187"/>
      <c r="B42" s="188" t="s">
        <v>11</v>
      </c>
      <c r="C42" s="188" t="s">
        <v>12</v>
      </c>
      <c r="D42" s="188" t="s">
        <v>13</v>
      </c>
      <c r="E42" s="188" t="s">
        <v>102</v>
      </c>
      <c r="DJ42" s="34"/>
      <c r="DK42" s="34"/>
      <c r="DL42" s="34"/>
    </row>
    <row r="43" spans="1:137">
      <c r="A43" s="166">
        <f>'Program Inputs'!$D$4</f>
        <v>2020</v>
      </c>
      <c r="B43" s="158">
        <v>0</v>
      </c>
      <c r="C43" s="158">
        <v>0</v>
      </c>
      <c r="D43" s="158">
        <v>0</v>
      </c>
      <c r="E43" s="158">
        <f>SUM(B43:D43)</f>
        <v>0</v>
      </c>
      <c r="DJ43" s="34"/>
      <c r="DK43" s="34"/>
      <c r="DL43" s="34"/>
    </row>
    <row r="44" spans="1:137">
      <c r="A44" s="166">
        <f t="shared" ref="A44:A73" si="22">A43+1</f>
        <v>2021</v>
      </c>
      <c r="B44" s="158">
        <v>0</v>
      </c>
      <c r="C44" s="158">
        <v>0</v>
      </c>
      <c r="D44" s="158">
        <v>0</v>
      </c>
      <c r="E44" s="158">
        <f t="shared" ref="E44:E73" si="23">SUM(B44:D44)</f>
        <v>0</v>
      </c>
      <c r="DJ44" s="34"/>
      <c r="DK44" s="34"/>
      <c r="DL44" s="34"/>
    </row>
    <row r="45" spans="1:137">
      <c r="A45" s="166">
        <f t="shared" si="22"/>
        <v>2022</v>
      </c>
      <c r="B45" s="158">
        <v>0</v>
      </c>
      <c r="C45" s="158">
        <v>0</v>
      </c>
      <c r="D45" s="158">
        <v>0</v>
      </c>
      <c r="E45" s="158">
        <f t="shared" si="23"/>
        <v>0</v>
      </c>
      <c r="DJ45" s="34"/>
      <c r="DK45" s="34"/>
      <c r="DL45" s="34"/>
    </row>
    <row r="46" spans="1:137">
      <c r="A46" s="166">
        <f t="shared" si="22"/>
        <v>2023</v>
      </c>
      <c r="B46" s="158">
        <v>0</v>
      </c>
      <c r="C46" s="158">
        <v>0</v>
      </c>
      <c r="D46" s="158">
        <v>0</v>
      </c>
      <c r="E46" s="158">
        <f t="shared" si="23"/>
        <v>0</v>
      </c>
      <c r="F46" s="271"/>
      <c r="H46" s="272"/>
      <c r="DJ46" s="34"/>
      <c r="DK46" s="34"/>
      <c r="DL46" s="34"/>
    </row>
    <row r="47" spans="1:137">
      <c r="A47" s="166">
        <f t="shared" si="22"/>
        <v>2024</v>
      </c>
      <c r="B47" s="158">
        <v>0</v>
      </c>
      <c r="C47" s="158">
        <v>0</v>
      </c>
      <c r="D47" s="158">
        <v>0</v>
      </c>
      <c r="E47" s="158">
        <f t="shared" si="23"/>
        <v>0</v>
      </c>
      <c r="F47" s="271"/>
      <c r="H47" s="272"/>
      <c r="DJ47" s="34"/>
      <c r="DK47" s="34"/>
      <c r="DL47" s="34"/>
    </row>
    <row r="48" spans="1:137">
      <c r="A48" s="166">
        <f t="shared" si="22"/>
        <v>2025</v>
      </c>
      <c r="B48" s="158">
        <v>0</v>
      </c>
      <c r="C48" s="158">
        <v>0</v>
      </c>
      <c r="D48" s="158">
        <v>0</v>
      </c>
      <c r="E48" s="158">
        <f t="shared" si="23"/>
        <v>0</v>
      </c>
      <c r="F48" s="271"/>
      <c r="H48" s="272"/>
      <c r="DJ48" s="34"/>
      <c r="DK48" s="34"/>
      <c r="DL48" s="34"/>
    </row>
    <row r="49" spans="1:116">
      <c r="A49" s="166">
        <f t="shared" si="22"/>
        <v>2026</v>
      </c>
      <c r="B49" s="158">
        <v>0</v>
      </c>
      <c r="C49" s="158">
        <v>0</v>
      </c>
      <c r="D49" s="158">
        <v>0</v>
      </c>
      <c r="E49" s="158">
        <f t="shared" si="23"/>
        <v>0</v>
      </c>
      <c r="DJ49" s="34"/>
      <c r="DK49" s="34"/>
      <c r="DL49" s="34"/>
    </row>
    <row r="50" spans="1:116">
      <c r="A50" s="166">
        <f t="shared" si="22"/>
        <v>2027</v>
      </c>
      <c r="B50" s="158" cm="1">
        <f t="array" ref="B50:B73">TRANSPOSE(DJ20:EG20)</f>
        <v>0</v>
      </c>
      <c r="C50" s="158" cm="1">
        <f t="array" ref="C50:C73">TRANSPOSE(DJ21:EG21)</f>
        <v>0</v>
      </c>
      <c r="D50" s="158" cm="1">
        <f t="array" ref="D50:D73">TRANSPOSE(DJ22:EG22)</f>
        <v>0</v>
      </c>
      <c r="E50" s="158">
        <f t="shared" si="23"/>
        <v>0</v>
      </c>
      <c r="DJ50" s="34"/>
      <c r="DK50" s="34"/>
      <c r="DL50" s="34"/>
    </row>
    <row r="51" spans="1:116">
      <c r="A51" s="166">
        <f t="shared" si="22"/>
        <v>2028</v>
      </c>
      <c r="B51" s="158">
        <v>53954.460000000006</v>
      </c>
      <c r="C51" s="158">
        <v>63343.53</v>
      </c>
      <c r="D51" s="158">
        <v>1072.8899999999999</v>
      </c>
      <c r="E51" s="158">
        <f t="shared" si="23"/>
        <v>118370.88</v>
      </c>
      <c r="DJ51" s="34"/>
      <c r="DK51" s="34"/>
      <c r="DL51" s="34"/>
    </row>
    <row r="52" spans="1:116">
      <c r="A52" s="166">
        <f t="shared" si="22"/>
        <v>2029</v>
      </c>
      <c r="B52" s="158">
        <v>125893.73999999999</v>
      </c>
      <c r="C52" s="158">
        <v>147801.57</v>
      </c>
      <c r="D52" s="158">
        <v>2503.41</v>
      </c>
      <c r="E52" s="158">
        <f t="shared" si="23"/>
        <v>276198.71999999997</v>
      </c>
    </row>
    <row r="53" spans="1:116">
      <c r="A53" s="166">
        <f t="shared" si="22"/>
        <v>2030</v>
      </c>
      <c r="B53" s="158">
        <v>143878.56</v>
      </c>
      <c r="C53" s="158">
        <v>168916.08000000002</v>
      </c>
      <c r="D53" s="158">
        <v>2861.04</v>
      </c>
      <c r="E53" s="158">
        <f t="shared" si="23"/>
        <v>315655.67999999999</v>
      </c>
    </row>
    <row r="54" spans="1:116">
      <c r="A54" s="166">
        <f t="shared" si="22"/>
        <v>2031</v>
      </c>
      <c r="B54" s="158">
        <v>143878.56</v>
      </c>
      <c r="C54" s="158">
        <v>168916.08000000002</v>
      </c>
      <c r="D54" s="158">
        <v>2861.04</v>
      </c>
      <c r="E54" s="158">
        <f t="shared" si="23"/>
        <v>315655.67999999999</v>
      </c>
    </row>
    <row r="55" spans="1:116">
      <c r="A55" s="166">
        <f t="shared" si="22"/>
        <v>2032</v>
      </c>
      <c r="B55" s="158">
        <v>143878.56</v>
      </c>
      <c r="C55" s="158">
        <v>168916.08000000002</v>
      </c>
      <c r="D55" s="158">
        <v>2861.04</v>
      </c>
      <c r="E55" s="158">
        <f t="shared" si="23"/>
        <v>315655.67999999999</v>
      </c>
    </row>
    <row r="56" spans="1:116">
      <c r="A56" s="166">
        <f t="shared" si="22"/>
        <v>2033</v>
      </c>
      <c r="B56" s="158">
        <v>143878.56</v>
      </c>
      <c r="C56" s="158">
        <v>168916.08000000002</v>
      </c>
      <c r="D56" s="158">
        <v>2861.04</v>
      </c>
      <c r="E56" s="158">
        <f t="shared" si="23"/>
        <v>315655.67999999999</v>
      </c>
    </row>
    <row r="57" spans="1:116">
      <c r="A57" s="166">
        <f t="shared" si="22"/>
        <v>2034</v>
      </c>
      <c r="B57" s="158">
        <v>143878.56</v>
      </c>
      <c r="C57" s="158">
        <v>168916.08000000002</v>
      </c>
      <c r="D57" s="158">
        <v>2861.04</v>
      </c>
      <c r="E57" s="158">
        <f t="shared" si="23"/>
        <v>315655.67999999999</v>
      </c>
    </row>
    <row r="58" spans="1:116">
      <c r="A58" s="166">
        <f t="shared" si="22"/>
        <v>2035</v>
      </c>
      <c r="B58" s="158">
        <v>143878.56</v>
      </c>
      <c r="C58" s="158">
        <v>168916.08000000002</v>
      </c>
      <c r="D58" s="158">
        <v>2861.04</v>
      </c>
      <c r="E58" s="158">
        <f t="shared" si="23"/>
        <v>315655.67999999999</v>
      </c>
    </row>
    <row r="59" spans="1:116">
      <c r="A59" s="166">
        <f t="shared" si="22"/>
        <v>2036</v>
      </c>
      <c r="B59" s="158">
        <v>143878.56</v>
      </c>
      <c r="C59" s="158">
        <v>168916.08000000002</v>
      </c>
      <c r="D59" s="158">
        <v>2861.04</v>
      </c>
      <c r="E59" s="158">
        <f t="shared" si="23"/>
        <v>315655.67999999999</v>
      </c>
    </row>
    <row r="60" spans="1:116">
      <c r="A60" s="166">
        <f t="shared" si="22"/>
        <v>2037</v>
      </c>
      <c r="B60" s="158">
        <v>143878.56</v>
      </c>
      <c r="C60" s="158">
        <v>168916.08000000002</v>
      </c>
      <c r="D60" s="158">
        <v>2861.04</v>
      </c>
      <c r="E60" s="158">
        <f t="shared" si="23"/>
        <v>315655.67999999999</v>
      </c>
    </row>
    <row r="61" spans="1:116">
      <c r="A61" s="166">
        <f t="shared" si="22"/>
        <v>2038</v>
      </c>
      <c r="B61" s="158">
        <v>143878.56</v>
      </c>
      <c r="C61" s="158">
        <v>168916.08000000002</v>
      </c>
      <c r="D61" s="158">
        <v>2861.04</v>
      </c>
      <c r="E61" s="158">
        <f t="shared" si="23"/>
        <v>315655.67999999999</v>
      </c>
    </row>
    <row r="62" spans="1:116">
      <c r="A62" s="166">
        <f t="shared" si="22"/>
        <v>2039</v>
      </c>
      <c r="B62" s="158">
        <v>143878.56</v>
      </c>
      <c r="C62" s="158">
        <v>168916.08000000002</v>
      </c>
      <c r="D62" s="158">
        <v>2861.04</v>
      </c>
      <c r="E62" s="158">
        <f t="shared" si="23"/>
        <v>315655.67999999999</v>
      </c>
    </row>
    <row r="63" spans="1:116">
      <c r="A63" s="166">
        <f t="shared" si="22"/>
        <v>2040</v>
      </c>
      <c r="B63" s="158">
        <v>143878.56</v>
      </c>
      <c r="C63" s="158">
        <v>168916.08000000002</v>
      </c>
      <c r="D63" s="158">
        <v>2861.04</v>
      </c>
      <c r="E63" s="158">
        <f t="shared" si="23"/>
        <v>315655.67999999999</v>
      </c>
    </row>
    <row r="64" spans="1:116">
      <c r="A64" s="166">
        <f t="shared" si="22"/>
        <v>2041</v>
      </c>
      <c r="B64" s="158">
        <v>143878.56</v>
      </c>
      <c r="C64" s="158">
        <v>168916.08000000002</v>
      </c>
      <c r="D64" s="158">
        <v>2861.04</v>
      </c>
      <c r="E64" s="158">
        <f t="shared" si="23"/>
        <v>315655.67999999999</v>
      </c>
    </row>
    <row r="65" spans="1:5">
      <c r="A65" s="166">
        <f t="shared" si="22"/>
        <v>2042</v>
      </c>
      <c r="B65" s="158">
        <v>143878.56</v>
      </c>
      <c r="C65" s="158">
        <v>168916.08000000002</v>
      </c>
      <c r="D65" s="158">
        <v>2861.04</v>
      </c>
      <c r="E65" s="158">
        <f t="shared" si="23"/>
        <v>315655.67999999999</v>
      </c>
    </row>
    <row r="66" spans="1:5">
      <c r="A66" s="166">
        <f t="shared" si="22"/>
        <v>2043</v>
      </c>
      <c r="B66" s="158">
        <v>143878.56</v>
      </c>
      <c r="C66" s="158">
        <v>168916.08000000002</v>
      </c>
      <c r="D66" s="158">
        <v>2861.04</v>
      </c>
      <c r="E66" s="158">
        <f t="shared" si="23"/>
        <v>315655.67999999999</v>
      </c>
    </row>
    <row r="67" spans="1:5">
      <c r="A67" s="166">
        <f t="shared" si="22"/>
        <v>2044</v>
      </c>
      <c r="B67" s="158">
        <v>143878.56</v>
      </c>
      <c r="C67" s="158">
        <v>168916.08000000002</v>
      </c>
      <c r="D67" s="158">
        <v>2861.04</v>
      </c>
      <c r="E67" s="158">
        <f t="shared" si="23"/>
        <v>315655.67999999999</v>
      </c>
    </row>
    <row r="68" spans="1:5">
      <c r="A68" s="166">
        <f t="shared" si="22"/>
        <v>2045</v>
      </c>
      <c r="B68" s="158">
        <v>143878.56</v>
      </c>
      <c r="C68" s="158">
        <v>168916.08000000002</v>
      </c>
      <c r="D68" s="158">
        <v>2861.04</v>
      </c>
      <c r="E68" s="158">
        <f t="shared" si="23"/>
        <v>315655.67999999999</v>
      </c>
    </row>
    <row r="69" spans="1:5">
      <c r="A69" s="166">
        <f t="shared" si="22"/>
        <v>2046</v>
      </c>
      <c r="B69" s="158">
        <v>143878.56</v>
      </c>
      <c r="C69" s="158">
        <v>168916.08000000002</v>
      </c>
      <c r="D69" s="158">
        <v>2861.04</v>
      </c>
      <c r="E69" s="158">
        <f t="shared" si="23"/>
        <v>315655.67999999999</v>
      </c>
    </row>
    <row r="70" spans="1:5">
      <c r="A70" s="166">
        <f t="shared" si="22"/>
        <v>2047</v>
      </c>
      <c r="B70" s="158">
        <v>143878.56</v>
      </c>
      <c r="C70" s="158">
        <v>168916.08000000002</v>
      </c>
      <c r="D70" s="158">
        <v>2861.04</v>
      </c>
      <c r="E70" s="158">
        <f t="shared" si="23"/>
        <v>315655.67999999999</v>
      </c>
    </row>
    <row r="71" spans="1:5">
      <c r="A71" s="166">
        <f t="shared" si="22"/>
        <v>2048</v>
      </c>
      <c r="B71" s="158">
        <v>83929.16</v>
      </c>
      <c r="C71" s="158">
        <v>98534.38</v>
      </c>
      <c r="D71" s="158">
        <v>1668.94</v>
      </c>
      <c r="E71" s="158">
        <f t="shared" si="23"/>
        <v>184132.48000000001</v>
      </c>
    </row>
    <row r="72" spans="1:5">
      <c r="A72" s="166">
        <f t="shared" si="22"/>
        <v>2049</v>
      </c>
      <c r="B72" s="158">
        <v>11989.880000000001</v>
      </c>
      <c r="C72" s="158">
        <v>14076.34</v>
      </c>
      <c r="D72" s="158">
        <v>238.42</v>
      </c>
      <c r="E72" s="158">
        <f t="shared" si="23"/>
        <v>26304.639999999999</v>
      </c>
    </row>
    <row r="73" spans="1:5">
      <c r="A73" s="166">
        <f t="shared" si="22"/>
        <v>2050</v>
      </c>
      <c r="B73" s="158">
        <v>0</v>
      </c>
      <c r="C73" s="158">
        <v>0</v>
      </c>
      <c r="D73" s="158">
        <v>0</v>
      </c>
      <c r="E73" s="158">
        <f t="shared" si="23"/>
        <v>0</v>
      </c>
    </row>
  </sheetData>
  <autoFilter ref="A19:EG39" xr:uid="{99DEB7FC-CCF8-4005-9AB8-FD9B15563744}">
    <sortState xmlns:xlrd2="http://schemas.microsoft.com/office/spreadsheetml/2017/richdata2" ref="A20:EG39">
      <sortCondition ref="E19"/>
    </sortState>
  </autoFilter>
  <mergeCells count="8">
    <mergeCell ref="M6:Q6"/>
    <mergeCell ref="A41:E41"/>
    <mergeCell ref="B1:C1"/>
    <mergeCell ref="D1:E1"/>
    <mergeCell ref="F1:G1"/>
    <mergeCell ref="F13:G13"/>
    <mergeCell ref="D13:E13"/>
    <mergeCell ref="B13:C13"/>
  </mergeCells>
  <dataValidations count="1">
    <dataValidation type="list" allowBlank="1" showInputMessage="1" showErrorMessage="1" sqref="M2" xr:uid="{DE825BC1-18D9-4748-9FEB-13554C27CD9F}">
      <formula1>$M$8:$M$10</formula1>
    </dataValidation>
  </dataValidations>
  <pageMargins left="0.7" right="0.7" top="0.75" bottom="0.75" header="0.3" footer="0.3"/>
  <headerFooter>
    <oddFooter>&amp;C_x000D_&amp;1#&amp;"Calibri"&amp;10&amp;K000000 Level 3 - Restricted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19B0-D2A7-4EBF-A4F8-C993EF330784}">
  <sheetPr codeName="Sheet33">
    <tabColor theme="4" tint="0.39997558519241921"/>
  </sheetPr>
  <dimension ref="A1:BU82"/>
  <sheetViews>
    <sheetView workbookViewId="0">
      <selection activeCell="D50" sqref="D50"/>
    </sheetView>
  </sheetViews>
  <sheetFormatPr defaultRowHeight="15"/>
  <cols>
    <col min="1" max="1" width="21.140625" bestFit="1" customWidth="1"/>
    <col min="2" max="2" width="21.140625" hidden="1" customWidth="1"/>
    <col min="3" max="3" width="16.28515625" customWidth="1"/>
    <col min="4" max="4" width="28.85546875" bestFit="1" customWidth="1"/>
    <col min="5" max="5" width="15.140625" bestFit="1" customWidth="1"/>
    <col min="6" max="6" width="9.7109375" bestFit="1" customWidth="1"/>
    <col min="7" max="7" width="22.85546875" bestFit="1" customWidth="1"/>
    <col min="8" max="8" width="24.28515625" customWidth="1"/>
    <col min="9" max="9" width="37.7109375" bestFit="1" customWidth="1"/>
    <col min="10" max="11" width="11.28515625" bestFit="1" customWidth="1"/>
    <col min="12" max="12" width="12.85546875" bestFit="1" customWidth="1"/>
    <col min="13" max="13" width="11.28515625" bestFit="1" customWidth="1"/>
    <col min="14" max="14" width="12.85546875" bestFit="1" customWidth="1"/>
    <col min="15" max="39" width="11.28515625" bestFit="1" customWidth="1"/>
    <col min="42" max="42" width="10.7109375" bestFit="1" customWidth="1"/>
    <col min="43" max="43" width="14.85546875" customWidth="1"/>
    <col min="44" max="44" width="9.7109375" bestFit="1" customWidth="1"/>
    <col min="45" max="46" width="14.28515625" bestFit="1" customWidth="1"/>
    <col min="47" max="47" width="9.7109375" bestFit="1" customWidth="1"/>
    <col min="48" max="48" width="14.28515625" bestFit="1" customWidth="1"/>
    <col min="49" max="49" width="9.7109375" bestFit="1" customWidth="1"/>
    <col min="50" max="51" width="14.28515625" bestFit="1" customWidth="1"/>
    <col min="52" max="52" width="11.5703125" bestFit="1" customWidth="1"/>
    <col min="53" max="53" width="32.85546875" bestFit="1" customWidth="1"/>
    <col min="54" max="54" width="30" bestFit="1" customWidth="1"/>
    <col min="55" max="81" width="11.5703125" bestFit="1" customWidth="1"/>
  </cols>
  <sheetData>
    <row r="1" spans="1:73">
      <c r="C1" t="b">
        <f>COUNTA(C3:C100)=COUNTA('PA Fees by Project'!E4:E100)</f>
        <v>1</v>
      </c>
      <c r="J1" s="35"/>
      <c r="K1" s="20"/>
      <c r="L1" s="20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20"/>
      <c r="AF1" s="35"/>
      <c r="AG1" s="35"/>
      <c r="AH1" s="35"/>
      <c r="AI1" s="35"/>
      <c r="AJ1" s="35"/>
      <c r="AK1" s="35"/>
      <c r="AL1" s="35"/>
      <c r="AM1" s="35"/>
      <c r="AR1" s="5" t="s">
        <v>103</v>
      </c>
    </row>
    <row r="2" spans="1:73" ht="30">
      <c r="A2" s="173" t="s">
        <v>79</v>
      </c>
      <c r="B2" s="173" t="s">
        <v>104</v>
      </c>
      <c r="C2" s="173" t="s">
        <v>105</v>
      </c>
      <c r="D2" s="173" t="s">
        <v>93</v>
      </c>
      <c r="E2" s="173" t="s">
        <v>106</v>
      </c>
      <c r="F2" s="173" t="s">
        <v>33</v>
      </c>
      <c r="G2" s="173" t="s">
        <v>107</v>
      </c>
      <c r="H2" s="191" t="s">
        <v>108</v>
      </c>
      <c r="I2" s="173" t="s">
        <v>96</v>
      </c>
      <c r="J2" s="313">
        <v>44561</v>
      </c>
      <c r="K2" s="313">
        <v>44926</v>
      </c>
      <c r="L2" s="313">
        <v>45291</v>
      </c>
      <c r="M2" s="313">
        <v>45657</v>
      </c>
      <c r="N2" s="313">
        <v>46022</v>
      </c>
      <c r="O2" s="313">
        <v>46387</v>
      </c>
      <c r="P2" s="313">
        <v>46752</v>
      </c>
      <c r="Q2" s="313">
        <v>47118</v>
      </c>
      <c r="R2" s="313">
        <v>47483</v>
      </c>
      <c r="S2" s="313">
        <v>47848</v>
      </c>
      <c r="T2" s="313">
        <v>48213</v>
      </c>
      <c r="U2" s="313">
        <v>48579</v>
      </c>
      <c r="V2" s="313">
        <v>48944</v>
      </c>
      <c r="W2" s="313">
        <v>49309</v>
      </c>
      <c r="X2" s="313">
        <v>49674</v>
      </c>
      <c r="Y2" s="313">
        <v>50040</v>
      </c>
      <c r="Z2" s="313">
        <v>50405</v>
      </c>
      <c r="AA2" s="313">
        <v>50770</v>
      </c>
      <c r="AB2" s="313">
        <v>51135</v>
      </c>
      <c r="AC2" s="313">
        <v>51501</v>
      </c>
      <c r="AD2" s="313">
        <v>51866</v>
      </c>
      <c r="AE2" s="313">
        <v>52231</v>
      </c>
      <c r="AF2" s="313">
        <v>52596</v>
      </c>
      <c r="AG2" s="313">
        <v>52962</v>
      </c>
      <c r="AH2" s="313">
        <v>53327</v>
      </c>
      <c r="AI2" s="313">
        <v>53692</v>
      </c>
      <c r="AJ2" s="313">
        <v>54057</v>
      </c>
      <c r="AK2" s="313">
        <v>54423</v>
      </c>
      <c r="AL2" s="313">
        <v>54788</v>
      </c>
      <c r="AM2" s="313">
        <v>55153</v>
      </c>
      <c r="AR2" s="312">
        <v>44561</v>
      </c>
      <c r="AS2" s="312">
        <v>44926</v>
      </c>
      <c r="AT2" s="312">
        <v>45291</v>
      </c>
      <c r="AU2" s="312">
        <v>45657</v>
      </c>
      <c r="AV2" s="312">
        <v>46022</v>
      </c>
      <c r="AW2" s="312">
        <v>46387</v>
      </c>
      <c r="AX2" s="312">
        <v>46752</v>
      </c>
      <c r="AY2" s="312">
        <v>47118</v>
      </c>
      <c r="AZ2" s="312">
        <v>47483</v>
      </c>
      <c r="BA2" s="312">
        <v>47848</v>
      </c>
      <c r="BB2" s="312">
        <v>48213</v>
      </c>
      <c r="BC2" s="312">
        <v>48579</v>
      </c>
      <c r="BD2" s="312">
        <v>48944</v>
      </c>
      <c r="BE2" s="312">
        <v>49309</v>
      </c>
      <c r="BF2" s="312">
        <v>49674</v>
      </c>
      <c r="BG2" s="312">
        <v>50040</v>
      </c>
      <c r="BH2" s="312">
        <v>50405</v>
      </c>
      <c r="BI2" s="312">
        <v>50770</v>
      </c>
      <c r="BJ2" s="312">
        <v>51135</v>
      </c>
      <c r="BK2" s="312">
        <v>51501</v>
      </c>
      <c r="BL2" s="312">
        <v>51866</v>
      </c>
      <c r="BM2" s="312">
        <v>52231</v>
      </c>
      <c r="BN2" s="312">
        <v>52596</v>
      </c>
      <c r="BO2" s="312">
        <v>52962</v>
      </c>
      <c r="BP2" s="312">
        <v>53327</v>
      </c>
      <c r="BQ2" s="312">
        <v>53692</v>
      </c>
      <c r="BR2" s="312">
        <v>54057</v>
      </c>
      <c r="BS2" s="312">
        <v>54423</v>
      </c>
      <c r="BT2" s="312">
        <v>54788</v>
      </c>
      <c r="BU2" s="312">
        <v>55153</v>
      </c>
    </row>
    <row r="3" spans="1:73">
      <c r="A3" s="155" t="str" cm="1">
        <f t="array" ref="A3">_xlfn.IFS(LEFT(C3,3)="PGE","PGE",LEFT(C3,2)="PP","PAC",TRUE,"IP")</f>
        <v>PGE</v>
      </c>
      <c r="B3" s="155" t="str">
        <f>IF(ISNA(MATCH(C3,'Monthly Report July 2025'!E:E,0)),"Missing","Present")</f>
        <v>Present</v>
      </c>
      <c r="C3" s="155" t="s">
        <v>109</v>
      </c>
      <c r="D3" s="176" cm="1">
        <f t="array" ref="D3">INDEX('Monthly Report July 2025'!L:L,MATCH(C3,'Monthly Report July 2025'!E:E,0),0)</f>
        <v>2500</v>
      </c>
      <c r="E3" s="176" t="str" cm="1">
        <f t="array" ref="E3">IF(INDEX('PA Fees by Project'!K:K,MATCH(C3,'PA Fees by Project'!E:E,0),0)="No","Non-Carve Out", "Carve Out")</f>
        <v>Non-Carve Out</v>
      </c>
      <c r="F3" s="176" cm="1">
        <f t="array" ref="F3">INDEX('PA Fees by Project'!J:J,MATCH(C3,'PA Fees by Project'!E:E,0),0)</f>
        <v>1</v>
      </c>
      <c r="G3" s="155" t="str" cm="1">
        <f t="array" ref="G3">INDEX('PA Fees by Project'!G:G,MATCH(C3,'PA Fees by Project'!E:E,0),0)</f>
        <v>Operational</v>
      </c>
      <c r="H3" s="175" cm="1">
        <f t="array" ref="H3">INDEX('PA Fees by Project'!Q:Q,MATCH(C3,'PA Fees by Project'!E:E,0),0)</f>
        <v>44910</v>
      </c>
      <c r="I3" s="156" cm="1">
        <f t="array" ref="I3">_xlfn.IFS(G3="Operational",H3,G3="Certified",EDATE(INDEX('PA Fees by Project'!R:R,MATCH(C3,'PA Fees by Project'!E:E,0),0),6),TRUE,EDATE(INDEX('PA Fees by Project'!O:O,MATCH(C3,'PA Fees by Project'!E:E,0),0),6))</f>
        <v>44910</v>
      </c>
      <c r="J3" s="48" cm="1">
        <f t="array" ref="J3">_xlfn.IFS(YEAR(J$2)&lt;YEAR($I3),0,YEAR(J$2)=YEAR($I3),ROUND(((J$2-$I3+1)/365)*$D3,2),AND(YEAR(J$2)&gt;YEAR($I3),YEAR(J$2)-YEAR($I3)&lt;20),$D3,YEAR(J$2)-YEAR($I3)=20,ROUND((DATE(YEAR($I3),12,31)-$I3+1)/365*$D3,2),YEAR(J$2)-YEAR($I3)&gt;20,0)</f>
        <v>0</v>
      </c>
      <c r="K3" s="48" cm="1">
        <f t="array" ref="K3">_xlfn.IFS(YEAR(K$2)&lt;YEAR($I3),0,YEAR(K$2)=YEAR($I3),ROUND(((K$2-$I3+1)/365)*$D3,2),AND(YEAR(K$2)&gt;YEAR($I3),YEAR(K$2)-YEAR($I3)&lt;20),$D3,YEAR(K$2)-YEAR($I3)=20,ROUND((DATE(YEAR($I3),12,31)-$I3+1)/365*$D3,2),YEAR(K$2)-YEAR($I3)&gt;20,0)</f>
        <v>116.44</v>
      </c>
      <c r="L3" s="48" cm="1">
        <f t="array" ref="L3">_xlfn.IFS(YEAR(L$2)&lt;YEAR($I3),0,YEAR(L$2)=YEAR($I3),ROUND(((L$2-$I3+1)/365)*$D3,2),AND(YEAR(L$2)&gt;YEAR($I3),YEAR(L$2)-YEAR($I3)&lt;20),$D3,YEAR(L$2)-YEAR($I3)=20,ROUND((DATE(YEAR($I3),12,31)-$I3+1)/365*$D3,2),YEAR(L$2)-YEAR($I3)&gt;20,0)</f>
        <v>2500</v>
      </c>
      <c r="M3" s="48" cm="1">
        <f t="array" ref="M3">_xlfn.IFS(YEAR(M$2)&lt;YEAR($I3),0,YEAR(M$2)=YEAR($I3),ROUND(((M$2-$I3+1)/365)*$D3,2),AND(YEAR(M$2)&gt;YEAR($I3),YEAR(M$2)-YEAR($I3)&lt;20),$D3,YEAR(M$2)-YEAR($I3)=20,ROUND((DATE(YEAR($I3),12,31)-$I3+1)/365*$D3,2),YEAR(M$2)-YEAR($I3)&gt;20,0)</f>
        <v>2500</v>
      </c>
      <c r="N3" s="48" cm="1">
        <f t="array" ref="N3">_xlfn.IFS(YEAR(N$2)&lt;YEAR($I3),0,YEAR(N$2)=YEAR($I3),ROUND(((N$2-$I3+1)/365)*$D3,2),AND(YEAR(N$2)&gt;YEAR($I3),YEAR(N$2)-YEAR($I3)&lt;20),$D3,YEAR(N$2)-YEAR($I3)=20,ROUND((DATE(YEAR($I3),12,31)-$I3+1)/365*$D3,2),YEAR(N$2)-YEAR($I3)&gt;20,0)</f>
        <v>2500</v>
      </c>
      <c r="O3" s="48" cm="1">
        <f t="array" ref="O3">_xlfn.IFS(YEAR(O$2)&lt;YEAR($I3),0,YEAR(O$2)=YEAR($I3),ROUND(((O$2-$I3+1)/365)*$D3,2),AND(YEAR(O$2)&gt;YEAR($I3),YEAR(O$2)-YEAR($I3)&lt;20),$D3,YEAR(O$2)-YEAR($I3)=20,ROUND((DATE(YEAR($I3),12,31)-$I3+1)/365*$D3,2),YEAR(O$2)-YEAR($I3)&gt;20,0)</f>
        <v>2500</v>
      </c>
      <c r="P3" s="48" cm="1">
        <f t="array" ref="P3">_xlfn.IFS(YEAR(P$2)&lt;YEAR($I3),0,YEAR(P$2)=YEAR($I3),ROUND(((P$2-$I3+1)/365)*$D3,2),AND(YEAR(P$2)&gt;YEAR($I3),YEAR(P$2)-YEAR($I3)&lt;20),$D3,YEAR(P$2)-YEAR($I3)=20,ROUND((DATE(YEAR($I3),12,31)-$I3+1)/365*$D3,2),YEAR(P$2)-YEAR($I3)&gt;20,0)</f>
        <v>2500</v>
      </c>
      <c r="Q3" s="48" cm="1">
        <f t="array" ref="Q3">_xlfn.IFS(YEAR(Q$2)&lt;YEAR($I3),0,YEAR(Q$2)=YEAR($I3),ROUND(((Q$2-$I3+1)/365)*$D3,2),AND(YEAR(Q$2)&gt;YEAR($I3),YEAR(Q$2)-YEAR($I3)&lt;20),$D3,YEAR(Q$2)-YEAR($I3)=20,ROUND((DATE(YEAR($I3),12,31)-$I3+1)/365*$D3,2),YEAR(Q$2)-YEAR($I3)&gt;20,0)</f>
        <v>2500</v>
      </c>
      <c r="R3" s="48" cm="1">
        <f t="array" ref="R3">_xlfn.IFS(YEAR(R$2)&lt;YEAR($I3),0,YEAR(R$2)=YEAR($I3),ROUND(((R$2-$I3+1)/365)*$D3,2),AND(YEAR(R$2)&gt;YEAR($I3),YEAR(R$2)-YEAR($I3)&lt;20),$D3,YEAR(R$2)-YEAR($I3)=20,ROUND((DATE(YEAR($I3),12,31)-$I3+1)/365*$D3,2),YEAR(R$2)-YEAR($I3)&gt;20,0)</f>
        <v>2500</v>
      </c>
      <c r="S3" s="48" cm="1">
        <f t="array" ref="S3">_xlfn.IFS(YEAR(S$2)&lt;YEAR($I3),0,YEAR(S$2)=YEAR($I3),ROUND(((S$2-$I3+1)/365)*$D3,2),AND(YEAR(S$2)&gt;YEAR($I3),YEAR(S$2)-YEAR($I3)&lt;20),$D3,YEAR(S$2)-YEAR($I3)=20,ROUND((DATE(YEAR($I3),12,31)-$I3+1)/365*$D3,2),YEAR(S$2)-YEAR($I3)&gt;20,0)</f>
        <v>2500</v>
      </c>
      <c r="T3" s="48" cm="1">
        <f t="array" ref="T3">_xlfn.IFS(YEAR(T$2)&lt;YEAR($I3),0,YEAR(T$2)=YEAR($I3),ROUND(((T$2-$I3+1)/365)*$D3,2),AND(YEAR(T$2)&gt;YEAR($I3),YEAR(T$2)-YEAR($I3)&lt;20),$D3,YEAR(T$2)-YEAR($I3)=20,ROUND((DATE(YEAR($I3),12,31)-$I3+1)/365*$D3,2),YEAR(T$2)-YEAR($I3)&gt;20,0)</f>
        <v>2500</v>
      </c>
      <c r="U3" s="48" cm="1">
        <f t="array" ref="U3">_xlfn.IFS(YEAR(U$2)&lt;YEAR($I3),0,YEAR(U$2)=YEAR($I3),ROUND(((U$2-$I3+1)/365)*$D3,2),AND(YEAR(U$2)&gt;YEAR($I3),YEAR(U$2)-YEAR($I3)&lt;20),$D3,YEAR(U$2)-YEAR($I3)=20,ROUND((DATE(YEAR($I3),12,31)-$I3+1)/365*$D3,2),YEAR(U$2)-YEAR($I3)&gt;20,0)</f>
        <v>2500</v>
      </c>
      <c r="V3" s="48" cm="1">
        <f t="array" ref="V3">_xlfn.IFS(YEAR(V$2)&lt;YEAR($I3),0,YEAR(V$2)=YEAR($I3),ROUND(((V$2-$I3+1)/365)*$D3,2),AND(YEAR(V$2)&gt;YEAR($I3),YEAR(V$2)-YEAR($I3)&lt;20),$D3,YEAR(V$2)-YEAR($I3)=20,ROUND((DATE(YEAR($I3),12,31)-$I3+1)/365*$D3,2),YEAR(V$2)-YEAR($I3)&gt;20,0)</f>
        <v>2500</v>
      </c>
      <c r="W3" s="48" cm="1">
        <f t="array" ref="W3">_xlfn.IFS(YEAR(W$2)&lt;YEAR($I3),0,YEAR(W$2)=YEAR($I3),ROUND(((W$2-$I3+1)/365)*$D3,2),AND(YEAR(W$2)&gt;YEAR($I3),YEAR(W$2)-YEAR($I3)&lt;20),$D3,YEAR(W$2)-YEAR($I3)=20,ROUND((DATE(YEAR($I3),12,31)-$I3+1)/365*$D3,2),YEAR(W$2)-YEAR($I3)&gt;20,0)</f>
        <v>2500</v>
      </c>
      <c r="X3" s="48" cm="1">
        <f t="array" ref="X3">_xlfn.IFS(YEAR(X$2)&lt;YEAR($I3),0,YEAR(X$2)=YEAR($I3),ROUND(((X$2-$I3+1)/365)*$D3,2),AND(YEAR(X$2)&gt;YEAR($I3),YEAR(X$2)-YEAR($I3)&lt;20),$D3,YEAR(X$2)-YEAR($I3)=20,ROUND((DATE(YEAR($I3),12,31)-$I3+1)/365*$D3,2),YEAR(X$2)-YEAR($I3)&gt;20,0)</f>
        <v>2500</v>
      </c>
      <c r="Y3" s="48" cm="1">
        <f t="array" ref="Y3">_xlfn.IFS(YEAR(Y$2)&lt;YEAR($I3),0,YEAR(Y$2)=YEAR($I3),ROUND(((Y$2-$I3+1)/365)*$D3,2),AND(YEAR(Y$2)&gt;YEAR($I3),YEAR(Y$2)-YEAR($I3)&lt;20),$D3,YEAR(Y$2)-YEAR($I3)=20,ROUND((DATE(YEAR($I3),12,31)-$I3+1)/365*$D3,2),YEAR(Y$2)-YEAR($I3)&gt;20,0)</f>
        <v>2500</v>
      </c>
      <c r="Z3" s="48" cm="1">
        <f t="array" ref="Z3">_xlfn.IFS(YEAR(Z$2)&lt;YEAR($I3),0,YEAR(Z$2)=YEAR($I3),ROUND(((Z$2-$I3+1)/365)*$D3,2),AND(YEAR(Z$2)&gt;YEAR($I3),YEAR(Z$2)-YEAR($I3)&lt;20),$D3,YEAR(Z$2)-YEAR($I3)=20,ROUND((DATE(YEAR($I3),12,31)-$I3+1)/365*$D3,2),YEAR(Z$2)-YEAR($I3)&gt;20,0)</f>
        <v>2500</v>
      </c>
      <c r="AA3" s="48" cm="1">
        <f t="array" ref="AA3">_xlfn.IFS(YEAR(AA$2)&lt;YEAR($I3),0,YEAR(AA$2)=YEAR($I3),ROUND(((AA$2-$I3+1)/365)*$D3,2),AND(YEAR(AA$2)&gt;YEAR($I3),YEAR(AA$2)-YEAR($I3)&lt;20),$D3,YEAR(AA$2)-YEAR($I3)=20,ROUND((DATE(YEAR($I3),12,31)-$I3+1)/365*$D3,2),YEAR(AA$2)-YEAR($I3)&gt;20,0)</f>
        <v>2500</v>
      </c>
      <c r="AB3" s="48" cm="1">
        <f t="array" ref="AB3">_xlfn.IFS(YEAR(AB$2)&lt;YEAR($I3),0,YEAR(AB$2)=YEAR($I3),ROUND(((AB$2-$I3+1)/365)*$D3,2),AND(YEAR(AB$2)&gt;YEAR($I3),YEAR(AB$2)-YEAR($I3)&lt;20),$D3,YEAR(AB$2)-YEAR($I3)=20,ROUND((DATE(YEAR($I3),12,31)-$I3+1)/365*$D3,2),YEAR(AB$2)-YEAR($I3)&gt;20,0)</f>
        <v>2500</v>
      </c>
      <c r="AC3" s="48" cm="1">
        <f t="array" ref="AC3">_xlfn.IFS(YEAR(AC$2)&lt;YEAR($I3),0,YEAR(AC$2)=YEAR($I3),ROUND(((AC$2-$I3+1)/365)*$D3,2),AND(YEAR(AC$2)&gt;YEAR($I3),YEAR(AC$2)-YEAR($I3)&lt;20),$D3,YEAR(AC$2)-YEAR($I3)=20,ROUND((DATE(YEAR($I3),12,31)-$I3+1)/365*$D3,2),YEAR(AC$2)-YEAR($I3)&gt;20,0)</f>
        <v>2500</v>
      </c>
      <c r="AD3" s="48" cm="1">
        <f t="array" ref="AD3">_xlfn.IFS(YEAR(AD$2)&lt;YEAR($I3),0,YEAR(AD$2)=YEAR($I3),ROUND(((AD$2-$I3+1)/365)*$D3,2),AND(YEAR(AD$2)&gt;YEAR($I3),YEAR(AD$2)-YEAR($I3)&lt;20),$D3,YEAR(AD$2)-YEAR($I3)=20,ROUND((DATE(YEAR($I3),12,31)-$I3+1)/365*$D3,2),YEAR(AD$2)-YEAR($I3)&gt;20,0)</f>
        <v>2500</v>
      </c>
      <c r="AE3" s="48" cm="1">
        <f t="array" ref="AE3">_xlfn.IFS(YEAR(AE$2)&lt;YEAR($I3),0,YEAR(AE$2)=YEAR($I3),ROUND(((AE$2-$I3+1)/365)*$D3,2),AND(YEAR(AE$2)&gt;YEAR($I3),YEAR(AE$2)-YEAR($I3)&lt;20),$D3,YEAR(AE$2)-YEAR($I3)=20,ROUND((DATE(YEAR($I3),12,31)-$I3+1)/365*$D3,2),YEAR(AE$2)-YEAR($I3)&gt;20,0)</f>
        <v>116.44</v>
      </c>
      <c r="AF3" s="48" cm="1">
        <f t="array" ref="AF3">_xlfn.IFS(YEAR(AF$2)&lt;YEAR($I3),0,YEAR(AF$2)=YEAR($I3),ROUND(((AF$2-$I3+1)/365)*$D3,2),AND(YEAR(AF$2)&gt;YEAR($I3),YEAR(AF$2)-YEAR($I3)&lt;20),$D3,YEAR(AF$2)-YEAR($I3)=20,ROUND((DATE(YEAR($I3),12,31)-$I3+1)/365*$D3,2),YEAR(AF$2)-YEAR($I3)&gt;20,0)</f>
        <v>0</v>
      </c>
      <c r="AG3" s="48" cm="1">
        <f t="array" ref="AG3">_xlfn.IFS(YEAR(AG$2)&lt;YEAR($I3),0,YEAR(AG$2)=YEAR($I3),ROUND(((AG$2-$I3+1)/365)*$D3,2),AND(YEAR(AG$2)&gt;YEAR($I3),YEAR(AG$2)-YEAR($I3)&lt;20),$D3,YEAR(AG$2)-YEAR($I3)=20,ROUND((DATE(YEAR($I3),12,31)-$I3+1)/365*$D3,2),YEAR(AG$2)-YEAR($I3)&gt;20,0)</f>
        <v>0</v>
      </c>
      <c r="AH3" s="48" cm="1">
        <f t="array" ref="AH3">_xlfn.IFS(YEAR(AH$2)&lt;YEAR($I3),0,YEAR(AH$2)=YEAR($I3),ROUND(((AH$2-$I3+1)/365)*$D3,2),AND(YEAR(AH$2)&gt;YEAR($I3),YEAR(AH$2)-YEAR($I3)&lt;20),$D3,YEAR(AH$2)-YEAR($I3)=20,ROUND((DATE(YEAR($I3),12,31)-$I3+1)/365*$D3,2),YEAR(AH$2)-YEAR($I3)&gt;20,0)</f>
        <v>0</v>
      </c>
      <c r="AI3" s="48" cm="1">
        <f t="array" ref="AI3">_xlfn.IFS(YEAR(AI$2)&lt;YEAR($I3),0,YEAR(AI$2)=YEAR($I3),ROUND(((AI$2-$I3+1)/365)*$D3,2),AND(YEAR(AI$2)&gt;YEAR($I3),YEAR(AI$2)-YEAR($I3)&lt;20),$D3,YEAR(AI$2)-YEAR($I3)=20,ROUND((DATE(YEAR($I3),12,31)-$I3+1)/365*$D3,2),YEAR(AI$2)-YEAR($I3)&gt;20,0)</f>
        <v>0</v>
      </c>
      <c r="AJ3" s="48" cm="1">
        <f t="array" ref="AJ3">_xlfn.IFS(YEAR(AJ$2)&lt;YEAR($I3),0,YEAR(AJ$2)=YEAR($I3),ROUND(((AJ$2-$I3+1)/365)*$D3,2),AND(YEAR(AJ$2)&gt;YEAR($I3),YEAR(AJ$2)-YEAR($I3)&lt;20),$D3,YEAR(AJ$2)-YEAR($I3)=20,ROUND((DATE(YEAR($I3),12,31)-$I3+1)/365*$D3,2),YEAR(AJ$2)-YEAR($I3)&gt;20,0)</f>
        <v>0</v>
      </c>
      <c r="AK3" s="48" cm="1">
        <f t="array" ref="AK3">_xlfn.IFS(YEAR(AK$2)&lt;YEAR($I3),0,YEAR(AK$2)=YEAR($I3),ROUND(((AK$2-$I3+1)/365)*$D3,2),AND(YEAR(AK$2)&gt;YEAR($I3),YEAR(AK$2)-YEAR($I3)&lt;20),$D3,YEAR(AK$2)-YEAR($I3)=20,ROUND((DATE(YEAR($I3),12,31)-$I3+1)/365*$D3,2),YEAR(AK$2)-YEAR($I3)&gt;20,0)</f>
        <v>0</v>
      </c>
      <c r="AL3" s="48" cm="1">
        <f t="array" ref="AL3">_xlfn.IFS(YEAR(AL$2)&lt;YEAR($I3),0,YEAR(AL$2)=YEAR($I3),ROUND(((AL$2-$I3+1)/365)*$D3,2),AND(YEAR(AL$2)&gt;YEAR($I3),YEAR(AL$2)-YEAR($I3)&lt;20),$D3,YEAR(AL$2)-YEAR($I3)=20,ROUND((DATE(YEAR($I3),12,31)-$I3+1)/365*$D3,2),YEAR(AL$2)-YEAR($I3)&gt;20,0)</f>
        <v>0</v>
      </c>
      <c r="AM3" s="48" cm="1">
        <f t="array" ref="AM3">_xlfn.IFS(YEAR(AM$2)&lt;YEAR($I3),0,YEAR(AM$2)=YEAR($I3),ROUND(((AM$2-$I3+1)/365)*$D3,2),AND(YEAR(AM$2)&gt;YEAR($I3),YEAR(AM$2)-YEAR($I3)&lt;20),$D3,YEAR(AM$2)-YEAR($I3)=20,ROUND((DATE(YEAR($I3),12,31)-$I3+1)/365*$D3,2),YEAR(AM$2)-YEAR($I3)&gt;20,0)</f>
        <v>0</v>
      </c>
      <c r="AO3" s="48">
        <v>1</v>
      </c>
      <c r="AP3" s="4" t="s">
        <v>11</v>
      </c>
      <c r="AQ3" s="48" t="s">
        <v>75</v>
      </c>
      <c r="AR3" s="48" cm="1">
        <f t="array" ref="AR3">ROUND(SUMIFS(J$3:J$100,$E$3:$E$100,$AQ3,$F$3:$F$100,$AO3,$A$3:$A$100,$AP3)/1000,2) + ROUND(SUMPRODUCT(('Unallocated Scenarios'!$A$20:$A$39=$AP3)*(AR$2&gt;'Unallocated Scenarios'!$G$20:$G$39)*('Unallocated Scenarios'!$B$20:$B$39=$AO3)*('Unallocated Scenarios'!$C$20:$C$39=$AQ3)*'Unallocated Scenarios'!$D$20:$D$39)/1000,2)</f>
        <v>0</v>
      </c>
      <c r="AS3" s="48" cm="1">
        <f t="array" ref="AS3">ROUND(SUMIFS(K$3:K$100,$E$3:$E$100,$AQ3,$F$3:$F$100,$AO3,$A$3:$A$100,$AP3)/1000,2) + ROUND(SUMPRODUCT(('Unallocated Scenarios'!$A$20:$A$39=$AP3)*(AS$2&gt;'Unallocated Scenarios'!$G$20:$G$39)*('Unallocated Scenarios'!$B$20:$B$39=$AO3)*('Unallocated Scenarios'!$C$20:$C$39=$AQ3)*'Unallocated Scenarios'!$D$20:$D$39)/1000,2)</f>
        <v>0.02</v>
      </c>
      <c r="AT3" s="48" cm="1">
        <f t="array" ref="AT3">ROUND(SUMIFS(L$3:L$100,$E$3:$E$100,$AQ3,$F$3:$F$100,$AO3,$A$3:$A$100,$AP3)/1000,2) + ROUND(SUMPRODUCT(('Unallocated Scenarios'!$A$20:$A$39=$AP3)*(AT$2&gt;'Unallocated Scenarios'!$G$20:$G$39)*('Unallocated Scenarios'!$B$20:$B$39=$AO3)*('Unallocated Scenarios'!$C$20:$C$39=$AQ3)*'Unallocated Scenarios'!$D$20:$D$39)/1000,2)</f>
        <v>0.04</v>
      </c>
      <c r="AU3" s="48" cm="1">
        <f t="array" ref="AU3">ROUND(SUMIFS(M$3:M$100,$E$3:$E$100,$AQ3,$F$3:$F$100,$AO3,$A$3:$A$100,$AP3)/1000,2) + ROUND(SUMPRODUCT(('Unallocated Scenarios'!$A$20:$A$39=$AP3)*(AU$2&gt;'Unallocated Scenarios'!$G$20:$G$39)*('Unallocated Scenarios'!$B$20:$B$39=$AO3)*('Unallocated Scenarios'!$C$20:$C$39=$AQ3)*'Unallocated Scenarios'!$D$20:$D$39)/1000,2)</f>
        <v>0.04</v>
      </c>
      <c r="AV3" s="48" cm="1">
        <f t="array" ref="AV3">ROUND(SUMIFS(N$3:N$100,$E$3:$E$100,$AQ3,$F$3:$F$100,$AO3,$A$3:$A$100,$AP3)/1000,2) + ROUND(SUMPRODUCT(('Unallocated Scenarios'!$A$20:$A$39=$AP3)*(AV$2&gt;'Unallocated Scenarios'!$G$20:$G$39)*('Unallocated Scenarios'!$B$20:$B$39=$AO3)*('Unallocated Scenarios'!$C$20:$C$39=$AQ3)*'Unallocated Scenarios'!$D$20:$D$39)/1000,2)</f>
        <v>0.04</v>
      </c>
      <c r="AW3" s="48" cm="1">
        <f t="array" ref="AW3">ROUND(SUMIFS(O$3:O$100,$E$3:$E$100,$AQ3,$F$3:$F$100,$AO3,$A$3:$A$100,$AP3)/1000,2) + ROUND(SUMPRODUCT(('Unallocated Scenarios'!$A$20:$A$39=$AP3)*(AW$2&gt;'Unallocated Scenarios'!$G$20:$G$39)*('Unallocated Scenarios'!$B$20:$B$39=$AO3)*('Unallocated Scenarios'!$C$20:$C$39=$AQ3)*'Unallocated Scenarios'!$D$20:$D$39)/1000,2)</f>
        <v>0.04</v>
      </c>
      <c r="AX3" s="48" cm="1">
        <f t="array" ref="AX3">ROUND(SUMIFS(P$3:P$100,$E$3:$E$100,$AQ3,$F$3:$F$100,$AO3,$A$3:$A$100,$AP3)/1000,2) + ROUND(SUMPRODUCT(('Unallocated Scenarios'!$A$20:$A$39=$AP3)*(AX$2&gt;'Unallocated Scenarios'!$G$20:$G$39)*('Unallocated Scenarios'!$B$20:$B$39=$AO3)*('Unallocated Scenarios'!$C$20:$C$39=$AQ3)*'Unallocated Scenarios'!$D$20:$D$39)/1000,2)</f>
        <v>0.04</v>
      </c>
      <c r="AY3" s="48" cm="1">
        <f t="array" ref="AY3">ROUND(SUMIFS(Q$3:Q$100,$E$3:$E$100,$AQ3,$F$3:$F$100,$AO3,$A$3:$A$100,$AP3)/1000,2) + ROUND(SUMPRODUCT(('Unallocated Scenarios'!$A$20:$A$39=$AP3)*(AY$2&gt;'Unallocated Scenarios'!$G$20:$G$39)*('Unallocated Scenarios'!$B$20:$B$39=$AO3)*('Unallocated Scenarios'!$C$20:$C$39=$AQ3)*'Unallocated Scenarios'!$D$20:$D$39)/1000,2)</f>
        <v>0.04</v>
      </c>
      <c r="AZ3" s="48" cm="1">
        <f t="array" ref="AZ3">ROUND(SUMIFS(R$3:R$100,$E$3:$E$100,$AQ3,$F$3:$F$100,$AO3,$A$3:$A$100,$AP3)/1000,2) + ROUND(SUMPRODUCT(('Unallocated Scenarios'!$A$20:$A$39=$AP3)*(AZ$2&gt;'Unallocated Scenarios'!$G$20:$G$39)*('Unallocated Scenarios'!$B$20:$B$39=$AO3)*('Unallocated Scenarios'!$C$20:$C$39=$AQ3)*'Unallocated Scenarios'!$D$20:$D$39)/1000,2)</f>
        <v>0.04</v>
      </c>
      <c r="BA3" s="48" cm="1">
        <f t="array" ref="BA3">ROUND(SUMIFS(S$3:S$100,$E$3:$E$100,$AQ3,$F$3:$F$100,$AO3,$A$3:$A$100,$AP3)/1000,2) + ROUND(SUMPRODUCT(('Unallocated Scenarios'!$A$20:$A$39=$AP3)*(BA$2&gt;'Unallocated Scenarios'!$G$20:$G$39)*('Unallocated Scenarios'!$B$20:$B$39=$AO3)*('Unallocated Scenarios'!$C$20:$C$39=$AQ3)*'Unallocated Scenarios'!$D$20:$D$39)/1000,2)</f>
        <v>0.04</v>
      </c>
      <c r="BB3" s="48" cm="1">
        <f t="array" ref="BB3">ROUND(SUMIFS(T$3:T$100,$E$3:$E$100,$AQ3,$F$3:$F$100,$AO3,$A$3:$A$100,$AP3)/1000,2) + ROUND(SUMPRODUCT(('Unallocated Scenarios'!$A$20:$A$39=$AP3)*(BB$2&gt;'Unallocated Scenarios'!$G$20:$G$39)*('Unallocated Scenarios'!$B$20:$B$39=$AO3)*('Unallocated Scenarios'!$C$20:$C$39=$AQ3)*'Unallocated Scenarios'!$D$20:$D$39)/1000,2)</f>
        <v>0.04</v>
      </c>
      <c r="BC3" s="48" cm="1">
        <f t="array" ref="BC3">ROUND(SUMIFS(U$3:U$100,$E$3:$E$100,$AQ3,$F$3:$F$100,$AO3,$A$3:$A$100,$AP3)/1000,2) + ROUND(SUMPRODUCT(('Unallocated Scenarios'!$A$20:$A$39=$AP3)*(BC$2&gt;'Unallocated Scenarios'!$G$20:$G$39)*('Unallocated Scenarios'!$B$20:$B$39=$AO3)*('Unallocated Scenarios'!$C$20:$C$39=$AQ3)*'Unallocated Scenarios'!$D$20:$D$39)/1000,2)</f>
        <v>0.04</v>
      </c>
      <c r="BD3" s="48" cm="1">
        <f t="array" ref="BD3">ROUND(SUMIFS(V$3:V$100,$E$3:$E$100,$AQ3,$F$3:$F$100,$AO3,$A$3:$A$100,$AP3)/1000,2) + ROUND(SUMPRODUCT(('Unallocated Scenarios'!$A$20:$A$39=$AP3)*(BD$2&gt;'Unallocated Scenarios'!$G$20:$G$39)*('Unallocated Scenarios'!$B$20:$B$39=$AO3)*('Unallocated Scenarios'!$C$20:$C$39=$AQ3)*'Unallocated Scenarios'!$D$20:$D$39)/1000,2)</f>
        <v>0.04</v>
      </c>
      <c r="BE3" s="48" cm="1">
        <f t="array" ref="BE3">ROUND(SUMIFS(W$3:W$100,$E$3:$E$100,$AQ3,$F$3:$F$100,$AO3,$A$3:$A$100,$AP3)/1000,2) + ROUND(SUMPRODUCT(('Unallocated Scenarios'!$A$20:$A$39=$AP3)*(BE$2&gt;'Unallocated Scenarios'!$G$20:$G$39)*('Unallocated Scenarios'!$B$20:$B$39=$AO3)*('Unallocated Scenarios'!$C$20:$C$39=$AQ3)*'Unallocated Scenarios'!$D$20:$D$39)/1000,2)</f>
        <v>0.04</v>
      </c>
      <c r="BF3" s="48" cm="1">
        <f t="array" ref="BF3">ROUND(SUMIFS(X$3:X$100,$E$3:$E$100,$AQ3,$F$3:$F$100,$AO3,$A$3:$A$100,$AP3)/1000,2) + ROUND(SUMPRODUCT(('Unallocated Scenarios'!$A$20:$A$39=$AP3)*(BF$2&gt;'Unallocated Scenarios'!$G$20:$G$39)*('Unallocated Scenarios'!$B$20:$B$39=$AO3)*('Unallocated Scenarios'!$C$20:$C$39=$AQ3)*'Unallocated Scenarios'!$D$20:$D$39)/1000,2)</f>
        <v>0.04</v>
      </c>
      <c r="BG3" s="48" cm="1">
        <f t="array" ref="BG3">ROUND(SUMIFS(Y$3:Y$100,$E$3:$E$100,$AQ3,$F$3:$F$100,$AO3,$A$3:$A$100,$AP3)/1000,2) + ROUND(SUMPRODUCT(('Unallocated Scenarios'!$A$20:$A$39=$AP3)*(BG$2&gt;'Unallocated Scenarios'!$G$20:$G$39)*('Unallocated Scenarios'!$B$20:$B$39=$AO3)*('Unallocated Scenarios'!$C$20:$C$39=$AQ3)*'Unallocated Scenarios'!$D$20:$D$39)/1000,2)</f>
        <v>0.04</v>
      </c>
      <c r="BH3" s="48" cm="1">
        <f t="array" ref="BH3">ROUND(SUMIFS(Z$3:Z$100,$E$3:$E$100,$AQ3,$F$3:$F$100,$AO3,$A$3:$A$100,$AP3)/1000,2) + ROUND(SUMPRODUCT(('Unallocated Scenarios'!$A$20:$A$39=$AP3)*(BH$2&gt;'Unallocated Scenarios'!$G$20:$G$39)*('Unallocated Scenarios'!$B$20:$B$39=$AO3)*('Unallocated Scenarios'!$C$20:$C$39=$AQ3)*'Unallocated Scenarios'!$D$20:$D$39)/1000,2)</f>
        <v>0.04</v>
      </c>
      <c r="BI3" s="48" cm="1">
        <f t="array" ref="BI3">ROUND(SUMIFS(AA$3:AA$100,$E$3:$E$100,$AQ3,$F$3:$F$100,$AO3,$A$3:$A$100,$AP3)/1000,2) + ROUND(SUMPRODUCT(('Unallocated Scenarios'!$A$20:$A$39=$AP3)*(BI$2&gt;'Unallocated Scenarios'!$G$20:$G$39)*('Unallocated Scenarios'!$B$20:$B$39=$AO3)*('Unallocated Scenarios'!$C$20:$C$39=$AQ3)*'Unallocated Scenarios'!$D$20:$D$39)/1000,2)</f>
        <v>0.04</v>
      </c>
      <c r="BJ3" s="48" cm="1">
        <f t="array" ref="BJ3">ROUND(SUMIFS(AB$3:AB$100,$E$3:$E$100,$AQ3,$F$3:$F$100,$AO3,$A$3:$A$100,$AP3)/1000,2) + ROUND(SUMPRODUCT(('Unallocated Scenarios'!$A$20:$A$39=$AP3)*(BJ$2&gt;'Unallocated Scenarios'!$G$20:$G$39)*('Unallocated Scenarios'!$B$20:$B$39=$AO3)*('Unallocated Scenarios'!$C$20:$C$39=$AQ3)*'Unallocated Scenarios'!$D$20:$D$39)/1000,2)</f>
        <v>0.04</v>
      </c>
      <c r="BK3" s="48" cm="1">
        <f t="array" ref="BK3">ROUND(SUMIFS(AC$3:AC$100,$E$3:$E$100,$AQ3,$F$3:$F$100,$AO3,$A$3:$A$100,$AP3)/1000,2) + ROUND(SUMPRODUCT(('Unallocated Scenarios'!$A$20:$A$39=$AP3)*(BK$2&gt;'Unallocated Scenarios'!$G$20:$G$39)*('Unallocated Scenarios'!$B$20:$B$39=$AO3)*('Unallocated Scenarios'!$C$20:$C$39=$AQ3)*'Unallocated Scenarios'!$D$20:$D$39)/1000,2)</f>
        <v>0.04</v>
      </c>
      <c r="BL3" s="48" cm="1">
        <f t="array" ref="BL3">ROUND(SUMIFS(AD$3:AD$100,$E$3:$E$100,$AQ3,$F$3:$F$100,$AO3,$A$3:$A$100,$AP3)/1000,2) + ROUND(SUMPRODUCT(('Unallocated Scenarios'!$A$20:$A$39=$AP3)*(BL$2&gt;'Unallocated Scenarios'!$G$20:$G$39)*('Unallocated Scenarios'!$B$20:$B$39=$AO3)*('Unallocated Scenarios'!$C$20:$C$39=$AQ3)*'Unallocated Scenarios'!$D$20:$D$39)/1000,2)</f>
        <v>0.04</v>
      </c>
      <c r="BM3" s="48" cm="1">
        <f t="array" ref="BM3">ROUND(SUMIFS(AE$3:AE$100,$E$3:$E$100,$AQ3,$F$3:$F$100,$AO3,$A$3:$A$100,$AP3)/1000,2) + ROUND(SUMPRODUCT(('Unallocated Scenarios'!$A$20:$A$39=$AP3)*(BM$2&gt;'Unallocated Scenarios'!$G$20:$G$39)*('Unallocated Scenarios'!$B$20:$B$39=$AO3)*('Unallocated Scenarios'!$C$20:$C$39=$AQ3)*'Unallocated Scenarios'!$D$20:$D$39)/1000,2)</f>
        <v>0.02</v>
      </c>
      <c r="BN3" s="48" cm="1">
        <f t="array" ref="BN3">ROUND(SUMIFS(AF$3:AF$100,$E$3:$E$100,$AQ3,$F$3:$F$100,$AO3,$A$3:$A$100,$AP3)/1000,2) + ROUND(SUMPRODUCT(('Unallocated Scenarios'!$A$20:$A$39=$AP3)*(BN$2&gt;'Unallocated Scenarios'!$G$20:$G$39)*('Unallocated Scenarios'!$B$20:$B$39=$AO3)*('Unallocated Scenarios'!$C$20:$C$39=$AQ3)*'Unallocated Scenarios'!$D$20:$D$39)/1000,2)</f>
        <v>0</v>
      </c>
      <c r="BO3" s="48" cm="1">
        <f t="array" ref="BO3">ROUND(SUMIFS(AG$3:AG$100,$E$3:$E$100,$AQ3,$F$3:$F$100,$AO3,$A$3:$A$100,$AP3)/1000,2) + ROUND(SUMPRODUCT(('Unallocated Scenarios'!$A$20:$A$39=$AP3)*(BO$2&gt;'Unallocated Scenarios'!$G$20:$G$39)*('Unallocated Scenarios'!$B$20:$B$39=$AO3)*('Unallocated Scenarios'!$C$20:$C$39=$AQ3)*'Unallocated Scenarios'!$D$20:$D$39)/1000,2)</f>
        <v>0</v>
      </c>
      <c r="BP3" s="48" cm="1">
        <f t="array" ref="BP3">ROUND(SUMIFS(AH$3:AH$100,$E$3:$E$100,$AQ3,$F$3:$F$100,$AO3,$A$3:$A$100,$AP3)/1000,2) + ROUND(SUMPRODUCT(('Unallocated Scenarios'!$A$20:$A$39=$AP3)*(BP$2&gt;'Unallocated Scenarios'!$G$20:$G$39)*('Unallocated Scenarios'!$B$20:$B$39=$AO3)*('Unallocated Scenarios'!$C$20:$C$39=$AQ3)*'Unallocated Scenarios'!$D$20:$D$39)/1000,2)</f>
        <v>0</v>
      </c>
      <c r="BQ3" s="48" cm="1">
        <f t="array" ref="BQ3">ROUND(SUMIFS(AI$3:AI$100,$E$3:$E$100,$AQ3,$F$3:$F$100,$AO3,$A$3:$A$100,$AP3)/1000,2) + ROUND(SUMPRODUCT(('Unallocated Scenarios'!$A$20:$A$39=$AP3)*(BQ$2&gt;'Unallocated Scenarios'!$G$20:$G$39)*('Unallocated Scenarios'!$B$20:$B$39=$AO3)*('Unallocated Scenarios'!$C$20:$C$39=$AQ3)*'Unallocated Scenarios'!$D$20:$D$39)/1000,2)</f>
        <v>0</v>
      </c>
      <c r="BR3" s="48" cm="1">
        <f t="array" ref="BR3">ROUND(SUMIFS(AJ$3:AJ$100,$E$3:$E$100,$AQ3,$F$3:$F$100,$AO3,$A$3:$A$100,$AP3)/1000,2) + ROUND(SUMPRODUCT(('Unallocated Scenarios'!$A$20:$A$39=$AP3)*(BR$2&gt;'Unallocated Scenarios'!$G$20:$G$39)*('Unallocated Scenarios'!$B$20:$B$39=$AO3)*('Unallocated Scenarios'!$C$20:$C$39=$AQ3)*'Unallocated Scenarios'!$D$20:$D$39)/1000,2)</f>
        <v>0</v>
      </c>
      <c r="BS3" s="48" cm="1">
        <f t="array" ref="BS3">ROUND(SUMIFS(AK$3:AK$100,$E$3:$E$100,$AQ3,$F$3:$F$100,$AO3,$A$3:$A$100,$AP3)/1000,2) + ROUND(SUMPRODUCT(('Unallocated Scenarios'!$A$20:$A$39=$AP3)*(BS$2&gt;'Unallocated Scenarios'!$G$20:$G$39)*('Unallocated Scenarios'!$B$20:$B$39=$AO3)*('Unallocated Scenarios'!$C$20:$C$39=$AQ3)*'Unallocated Scenarios'!$D$20:$D$39)/1000,2)</f>
        <v>0</v>
      </c>
      <c r="BT3" s="48" cm="1">
        <f t="array" ref="BT3">ROUND(SUMIFS(AL$3:AL$100,$E$3:$E$100,$AQ3,$F$3:$F$100,$AO3,$A$3:$A$100,$AP3)/1000,2) + ROUND(SUMPRODUCT(('Unallocated Scenarios'!$A$20:$A$39=$AP3)*(BT$2&gt;'Unallocated Scenarios'!$G$20:$G$39)*('Unallocated Scenarios'!$B$20:$B$39=$AO3)*('Unallocated Scenarios'!$C$20:$C$39=$AQ3)*'Unallocated Scenarios'!$D$20:$D$39)/1000,2)</f>
        <v>0</v>
      </c>
      <c r="BU3" s="48" cm="1">
        <f t="array" ref="BU3">ROUND(SUMIFS(AM$3:AM$100,$E$3:$E$100,$AQ3,$F$3:$F$100,$AO3,$A$3:$A$100,$AP3)/1000,2) + ROUND(SUMPRODUCT(('Unallocated Scenarios'!$A$20:$A$39=$AP3)*(BU$2&gt;'Unallocated Scenarios'!$G$20:$G$39)*('Unallocated Scenarios'!$B$20:$B$39=$AO3)*('Unallocated Scenarios'!$C$20:$C$39=$AQ3)*'Unallocated Scenarios'!$D$20:$D$39)/1000,2)</f>
        <v>0</v>
      </c>
    </row>
    <row r="4" spans="1:73">
      <c r="A4" s="155" t="str" cm="1">
        <f t="array" ref="A4">_xlfn.IFS(LEFT(C4,3)="PGE","PGE",LEFT(C4,2)="PP","PAC",TRUE,"IP")</f>
        <v>PAC</v>
      </c>
      <c r="B4" s="155" t="str">
        <f>IF(ISNA(MATCH(C4,'Monthly Report July 2025'!E:E,0)),"Missing","Present")</f>
        <v>Present</v>
      </c>
      <c r="C4" s="155" t="s">
        <v>110</v>
      </c>
      <c r="D4" s="176" cm="1">
        <f t="array" ref="D4">INDEX('Monthly Report July 2025'!L:L,MATCH(C4,'Monthly Report July 2025'!E:E,0),0)</f>
        <v>359</v>
      </c>
      <c r="E4" s="176" t="str" cm="1">
        <f t="array" ref="E4">IF(INDEX('PA Fees by Project'!K:K,MATCH(C4,'PA Fees by Project'!E:E,0),0)="No","Non-Carve Out", "Carve Out")</f>
        <v>Carve Out</v>
      </c>
      <c r="F4" s="176" cm="1">
        <f t="array" ref="F4">INDEX('PA Fees by Project'!J:J,MATCH(C4,'PA Fees by Project'!E:E,0),0)</f>
        <v>1</v>
      </c>
      <c r="G4" s="155" t="str" cm="1">
        <f t="array" ref="G4">INDEX('PA Fees by Project'!G:G,MATCH(C4,'PA Fees by Project'!E:E,0),0)</f>
        <v>Operational</v>
      </c>
      <c r="H4" s="175" cm="1">
        <f t="array" ref="H4">INDEX('PA Fees by Project'!Q:Q,MATCH(C4,'PA Fees by Project'!E:E,0),0)</f>
        <v>45063</v>
      </c>
      <c r="I4" s="156" cm="1">
        <f t="array" ref="I4">_xlfn.IFS(G4="Operational",H4,G4="Certified",EDATE(INDEX('PA Fees by Project'!R:R,MATCH(C4,'PA Fees by Project'!E:E,0),0),6),TRUE,EDATE(INDEX('PA Fees by Project'!O:O,MATCH(C4,'PA Fees by Project'!E:E,0),0),6))</f>
        <v>45063</v>
      </c>
      <c r="J4" s="48" cm="1">
        <f t="array" ref="J4">_xlfn.IFS(YEAR(J$2)&lt;YEAR($I4),0,YEAR(J$2)=YEAR($I4),ROUND(((J$2-$I4+1)/365)*$D4,2),AND(YEAR(J$2)&gt;YEAR($I4),YEAR(J$2)-YEAR($I4)&lt;20),$D4,YEAR(J$2)-YEAR($I4)=20,ROUND((DATE(YEAR($I4),12,31)-$I4+1)/365*$D4,2),YEAR(J$2)-YEAR($I4)&gt;20,0)</f>
        <v>0</v>
      </c>
      <c r="K4" s="48" cm="1">
        <f t="array" ref="K4">_xlfn.IFS(YEAR(K$2)&lt;YEAR($I4),0,YEAR(K$2)=YEAR($I4),ROUND(((K$2-$I4+1)/365)*$D4,2),AND(YEAR(K$2)&gt;YEAR($I4),YEAR(K$2)-YEAR($I4)&lt;20),$D4,YEAR(K$2)-YEAR($I4)=20,ROUND((DATE(YEAR($I4),12,31)-$I4+1)/365*$D4,2),YEAR(K$2)-YEAR($I4)&gt;20,0)</f>
        <v>0</v>
      </c>
      <c r="L4" s="48" cm="1">
        <f t="array" ref="L4">_xlfn.IFS(YEAR(L$2)&lt;YEAR($I4),0,YEAR(L$2)=YEAR($I4),ROUND(((L$2-$I4+1)/365)*$D4,2),AND(YEAR(L$2)&gt;YEAR($I4),YEAR(L$2)-YEAR($I4)&lt;20),$D4,YEAR(L$2)-YEAR($I4)=20,ROUND((DATE(YEAR($I4),12,31)-$I4+1)/365*$D4,2),YEAR(L$2)-YEAR($I4)&gt;20,0)</f>
        <v>225.24</v>
      </c>
      <c r="M4" s="48" cm="1">
        <f t="array" ref="M4">_xlfn.IFS(YEAR(M$2)&lt;YEAR($I4),0,YEAR(M$2)=YEAR($I4),ROUND(((M$2-$I4+1)/365)*$D4,2),AND(YEAR(M$2)&gt;YEAR($I4),YEAR(M$2)-YEAR($I4)&lt;20),$D4,YEAR(M$2)-YEAR($I4)=20,ROUND((DATE(YEAR($I4),12,31)-$I4+1)/365*$D4,2),YEAR(M$2)-YEAR($I4)&gt;20,0)</f>
        <v>359</v>
      </c>
      <c r="N4" s="48" cm="1">
        <f t="array" ref="N4">_xlfn.IFS(YEAR(N$2)&lt;YEAR($I4),0,YEAR(N$2)=YEAR($I4),ROUND(((N$2-$I4+1)/365)*$D4,2),AND(YEAR(N$2)&gt;YEAR($I4),YEAR(N$2)-YEAR($I4)&lt;20),$D4,YEAR(N$2)-YEAR($I4)=20,ROUND((DATE(YEAR($I4),12,31)-$I4+1)/365*$D4,2),YEAR(N$2)-YEAR($I4)&gt;20,0)</f>
        <v>359</v>
      </c>
      <c r="O4" s="48" cm="1">
        <f t="array" ref="O4">_xlfn.IFS(YEAR(O$2)&lt;YEAR($I4),0,YEAR(O$2)=YEAR($I4),ROUND(((O$2-$I4+1)/365)*$D4,2),AND(YEAR(O$2)&gt;YEAR($I4),YEAR(O$2)-YEAR($I4)&lt;20),$D4,YEAR(O$2)-YEAR($I4)=20,ROUND((DATE(YEAR($I4),12,31)-$I4+1)/365*$D4,2),YEAR(O$2)-YEAR($I4)&gt;20,0)</f>
        <v>359</v>
      </c>
      <c r="P4" s="48" cm="1">
        <f t="array" ref="P4">_xlfn.IFS(YEAR(P$2)&lt;YEAR($I4),0,YEAR(P$2)=YEAR($I4),ROUND(((P$2-$I4+1)/365)*$D4,2),AND(YEAR(P$2)&gt;YEAR($I4),YEAR(P$2)-YEAR($I4)&lt;20),$D4,YEAR(P$2)-YEAR($I4)=20,ROUND((DATE(YEAR($I4),12,31)-$I4+1)/365*$D4,2),YEAR(P$2)-YEAR($I4)&gt;20,0)</f>
        <v>359</v>
      </c>
      <c r="Q4" s="48" cm="1">
        <f t="array" ref="Q4">_xlfn.IFS(YEAR(Q$2)&lt;YEAR($I4),0,YEAR(Q$2)=YEAR($I4),ROUND(((Q$2-$I4+1)/365)*$D4,2),AND(YEAR(Q$2)&gt;YEAR($I4),YEAR(Q$2)-YEAR($I4)&lt;20),$D4,YEAR(Q$2)-YEAR($I4)=20,ROUND((DATE(YEAR($I4),12,31)-$I4+1)/365*$D4,2),YEAR(Q$2)-YEAR($I4)&gt;20,0)</f>
        <v>359</v>
      </c>
      <c r="R4" s="48" cm="1">
        <f t="array" ref="R4">_xlfn.IFS(YEAR(R$2)&lt;YEAR($I4),0,YEAR(R$2)=YEAR($I4),ROUND(((R$2-$I4+1)/365)*$D4,2),AND(YEAR(R$2)&gt;YEAR($I4),YEAR(R$2)-YEAR($I4)&lt;20),$D4,YEAR(R$2)-YEAR($I4)=20,ROUND((DATE(YEAR($I4),12,31)-$I4+1)/365*$D4,2),YEAR(R$2)-YEAR($I4)&gt;20,0)</f>
        <v>359</v>
      </c>
      <c r="S4" s="48" cm="1">
        <f t="array" ref="S4">_xlfn.IFS(YEAR(S$2)&lt;YEAR($I4),0,YEAR(S$2)=YEAR($I4),ROUND(((S$2-$I4+1)/365)*$D4,2),AND(YEAR(S$2)&gt;YEAR($I4),YEAR(S$2)-YEAR($I4)&lt;20),$D4,YEAR(S$2)-YEAR($I4)=20,ROUND((DATE(YEAR($I4),12,31)-$I4+1)/365*$D4,2),YEAR(S$2)-YEAR($I4)&gt;20,0)</f>
        <v>359</v>
      </c>
      <c r="T4" s="48" cm="1">
        <f t="array" ref="T4">_xlfn.IFS(YEAR(T$2)&lt;YEAR($I4),0,YEAR(T$2)=YEAR($I4),ROUND(((T$2-$I4+1)/365)*$D4,2),AND(YEAR(T$2)&gt;YEAR($I4),YEAR(T$2)-YEAR($I4)&lt;20),$D4,YEAR(T$2)-YEAR($I4)=20,ROUND((DATE(YEAR($I4),12,31)-$I4+1)/365*$D4,2),YEAR(T$2)-YEAR($I4)&gt;20,0)</f>
        <v>359</v>
      </c>
      <c r="U4" s="48" cm="1">
        <f t="array" ref="U4">_xlfn.IFS(YEAR(U$2)&lt;YEAR($I4),0,YEAR(U$2)=YEAR($I4),ROUND(((U$2-$I4+1)/365)*$D4,2),AND(YEAR(U$2)&gt;YEAR($I4),YEAR(U$2)-YEAR($I4)&lt;20),$D4,YEAR(U$2)-YEAR($I4)=20,ROUND((DATE(YEAR($I4),12,31)-$I4+1)/365*$D4,2),YEAR(U$2)-YEAR($I4)&gt;20,0)</f>
        <v>359</v>
      </c>
      <c r="V4" s="48" cm="1">
        <f t="array" ref="V4">_xlfn.IFS(YEAR(V$2)&lt;YEAR($I4),0,YEAR(V$2)=YEAR($I4),ROUND(((V$2-$I4+1)/365)*$D4,2),AND(YEAR(V$2)&gt;YEAR($I4),YEAR(V$2)-YEAR($I4)&lt;20),$D4,YEAR(V$2)-YEAR($I4)=20,ROUND((DATE(YEAR($I4),12,31)-$I4+1)/365*$D4,2),YEAR(V$2)-YEAR($I4)&gt;20,0)</f>
        <v>359</v>
      </c>
      <c r="W4" s="48" cm="1">
        <f t="array" ref="W4">_xlfn.IFS(YEAR(W$2)&lt;YEAR($I4),0,YEAR(W$2)=YEAR($I4),ROUND(((W$2-$I4+1)/365)*$D4,2),AND(YEAR(W$2)&gt;YEAR($I4),YEAR(W$2)-YEAR($I4)&lt;20),$D4,YEAR(W$2)-YEAR($I4)=20,ROUND((DATE(YEAR($I4),12,31)-$I4+1)/365*$D4,2),YEAR(W$2)-YEAR($I4)&gt;20,0)</f>
        <v>359</v>
      </c>
      <c r="X4" s="48" cm="1">
        <f t="array" ref="X4">_xlfn.IFS(YEAR(X$2)&lt;YEAR($I4),0,YEAR(X$2)=YEAR($I4),ROUND(((X$2-$I4+1)/365)*$D4,2),AND(YEAR(X$2)&gt;YEAR($I4),YEAR(X$2)-YEAR($I4)&lt;20),$D4,YEAR(X$2)-YEAR($I4)=20,ROUND((DATE(YEAR($I4),12,31)-$I4+1)/365*$D4,2),YEAR(X$2)-YEAR($I4)&gt;20,0)</f>
        <v>359</v>
      </c>
      <c r="Y4" s="48" cm="1">
        <f t="array" ref="Y4">_xlfn.IFS(YEAR(Y$2)&lt;YEAR($I4),0,YEAR(Y$2)=YEAR($I4),ROUND(((Y$2-$I4+1)/365)*$D4,2),AND(YEAR(Y$2)&gt;YEAR($I4),YEAR(Y$2)-YEAR($I4)&lt;20),$D4,YEAR(Y$2)-YEAR($I4)=20,ROUND((DATE(YEAR($I4),12,31)-$I4+1)/365*$D4,2),YEAR(Y$2)-YEAR($I4)&gt;20,0)</f>
        <v>359</v>
      </c>
      <c r="Z4" s="48" cm="1">
        <f t="array" ref="Z4">_xlfn.IFS(YEAR(Z$2)&lt;YEAR($I4),0,YEAR(Z$2)=YEAR($I4),ROUND(((Z$2-$I4+1)/365)*$D4,2),AND(YEAR(Z$2)&gt;YEAR($I4),YEAR(Z$2)-YEAR($I4)&lt;20),$D4,YEAR(Z$2)-YEAR($I4)=20,ROUND((DATE(YEAR($I4),12,31)-$I4+1)/365*$D4,2),YEAR(Z$2)-YEAR($I4)&gt;20,0)</f>
        <v>359</v>
      </c>
      <c r="AA4" s="48" cm="1">
        <f t="array" ref="AA4">_xlfn.IFS(YEAR(AA$2)&lt;YEAR($I4),0,YEAR(AA$2)=YEAR($I4),ROUND(((AA$2-$I4+1)/365)*$D4,2),AND(YEAR(AA$2)&gt;YEAR($I4),YEAR(AA$2)-YEAR($I4)&lt;20),$D4,YEAR(AA$2)-YEAR($I4)=20,ROUND((DATE(YEAR($I4),12,31)-$I4+1)/365*$D4,2),YEAR(AA$2)-YEAR($I4)&gt;20,0)</f>
        <v>359</v>
      </c>
      <c r="AB4" s="48" cm="1">
        <f t="array" ref="AB4">_xlfn.IFS(YEAR(AB$2)&lt;YEAR($I4),0,YEAR(AB$2)=YEAR($I4),ROUND(((AB$2-$I4+1)/365)*$D4,2),AND(YEAR(AB$2)&gt;YEAR($I4),YEAR(AB$2)-YEAR($I4)&lt;20),$D4,YEAR(AB$2)-YEAR($I4)=20,ROUND((DATE(YEAR($I4),12,31)-$I4+1)/365*$D4,2),YEAR(AB$2)-YEAR($I4)&gt;20,0)</f>
        <v>359</v>
      </c>
      <c r="AC4" s="48" cm="1">
        <f t="array" ref="AC4">_xlfn.IFS(YEAR(AC$2)&lt;YEAR($I4),0,YEAR(AC$2)=YEAR($I4),ROUND(((AC$2-$I4+1)/365)*$D4,2),AND(YEAR(AC$2)&gt;YEAR($I4),YEAR(AC$2)-YEAR($I4)&lt;20),$D4,YEAR(AC$2)-YEAR($I4)=20,ROUND((DATE(YEAR($I4),12,31)-$I4+1)/365*$D4,2),YEAR(AC$2)-YEAR($I4)&gt;20,0)</f>
        <v>359</v>
      </c>
      <c r="AD4" s="48" cm="1">
        <f t="array" ref="AD4">_xlfn.IFS(YEAR(AD$2)&lt;YEAR($I4),0,YEAR(AD$2)=YEAR($I4),ROUND(((AD$2-$I4+1)/365)*$D4,2),AND(YEAR(AD$2)&gt;YEAR($I4),YEAR(AD$2)-YEAR($I4)&lt;20),$D4,YEAR(AD$2)-YEAR($I4)=20,ROUND((DATE(YEAR($I4),12,31)-$I4+1)/365*$D4,2),YEAR(AD$2)-YEAR($I4)&gt;20,0)</f>
        <v>359</v>
      </c>
      <c r="AE4" s="48" cm="1">
        <f t="array" ref="AE4">_xlfn.IFS(YEAR(AE$2)&lt;YEAR($I4),0,YEAR(AE$2)=YEAR($I4),ROUND(((AE$2-$I4+1)/365)*$D4,2),AND(YEAR(AE$2)&gt;YEAR($I4),YEAR(AE$2)-YEAR($I4)&lt;20),$D4,YEAR(AE$2)-YEAR($I4)=20,ROUND((DATE(YEAR($I4),12,31)-$I4+1)/365*$D4,2),YEAR(AE$2)-YEAR($I4)&gt;20,0)</f>
        <v>359</v>
      </c>
      <c r="AF4" s="48" cm="1">
        <f t="array" ref="AF4">_xlfn.IFS(YEAR(AF$2)&lt;YEAR($I4),0,YEAR(AF$2)=YEAR($I4),ROUND(((AF$2-$I4+1)/365)*$D4,2),AND(YEAR(AF$2)&gt;YEAR($I4),YEAR(AF$2)-YEAR($I4)&lt;20),$D4,YEAR(AF$2)-YEAR($I4)=20,ROUND((DATE(YEAR($I4),12,31)-$I4+1)/365*$D4,2),YEAR(AF$2)-YEAR($I4)&gt;20,0)</f>
        <v>225.24</v>
      </c>
      <c r="AG4" s="48" cm="1">
        <f t="array" ref="AG4">_xlfn.IFS(YEAR(AG$2)&lt;YEAR($I4),0,YEAR(AG$2)=YEAR($I4),ROUND(((AG$2-$I4+1)/365)*$D4,2),AND(YEAR(AG$2)&gt;YEAR($I4),YEAR(AG$2)-YEAR($I4)&lt;20),$D4,YEAR(AG$2)-YEAR($I4)=20,ROUND((DATE(YEAR($I4),12,31)-$I4+1)/365*$D4,2),YEAR(AG$2)-YEAR($I4)&gt;20,0)</f>
        <v>0</v>
      </c>
      <c r="AH4" s="48" cm="1">
        <f t="array" ref="AH4">_xlfn.IFS(YEAR(AH$2)&lt;YEAR($I4),0,YEAR(AH$2)=YEAR($I4),ROUND(((AH$2-$I4+1)/365)*$D4,2),AND(YEAR(AH$2)&gt;YEAR($I4),YEAR(AH$2)-YEAR($I4)&lt;20),$D4,YEAR(AH$2)-YEAR($I4)=20,ROUND((DATE(YEAR($I4),12,31)-$I4+1)/365*$D4,2),YEAR(AH$2)-YEAR($I4)&gt;20,0)</f>
        <v>0</v>
      </c>
      <c r="AI4" s="48" cm="1">
        <f t="array" ref="AI4">_xlfn.IFS(YEAR(AI$2)&lt;YEAR($I4),0,YEAR(AI$2)=YEAR($I4),ROUND(((AI$2-$I4+1)/365)*$D4,2),AND(YEAR(AI$2)&gt;YEAR($I4),YEAR(AI$2)-YEAR($I4)&lt;20),$D4,YEAR(AI$2)-YEAR($I4)=20,ROUND((DATE(YEAR($I4),12,31)-$I4+1)/365*$D4,2),YEAR(AI$2)-YEAR($I4)&gt;20,0)</f>
        <v>0</v>
      </c>
      <c r="AJ4" s="48" cm="1">
        <f t="array" ref="AJ4">_xlfn.IFS(YEAR(AJ$2)&lt;YEAR($I4),0,YEAR(AJ$2)=YEAR($I4),ROUND(((AJ$2-$I4+1)/365)*$D4,2),AND(YEAR(AJ$2)&gt;YEAR($I4),YEAR(AJ$2)-YEAR($I4)&lt;20),$D4,YEAR(AJ$2)-YEAR($I4)=20,ROUND((DATE(YEAR($I4),12,31)-$I4+1)/365*$D4,2),YEAR(AJ$2)-YEAR($I4)&gt;20,0)</f>
        <v>0</v>
      </c>
      <c r="AK4" s="48" cm="1">
        <f t="array" ref="AK4">_xlfn.IFS(YEAR(AK$2)&lt;YEAR($I4),0,YEAR(AK$2)=YEAR($I4),ROUND(((AK$2-$I4+1)/365)*$D4,2),AND(YEAR(AK$2)&gt;YEAR($I4),YEAR(AK$2)-YEAR($I4)&lt;20),$D4,YEAR(AK$2)-YEAR($I4)=20,ROUND((DATE(YEAR($I4),12,31)-$I4+1)/365*$D4,2),YEAR(AK$2)-YEAR($I4)&gt;20,0)</f>
        <v>0</v>
      </c>
      <c r="AL4" s="48" cm="1">
        <f t="array" ref="AL4">_xlfn.IFS(YEAR(AL$2)&lt;YEAR($I4),0,YEAR(AL$2)=YEAR($I4),ROUND(((AL$2-$I4+1)/365)*$D4,2),AND(YEAR(AL$2)&gt;YEAR($I4),YEAR(AL$2)-YEAR($I4)&lt;20),$D4,YEAR(AL$2)-YEAR($I4)=20,ROUND((DATE(YEAR($I4),12,31)-$I4+1)/365*$D4,2),YEAR(AL$2)-YEAR($I4)&gt;20,0)</f>
        <v>0</v>
      </c>
      <c r="AM4" s="48" cm="1">
        <f t="array" ref="AM4">_xlfn.IFS(YEAR(AM$2)&lt;YEAR($I4),0,YEAR(AM$2)=YEAR($I4),ROUND(((AM$2-$I4+1)/365)*$D4,2),AND(YEAR(AM$2)&gt;YEAR($I4),YEAR(AM$2)-YEAR($I4)&lt;20),$D4,YEAR(AM$2)-YEAR($I4)=20,ROUND((DATE(YEAR($I4),12,31)-$I4+1)/365*$D4,2),YEAR(AM$2)-YEAR($I4)&gt;20,0)</f>
        <v>0</v>
      </c>
      <c r="AO4" s="48">
        <v>1</v>
      </c>
      <c r="AP4" s="4" t="s">
        <v>11</v>
      </c>
      <c r="AQ4" s="48" t="s">
        <v>99</v>
      </c>
      <c r="AR4" s="48" cm="1">
        <f t="array" ref="AR4">ROUND(SUMIFS(J$3:J$100,$E$3:$E$100,$AQ4,$F$3:$F$100,$AO4,$A$3:$A$100,$AP4)/1000,2) + ROUND(SUMPRODUCT(('Unallocated Scenarios'!$A$20:$A$39=$AP4)*(AR$2&gt;'Unallocated Scenarios'!$G$20:$G$39)*('Unallocated Scenarios'!$B$20:$B$39=$AO4)*('Unallocated Scenarios'!$C$20:$C$39=$AQ4)*'Unallocated Scenarios'!$D$20:$D$39)/1000,2)</f>
        <v>5.95</v>
      </c>
      <c r="AS4" s="48" cm="1">
        <f t="array" ref="AS4">ROUND(SUMIFS(K$3:K$100,$E$3:$E$100,$AQ4,$F$3:$F$100,$AO4,$A$3:$A$100,$AP4)/1000,2) + ROUND(SUMPRODUCT(('Unallocated Scenarios'!$A$20:$A$39=$AP4)*(AS$2&gt;'Unallocated Scenarios'!$G$20:$G$39)*('Unallocated Scenarios'!$B$20:$B$39=$AO4)*('Unallocated Scenarios'!$C$20:$C$39=$AQ4)*'Unallocated Scenarios'!$D$20:$D$39)/1000,2)</f>
        <v>9.8699999999999992</v>
      </c>
      <c r="AT4" s="48" cm="1">
        <f t="array" ref="AT4">ROUND(SUMIFS(L$3:L$100,$E$3:$E$100,$AQ4,$F$3:$F$100,$AO4,$A$3:$A$100,$AP4)/1000,2) + ROUND(SUMPRODUCT(('Unallocated Scenarios'!$A$20:$A$39=$AP4)*(AT$2&gt;'Unallocated Scenarios'!$G$20:$G$39)*('Unallocated Scenarios'!$B$20:$B$39=$AO4)*('Unallocated Scenarios'!$C$20:$C$39=$AQ4)*'Unallocated Scenarios'!$D$20:$D$39)/1000,2)</f>
        <v>24.65</v>
      </c>
      <c r="AU4" s="48" cm="1">
        <f t="array" ref="AU4">ROUND(SUMIFS(M$3:M$100,$E$3:$E$100,$AQ4,$F$3:$F$100,$AO4,$A$3:$A$100,$AP4)/1000,2) + ROUND(SUMPRODUCT(('Unallocated Scenarios'!$A$20:$A$39=$AP4)*(AU$2&gt;'Unallocated Scenarios'!$G$20:$G$39)*('Unallocated Scenarios'!$B$20:$B$39=$AO4)*('Unallocated Scenarios'!$C$20:$C$39=$AQ4)*'Unallocated Scenarios'!$D$20:$D$39)/1000,2)</f>
        <v>25.3</v>
      </c>
      <c r="AV4" s="48" cm="1">
        <f t="array" ref="AV4">ROUND(SUMIFS(N$3:N$100,$E$3:$E$100,$AQ4,$F$3:$F$100,$AO4,$A$3:$A$100,$AP4)/1000,2) + ROUND(SUMPRODUCT(('Unallocated Scenarios'!$A$20:$A$39=$AP4)*(AV$2&gt;'Unallocated Scenarios'!$G$20:$G$39)*('Unallocated Scenarios'!$B$20:$B$39=$AO4)*('Unallocated Scenarios'!$C$20:$C$39=$AQ4)*'Unallocated Scenarios'!$D$20:$D$39)/1000,2)</f>
        <v>32.17</v>
      </c>
      <c r="AW4" s="48" cm="1">
        <f t="array" ref="AW4">ROUND(SUMIFS(O$3:O$100,$E$3:$E$100,$AQ4,$F$3:$F$100,$AO4,$A$3:$A$100,$AP4)/1000,2) + ROUND(SUMPRODUCT(('Unallocated Scenarios'!$A$20:$A$39=$AP4)*(AW$2&gt;'Unallocated Scenarios'!$G$20:$G$39)*('Unallocated Scenarios'!$B$20:$B$39=$AO4)*('Unallocated Scenarios'!$C$20:$C$39=$AQ4)*'Unallocated Scenarios'!$D$20:$D$39)/1000,2)</f>
        <v>32.17</v>
      </c>
      <c r="AX4" s="48" cm="1">
        <f t="array" ref="AX4">ROUND(SUMIFS(P$3:P$100,$E$3:$E$100,$AQ4,$F$3:$F$100,$AO4,$A$3:$A$100,$AP4)/1000,2) + ROUND(SUMPRODUCT(('Unallocated Scenarios'!$A$20:$A$39=$AP4)*(AX$2&gt;'Unallocated Scenarios'!$G$20:$G$39)*('Unallocated Scenarios'!$B$20:$B$39=$AO4)*('Unallocated Scenarios'!$C$20:$C$39=$AQ4)*'Unallocated Scenarios'!$D$20:$D$39)/1000,2)</f>
        <v>32.17</v>
      </c>
      <c r="AY4" s="48" cm="1">
        <f t="array" ref="AY4">ROUND(SUMIFS(Q$3:Q$100,$E$3:$E$100,$AQ4,$F$3:$F$100,$AO4,$A$3:$A$100,$AP4)/1000,2) + ROUND(SUMPRODUCT(('Unallocated Scenarios'!$A$20:$A$39=$AP4)*(AY$2&gt;'Unallocated Scenarios'!$G$20:$G$39)*('Unallocated Scenarios'!$B$20:$B$39=$AO4)*('Unallocated Scenarios'!$C$20:$C$39=$AQ4)*'Unallocated Scenarios'!$D$20:$D$39)/1000,2)</f>
        <v>32.17</v>
      </c>
      <c r="AZ4" s="48" cm="1">
        <f t="array" ref="AZ4">ROUND(SUMIFS(R$3:R$100,$E$3:$E$100,$AQ4,$F$3:$F$100,$AO4,$A$3:$A$100,$AP4)/1000,2) + ROUND(SUMPRODUCT(('Unallocated Scenarios'!$A$20:$A$39=$AP4)*(AZ$2&gt;'Unallocated Scenarios'!$G$20:$G$39)*('Unallocated Scenarios'!$B$20:$B$39=$AO4)*('Unallocated Scenarios'!$C$20:$C$39=$AQ4)*'Unallocated Scenarios'!$D$20:$D$39)/1000,2)</f>
        <v>32.17</v>
      </c>
      <c r="BA4" s="48" cm="1">
        <f t="array" ref="BA4">ROUND(SUMIFS(S$3:S$100,$E$3:$E$100,$AQ4,$F$3:$F$100,$AO4,$A$3:$A$100,$AP4)/1000,2) + ROUND(SUMPRODUCT(('Unallocated Scenarios'!$A$20:$A$39=$AP4)*(BA$2&gt;'Unallocated Scenarios'!$G$20:$G$39)*('Unallocated Scenarios'!$B$20:$B$39=$AO4)*('Unallocated Scenarios'!$C$20:$C$39=$AQ4)*'Unallocated Scenarios'!$D$20:$D$39)/1000,2)</f>
        <v>32.17</v>
      </c>
      <c r="BB4" s="48" cm="1">
        <f t="array" ref="BB4">ROUND(SUMIFS(T$3:T$100,$E$3:$E$100,$AQ4,$F$3:$F$100,$AO4,$A$3:$A$100,$AP4)/1000,2) + ROUND(SUMPRODUCT(('Unallocated Scenarios'!$A$20:$A$39=$AP4)*(BB$2&gt;'Unallocated Scenarios'!$G$20:$G$39)*('Unallocated Scenarios'!$B$20:$B$39=$AO4)*('Unallocated Scenarios'!$C$20:$C$39=$AQ4)*'Unallocated Scenarios'!$D$20:$D$39)/1000,2)</f>
        <v>32.17</v>
      </c>
      <c r="BC4" s="48" cm="1">
        <f t="array" ref="BC4">ROUND(SUMIFS(U$3:U$100,$E$3:$E$100,$AQ4,$F$3:$F$100,$AO4,$A$3:$A$100,$AP4)/1000,2) + ROUND(SUMPRODUCT(('Unallocated Scenarios'!$A$20:$A$39=$AP4)*(BC$2&gt;'Unallocated Scenarios'!$G$20:$G$39)*('Unallocated Scenarios'!$B$20:$B$39=$AO4)*('Unallocated Scenarios'!$C$20:$C$39=$AQ4)*'Unallocated Scenarios'!$D$20:$D$39)/1000,2)</f>
        <v>32.17</v>
      </c>
      <c r="BD4" s="48" cm="1">
        <f t="array" ref="BD4">ROUND(SUMIFS(V$3:V$100,$E$3:$E$100,$AQ4,$F$3:$F$100,$AO4,$A$3:$A$100,$AP4)/1000,2) + ROUND(SUMPRODUCT(('Unallocated Scenarios'!$A$20:$A$39=$AP4)*(BD$2&gt;'Unallocated Scenarios'!$G$20:$G$39)*('Unallocated Scenarios'!$B$20:$B$39=$AO4)*('Unallocated Scenarios'!$C$20:$C$39=$AQ4)*'Unallocated Scenarios'!$D$20:$D$39)/1000,2)</f>
        <v>32.17</v>
      </c>
      <c r="BE4" s="48" cm="1">
        <f t="array" ref="BE4">ROUND(SUMIFS(W$3:W$100,$E$3:$E$100,$AQ4,$F$3:$F$100,$AO4,$A$3:$A$100,$AP4)/1000,2) + ROUND(SUMPRODUCT(('Unallocated Scenarios'!$A$20:$A$39=$AP4)*(BE$2&gt;'Unallocated Scenarios'!$G$20:$G$39)*('Unallocated Scenarios'!$B$20:$B$39=$AO4)*('Unallocated Scenarios'!$C$20:$C$39=$AQ4)*'Unallocated Scenarios'!$D$20:$D$39)/1000,2)</f>
        <v>32.17</v>
      </c>
      <c r="BF4" s="48" cm="1">
        <f t="array" ref="BF4">ROUND(SUMIFS(X$3:X$100,$E$3:$E$100,$AQ4,$F$3:$F$100,$AO4,$A$3:$A$100,$AP4)/1000,2) + ROUND(SUMPRODUCT(('Unallocated Scenarios'!$A$20:$A$39=$AP4)*(BF$2&gt;'Unallocated Scenarios'!$G$20:$G$39)*('Unallocated Scenarios'!$B$20:$B$39=$AO4)*('Unallocated Scenarios'!$C$20:$C$39=$AQ4)*'Unallocated Scenarios'!$D$20:$D$39)/1000,2)</f>
        <v>32.17</v>
      </c>
      <c r="BG4" s="48" cm="1">
        <f t="array" ref="BG4">ROUND(SUMIFS(Y$3:Y$100,$E$3:$E$100,$AQ4,$F$3:$F$100,$AO4,$A$3:$A$100,$AP4)/1000,2) + ROUND(SUMPRODUCT(('Unallocated Scenarios'!$A$20:$A$39=$AP4)*(BG$2&gt;'Unallocated Scenarios'!$G$20:$G$39)*('Unallocated Scenarios'!$B$20:$B$39=$AO4)*('Unallocated Scenarios'!$C$20:$C$39=$AQ4)*'Unallocated Scenarios'!$D$20:$D$39)/1000,2)</f>
        <v>32.17</v>
      </c>
      <c r="BH4" s="48" cm="1">
        <f t="array" ref="BH4">ROUND(SUMIFS(Z$3:Z$100,$E$3:$E$100,$AQ4,$F$3:$F$100,$AO4,$A$3:$A$100,$AP4)/1000,2) + ROUND(SUMPRODUCT(('Unallocated Scenarios'!$A$20:$A$39=$AP4)*(BH$2&gt;'Unallocated Scenarios'!$G$20:$G$39)*('Unallocated Scenarios'!$B$20:$B$39=$AO4)*('Unallocated Scenarios'!$C$20:$C$39=$AQ4)*'Unallocated Scenarios'!$D$20:$D$39)/1000,2)</f>
        <v>32.17</v>
      </c>
      <c r="BI4" s="48" cm="1">
        <f t="array" ref="BI4">ROUND(SUMIFS(AA$3:AA$100,$E$3:$E$100,$AQ4,$F$3:$F$100,$AO4,$A$3:$A$100,$AP4)/1000,2) + ROUND(SUMPRODUCT(('Unallocated Scenarios'!$A$20:$A$39=$AP4)*(BI$2&gt;'Unallocated Scenarios'!$G$20:$G$39)*('Unallocated Scenarios'!$B$20:$B$39=$AO4)*('Unallocated Scenarios'!$C$20:$C$39=$AQ4)*'Unallocated Scenarios'!$D$20:$D$39)/1000,2)</f>
        <v>32.17</v>
      </c>
      <c r="BJ4" s="48" cm="1">
        <f t="array" ref="BJ4">ROUND(SUMIFS(AB$3:AB$100,$E$3:$E$100,$AQ4,$F$3:$F$100,$AO4,$A$3:$A$100,$AP4)/1000,2) + ROUND(SUMPRODUCT(('Unallocated Scenarios'!$A$20:$A$39=$AP4)*(BJ$2&gt;'Unallocated Scenarios'!$G$20:$G$39)*('Unallocated Scenarios'!$B$20:$B$39=$AO4)*('Unallocated Scenarios'!$C$20:$C$39=$AQ4)*'Unallocated Scenarios'!$D$20:$D$39)/1000,2)</f>
        <v>32.17</v>
      </c>
      <c r="BK4" s="48" cm="1">
        <f t="array" ref="BK4">ROUND(SUMIFS(AC$3:AC$100,$E$3:$E$100,$AQ4,$F$3:$F$100,$AO4,$A$3:$A$100,$AP4)/1000,2) + ROUND(SUMPRODUCT(('Unallocated Scenarios'!$A$20:$A$39=$AP4)*(BK$2&gt;'Unallocated Scenarios'!$G$20:$G$39)*('Unallocated Scenarios'!$B$20:$B$39=$AO4)*('Unallocated Scenarios'!$C$20:$C$39=$AQ4)*'Unallocated Scenarios'!$D$20:$D$39)/1000,2)</f>
        <v>32.17</v>
      </c>
      <c r="BL4" s="48" cm="1">
        <f t="array" ref="BL4">ROUND(SUMIFS(AD$3:AD$100,$E$3:$E$100,$AQ4,$F$3:$F$100,$AO4,$A$3:$A$100,$AP4)/1000,2) + ROUND(SUMPRODUCT(('Unallocated Scenarios'!$A$20:$A$39=$AP4)*(BL$2&gt;'Unallocated Scenarios'!$G$20:$G$39)*('Unallocated Scenarios'!$B$20:$B$39=$AO4)*('Unallocated Scenarios'!$C$20:$C$39=$AQ4)*'Unallocated Scenarios'!$D$20:$D$39)/1000,2)</f>
        <v>29.07</v>
      </c>
      <c r="BM4" s="48" cm="1">
        <f t="array" ref="BM4">ROUND(SUMIFS(AE$3:AE$100,$E$3:$E$100,$AQ4,$F$3:$F$100,$AO4,$A$3:$A$100,$AP4)/1000,2) + ROUND(SUMPRODUCT(('Unallocated Scenarios'!$A$20:$A$39=$AP4)*(BM$2&gt;'Unallocated Scenarios'!$G$20:$G$39)*('Unallocated Scenarios'!$B$20:$B$39=$AO4)*('Unallocated Scenarios'!$C$20:$C$39=$AQ4)*'Unallocated Scenarios'!$D$20:$D$39)/1000,2)</f>
        <v>8.34</v>
      </c>
      <c r="BN4" s="48" cm="1">
        <f t="array" ref="BN4">ROUND(SUMIFS(AF$3:AF$100,$E$3:$E$100,$AQ4,$F$3:$F$100,$AO4,$A$3:$A$100,$AP4)/1000,2) + ROUND(SUMPRODUCT(('Unallocated Scenarios'!$A$20:$A$39=$AP4)*(BN$2&gt;'Unallocated Scenarios'!$G$20:$G$39)*('Unallocated Scenarios'!$B$20:$B$39=$AO4)*('Unallocated Scenarios'!$C$20:$C$39=$AQ4)*'Unallocated Scenarios'!$D$20:$D$39)/1000,2)</f>
        <v>7.52</v>
      </c>
      <c r="BO4" s="48" cm="1">
        <f t="array" ref="BO4">ROUND(SUMIFS(AG$3:AG$100,$E$3:$E$100,$AQ4,$F$3:$F$100,$AO4,$A$3:$A$100,$AP4)/1000,2) + ROUND(SUMPRODUCT(('Unallocated Scenarios'!$A$20:$A$39=$AP4)*(BO$2&gt;'Unallocated Scenarios'!$G$20:$G$39)*('Unallocated Scenarios'!$B$20:$B$39=$AO4)*('Unallocated Scenarios'!$C$20:$C$39=$AQ4)*'Unallocated Scenarios'!$D$20:$D$39)/1000,2)</f>
        <v>0.65</v>
      </c>
      <c r="BP4" s="48" cm="1">
        <f t="array" ref="BP4">ROUND(SUMIFS(AH$3:AH$100,$E$3:$E$100,$AQ4,$F$3:$F$100,$AO4,$A$3:$A$100,$AP4)/1000,2) + ROUND(SUMPRODUCT(('Unallocated Scenarios'!$A$20:$A$39=$AP4)*(BP$2&gt;'Unallocated Scenarios'!$G$20:$G$39)*('Unallocated Scenarios'!$B$20:$B$39=$AO4)*('Unallocated Scenarios'!$C$20:$C$39=$AQ4)*'Unallocated Scenarios'!$D$20:$D$39)/1000,2)</f>
        <v>0</v>
      </c>
      <c r="BQ4" s="48" cm="1">
        <f t="array" ref="BQ4">ROUND(SUMIFS(AI$3:AI$100,$E$3:$E$100,$AQ4,$F$3:$F$100,$AO4,$A$3:$A$100,$AP4)/1000,2) + ROUND(SUMPRODUCT(('Unallocated Scenarios'!$A$20:$A$39=$AP4)*(BQ$2&gt;'Unallocated Scenarios'!$G$20:$G$39)*('Unallocated Scenarios'!$B$20:$B$39=$AO4)*('Unallocated Scenarios'!$C$20:$C$39=$AQ4)*'Unallocated Scenarios'!$D$20:$D$39)/1000,2)</f>
        <v>0</v>
      </c>
      <c r="BR4" s="48" cm="1">
        <f t="array" ref="BR4">ROUND(SUMIFS(AJ$3:AJ$100,$E$3:$E$100,$AQ4,$F$3:$F$100,$AO4,$A$3:$A$100,$AP4)/1000,2) + ROUND(SUMPRODUCT(('Unallocated Scenarios'!$A$20:$A$39=$AP4)*(BR$2&gt;'Unallocated Scenarios'!$G$20:$G$39)*('Unallocated Scenarios'!$B$20:$B$39=$AO4)*('Unallocated Scenarios'!$C$20:$C$39=$AQ4)*'Unallocated Scenarios'!$D$20:$D$39)/1000,2)</f>
        <v>0</v>
      </c>
      <c r="BS4" s="48" cm="1">
        <f t="array" ref="BS4">ROUND(SUMIFS(AK$3:AK$100,$E$3:$E$100,$AQ4,$F$3:$F$100,$AO4,$A$3:$A$100,$AP4)/1000,2) + ROUND(SUMPRODUCT(('Unallocated Scenarios'!$A$20:$A$39=$AP4)*(BS$2&gt;'Unallocated Scenarios'!$G$20:$G$39)*('Unallocated Scenarios'!$B$20:$B$39=$AO4)*('Unallocated Scenarios'!$C$20:$C$39=$AQ4)*'Unallocated Scenarios'!$D$20:$D$39)/1000,2)</f>
        <v>0</v>
      </c>
      <c r="BT4" s="48" cm="1">
        <f t="array" ref="BT4">ROUND(SUMIFS(AL$3:AL$100,$E$3:$E$100,$AQ4,$F$3:$F$100,$AO4,$A$3:$A$100,$AP4)/1000,2) + ROUND(SUMPRODUCT(('Unallocated Scenarios'!$A$20:$A$39=$AP4)*(BT$2&gt;'Unallocated Scenarios'!$G$20:$G$39)*('Unallocated Scenarios'!$B$20:$B$39=$AO4)*('Unallocated Scenarios'!$C$20:$C$39=$AQ4)*'Unallocated Scenarios'!$D$20:$D$39)/1000,2)</f>
        <v>0</v>
      </c>
      <c r="BU4" s="48" cm="1">
        <f t="array" ref="BU4">ROUND(SUMIFS(AM$3:AM$100,$E$3:$E$100,$AQ4,$F$3:$F$100,$AO4,$A$3:$A$100,$AP4)/1000,2) + ROUND(SUMPRODUCT(('Unallocated Scenarios'!$A$20:$A$39=$AP4)*(BU$2&gt;'Unallocated Scenarios'!$G$20:$G$39)*('Unallocated Scenarios'!$B$20:$B$39=$AO4)*('Unallocated Scenarios'!$C$20:$C$39=$AQ4)*'Unallocated Scenarios'!$D$20:$D$39)/1000,2)</f>
        <v>0</v>
      </c>
    </row>
    <row r="5" spans="1:73">
      <c r="A5" s="155" t="str" cm="1">
        <f t="array" ref="A5">_xlfn.IFS(LEFT(C5,3)="PGE","PGE",LEFT(C5,2)="PP","PAC",TRUE,"IP")</f>
        <v>PGE</v>
      </c>
      <c r="B5" s="155" t="str">
        <f>IF(ISNA(MATCH(C5,'Monthly Report July 2025'!E:E,0)),"Missing","Present")</f>
        <v>Present</v>
      </c>
      <c r="C5" s="155" t="s">
        <v>111</v>
      </c>
      <c r="D5" s="176" cm="1">
        <f t="array" ref="D5">INDEX('Monthly Report July 2025'!L:L,MATCH(C5,'Monthly Report July 2025'!E:E,0),0)</f>
        <v>2500</v>
      </c>
      <c r="E5" s="176" t="str" cm="1">
        <f t="array" ref="E5">IF(INDEX('PA Fees by Project'!K:K,MATCH(C5,'PA Fees by Project'!E:E,0),0)="No","Non-Carve Out", "Carve Out")</f>
        <v>Non-Carve Out</v>
      </c>
      <c r="F5" s="176" cm="1">
        <f t="array" ref="F5">INDEX('PA Fees by Project'!J:J,MATCH(C5,'PA Fees by Project'!E:E,0),0)</f>
        <v>1</v>
      </c>
      <c r="G5" s="155" t="str" cm="1">
        <f t="array" ref="G5">INDEX('PA Fees by Project'!G:G,MATCH(C5,'PA Fees by Project'!E:E,0),0)</f>
        <v>Operational</v>
      </c>
      <c r="H5" s="175" cm="1">
        <f t="array" ref="H5">INDEX('PA Fees by Project'!Q:Q,MATCH(C5,'PA Fees by Project'!E:E,0),0)</f>
        <v>44910</v>
      </c>
      <c r="I5" s="156" cm="1">
        <f t="array" ref="I5">_xlfn.IFS(G5="Operational",H5,G5="Certified",EDATE(INDEX('PA Fees by Project'!R:R,MATCH(C5,'PA Fees by Project'!E:E,0),0),6),TRUE,EDATE(INDEX('PA Fees by Project'!O:O,MATCH(C5,'PA Fees by Project'!E:E,0),0),6))</f>
        <v>44910</v>
      </c>
      <c r="J5" s="48" cm="1">
        <f t="array" ref="J5">_xlfn.IFS(YEAR(J$2)&lt;YEAR($I5),0,YEAR(J$2)=YEAR($I5),ROUND(((J$2-$I5+1)/365)*$D5,2),AND(YEAR(J$2)&gt;YEAR($I5),YEAR(J$2)-YEAR($I5)&lt;20),$D5,YEAR(J$2)-YEAR($I5)=20,ROUND((DATE(YEAR($I5),12,31)-$I5+1)/365*$D5,2),YEAR(J$2)-YEAR($I5)&gt;20,0)</f>
        <v>0</v>
      </c>
      <c r="K5" s="48" cm="1">
        <f t="array" ref="K5">_xlfn.IFS(YEAR(K$2)&lt;YEAR($I5),0,YEAR(K$2)=YEAR($I5),ROUND(((K$2-$I5+1)/365)*$D5,2),AND(YEAR(K$2)&gt;YEAR($I5),YEAR(K$2)-YEAR($I5)&lt;20),$D5,YEAR(K$2)-YEAR($I5)=20,ROUND((DATE(YEAR($I5),12,31)-$I5+1)/365*$D5,2),YEAR(K$2)-YEAR($I5)&gt;20,0)</f>
        <v>116.44</v>
      </c>
      <c r="L5" s="48" cm="1">
        <f t="array" ref="L5">_xlfn.IFS(YEAR(L$2)&lt;YEAR($I5),0,YEAR(L$2)=YEAR($I5),ROUND(((L$2-$I5+1)/365)*$D5,2),AND(YEAR(L$2)&gt;YEAR($I5),YEAR(L$2)-YEAR($I5)&lt;20),$D5,YEAR(L$2)-YEAR($I5)=20,ROUND((DATE(YEAR($I5),12,31)-$I5+1)/365*$D5,2),YEAR(L$2)-YEAR($I5)&gt;20,0)</f>
        <v>2500</v>
      </c>
      <c r="M5" s="48" cm="1">
        <f t="array" ref="M5">_xlfn.IFS(YEAR(M$2)&lt;YEAR($I5),0,YEAR(M$2)=YEAR($I5),ROUND(((M$2-$I5+1)/365)*$D5,2),AND(YEAR(M$2)&gt;YEAR($I5),YEAR(M$2)-YEAR($I5)&lt;20),$D5,YEAR(M$2)-YEAR($I5)=20,ROUND((DATE(YEAR($I5),12,31)-$I5+1)/365*$D5,2),YEAR(M$2)-YEAR($I5)&gt;20,0)</f>
        <v>2500</v>
      </c>
      <c r="N5" s="48" cm="1">
        <f t="array" ref="N5">_xlfn.IFS(YEAR(N$2)&lt;YEAR($I5),0,YEAR(N$2)=YEAR($I5),ROUND(((N$2-$I5+1)/365)*$D5,2),AND(YEAR(N$2)&gt;YEAR($I5),YEAR(N$2)-YEAR($I5)&lt;20),$D5,YEAR(N$2)-YEAR($I5)=20,ROUND((DATE(YEAR($I5),12,31)-$I5+1)/365*$D5,2),YEAR(N$2)-YEAR($I5)&gt;20,0)</f>
        <v>2500</v>
      </c>
      <c r="O5" s="48" cm="1">
        <f t="array" ref="O5">_xlfn.IFS(YEAR(O$2)&lt;YEAR($I5),0,YEAR(O$2)=YEAR($I5),ROUND(((O$2-$I5+1)/365)*$D5,2),AND(YEAR(O$2)&gt;YEAR($I5),YEAR(O$2)-YEAR($I5)&lt;20),$D5,YEAR(O$2)-YEAR($I5)=20,ROUND((DATE(YEAR($I5),12,31)-$I5+1)/365*$D5,2),YEAR(O$2)-YEAR($I5)&gt;20,0)</f>
        <v>2500</v>
      </c>
      <c r="P5" s="48" cm="1">
        <f t="array" ref="P5">_xlfn.IFS(YEAR(P$2)&lt;YEAR($I5),0,YEAR(P$2)=YEAR($I5),ROUND(((P$2-$I5+1)/365)*$D5,2),AND(YEAR(P$2)&gt;YEAR($I5),YEAR(P$2)-YEAR($I5)&lt;20),$D5,YEAR(P$2)-YEAR($I5)=20,ROUND((DATE(YEAR($I5),12,31)-$I5+1)/365*$D5,2),YEAR(P$2)-YEAR($I5)&gt;20,0)</f>
        <v>2500</v>
      </c>
      <c r="Q5" s="48" cm="1">
        <f t="array" ref="Q5">_xlfn.IFS(YEAR(Q$2)&lt;YEAR($I5),0,YEAR(Q$2)=YEAR($I5),ROUND(((Q$2-$I5+1)/365)*$D5,2),AND(YEAR(Q$2)&gt;YEAR($I5),YEAR(Q$2)-YEAR($I5)&lt;20),$D5,YEAR(Q$2)-YEAR($I5)=20,ROUND((DATE(YEAR($I5),12,31)-$I5+1)/365*$D5,2),YEAR(Q$2)-YEAR($I5)&gt;20,0)</f>
        <v>2500</v>
      </c>
      <c r="R5" s="48" cm="1">
        <f t="array" ref="R5">_xlfn.IFS(YEAR(R$2)&lt;YEAR($I5),0,YEAR(R$2)=YEAR($I5),ROUND(((R$2-$I5+1)/365)*$D5,2),AND(YEAR(R$2)&gt;YEAR($I5),YEAR(R$2)-YEAR($I5)&lt;20),$D5,YEAR(R$2)-YEAR($I5)=20,ROUND((DATE(YEAR($I5),12,31)-$I5+1)/365*$D5,2),YEAR(R$2)-YEAR($I5)&gt;20,0)</f>
        <v>2500</v>
      </c>
      <c r="S5" s="48" cm="1">
        <f t="array" ref="S5">_xlfn.IFS(YEAR(S$2)&lt;YEAR($I5),0,YEAR(S$2)=YEAR($I5),ROUND(((S$2-$I5+1)/365)*$D5,2),AND(YEAR(S$2)&gt;YEAR($I5),YEAR(S$2)-YEAR($I5)&lt;20),$D5,YEAR(S$2)-YEAR($I5)=20,ROUND((DATE(YEAR($I5),12,31)-$I5+1)/365*$D5,2),YEAR(S$2)-YEAR($I5)&gt;20,0)</f>
        <v>2500</v>
      </c>
      <c r="T5" s="48" cm="1">
        <f t="array" ref="T5">_xlfn.IFS(YEAR(T$2)&lt;YEAR($I5),0,YEAR(T$2)=YEAR($I5),ROUND(((T$2-$I5+1)/365)*$D5,2),AND(YEAR(T$2)&gt;YEAR($I5),YEAR(T$2)-YEAR($I5)&lt;20),$D5,YEAR(T$2)-YEAR($I5)=20,ROUND((DATE(YEAR($I5),12,31)-$I5+1)/365*$D5,2),YEAR(T$2)-YEAR($I5)&gt;20,0)</f>
        <v>2500</v>
      </c>
      <c r="U5" s="48" cm="1">
        <f t="array" ref="U5">_xlfn.IFS(YEAR(U$2)&lt;YEAR($I5),0,YEAR(U$2)=YEAR($I5),ROUND(((U$2-$I5+1)/365)*$D5,2),AND(YEAR(U$2)&gt;YEAR($I5),YEAR(U$2)-YEAR($I5)&lt;20),$D5,YEAR(U$2)-YEAR($I5)=20,ROUND((DATE(YEAR($I5),12,31)-$I5+1)/365*$D5,2),YEAR(U$2)-YEAR($I5)&gt;20,0)</f>
        <v>2500</v>
      </c>
      <c r="V5" s="48" cm="1">
        <f t="array" ref="V5">_xlfn.IFS(YEAR(V$2)&lt;YEAR($I5),0,YEAR(V$2)=YEAR($I5),ROUND(((V$2-$I5+1)/365)*$D5,2),AND(YEAR(V$2)&gt;YEAR($I5),YEAR(V$2)-YEAR($I5)&lt;20),$D5,YEAR(V$2)-YEAR($I5)=20,ROUND((DATE(YEAR($I5),12,31)-$I5+1)/365*$D5,2),YEAR(V$2)-YEAR($I5)&gt;20,0)</f>
        <v>2500</v>
      </c>
      <c r="W5" s="48" cm="1">
        <f t="array" ref="W5">_xlfn.IFS(YEAR(W$2)&lt;YEAR($I5),0,YEAR(W$2)=YEAR($I5),ROUND(((W$2-$I5+1)/365)*$D5,2),AND(YEAR(W$2)&gt;YEAR($I5),YEAR(W$2)-YEAR($I5)&lt;20),$D5,YEAR(W$2)-YEAR($I5)=20,ROUND((DATE(YEAR($I5),12,31)-$I5+1)/365*$D5,2),YEAR(W$2)-YEAR($I5)&gt;20,0)</f>
        <v>2500</v>
      </c>
      <c r="X5" s="48" cm="1">
        <f t="array" ref="X5">_xlfn.IFS(YEAR(X$2)&lt;YEAR($I5),0,YEAR(X$2)=YEAR($I5),ROUND(((X$2-$I5+1)/365)*$D5,2),AND(YEAR(X$2)&gt;YEAR($I5),YEAR(X$2)-YEAR($I5)&lt;20),$D5,YEAR(X$2)-YEAR($I5)=20,ROUND((DATE(YEAR($I5),12,31)-$I5+1)/365*$D5,2),YEAR(X$2)-YEAR($I5)&gt;20,0)</f>
        <v>2500</v>
      </c>
      <c r="Y5" s="48" cm="1">
        <f t="array" ref="Y5">_xlfn.IFS(YEAR(Y$2)&lt;YEAR($I5),0,YEAR(Y$2)=YEAR($I5),ROUND(((Y$2-$I5+1)/365)*$D5,2),AND(YEAR(Y$2)&gt;YEAR($I5),YEAR(Y$2)-YEAR($I5)&lt;20),$D5,YEAR(Y$2)-YEAR($I5)=20,ROUND((DATE(YEAR($I5),12,31)-$I5+1)/365*$D5,2),YEAR(Y$2)-YEAR($I5)&gt;20,0)</f>
        <v>2500</v>
      </c>
      <c r="Z5" s="48" cm="1">
        <f t="array" ref="Z5">_xlfn.IFS(YEAR(Z$2)&lt;YEAR($I5),0,YEAR(Z$2)=YEAR($I5),ROUND(((Z$2-$I5+1)/365)*$D5,2),AND(YEAR(Z$2)&gt;YEAR($I5),YEAR(Z$2)-YEAR($I5)&lt;20),$D5,YEAR(Z$2)-YEAR($I5)=20,ROUND((DATE(YEAR($I5),12,31)-$I5+1)/365*$D5,2),YEAR(Z$2)-YEAR($I5)&gt;20,0)</f>
        <v>2500</v>
      </c>
      <c r="AA5" s="48" cm="1">
        <f t="array" ref="AA5">_xlfn.IFS(YEAR(AA$2)&lt;YEAR($I5),0,YEAR(AA$2)=YEAR($I5),ROUND(((AA$2-$I5+1)/365)*$D5,2),AND(YEAR(AA$2)&gt;YEAR($I5),YEAR(AA$2)-YEAR($I5)&lt;20),$D5,YEAR(AA$2)-YEAR($I5)=20,ROUND((DATE(YEAR($I5),12,31)-$I5+1)/365*$D5,2),YEAR(AA$2)-YEAR($I5)&gt;20,0)</f>
        <v>2500</v>
      </c>
      <c r="AB5" s="48" cm="1">
        <f t="array" ref="AB5">_xlfn.IFS(YEAR(AB$2)&lt;YEAR($I5),0,YEAR(AB$2)=YEAR($I5),ROUND(((AB$2-$I5+1)/365)*$D5,2),AND(YEAR(AB$2)&gt;YEAR($I5),YEAR(AB$2)-YEAR($I5)&lt;20),$D5,YEAR(AB$2)-YEAR($I5)=20,ROUND((DATE(YEAR($I5),12,31)-$I5+1)/365*$D5,2),YEAR(AB$2)-YEAR($I5)&gt;20,0)</f>
        <v>2500</v>
      </c>
      <c r="AC5" s="48" cm="1">
        <f t="array" ref="AC5">_xlfn.IFS(YEAR(AC$2)&lt;YEAR($I5),0,YEAR(AC$2)=YEAR($I5),ROUND(((AC$2-$I5+1)/365)*$D5,2),AND(YEAR(AC$2)&gt;YEAR($I5),YEAR(AC$2)-YEAR($I5)&lt;20),$D5,YEAR(AC$2)-YEAR($I5)=20,ROUND((DATE(YEAR($I5),12,31)-$I5+1)/365*$D5,2),YEAR(AC$2)-YEAR($I5)&gt;20,0)</f>
        <v>2500</v>
      </c>
      <c r="AD5" s="48" cm="1">
        <f t="array" ref="AD5">_xlfn.IFS(YEAR(AD$2)&lt;YEAR($I5),0,YEAR(AD$2)=YEAR($I5),ROUND(((AD$2-$I5+1)/365)*$D5,2),AND(YEAR(AD$2)&gt;YEAR($I5),YEAR(AD$2)-YEAR($I5)&lt;20),$D5,YEAR(AD$2)-YEAR($I5)=20,ROUND((DATE(YEAR($I5),12,31)-$I5+1)/365*$D5,2),YEAR(AD$2)-YEAR($I5)&gt;20,0)</f>
        <v>2500</v>
      </c>
      <c r="AE5" s="48" cm="1">
        <f t="array" ref="AE5">_xlfn.IFS(YEAR(AE$2)&lt;YEAR($I5),0,YEAR(AE$2)=YEAR($I5),ROUND(((AE$2-$I5+1)/365)*$D5,2),AND(YEAR(AE$2)&gt;YEAR($I5),YEAR(AE$2)-YEAR($I5)&lt;20),$D5,YEAR(AE$2)-YEAR($I5)=20,ROUND((DATE(YEAR($I5),12,31)-$I5+1)/365*$D5,2),YEAR(AE$2)-YEAR($I5)&gt;20,0)</f>
        <v>116.44</v>
      </c>
      <c r="AF5" s="48" cm="1">
        <f t="array" ref="AF5">_xlfn.IFS(YEAR(AF$2)&lt;YEAR($I5),0,YEAR(AF$2)=YEAR($I5),ROUND(((AF$2-$I5+1)/365)*$D5,2),AND(YEAR(AF$2)&gt;YEAR($I5),YEAR(AF$2)-YEAR($I5)&lt;20),$D5,YEAR(AF$2)-YEAR($I5)=20,ROUND((DATE(YEAR($I5),12,31)-$I5+1)/365*$D5,2),YEAR(AF$2)-YEAR($I5)&gt;20,0)</f>
        <v>0</v>
      </c>
      <c r="AG5" s="48" cm="1">
        <f t="array" ref="AG5">_xlfn.IFS(YEAR(AG$2)&lt;YEAR($I5),0,YEAR(AG$2)=YEAR($I5),ROUND(((AG$2-$I5+1)/365)*$D5,2),AND(YEAR(AG$2)&gt;YEAR($I5),YEAR(AG$2)-YEAR($I5)&lt;20),$D5,YEAR(AG$2)-YEAR($I5)=20,ROUND((DATE(YEAR($I5),12,31)-$I5+1)/365*$D5,2),YEAR(AG$2)-YEAR($I5)&gt;20,0)</f>
        <v>0</v>
      </c>
      <c r="AH5" s="48" cm="1">
        <f t="array" ref="AH5">_xlfn.IFS(YEAR(AH$2)&lt;YEAR($I5),0,YEAR(AH$2)=YEAR($I5),ROUND(((AH$2-$I5+1)/365)*$D5,2),AND(YEAR(AH$2)&gt;YEAR($I5),YEAR(AH$2)-YEAR($I5)&lt;20),$D5,YEAR(AH$2)-YEAR($I5)=20,ROUND((DATE(YEAR($I5),12,31)-$I5+1)/365*$D5,2),YEAR(AH$2)-YEAR($I5)&gt;20,0)</f>
        <v>0</v>
      </c>
      <c r="AI5" s="48" cm="1">
        <f t="array" ref="AI5">_xlfn.IFS(YEAR(AI$2)&lt;YEAR($I5),0,YEAR(AI$2)=YEAR($I5),ROUND(((AI$2-$I5+1)/365)*$D5,2),AND(YEAR(AI$2)&gt;YEAR($I5),YEAR(AI$2)-YEAR($I5)&lt;20),$D5,YEAR(AI$2)-YEAR($I5)=20,ROUND((DATE(YEAR($I5),12,31)-$I5+1)/365*$D5,2),YEAR(AI$2)-YEAR($I5)&gt;20,0)</f>
        <v>0</v>
      </c>
      <c r="AJ5" s="48" cm="1">
        <f t="array" ref="AJ5">_xlfn.IFS(YEAR(AJ$2)&lt;YEAR($I5),0,YEAR(AJ$2)=YEAR($I5),ROUND(((AJ$2-$I5+1)/365)*$D5,2),AND(YEAR(AJ$2)&gt;YEAR($I5),YEAR(AJ$2)-YEAR($I5)&lt;20),$D5,YEAR(AJ$2)-YEAR($I5)=20,ROUND((DATE(YEAR($I5),12,31)-$I5+1)/365*$D5,2),YEAR(AJ$2)-YEAR($I5)&gt;20,0)</f>
        <v>0</v>
      </c>
      <c r="AK5" s="48" cm="1">
        <f t="array" ref="AK5">_xlfn.IFS(YEAR(AK$2)&lt;YEAR($I5),0,YEAR(AK$2)=YEAR($I5),ROUND(((AK$2-$I5+1)/365)*$D5,2),AND(YEAR(AK$2)&gt;YEAR($I5),YEAR(AK$2)-YEAR($I5)&lt;20),$D5,YEAR(AK$2)-YEAR($I5)=20,ROUND((DATE(YEAR($I5),12,31)-$I5+1)/365*$D5,2),YEAR(AK$2)-YEAR($I5)&gt;20,0)</f>
        <v>0</v>
      </c>
      <c r="AL5" s="48" cm="1">
        <f t="array" ref="AL5">_xlfn.IFS(YEAR(AL$2)&lt;YEAR($I5),0,YEAR(AL$2)=YEAR($I5),ROUND(((AL$2-$I5+1)/365)*$D5,2),AND(YEAR(AL$2)&gt;YEAR($I5),YEAR(AL$2)-YEAR($I5)&lt;20),$D5,YEAR(AL$2)-YEAR($I5)=20,ROUND((DATE(YEAR($I5),12,31)-$I5+1)/365*$D5,2),YEAR(AL$2)-YEAR($I5)&gt;20,0)</f>
        <v>0</v>
      </c>
      <c r="AM5" s="48" cm="1">
        <f t="array" ref="AM5">_xlfn.IFS(YEAR(AM$2)&lt;YEAR($I5),0,YEAR(AM$2)=YEAR($I5),ROUND(((AM$2-$I5+1)/365)*$D5,2),AND(YEAR(AM$2)&gt;YEAR($I5),YEAR(AM$2)-YEAR($I5)&lt;20),$D5,YEAR(AM$2)-YEAR($I5)=20,ROUND((DATE(YEAR($I5),12,31)-$I5+1)/365*$D5,2),YEAR(AM$2)-YEAR($I5)&gt;20,0)</f>
        <v>0</v>
      </c>
      <c r="AO5" s="48">
        <v>1</v>
      </c>
      <c r="AP5" s="4" t="s">
        <v>12</v>
      </c>
      <c r="AQ5" s="48" t="s">
        <v>75</v>
      </c>
      <c r="AR5" s="48" cm="1">
        <f t="array" ref="AR5">ROUND(SUMIFS(J$3:J$100,$E$3:$E$100,$AQ5,$F$3:$F$100,$AO5,$A$3:$A$100,$AP5)/1000,2) + ROUND(SUMPRODUCT(('Unallocated Scenarios'!$A$20:$A$39=$AP5)*(AR$2&gt;'Unallocated Scenarios'!$G$20:$G$39)*('Unallocated Scenarios'!$B$20:$B$39=$AO5)*('Unallocated Scenarios'!$C$20:$C$39=$AQ5)*'Unallocated Scenarios'!$D$20:$D$39)/1000,2)</f>
        <v>0</v>
      </c>
      <c r="AS5" s="48" cm="1">
        <f t="array" ref="AS5">ROUND(SUMIFS(K$3:K$100,$E$3:$E$100,$AQ5,$F$3:$F$100,$AO5,$A$3:$A$100,$AP5)/1000,2) + ROUND(SUMPRODUCT(('Unallocated Scenarios'!$A$20:$A$39=$AP5)*(AS$2&gt;'Unallocated Scenarios'!$G$20:$G$39)*('Unallocated Scenarios'!$B$20:$B$39=$AO5)*('Unallocated Scenarios'!$C$20:$C$39=$AQ5)*'Unallocated Scenarios'!$D$20:$D$39)/1000,2)</f>
        <v>0.28999999999999998</v>
      </c>
      <c r="AT5" s="48" cm="1">
        <f t="array" ref="AT5">ROUND(SUMIFS(L$3:L$100,$E$3:$E$100,$AQ5,$F$3:$F$100,$AO5,$A$3:$A$100,$AP5)/1000,2) + ROUND(SUMPRODUCT(('Unallocated Scenarios'!$A$20:$A$39=$AP5)*(AT$2&gt;'Unallocated Scenarios'!$G$20:$G$39)*('Unallocated Scenarios'!$B$20:$B$39=$AO5)*('Unallocated Scenarios'!$C$20:$C$39=$AQ5)*'Unallocated Scenarios'!$D$20:$D$39)/1000,2)</f>
        <v>0.8</v>
      </c>
      <c r="AU5" s="48" cm="1">
        <f t="array" ref="AU5">ROUND(SUMIFS(M$3:M$100,$E$3:$E$100,$AQ5,$F$3:$F$100,$AO5,$A$3:$A$100,$AP5)/1000,2) + ROUND(SUMPRODUCT(('Unallocated Scenarios'!$A$20:$A$39=$AP5)*(AU$2&gt;'Unallocated Scenarios'!$G$20:$G$39)*('Unallocated Scenarios'!$B$20:$B$39=$AO5)*('Unallocated Scenarios'!$C$20:$C$39=$AQ5)*'Unallocated Scenarios'!$D$20:$D$39)/1000,2)</f>
        <v>1.01</v>
      </c>
      <c r="AV5" s="48" cm="1">
        <f t="array" ref="AV5">ROUND(SUMIFS(N$3:N$100,$E$3:$E$100,$AQ5,$F$3:$F$100,$AO5,$A$3:$A$100,$AP5)/1000,2) + ROUND(SUMPRODUCT(('Unallocated Scenarios'!$A$20:$A$39=$AP5)*(AV$2&gt;'Unallocated Scenarios'!$G$20:$G$39)*('Unallocated Scenarios'!$B$20:$B$39=$AO5)*('Unallocated Scenarios'!$C$20:$C$39=$AQ5)*'Unallocated Scenarios'!$D$20:$D$39)/1000,2)</f>
        <v>2.04</v>
      </c>
      <c r="AW5" s="48" cm="1">
        <f t="array" ref="AW5">ROUND(SUMIFS(O$3:O$100,$E$3:$E$100,$AQ5,$F$3:$F$100,$AO5,$A$3:$A$100,$AP5)/1000,2) + ROUND(SUMPRODUCT(('Unallocated Scenarios'!$A$20:$A$39=$AP5)*(AW$2&gt;'Unallocated Scenarios'!$G$20:$G$39)*('Unallocated Scenarios'!$B$20:$B$39=$AO5)*('Unallocated Scenarios'!$C$20:$C$39=$AQ5)*'Unallocated Scenarios'!$D$20:$D$39)/1000,2)</f>
        <v>2.37</v>
      </c>
      <c r="AX5" s="48" cm="1">
        <f t="array" ref="AX5">ROUND(SUMIFS(P$3:P$100,$E$3:$E$100,$AQ5,$F$3:$F$100,$AO5,$A$3:$A$100,$AP5)/1000,2) + ROUND(SUMPRODUCT(('Unallocated Scenarios'!$A$20:$A$39=$AP5)*(AX$2&gt;'Unallocated Scenarios'!$G$20:$G$39)*('Unallocated Scenarios'!$B$20:$B$39=$AO5)*('Unallocated Scenarios'!$C$20:$C$39=$AQ5)*'Unallocated Scenarios'!$D$20:$D$39)/1000,2)</f>
        <v>2.37</v>
      </c>
      <c r="AY5" s="48" cm="1">
        <f t="array" ref="AY5">ROUND(SUMIFS(Q$3:Q$100,$E$3:$E$100,$AQ5,$F$3:$F$100,$AO5,$A$3:$A$100,$AP5)/1000,2) + ROUND(SUMPRODUCT(('Unallocated Scenarios'!$A$20:$A$39=$AP5)*(AY$2&gt;'Unallocated Scenarios'!$G$20:$G$39)*('Unallocated Scenarios'!$B$20:$B$39=$AO5)*('Unallocated Scenarios'!$C$20:$C$39=$AQ5)*'Unallocated Scenarios'!$D$20:$D$39)/1000,2)</f>
        <v>2.37</v>
      </c>
      <c r="AZ5" s="48" cm="1">
        <f t="array" ref="AZ5">ROUND(SUMIFS(R$3:R$100,$E$3:$E$100,$AQ5,$F$3:$F$100,$AO5,$A$3:$A$100,$AP5)/1000,2) + ROUND(SUMPRODUCT(('Unallocated Scenarios'!$A$20:$A$39=$AP5)*(AZ$2&gt;'Unallocated Scenarios'!$G$20:$G$39)*('Unallocated Scenarios'!$B$20:$B$39=$AO5)*('Unallocated Scenarios'!$C$20:$C$39=$AQ5)*'Unallocated Scenarios'!$D$20:$D$39)/1000,2)</f>
        <v>2.37</v>
      </c>
      <c r="BA5" s="48" cm="1">
        <f t="array" ref="BA5">ROUND(SUMIFS(S$3:S$100,$E$3:$E$100,$AQ5,$F$3:$F$100,$AO5,$A$3:$A$100,$AP5)/1000,2) + ROUND(SUMPRODUCT(('Unallocated Scenarios'!$A$20:$A$39=$AP5)*(BA$2&gt;'Unallocated Scenarios'!$G$20:$G$39)*('Unallocated Scenarios'!$B$20:$B$39=$AO5)*('Unallocated Scenarios'!$C$20:$C$39=$AQ5)*'Unallocated Scenarios'!$D$20:$D$39)/1000,2)</f>
        <v>2.37</v>
      </c>
      <c r="BB5" s="48" cm="1">
        <f t="array" ref="BB5">ROUND(SUMIFS(T$3:T$100,$E$3:$E$100,$AQ5,$F$3:$F$100,$AO5,$A$3:$A$100,$AP5)/1000,2) + ROUND(SUMPRODUCT(('Unallocated Scenarios'!$A$20:$A$39=$AP5)*(BB$2&gt;'Unallocated Scenarios'!$G$20:$G$39)*('Unallocated Scenarios'!$B$20:$B$39=$AO5)*('Unallocated Scenarios'!$C$20:$C$39=$AQ5)*'Unallocated Scenarios'!$D$20:$D$39)/1000,2)</f>
        <v>2.37</v>
      </c>
      <c r="BC5" s="48" cm="1">
        <f t="array" ref="BC5">ROUND(SUMIFS(U$3:U$100,$E$3:$E$100,$AQ5,$F$3:$F$100,$AO5,$A$3:$A$100,$AP5)/1000,2) + ROUND(SUMPRODUCT(('Unallocated Scenarios'!$A$20:$A$39=$AP5)*(BC$2&gt;'Unallocated Scenarios'!$G$20:$G$39)*('Unallocated Scenarios'!$B$20:$B$39=$AO5)*('Unallocated Scenarios'!$C$20:$C$39=$AQ5)*'Unallocated Scenarios'!$D$20:$D$39)/1000,2)</f>
        <v>2.37</v>
      </c>
      <c r="BD5" s="48" cm="1">
        <f t="array" ref="BD5">ROUND(SUMIFS(V$3:V$100,$E$3:$E$100,$AQ5,$F$3:$F$100,$AO5,$A$3:$A$100,$AP5)/1000,2) + ROUND(SUMPRODUCT(('Unallocated Scenarios'!$A$20:$A$39=$AP5)*(BD$2&gt;'Unallocated Scenarios'!$G$20:$G$39)*('Unallocated Scenarios'!$B$20:$B$39=$AO5)*('Unallocated Scenarios'!$C$20:$C$39=$AQ5)*'Unallocated Scenarios'!$D$20:$D$39)/1000,2)</f>
        <v>2.37</v>
      </c>
      <c r="BE5" s="48" cm="1">
        <f t="array" ref="BE5">ROUND(SUMIFS(W$3:W$100,$E$3:$E$100,$AQ5,$F$3:$F$100,$AO5,$A$3:$A$100,$AP5)/1000,2) + ROUND(SUMPRODUCT(('Unallocated Scenarios'!$A$20:$A$39=$AP5)*(BE$2&gt;'Unallocated Scenarios'!$G$20:$G$39)*('Unallocated Scenarios'!$B$20:$B$39=$AO5)*('Unallocated Scenarios'!$C$20:$C$39=$AQ5)*'Unallocated Scenarios'!$D$20:$D$39)/1000,2)</f>
        <v>2.37</v>
      </c>
      <c r="BF5" s="48" cm="1">
        <f t="array" ref="BF5">ROUND(SUMIFS(X$3:X$100,$E$3:$E$100,$AQ5,$F$3:$F$100,$AO5,$A$3:$A$100,$AP5)/1000,2) + ROUND(SUMPRODUCT(('Unallocated Scenarios'!$A$20:$A$39=$AP5)*(BF$2&gt;'Unallocated Scenarios'!$G$20:$G$39)*('Unallocated Scenarios'!$B$20:$B$39=$AO5)*('Unallocated Scenarios'!$C$20:$C$39=$AQ5)*'Unallocated Scenarios'!$D$20:$D$39)/1000,2)</f>
        <v>2.37</v>
      </c>
      <c r="BG5" s="48" cm="1">
        <f t="array" ref="BG5">ROUND(SUMIFS(Y$3:Y$100,$E$3:$E$100,$AQ5,$F$3:$F$100,$AO5,$A$3:$A$100,$AP5)/1000,2) + ROUND(SUMPRODUCT(('Unallocated Scenarios'!$A$20:$A$39=$AP5)*(BG$2&gt;'Unallocated Scenarios'!$G$20:$G$39)*('Unallocated Scenarios'!$B$20:$B$39=$AO5)*('Unallocated Scenarios'!$C$20:$C$39=$AQ5)*'Unallocated Scenarios'!$D$20:$D$39)/1000,2)</f>
        <v>2.37</v>
      </c>
      <c r="BH5" s="48" cm="1">
        <f t="array" ref="BH5">ROUND(SUMIFS(Z$3:Z$100,$E$3:$E$100,$AQ5,$F$3:$F$100,$AO5,$A$3:$A$100,$AP5)/1000,2) + ROUND(SUMPRODUCT(('Unallocated Scenarios'!$A$20:$A$39=$AP5)*(BH$2&gt;'Unallocated Scenarios'!$G$20:$G$39)*('Unallocated Scenarios'!$B$20:$B$39=$AO5)*('Unallocated Scenarios'!$C$20:$C$39=$AQ5)*'Unallocated Scenarios'!$D$20:$D$39)/1000,2)</f>
        <v>2.37</v>
      </c>
      <c r="BI5" s="48" cm="1">
        <f t="array" ref="BI5">ROUND(SUMIFS(AA$3:AA$100,$E$3:$E$100,$AQ5,$F$3:$F$100,$AO5,$A$3:$A$100,$AP5)/1000,2) + ROUND(SUMPRODUCT(('Unallocated Scenarios'!$A$20:$A$39=$AP5)*(BI$2&gt;'Unallocated Scenarios'!$G$20:$G$39)*('Unallocated Scenarios'!$B$20:$B$39=$AO5)*('Unallocated Scenarios'!$C$20:$C$39=$AQ5)*'Unallocated Scenarios'!$D$20:$D$39)/1000,2)</f>
        <v>2.37</v>
      </c>
      <c r="BJ5" s="48" cm="1">
        <f t="array" ref="BJ5">ROUND(SUMIFS(AB$3:AB$100,$E$3:$E$100,$AQ5,$F$3:$F$100,$AO5,$A$3:$A$100,$AP5)/1000,2) + ROUND(SUMPRODUCT(('Unallocated Scenarios'!$A$20:$A$39=$AP5)*(BJ$2&gt;'Unallocated Scenarios'!$G$20:$G$39)*('Unallocated Scenarios'!$B$20:$B$39=$AO5)*('Unallocated Scenarios'!$C$20:$C$39=$AQ5)*'Unallocated Scenarios'!$D$20:$D$39)/1000,2)</f>
        <v>2.37</v>
      </c>
      <c r="BK5" s="48" cm="1">
        <f t="array" ref="BK5">ROUND(SUMIFS(AC$3:AC$100,$E$3:$E$100,$AQ5,$F$3:$F$100,$AO5,$A$3:$A$100,$AP5)/1000,2) + ROUND(SUMPRODUCT(('Unallocated Scenarios'!$A$20:$A$39=$AP5)*(BK$2&gt;'Unallocated Scenarios'!$G$20:$G$39)*('Unallocated Scenarios'!$B$20:$B$39=$AO5)*('Unallocated Scenarios'!$C$20:$C$39=$AQ5)*'Unallocated Scenarios'!$D$20:$D$39)/1000,2)</f>
        <v>2.37</v>
      </c>
      <c r="BL5" s="48" cm="1">
        <f t="array" ref="BL5">ROUND(SUMIFS(AD$3:AD$100,$E$3:$E$100,$AQ5,$F$3:$F$100,$AO5,$A$3:$A$100,$AP5)/1000,2) + ROUND(SUMPRODUCT(('Unallocated Scenarios'!$A$20:$A$39=$AP5)*(BL$2&gt;'Unallocated Scenarios'!$G$20:$G$39)*('Unallocated Scenarios'!$B$20:$B$39=$AO5)*('Unallocated Scenarios'!$C$20:$C$39=$AQ5)*'Unallocated Scenarios'!$D$20:$D$39)/1000,2)</f>
        <v>2.37</v>
      </c>
      <c r="BM5" s="48" cm="1">
        <f t="array" ref="BM5">ROUND(SUMIFS(AE$3:AE$100,$E$3:$E$100,$AQ5,$F$3:$F$100,$AO5,$A$3:$A$100,$AP5)/1000,2) + ROUND(SUMPRODUCT(('Unallocated Scenarios'!$A$20:$A$39=$AP5)*(BM$2&gt;'Unallocated Scenarios'!$G$20:$G$39)*('Unallocated Scenarios'!$B$20:$B$39=$AO5)*('Unallocated Scenarios'!$C$20:$C$39=$AQ5)*'Unallocated Scenarios'!$D$20:$D$39)/1000,2)</f>
        <v>2.17</v>
      </c>
      <c r="BN5" s="48" cm="1">
        <f t="array" ref="BN5">ROUND(SUMIFS(AF$3:AF$100,$E$3:$E$100,$AQ5,$F$3:$F$100,$AO5,$A$3:$A$100,$AP5)/1000,2) + ROUND(SUMPRODUCT(('Unallocated Scenarios'!$A$20:$A$39=$AP5)*(BN$2&gt;'Unallocated Scenarios'!$G$20:$G$39)*('Unallocated Scenarios'!$B$20:$B$39=$AO5)*('Unallocated Scenarios'!$C$20:$C$39=$AQ5)*'Unallocated Scenarios'!$D$20:$D$39)/1000,2)</f>
        <v>1.67</v>
      </c>
      <c r="BO5" s="48" cm="1">
        <f t="array" ref="BO5">ROUND(SUMIFS(AG$3:AG$100,$E$3:$E$100,$AQ5,$F$3:$F$100,$AO5,$A$3:$A$100,$AP5)/1000,2) + ROUND(SUMPRODUCT(('Unallocated Scenarios'!$A$20:$A$39=$AP5)*(BO$2&gt;'Unallocated Scenarios'!$G$20:$G$39)*('Unallocated Scenarios'!$B$20:$B$39=$AO5)*('Unallocated Scenarios'!$C$20:$C$39=$AQ5)*'Unallocated Scenarios'!$D$20:$D$39)/1000,2)</f>
        <v>1.36</v>
      </c>
      <c r="BP5" s="48" cm="1">
        <f t="array" ref="BP5">ROUND(SUMIFS(AH$3:AH$100,$E$3:$E$100,$AQ5,$F$3:$F$100,$AO5,$A$3:$A$100,$AP5)/1000,2) + ROUND(SUMPRODUCT(('Unallocated Scenarios'!$A$20:$A$39=$AP5)*(BP$2&gt;'Unallocated Scenarios'!$G$20:$G$39)*('Unallocated Scenarios'!$B$20:$B$39=$AO5)*('Unallocated Scenarios'!$C$20:$C$39=$AQ5)*'Unallocated Scenarios'!$D$20:$D$39)/1000,2)</f>
        <v>1.03</v>
      </c>
      <c r="BQ5" s="48" cm="1">
        <f t="array" ref="BQ5">ROUND(SUMIFS(AI$3:AI$100,$E$3:$E$100,$AQ5,$F$3:$F$100,$AO5,$A$3:$A$100,$AP5)/1000,2) + ROUND(SUMPRODUCT(('Unallocated Scenarios'!$A$20:$A$39=$AP5)*(BQ$2&gt;'Unallocated Scenarios'!$G$20:$G$39)*('Unallocated Scenarios'!$B$20:$B$39=$AO5)*('Unallocated Scenarios'!$C$20:$C$39=$AQ5)*'Unallocated Scenarios'!$D$20:$D$39)/1000,2)</f>
        <v>0</v>
      </c>
      <c r="BR5" s="48" cm="1">
        <f t="array" ref="BR5">ROUND(SUMIFS(AJ$3:AJ$100,$E$3:$E$100,$AQ5,$F$3:$F$100,$AO5,$A$3:$A$100,$AP5)/1000,2) + ROUND(SUMPRODUCT(('Unallocated Scenarios'!$A$20:$A$39=$AP5)*(BR$2&gt;'Unallocated Scenarios'!$G$20:$G$39)*('Unallocated Scenarios'!$B$20:$B$39=$AO5)*('Unallocated Scenarios'!$C$20:$C$39=$AQ5)*'Unallocated Scenarios'!$D$20:$D$39)/1000,2)</f>
        <v>0</v>
      </c>
      <c r="BS5" s="48" cm="1">
        <f t="array" ref="BS5">ROUND(SUMIFS(AK$3:AK$100,$E$3:$E$100,$AQ5,$F$3:$F$100,$AO5,$A$3:$A$100,$AP5)/1000,2) + ROUND(SUMPRODUCT(('Unallocated Scenarios'!$A$20:$A$39=$AP5)*(BS$2&gt;'Unallocated Scenarios'!$G$20:$G$39)*('Unallocated Scenarios'!$B$20:$B$39=$AO5)*('Unallocated Scenarios'!$C$20:$C$39=$AQ5)*'Unallocated Scenarios'!$D$20:$D$39)/1000,2)</f>
        <v>0</v>
      </c>
      <c r="BT5" s="48" cm="1">
        <f t="array" ref="BT5">ROUND(SUMIFS(AL$3:AL$100,$E$3:$E$100,$AQ5,$F$3:$F$100,$AO5,$A$3:$A$100,$AP5)/1000,2) + ROUND(SUMPRODUCT(('Unallocated Scenarios'!$A$20:$A$39=$AP5)*(BT$2&gt;'Unallocated Scenarios'!$G$20:$G$39)*('Unallocated Scenarios'!$B$20:$B$39=$AO5)*('Unallocated Scenarios'!$C$20:$C$39=$AQ5)*'Unallocated Scenarios'!$D$20:$D$39)/1000,2)</f>
        <v>0</v>
      </c>
      <c r="BU5" s="48" cm="1">
        <f t="array" ref="BU5">ROUND(SUMIFS(AM$3:AM$100,$E$3:$E$100,$AQ5,$F$3:$F$100,$AO5,$A$3:$A$100,$AP5)/1000,2) + ROUND(SUMPRODUCT(('Unallocated Scenarios'!$A$20:$A$39=$AP5)*(BU$2&gt;'Unallocated Scenarios'!$G$20:$G$39)*('Unallocated Scenarios'!$B$20:$B$39=$AO5)*('Unallocated Scenarios'!$C$20:$C$39=$AQ5)*'Unallocated Scenarios'!$D$20:$D$39)/1000,2)</f>
        <v>0</v>
      </c>
    </row>
    <row r="6" spans="1:73">
      <c r="A6" s="155" t="str" cm="1">
        <f t="array" ref="A6">_xlfn.IFS(LEFT(C6,3)="PGE","PGE",LEFT(C6,2)="PP","PAC",TRUE,"IP")</f>
        <v>PGE</v>
      </c>
      <c r="B6" s="155" t="str">
        <f>IF(ISNA(MATCH(C6,'Monthly Report July 2025'!E:E,0)),"Missing","Present")</f>
        <v>Present</v>
      </c>
      <c r="C6" s="155" t="s">
        <v>112</v>
      </c>
      <c r="D6" s="176" cm="1">
        <f t="array" ref="D6">INDEX('Monthly Report July 2025'!L:L,MATCH(C6,'Monthly Report July 2025'!E:E,0),0)</f>
        <v>1848</v>
      </c>
      <c r="E6" s="176" t="str" cm="1">
        <f t="array" ref="E6">IF(INDEX('PA Fees by Project'!K:K,MATCH(C6,'PA Fees by Project'!E:E,0),0)="No","Non-Carve Out", "Carve Out")</f>
        <v>Non-Carve Out</v>
      </c>
      <c r="F6" s="176" cm="1">
        <f t="array" ref="F6">INDEX('PA Fees by Project'!J:J,MATCH(C6,'PA Fees by Project'!E:E,0),0)</f>
        <v>1</v>
      </c>
      <c r="G6" s="155" t="str" cm="1">
        <f t="array" ref="G6">INDEX('PA Fees by Project'!G:G,MATCH(C6,'PA Fees by Project'!E:E,0),0)</f>
        <v>Operational</v>
      </c>
      <c r="H6" s="175" cm="1">
        <f t="array" ref="H6">INDEX('PA Fees by Project'!Q:Q,MATCH(C6,'PA Fees by Project'!E:E,0),0)</f>
        <v>44256</v>
      </c>
      <c r="I6" s="156" cm="1">
        <f t="array" ref="I6">_xlfn.IFS(G6="Operational",H6,G6="Certified",EDATE(INDEX('PA Fees by Project'!R:R,MATCH(C6,'PA Fees by Project'!E:E,0),0),6),TRUE,EDATE(INDEX('PA Fees by Project'!O:O,MATCH(C6,'PA Fees by Project'!E:E,0),0),6))</f>
        <v>44256</v>
      </c>
      <c r="J6" s="48" cm="1">
        <f t="array" ref="J6">_xlfn.IFS(YEAR(J$2)&lt;YEAR($I6),0,YEAR(J$2)=YEAR($I6),ROUND(((J$2-$I6+1)/365)*$D6,2),AND(YEAR(J$2)&gt;YEAR($I6),YEAR(J$2)-YEAR($I6)&lt;20),$D6,YEAR(J$2)-YEAR($I6)=20,ROUND((DATE(YEAR($I6),12,31)-$I6+1)/365*$D6,2),YEAR(J$2)-YEAR($I6)&gt;20,0)</f>
        <v>1549.28</v>
      </c>
      <c r="K6" s="48" cm="1">
        <f t="array" ref="K6">_xlfn.IFS(YEAR(K$2)&lt;YEAR($I6),0,YEAR(K$2)=YEAR($I6),ROUND(((K$2-$I6+1)/365)*$D6,2),AND(YEAR(K$2)&gt;YEAR($I6),YEAR(K$2)-YEAR($I6)&lt;20),$D6,YEAR(K$2)-YEAR($I6)=20,ROUND((DATE(YEAR($I6),12,31)-$I6+1)/365*$D6,2),YEAR(K$2)-YEAR($I6)&gt;20,0)</f>
        <v>1848</v>
      </c>
      <c r="L6" s="48" cm="1">
        <f t="array" ref="L6">_xlfn.IFS(YEAR(L$2)&lt;YEAR($I6),0,YEAR(L$2)=YEAR($I6),ROUND(((L$2-$I6+1)/365)*$D6,2),AND(YEAR(L$2)&gt;YEAR($I6),YEAR(L$2)-YEAR($I6)&lt;20),$D6,YEAR(L$2)-YEAR($I6)=20,ROUND((DATE(YEAR($I6),12,31)-$I6+1)/365*$D6,2),YEAR(L$2)-YEAR($I6)&gt;20,0)</f>
        <v>1848</v>
      </c>
      <c r="M6" s="48" cm="1">
        <f t="array" ref="M6">_xlfn.IFS(YEAR(M$2)&lt;YEAR($I6),0,YEAR(M$2)=YEAR($I6),ROUND(((M$2-$I6+1)/365)*$D6,2),AND(YEAR(M$2)&gt;YEAR($I6),YEAR(M$2)-YEAR($I6)&lt;20),$D6,YEAR(M$2)-YEAR($I6)=20,ROUND((DATE(YEAR($I6),12,31)-$I6+1)/365*$D6,2),YEAR(M$2)-YEAR($I6)&gt;20,0)</f>
        <v>1848</v>
      </c>
      <c r="N6" s="48" cm="1">
        <f t="array" ref="N6">_xlfn.IFS(YEAR(N$2)&lt;YEAR($I6),0,YEAR(N$2)=YEAR($I6),ROUND(((N$2-$I6+1)/365)*$D6,2),AND(YEAR(N$2)&gt;YEAR($I6),YEAR(N$2)-YEAR($I6)&lt;20),$D6,YEAR(N$2)-YEAR($I6)=20,ROUND((DATE(YEAR($I6),12,31)-$I6+1)/365*$D6,2),YEAR(N$2)-YEAR($I6)&gt;20,0)</f>
        <v>1848</v>
      </c>
      <c r="O6" s="48" cm="1">
        <f t="array" ref="O6">_xlfn.IFS(YEAR(O$2)&lt;YEAR($I6),0,YEAR(O$2)=YEAR($I6),ROUND(((O$2-$I6+1)/365)*$D6,2),AND(YEAR(O$2)&gt;YEAR($I6),YEAR(O$2)-YEAR($I6)&lt;20),$D6,YEAR(O$2)-YEAR($I6)=20,ROUND((DATE(YEAR($I6),12,31)-$I6+1)/365*$D6,2),YEAR(O$2)-YEAR($I6)&gt;20,0)</f>
        <v>1848</v>
      </c>
      <c r="P6" s="48" cm="1">
        <f t="array" ref="P6">_xlfn.IFS(YEAR(P$2)&lt;YEAR($I6),0,YEAR(P$2)=YEAR($I6),ROUND(((P$2-$I6+1)/365)*$D6,2),AND(YEAR(P$2)&gt;YEAR($I6),YEAR(P$2)-YEAR($I6)&lt;20),$D6,YEAR(P$2)-YEAR($I6)=20,ROUND((DATE(YEAR($I6),12,31)-$I6+1)/365*$D6,2),YEAR(P$2)-YEAR($I6)&gt;20,0)</f>
        <v>1848</v>
      </c>
      <c r="Q6" s="48" cm="1">
        <f t="array" ref="Q6">_xlfn.IFS(YEAR(Q$2)&lt;YEAR($I6),0,YEAR(Q$2)=YEAR($I6),ROUND(((Q$2-$I6+1)/365)*$D6,2),AND(YEAR(Q$2)&gt;YEAR($I6),YEAR(Q$2)-YEAR($I6)&lt;20),$D6,YEAR(Q$2)-YEAR($I6)=20,ROUND((DATE(YEAR($I6),12,31)-$I6+1)/365*$D6,2),YEAR(Q$2)-YEAR($I6)&gt;20,0)</f>
        <v>1848</v>
      </c>
      <c r="R6" s="48" cm="1">
        <f t="array" ref="R6">_xlfn.IFS(YEAR(R$2)&lt;YEAR($I6),0,YEAR(R$2)=YEAR($I6),ROUND(((R$2-$I6+1)/365)*$D6,2),AND(YEAR(R$2)&gt;YEAR($I6),YEAR(R$2)-YEAR($I6)&lt;20),$D6,YEAR(R$2)-YEAR($I6)=20,ROUND((DATE(YEAR($I6),12,31)-$I6+1)/365*$D6,2),YEAR(R$2)-YEAR($I6)&gt;20,0)</f>
        <v>1848</v>
      </c>
      <c r="S6" s="48" cm="1">
        <f t="array" ref="S6">_xlfn.IFS(YEAR(S$2)&lt;YEAR($I6),0,YEAR(S$2)=YEAR($I6),ROUND(((S$2-$I6+1)/365)*$D6,2),AND(YEAR(S$2)&gt;YEAR($I6),YEAR(S$2)-YEAR($I6)&lt;20),$D6,YEAR(S$2)-YEAR($I6)=20,ROUND((DATE(YEAR($I6),12,31)-$I6+1)/365*$D6,2),YEAR(S$2)-YEAR($I6)&gt;20,0)</f>
        <v>1848</v>
      </c>
      <c r="T6" s="48" cm="1">
        <f t="array" ref="T6">_xlfn.IFS(YEAR(T$2)&lt;YEAR($I6),0,YEAR(T$2)=YEAR($I6),ROUND(((T$2-$I6+1)/365)*$D6,2),AND(YEAR(T$2)&gt;YEAR($I6),YEAR(T$2)-YEAR($I6)&lt;20),$D6,YEAR(T$2)-YEAR($I6)=20,ROUND((DATE(YEAR($I6),12,31)-$I6+1)/365*$D6,2),YEAR(T$2)-YEAR($I6)&gt;20,0)</f>
        <v>1848</v>
      </c>
      <c r="U6" s="48" cm="1">
        <f t="array" ref="U6">_xlfn.IFS(YEAR(U$2)&lt;YEAR($I6),0,YEAR(U$2)=YEAR($I6),ROUND(((U$2-$I6+1)/365)*$D6,2),AND(YEAR(U$2)&gt;YEAR($I6),YEAR(U$2)-YEAR($I6)&lt;20),$D6,YEAR(U$2)-YEAR($I6)=20,ROUND((DATE(YEAR($I6),12,31)-$I6+1)/365*$D6,2),YEAR(U$2)-YEAR($I6)&gt;20,0)</f>
        <v>1848</v>
      </c>
      <c r="V6" s="48" cm="1">
        <f t="array" ref="V6">_xlfn.IFS(YEAR(V$2)&lt;YEAR($I6),0,YEAR(V$2)=YEAR($I6),ROUND(((V$2-$I6+1)/365)*$D6,2),AND(YEAR(V$2)&gt;YEAR($I6),YEAR(V$2)-YEAR($I6)&lt;20),$D6,YEAR(V$2)-YEAR($I6)=20,ROUND((DATE(YEAR($I6),12,31)-$I6+1)/365*$D6,2),YEAR(V$2)-YEAR($I6)&gt;20,0)</f>
        <v>1848</v>
      </c>
      <c r="W6" s="48" cm="1">
        <f t="array" ref="W6">_xlfn.IFS(YEAR(W$2)&lt;YEAR($I6),0,YEAR(W$2)=YEAR($I6),ROUND(((W$2-$I6+1)/365)*$D6,2),AND(YEAR(W$2)&gt;YEAR($I6),YEAR(W$2)-YEAR($I6)&lt;20),$D6,YEAR(W$2)-YEAR($I6)=20,ROUND((DATE(YEAR($I6),12,31)-$I6+1)/365*$D6,2),YEAR(W$2)-YEAR($I6)&gt;20,0)</f>
        <v>1848</v>
      </c>
      <c r="X6" s="48" cm="1">
        <f t="array" ref="X6">_xlfn.IFS(YEAR(X$2)&lt;YEAR($I6),0,YEAR(X$2)=YEAR($I6),ROUND(((X$2-$I6+1)/365)*$D6,2),AND(YEAR(X$2)&gt;YEAR($I6),YEAR(X$2)-YEAR($I6)&lt;20),$D6,YEAR(X$2)-YEAR($I6)=20,ROUND((DATE(YEAR($I6),12,31)-$I6+1)/365*$D6,2),YEAR(X$2)-YEAR($I6)&gt;20,0)</f>
        <v>1848</v>
      </c>
      <c r="Y6" s="48" cm="1">
        <f t="array" ref="Y6">_xlfn.IFS(YEAR(Y$2)&lt;YEAR($I6),0,YEAR(Y$2)=YEAR($I6),ROUND(((Y$2-$I6+1)/365)*$D6,2),AND(YEAR(Y$2)&gt;YEAR($I6),YEAR(Y$2)-YEAR($I6)&lt;20),$D6,YEAR(Y$2)-YEAR($I6)=20,ROUND((DATE(YEAR($I6),12,31)-$I6+1)/365*$D6,2),YEAR(Y$2)-YEAR($I6)&gt;20,0)</f>
        <v>1848</v>
      </c>
      <c r="Z6" s="48" cm="1">
        <f t="array" ref="Z6">_xlfn.IFS(YEAR(Z$2)&lt;YEAR($I6),0,YEAR(Z$2)=YEAR($I6),ROUND(((Z$2-$I6+1)/365)*$D6,2),AND(YEAR(Z$2)&gt;YEAR($I6),YEAR(Z$2)-YEAR($I6)&lt;20),$D6,YEAR(Z$2)-YEAR($I6)=20,ROUND((DATE(YEAR($I6),12,31)-$I6+1)/365*$D6,2),YEAR(Z$2)-YEAR($I6)&gt;20,0)</f>
        <v>1848</v>
      </c>
      <c r="AA6" s="48" cm="1">
        <f t="array" ref="AA6">_xlfn.IFS(YEAR(AA$2)&lt;YEAR($I6),0,YEAR(AA$2)=YEAR($I6),ROUND(((AA$2-$I6+1)/365)*$D6,2),AND(YEAR(AA$2)&gt;YEAR($I6),YEAR(AA$2)-YEAR($I6)&lt;20),$D6,YEAR(AA$2)-YEAR($I6)=20,ROUND((DATE(YEAR($I6),12,31)-$I6+1)/365*$D6,2),YEAR(AA$2)-YEAR($I6)&gt;20,0)</f>
        <v>1848</v>
      </c>
      <c r="AB6" s="48" cm="1">
        <f t="array" ref="AB6">_xlfn.IFS(YEAR(AB$2)&lt;YEAR($I6),0,YEAR(AB$2)=YEAR($I6),ROUND(((AB$2-$I6+1)/365)*$D6,2),AND(YEAR(AB$2)&gt;YEAR($I6),YEAR(AB$2)-YEAR($I6)&lt;20),$D6,YEAR(AB$2)-YEAR($I6)=20,ROUND((DATE(YEAR($I6),12,31)-$I6+1)/365*$D6,2),YEAR(AB$2)-YEAR($I6)&gt;20,0)</f>
        <v>1848</v>
      </c>
      <c r="AC6" s="48" cm="1">
        <f t="array" ref="AC6">_xlfn.IFS(YEAR(AC$2)&lt;YEAR($I6),0,YEAR(AC$2)=YEAR($I6),ROUND(((AC$2-$I6+1)/365)*$D6,2),AND(YEAR(AC$2)&gt;YEAR($I6),YEAR(AC$2)-YEAR($I6)&lt;20),$D6,YEAR(AC$2)-YEAR($I6)=20,ROUND((DATE(YEAR($I6),12,31)-$I6+1)/365*$D6,2),YEAR(AC$2)-YEAR($I6)&gt;20,0)</f>
        <v>1848</v>
      </c>
      <c r="AD6" s="48" cm="1">
        <f t="array" ref="AD6">_xlfn.IFS(YEAR(AD$2)&lt;YEAR($I6),0,YEAR(AD$2)=YEAR($I6),ROUND(((AD$2-$I6+1)/365)*$D6,2),AND(YEAR(AD$2)&gt;YEAR($I6),YEAR(AD$2)-YEAR($I6)&lt;20),$D6,YEAR(AD$2)-YEAR($I6)=20,ROUND((DATE(YEAR($I6),12,31)-$I6+1)/365*$D6,2),YEAR(AD$2)-YEAR($I6)&gt;20,0)</f>
        <v>1549.28</v>
      </c>
      <c r="AE6" s="48" cm="1">
        <f t="array" ref="AE6">_xlfn.IFS(YEAR(AE$2)&lt;YEAR($I6),0,YEAR(AE$2)=YEAR($I6),ROUND(((AE$2-$I6+1)/365)*$D6,2),AND(YEAR(AE$2)&gt;YEAR($I6),YEAR(AE$2)-YEAR($I6)&lt;20),$D6,YEAR(AE$2)-YEAR($I6)=20,ROUND((DATE(YEAR($I6),12,31)-$I6+1)/365*$D6,2),YEAR(AE$2)-YEAR($I6)&gt;20,0)</f>
        <v>0</v>
      </c>
      <c r="AF6" s="48" cm="1">
        <f t="array" ref="AF6">_xlfn.IFS(YEAR(AF$2)&lt;YEAR($I6),0,YEAR(AF$2)=YEAR($I6),ROUND(((AF$2-$I6+1)/365)*$D6,2),AND(YEAR(AF$2)&gt;YEAR($I6),YEAR(AF$2)-YEAR($I6)&lt;20),$D6,YEAR(AF$2)-YEAR($I6)=20,ROUND((DATE(YEAR($I6),12,31)-$I6+1)/365*$D6,2),YEAR(AF$2)-YEAR($I6)&gt;20,0)</f>
        <v>0</v>
      </c>
      <c r="AG6" s="48" cm="1">
        <f t="array" ref="AG6">_xlfn.IFS(YEAR(AG$2)&lt;YEAR($I6),0,YEAR(AG$2)=YEAR($I6),ROUND(((AG$2-$I6+1)/365)*$D6,2),AND(YEAR(AG$2)&gt;YEAR($I6),YEAR(AG$2)-YEAR($I6)&lt;20),$D6,YEAR(AG$2)-YEAR($I6)=20,ROUND((DATE(YEAR($I6),12,31)-$I6+1)/365*$D6,2),YEAR(AG$2)-YEAR($I6)&gt;20,0)</f>
        <v>0</v>
      </c>
      <c r="AH6" s="48" cm="1">
        <f t="array" ref="AH6">_xlfn.IFS(YEAR(AH$2)&lt;YEAR($I6),0,YEAR(AH$2)=YEAR($I6),ROUND(((AH$2-$I6+1)/365)*$D6,2),AND(YEAR(AH$2)&gt;YEAR($I6),YEAR(AH$2)-YEAR($I6)&lt;20),$D6,YEAR(AH$2)-YEAR($I6)=20,ROUND((DATE(YEAR($I6),12,31)-$I6+1)/365*$D6,2),YEAR(AH$2)-YEAR($I6)&gt;20,0)</f>
        <v>0</v>
      </c>
      <c r="AI6" s="48" cm="1">
        <f t="array" ref="AI6">_xlfn.IFS(YEAR(AI$2)&lt;YEAR($I6),0,YEAR(AI$2)=YEAR($I6),ROUND(((AI$2-$I6+1)/365)*$D6,2),AND(YEAR(AI$2)&gt;YEAR($I6),YEAR(AI$2)-YEAR($I6)&lt;20),$D6,YEAR(AI$2)-YEAR($I6)=20,ROUND((DATE(YEAR($I6),12,31)-$I6+1)/365*$D6,2),YEAR(AI$2)-YEAR($I6)&gt;20,0)</f>
        <v>0</v>
      </c>
      <c r="AJ6" s="48" cm="1">
        <f t="array" ref="AJ6">_xlfn.IFS(YEAR(AJ$2)&lt;YEAR($I6),0,YEAR(AJ$2)=YEAR($I6),ROUND(((AJ$2-$I6+1)/365)*$D6,2),AND(YEAR(AJ$2)&gt;YEAR($I6),YEAR(AJ$2)-YEAR($I6)&lt;20),$D6,YEAR(AJ$2)-YEAR($I6)=20,ROUND((DATE(YEAR($I6),12,31)-$I6+1)/365*$D6,2),YEAR(AJ$2)-YEAR($I6)&gt;20,0)</f>
        <v>0</v>
      </c>
      <c r="AK6" s="48" cm="1">
        <f t="array" ref="AK6">_xlfn.IFS(YEAR(AK$2)&lt;YEAR($I6),0,YEAR(AK$2)=YEAR($I6),ROUND(((AK$2-$I6+1)/365)*$D6,2),AND(YEAR(AK$2)&gt;YEAR($I6),YEAR(AK$2)-YEAR($I6)&lt;20),$D6,YEAR(AK$2)-YEAR($I6)=20,ROUND((DATE(YEAR($I6),12,31)-$I6+1)/365*$D6,2),YEAR(AK$2)-YEAR($I6)&gt;20,0)</f>
        <v>0</v>
      </c>
      <c r="AL6" s="48" cm="1">
        <f t="array" ref="AL6">_xlfn.IFS(YEAR(AL$2)&lt;YEAR($I6),0,YEAR(AL$2)=YEAR($I6),ROUND(((AL$2-$I6+1)/365)*$D6,2),AND(YEAR(AL$2)&gt;YEAR($I6),YEAR(AL$2)-YEAR($I6)&lt;20),$D6,YEAR(AL$2)-YEAR($I6)=20,ROUND((DATE(YEAR($I6),12,31)-$I6+1)/365*$D6,2),YEAR(AL$2)-YEAR($I6)&gt;20,0)</f>
        <v>0</v>
      </c>
      <c r="AM6" s="48" cm="1">
        <f t="array" ref="AM6">_xlfn.IFS(YEAR(AM$2)&lt;YEAR($I6),0,YEAR(AM$2)=YEAR($I6),ROUND(((AM$2-$I6+1)/365)*$D6,2),AND(YEAR(AM$2)&gt;YEAR($I6),YEAR(AM$2)-YEAR($I6)&lt;20),$D6,YEAR(AM$2)-YEAR($I6)=20,ROUND((DATE(YEAR($I6),12,31)-$I6+1)/365*$D6,2),YEAR(AM$2)-YEAR($I6)&gt;20,0)</f>
        <v>0</v>
      </c>
      <c r="AO6" s="48">
        <v>1</v>
      </c>
      <c r="AP6" s="4" t="s">
        <v>12</v>
      </c>
      <c r="AQ6" s="48" t="s">
        <v>99</v>
      </c>
      <c r="AR6" s="48" cm="1">
        <f t="array" ref="AR6">ROUND(SUMIFS(J$3:J$100,$E$3:$E$100,$AQ6,$F$3:$F$100,$AO6,$A$3:$A$100,$AP6)/1000,2) + ROUND(SUMPRODUCT(('Unallocated Scenarios'!$A$20:$A$39=$AP6)*(AR$2&gt;'Unallocated Scenarios'!$G$20:$G$39)*('Unallocated Scenarios'!$B$20:$B$39=$AO6)*('Unallocated Scenarios'!$C$20:$C$39=$AQ6)*'Unallocated Scenarios'!$D$20:$D$39)/1000,2)</f>
        <v>0</v>
      </c>
      <c r="AS6" s="48" cm="1">
        <f t="array" ref="AS6">ROUND(SUMIFS(K$3:K$100,$E$3:$E$100,$AQ6,$F$3:$F$100,$AO6,$A$3:$A$100,$AP6)/1000,2) + ROUND(SUMPRODUCT(('Unallocated Scenarios'!$A$20:$A$39=$AP6)*(AS$2&gt;'Unallocated Scenarios'!$G$20:$G$39)*('Unallocated Scenarios'!$B$20:$B$39=$AO6)*('Unallocated Scenarios'!$C$20:$C$39=$AQ6)*'Unallocated Scenarios'!$D$20:$D$39)/1000,2)</f>
        <v>0</v>
      </c>
      <c r="AT6" s="48" cm="1">
        <f t="array" ref="AT6">ROUND(SUMIFS(L$3:L$100,$E$3:$E$100,$AQ6,$F$3:$F$100,$AO6,$A$3:$A$100,$AP6)/1000,2) + ROUND(SUMPRODUCT(('Unallocated Scenarios'!$A$20:$A$39=$AP6)*(AT$2&gt;'Unallocated Scenarios'!$G$20:$G$39)*('Unallocated Scenarios'!$B$20:$B$39=$AO6)*('Unallocated Scenarios'!$C$20:$C$39=$AQ6)*'Unallocated Scenarios'!$D$20:$D$39)/1000,2)</f>
        <v>0.37</v>
      </c>
      <c r="AU6" s="48" cm="1">
        <f t="array" ref="AU6">ROUND(SUMIFS(M$3:M$100,$E$3:$E$100,$AQ6,$F$3:$F$100,$AO6,$A$3:$A$100,$AP6)/1000,2) + ROUND(SUMPRODUCT(('Unallocated Scenarios'!$A$20:$A$39=$AP6)*(AU$2&gt;'Unallocated Scenarios'!$G$20:$G$39)*('Unallocated Scenarios'!$B$20:$B$39=$AO6)*('Unallocated Scenarios'!$C$20:$C$39=$AQ6)*'Unallocated Scenarios'!$D$20:$D$39)/1000,2)</f>
        <v>2.78</v>
      </c>
      <c r="AV6" s="48" cm="1">
        <f t="array" ref="AV6">ROUND(SUMIFS(N$3:N$100,$E$3:$E$100,$AQ6,$F$3:$F$100,$AO6,$A$3:$A$100,$AP6)/1000,2) + ROUND(SUMPRODUCT(('Unallocated Scenarios'!$A$20:$A$39=$AP6)*(AV$2&gt;'Unallocated Scenarios'!$G$20:$G$39)*('Unallocated Scenarios'!$B$20:$B$39=$AO6)*('Unallocated Scenarios'!$C$20:$C$39=$AQ6)*'Unallocated Scenarios'!$D$20:$D$39)/1000,2)</f>
        <v>11.13</v>
      </c>
      <c r="AW6" s="48" cm="1">
        <f t="array" ref="AW6">ROUND(SUMIFS(O$3:O$100,$E$3:$E$100,$AQ6,$F$3:$F$100,$AO6,$A$3:$A$100,$AP6)/1000,2) + ROUND(SUMPRODUCT(('Unallocated Scenarios'!$A$20:$A$39=$AP6)*(AW$2&gt;'Unallocated Scenarios'!$G$20:$G$39)*('Unallocated Scenarios'!$B$20:$B$39=$AO6)*('Unallocated Scenarios'!$C$20:$C$39=$AQ6)*'Unallocated Scenarios'!$D$20:$D$39)/1000,2)</f>
        <v>19.14</v>
      </c>
      <c r="AX6" s="48" cm="1">
        <f t="array" ref="AX6">ROUND(SUMIFS(P$3:P$100,$E$3:$E$100,$AQ6,$F$3:$F$100,$AO6,$A$3:$A$100,$AP6)/1000,2) + ROUND(SUMPRODUCT(('Unallocated Scenarios'!$A$20:$A$39=$AP6)*(AX$2&gt;'Unallocated Scenarios'!$G$20:$G$39)*('Unallocated Scenarios'!$B$20:$B$39=$AO6)*('Unallocated Scenarios'!$C$20:$C$39=$AQ6)*'Unallocated Scenarios'!$D$20:$D$39)/1000,2)</f>
        <v>19.84</v>
      </c>
      <c r="AY6" s="48" cm="1">
        <f t="array" ref="AY6">ROUND(SUMIFS(Q$3:Q$100,$E$3:$E$100,$AQ6,$F$3:$F$100,$AO6,$A$3:$A$100,$AP6)/1000,2) + ROUND(SUMPRODUCT(('Unallocated Scenarios'!$A$20:$A$39=$AP6)*(AY$2&gt;'Unallocated Scenarios'!$G$20:$G$39)*('Unallocated Scenarios'!$B$20:$B$39=$AO6)*('Unallocated Scenarios'!$C$20:$C$39=$AQ6)*'Unallocated Scenarios'!$D$20:$D$39)/1000,2)</f>
        <v>19.84</v>
      </c>
      <c r="AZ6" s="48" cm="1">
        <f t="array" ref="AZ6">ROUND(SUMIFS(R$3:R$100,$E$3:$E$100,$AQ6,$F$3:$F$100,$AO6,$A$3:$A$100,$AP6)/1000,2) + ROUND(SUMPRODUCT(('Unallocated Scenarios'!$A$20:$A$39=$AP6)*(AZ$2&gt;'Unallocated Scenarios'!$G$20:$G$39)*('Unallocated Scenarios'!$B$20:$B$39=$AO6)*('Unallocated Scenarios'!$C$20:$C$39=$AQ6)*'Unallocated Scenarios'!$D$20:$D$39)/1000,2)</f>
        <v>19.84</v>
      </c>
      <c r="BA6" s="48" cm="1">
        <f t="array" ref="BA6">ROUND(SUMIFS(S$3:S$100,$E$3:$E$100,$AQ6,$F$3:$F$100,$AO6,$A$3:$A$100,$AP6)/1000,2) + ROUND(SUMPRODUCT(('Unallocated Scenarios'!$A$20:$A$39=$AP6)*(BA$2&gt;'Unallocated Scenarios'!$G$20:$G$39)*('Unallocated Scenarios'!$B$20:$B$39=$AO6)*('Unallocated Scenarios'!$C$20:$C$39=$AQ6)*'Unallocated Scenarios'!$D$20:$D$39)/1000,2)</f>
        <v>19.84</v>
      </c>
      <c r="BB6" s="48" cm="1">
        <f t="array" ref="BB6">ROUND(SUMIFS(T$3:T$100,$E$3:$E$100,$AQ6,$F$3:$F$100,$AO6,$A$3:$A$100,$AP6)/1000,2) + ROUND(SUMPRODUCT(('Unallocated Scenarios'!$A$20:$A$39=$AP6)*(BB$2&gt;'Unallocated Scenarios'!$G$20:$G$39)*('Unallocated Scenarios'!$B$20:$B$39=$AO6)*('Unallocated Scenarios'!$C$20:$C$39=$AQ6)*'Unallocated Scenarios'!$D$20:$D$39)/1000,2)</f>
        <v>19.84</v>
      </c>
      <c r="BC6" s="48" cm="1">
        <f t="array" ref="BC6">ROUND(SUMIFS(U$3:U$100,$E$3:$E$100,$AQ6,$F$3:$F$100,$AO6,$A$3:$A$100,$AP6)/1000,2) + ROUND(SUMPRODUCT(('Unallocated Scenarios'!$A$20:$A$39=$AP6)*(BC$2&gt;'Unallocated Scenarios'!$G$20:$G$39)*('Unallocated Scenarios'!$B$20:$B$39=$AO6)*('Unallocated Scenarios'!$C$20:$C$39=$AQ6)*'Unallocated Scenarios'!$D$20:$D$39)/1000,2)</f>
        <v>19.84</v>
      </c>
      <c r="BD6" s="48" cm="1">
        <f t="array" ref="BD6">ROUND(SUMIFS(V$3:V$100,$E$3:$E$100,$AQ6,$F$3:$F$100,$AO6,$A$3:$A$100,$AP6)/1000,2) + ROUND(SUMPRODUCT(('Unallocated Scenarios'!$A$20:$A$39=$AP6)*(BD$2&gt;'Unallocated Scenarios'!$G$20:$G$39)*('Unallocated Scenarios'!$B$20:$B$39=$AO6)*('Unallocated Scenarios'!$C$20:$C$39=$AQ6)*'Unallocated Scenarios'!$D$20:$D$39)/1000,2)</f>
        <v>19.84</v>
      </c>
      <c r="BE6" s="48" cm="1">
        <f t="array" ref="BE6">ROUND(SUMIFS(W$3:W$100,$E$3:$E$100,$AQ6,$F$3:$F$100,$AO6,$A$3:$A$100,$AP6)/1000,2) + ROUND(SUMPRODUCT(('Unallocated Scenarios'!$A$20:$A$39=$AP6)*(BE$2&gt;'Unallocated Scenarios'!$G$20:$G$39)*('Unallocated Scenarios'!$B$20:$B$39=$AO6)*('Unallocated Scenarios'!$C$20:$C$39=$AQ6)*'Unallocated Scenarios'!$D$20:$D$39)/1000,2)</f>
        <v>19.84</v>
      </c>
      <c r="BF6" s="48" cm="1">
        <f t="array" ref="BF6">ROUND(SUMIFS(X$3:X$100,$E$3:$E$100,$AQ6,$F$3:$F$100,$AO6,$A$3:$A$100,$AP6)/1000,2) + ROUND(SUMPRODUCT(('Unallocated Scenarios'!$A$20:$A$39=$AP6)*(BF$2&gt;'Unallocated Scenarios'!$G$20:$G$39)*('Unallocated Scenarios'!$B$20:$B$39=$AO6)*('Unallocated Scenarios'!$C$20:$C$39=$AQ6)*'Unallocated Scenarios'!$D$20:$D$39)/1000,2)</f>
        <v>19.84</v>
      </c>
      <c r="BG6" s="48" cm="1">
        <f t="array" ref="BG6">ROUND(SUMIFS(Y$3:Y$100,$E$3:$E$100,$AQ6,$F$3:$F$100,$AO6,$A$3:$A$100,$AP6)/1000,2) + ROUND(SUMPRODUCT(('Unallocated Scenarios'!$A$20:$A$39=$AP6)*(BG$2&gt;'Unallocated Scenarios'!$G$20:$G$39)*('Unallocated Scenarios'!$B$20:$B$39=$AO6)*('Unallocated Scenarios'!$C$20:$C$39=$AQ6)*'Unallocated Scenarios'!$D$20:$D$39)/1000,2)</f>
        <v>19.84</v>
      </c>
      <c r="BH6" s="48" cm="1">
        <f t="array" ref="BH6">ROUND(SUMIFS(Z$3:Z$100,$E$3:$E$100,$AQ6,$F$3:$F$100,$AO6,$A$3:$A$100,$AP6)/1000,2) + ROUND(SUMPRODUCT(('Unallocated Scenarios'!$A$20:$A$39=$AP6)*(BH$2&gt;'Unallocated Scenarios'!$G$20:$G$39)*('Unallocated Scenarios'!$B$20:$B$39=$AO6)*('Unallocated Scenarios'!$C$20:$C$39=$AQ6)*'Unallocated Scenarios'!$D$20:$D$39)/1000,2)</f>
        <v>19.84</v>
      </c>
      <c r="BI6" s="48" cm="1">
        <f t="array" ref="BI6">ROUND(SUMIFS(AA$3:AA$100,$E$3:$E$100,$AQ6,$F$3:$F$100,$AO6,$A$3:$A$100,$AP6)/1000,2) + ROUND(SUMPRODUCT(('Unallocated Scenarios'!$A$20:$A$39=$AP6)*(BI$2&gt;'Unallocated Scenarios'!$G$20:$G$39)*('Unallocated Scenarios'!$B$20:$B$39=$AO6)*('Unallocated Scenarios'!$C$20:$C$39=$AQ6)*'Unallocated Scenarios'!$D$20:$D$39)/1000,2)</f>
        <v>19.84</v>
      </c>
      <c r="BJ6" s="48" cm="1">
        <f t="array" ref="BJ6">ROUND(SUMIFS(AB$3:AB$100,$E$3:$E$100,$AQ6,$F$3:$F$100,$AO6,$A$3:$A$100,$AP6)/1000,2) + ROUND(SUMPRODUCT(('Unallocated Scenarios'!$A$20:$A$39=$AP6)*(BJ$2&gt;'Unallocated Scenarios'!$G$20:$G$39)*('Unallocated Scenarios'!$B$20:$B$39=$AO6)*('Unallocated Scenarios'!$C$20:$C$39=$AQ6)*'Unallocated Scenarios'!$D$20:$D$39)/1000,2)</f>
        <v>19.84</v>
      </c>
      <c r="BK6" s="48" cm="1">
        <f t="array" ref="BK6">ROUND(SUMIFS(AC$3:AC$100,$E$3:$E$100,$AQ6,$F$3:$F$100,$AO6,$A$3:$A$100,$AP6)/1000,2) + ROUND(SUMPRODUCT(('Unallocated Scenarios'!$A$20:$A$39=$AP6)*(BK$2&gt;'Unallocated Scenarios'!$G$20:$G$39)*('Unallocated Scenarios'!$B$20:$B$39=$AO6)*('Unallocated Scenarios'!$C$20:$C$39=$AQ6)*'Unallocated Scenarios'!$D$20:$D$39)/1000,2)</f>
        <v>19.84</v>
      </c>
      <c r="BL6" s="48" cm="1">
        <f t="array" ref="BL6">ROUND(SUMIFS(AD$3:AD$100,$E$3:$E$100,$AQ6,$F$3:$F$100,$AO6,$A$3:$A$100,$AP6)/1000,2) + ROUND(SUMPRODUCT(('Unallocated Scenarios'!$A$20:$A$39=$AP6)*(BL$2&gt;'Unallocated Scenarios'!$G$20:$G$39)*('Unallocated Scenarios'!$B$20:$B$39=$AO6)*('Unallocated Scenarios'!$C$20:$C$39=$AQ6)*'Unallocated Scenarios'!$D$20:$D$39)/1000,2)</f>
        <v>19.84</v>
      </c>
      <c r="BM6" s="48" cm="1">
        <f t="array" ref="BM6">ROUND(SUMIFS(AE$3:AE$100,$E$3:$E$100,$AQ6,$F$3:$F$100,$AO6,$A$3:$A$100,$AP6)/1000,2) + ROUND(SUMPRODUCT(('Unallocated Scenarios'!$A$20:$A$39=$AP6)*(BM$2&gt;'Unallocated Scenarios'!$G$20:$G$39)*('Unallocated Scenarios'!$B$20:$B$39=$AO6)*('Unallocated Scenarios'!$C$20:$C$39=$AQ6)*'Unallocated Scenarios'!$D$20:$D$39)/1000,2)</f>
        <v>19.84</v>
      </c>
      <c r="BN6" s="48" cm="1">
        <f t="array" ref="BN6">ROUND(SUMIFS(AF$3:AF$100,$E$3:$E$100,$AQ6,$F$3:$F$100,$AO6,$A$3:$A$100,$AP6)/1000,2) + ROUND(SUMPRODUCT(('Unallocated Scenarios'!$A$20:$A$39=$AP6)*(BN$2&gt;'Unallocated Scenarios'!$G$20:$G$39)*('Unallocated Scenarios'!$B$20:$B$39=$AO6)*('Unallocated Scenarios'!$C$20:$C$39=$AQ6)*'Unallocated Scenarios'!$D$20:$D$39)/1000,2)</f>
        <v>19.329999999999998</v>
      </c>
      <c r="BO6" s="48" cm="1">
        <f t="array" ref="BO6">ROUND(SUMIFS(AG$3:AG$100,$E$3:$E$100,$AQ6,$F$3:$F$100,$AO6,$A$3:$A$100,$AP6)/1000,2) + ROUND(SUMPRODUCT(('Unallocated Scenarios'!$A$20:$A$39=$AP6)*(BO$2&gt;'Unallocated Scenarios'!$G$20:$G$39)*('Unallocated Scenarios'!$B$20:$B$39=$AO6)*('Unallocated Scenarios'!$C$20:$C$39=$AQ6)*'Unallocated Scenarios'!$D$20:$D$39)/1000,2)</f>
        <v>17.079999999999998</v>
      </c>
      <c r="BP6" s="48" cm="1">
        <f t="array" ref="BP6">ROUND(SUMIFS(AH$3:AH$100,$E$3:$E$100,$AQ6,$F$3:$F$100,$AO6,$A$3:$A$100,$AP6)/1000,2) + ROUND(SUMPRODUCT(('Unallocated Scenarios'!$A$20:$A$39=$AP6)*(BP$2&gt;'Unallocated Scenarios'!$G$20:$G$39)*('Unallocated Scenarios'!$B$20:$B$39=$AO6)*('Unallocated Scenarios'!$C$20:$C$39=$AQ6)*'Unallocated Scenarios'!$D$20:$D$39)/1000,2)</f>
        <v>8.6</v>
      </c>
      <c r="BQ6" s="48" cm="1">
        <f t="array" ref="BQ6">ROUND(SUMIFS(AI$3:AI$100,$E$3:$E$100,$AQ6,$F$3:$F$100,$AO6,$A$3:$A$100,$AP6)/1000,2) + ROUND(SUMPRODUCT(('Unallocated Scenarios'!$A$20:$A$39=$AP6)*(BQ$2&gt;'Unallocated Scenarios'!$G$20:$G$39)*('Unallocated Scenarios'!$B$20:$B$39=$AO6)*('Unallocated Scenarios'!$C$20:$C$39=$AQ6)*'Unallocated Scenarios'!$D$20:$D$39)/1000,2)</f>
        <v>1.43</v>
      </c>
      <c r="BR6" s="48" cm="1">
        <f t="array" ref="BR6">ROUND(SUMIFS(AJ$3:AJ$100,$E$3:$E$100,$AQ6,$F$3:$F$100,$AO6,$A$3:$A$100,$AP6)/1000,2) + ROUND(SUMPRODUCT(('Unallocated Scenarios'!$A$20:$A$39=$AP6)*(BR$2&gt;'Unallocated Scenarios'!$G$20:$G$39)*('Unallocated Scenarios'!$B$20:$B$39=$AO6)*('Unallocated Scenarios'!$C$20:$C$39=$AQ6)*'Unallocated Scenarios'!$D$20:$D$39)/1000,2)</f>
        <v>0</v>
      </c>
      <c r="BS6" s="48" cm="1">
        <f t="array" ref="BS6">ROUND(SUMIFS(AK$3:AK$100,$E$3:$E$100,$AQ6,$F$3:$F$100,$AO6,$A$3:$A$100,$AP6)/1000,2) + ROUND(SUMPRODUCT(('Unallocated Scenarios'!$A$20:$A$39=$AP6)*(BS$2&gt;'Unallocated Scenarios'!$G$20:$G$39)*('Unallocated Scenarios'!$B$20:$B$39=$AO6)*('Unallocated Scenarios'!$C$20:$C$39=$AQ6)*'Unallocated Scenarios'!$D$20:$D$39)/1000,2)</f>
        <v>0</v>
      </c>
      <c r="BT6" s="48" cm="1">
        <f t="array" ref="BT6">ROUND(SUMIFS(AL$3:AL$100,$E$3:$E$100,$AQ6,$F$3:$F$100,$AO6,$A$3:$A$100,$AP6)/1000,2) + ROUND(SUMPRODUCT(('Unallocated Scenarios'!$A$20:$A$39=$AP6)*(BT$2&gt;'Unallocated Scenarios'!$G$20:$G$39)*('Unallocated Scenarios'!$B$20:$B$39=$AO6)*('Unallocated Scenarios'!$C$20:$C$39=$AQ6)*'Unallocated Scenarios'!$D$20:$D$39)/1000,2)</f>
        <v>0</v>
      </c>
      <c r="BU6" s="48" cm="1">
        <f t="array" ref="BU6">ROUND(SUMIFS(AM$3:AM$100,$E$3:$E$100,$AQ6,$F$3:$F$100,$AO6,$A$3:$A$100,$AP6)/1000,2) + ROUND(SUMPRODUCT(('Unallocated Scenarios'!$A$20:$A$39=$AP6)*(BU$2&gt;'Unallocated Scenarios'!$G$20:$G$39)*('Unallocated Scenarios'!$B$20:$B$39=$AO6)*('Unallocated Scenarios'!$C$20:$C$39=$AQ6)*'Unallocated Scenarios'!$D$20:$D$39)/1000,2)</f>
        <v>0</v>
      </c>
    </row>
    <row r="7" spans="1:73">
      <c r="A7" s="155" t="str" cm="1">
        <f t="array" ref="A7">_xlfn.IFS(LEFT(C7,3)="PGE","PGE",LEFT(C7,2)="PP","PAC",TRUE,"IP")</f>
        <v>PGE</v>
      </c>
      <c r="B7" s="155" t="str">
        <f>IF(ISNA(MATCH(C7,'Monthly Report July 2025'!E:E,0)),"Missing","Present")</f>
        <v>Present</v>
      </c>
      <c r="C7" s="155" t="s">
        <v>113</v>
      </c>
      <c r="D7" s="176" cm="1">
        <f t="array" ref="D7">INDEX('Monthly Report July 2025'!L:L,MATCH(C7,'Monthly Report July 2025'!E:E,0),0)</f>
        <v>1750</v>
      </c>
      <c r="E7" s="176" t="str" cm="1">
        <f t="array" ref="E7">IF(INDEX('PA Fees by Project'!K:K,MATCH(C7,'PA Fees by Project'!E:E,0),0)="No","Non-Carve Out", "Carve Out")</f>
        <v>Non-Carve Out</v>
      </c>
      <c r="F7" s="176" cm="1">
        <f t="array" ref="F7">INDEX('PA Fees by Project'!J:J,MATCH(C7,'PA Fees by Project'!E:E,0),0)</f>
        <v>1</v>
      </c>
      <c r="G7" s="155" t="str" cm="1">
        <f t="array" ref="G7">INDEX('PA Fees by Project'!G:G,MATCH(C7,'PA Fees by Project'!E:E,0),0)</f>
        <v>Operational</v>
      </c>
      <c r="H7" s="175" cm="1">
        <f t="array" ref="H7">INDEX('PA Fees by Project'!Q:Q,MATCH(C7,'PA Fees by Project'!E:E,0),0)</f>
        <v>44910</v>
      </c>
      <c r="I7" s="156" cm="1">
        <f t="array" ref="I7">_xlfn.IFS(G7="Operational",H7,G7="Certified",EDATE(INDEX('PA Fees by Project'!R:R,MATCH(C7,'PA Fees by Project'!E:E,0),0),6),TRUE,EDATE(INDEX('PA Fees by Project'!O:O,MATCH(C7,'PA Fees by Project'!E:E,0),0),6))</f>
        <v>44910</v>
      </c>
      <c r="J7" s="48" cm="1">
        <f t="array" ref="J7">_xlfn.IFS(YEAR(J$2)&lt;YEAR($I7),0,YEAR(J$2)=YEAR($I7),ROUND(((J$2-$I7+1)/365)*$D7,2),AND(YEAR(J$2)&gt;YEAR($I7),YEAR(J$2)-YEAR($I7)&lt;20),$D7,YEAR(J$2)-YEAR($I7)=20,ROUND((DATE(YEAR($I7),12,31)-$I7+1)/365*$D7,2),YEAR(J$2)-YEAR($I7)&gt;20,0)</f>
        <v>0</v>
      </c>
      <c r="K7" s="48" cm="1">
        <f t="array" ref="K7">_xlfn.IFS(YEAR(K$2)&lt;YEAR($I7),0,YEAR(K$2)=YEAR($I7),ROUND(((K$2-$I7+1)/365)*$D7,2),AND(YEAR(K$2)&gt;YEAR($I7),YEAR(K$2)-YEAR($I7)&lt;20),$D7,YEAR(K$2)-YEAR($I7)=20,ROUND((DATE(YEAR($I7),12,31)-$I7+1)/365*$D7,2),YEAR(K$2)-YEAR($I7)&gt;20,0)</f>
        <v>81.510000000000005</v>
      </c>
      <c r="L7" s="48" cm="1">
        <f t="array" ref="L7">_xlfn.IFS(YEAR(L$2)&lt;YEAR($I7),0,YEAR(L$2)=YEAR($I7),ROUND(((L$2-$I7+1)/365)*$D7,2),AND(YEAR(L$2)&gt;YEAR($I7),YEAR(L$2)-YEAR($I7)&lt;20),$D7,YEAR(L$2)-YEAR($I7)=20,ROUND((DATE(YEAR($I7),12,31)-$I7+1)/365*$D7,2),YEAR(L$2)-YEAR($I7)&gt;20,0)</f>
        <v>1750</v>
      </c>
      <c r="M7" s="48" cm="1">
        <f t="array" ref="M7">_xlfn.IFS(YEAR(M$2)&lt;YEAR($I7),0,YEAR(M$2)=YEAR($I7),ROUND(((M$2-$I7+1)/365)*$D7,2),AND(YEAR(M$2)&gt;YEAR($I7),YEAR(M$2)-YEAR($I7)&lt;20),$D7,YEAR(M$2)-YEAR($I7)=20,ROUND((DATE(YEAR($I7),12,31)-$I7+1)/365*$D7,2),YEAR(M$2)-YEAR($I7)&gt;20,0)</f>
        <v>1750</v>
      </c>
      <c r="N7" s="48" cm="1">
        <f t="array" ref="N7">_xlfn.IFS(YEAR(N$2)&lt;YEAR($I7),0,YEAR(N$2)=YEAR($I7),ROUND(((N$2-$I7+1)/365)*$D7,2),AND(YEAR(N$2)&gt;YEAR($I7),YEAR(N$2)-YEAR($I7)&lt;20),$D7,YEAR(N$2)-YEAR($I7)=20,ROUND((DATE(YEAR($I7),12,31)-$I7+1)/365*$D7,2),YEAR(N$2)-YEAR($I7)&gt;20,0)</f>
        <v>1750</v>
      </c>
      <c r="O7" s="48" cm="1">
        <f t="array" ref="O7">_xlfn.IFS(YEAR(O$2)&lt;YEAR($I7),0,YEAR(O$2)=YEAR($I7),ROUND(((O$2-$I7+1)/365)*$D7,2),AND(YEAR(O$2)&gt;YEAR($I7),YEAR(O$2)-YEAR($I7)&lt;20),$D7,YEAR(O$2)-YEAR($I7)=20,ROUND((DATE(YEAR($I7),12,31)-$I7+1)/365*$D7,2),YEAR(O$2)-YEAR($I7)&gt;20,0)</f>
        <v>1750</v>
      </c>
      <c r="P7" s="48" cm="1">
        <f t="array" ref="P7">_xlfn.IFS(YEAR(P$2)&lt;YEAR($I7),0,YEAR(P$2)=YEAR($I7),ROUND(((P$2-$I7+1)/365)*$D7,2),AND(YEAR(P$2)&gt;YEAR($I7),YEAR(P$2)-YEAR($I7)&lt;20),$D7,YEAR(P$2)-YEAR($I7)=20,ROUND((DATE(YEAR($I7),12,31)-$I7+1)/365*$D7,2),YEAR(P$2)-YEAR($I7)&gt;20,0)</f>
        <v>1750</v>
      </c>
      <c r="Q7" s="48" cm="1">
        <f t="array" ref="Q7">_xlfn.IFS(YEAR(Q$2)&lt;YEAR($I7),0,YEAR(Q$2)=YEAR($I7),ROUND(((Q$2-$I7+1)/365)*$D7,2),AND(YEAR(Q$2)&gt;YEAR($I7),YEAR(Q$2)-YEAR($I7)&lt;20),$D7,YEAR(Q$2)-YEAR($I7)=20,ROUND((DATE(YEAR($I7),12,31)-$I7+1)/365*$D7,2),YEAR(Q$2)-YEAR($I7)&gt;20,0)</f>
        <v>1750</v>
      </c>
      <c r="R7" s="48" cm="1">
        <f t="array" ref="R7">_xlfn.IFS(YEAR(R$2)&lt;YEAR($I7),0,YEAR(R$2)=YEAR($I7),ROUND(((R$2-$I7+1)/365)*$D7,2),AND(YEAR(R$2)&gt;YEAR($I7),YEAR(R$2)-YEAR($I7)&lt;20),$D7,YEAR(R$2)-YEAR($I7)=20,ROUND((DATE(YEAR($I7),12,31)-$I7+1)/365*$D7,2),YEAR(R$2)-YEAR($I7)&gt;20,0)</f>
        <v>1750</v>
      </c>
      <c r="S7" s="48" cm="1">
        <f t="array" ref="S7">_xlfn.IFS(YEAR(S$2)&lt;YEAR($I7),0,YEAR(S$2)=YEAR($I7),ROUND(((S$2-$I7+1)/365)*$D7,2),AND(YEAR(S$2)&gt;YEAR($I7),YEAR(S$2)-YEAR($I7)&lt;20),$D7,YEAR(S$2)-YEAR($I7)=20,ROUND((DATE(YEAR($I7),12,31)-$I7+1)/365*$D7,2),YEAR(S$2)-YEAR($I7)&gt;20,0)</f>
        <v>1750</v>
      </c>
      <c r="T7" s="48" cm="1">
        <f t="array" ref="T7">_xlfn.IFS(YEAR(T$2)&lt;YEAR($I7),0,YEAR(T$2)=YEAR($I7),ROUND(((T$2-$I7+1)/365)*$D7,2),AND(YEAR(T$2)&gt;YEAR($I7),YEAR(T$2)-YEAR($I7)&lt;20),$D7,YEAR(T$2)-YEAR($I7)=20,ROUND((DATE(YEAR($I7),12,31)-$I7+1)/365*$D7,2),YEAR(T$2)-YEAR($I7)&gt;20,0)</f>
        <v>1750</v>
      </c>
      <c r="U7" s="48" cm="1">
        <f t="array" ref="U7">_xlfn.IFS(YEAR(U$2)&lt;YEAR($I7),0,YEAR(U$2)=YEAR($I7),ROUND(((U$2-$I7+1)/365)*$D7,2),AND(YEAR(U$2)&gt;YEAR($I7),YEAR(U$2)-YEAR($I7)&lt;20),$D7,YEAR(U$2)-YEAR($I7)=20,ROUND((DATE(YEAR($I7),12,31)-$I7+1)/365*$D7,2),YEAR(U$2)-YEAR($I7)&gt;20,0)</f>
        <v>1750</v>
      </c>
      <c r="V7" s="48" cm="1">
        <f t="array" ref="V7">_xlfn.IFS(YEAR(V$2)&lt;YEAR($I7),0,YEAR(V$2)=YEAR($I7),ROUND(((V$2-$I7+1)/365)*$D7,2),AND(YEAR(V$2)&gt;YEAR($I7),YEAR(V$2)-YEAR($I7)&lt;20),$D7,YEAR(V$2)-YEAR($I7)=20,ROUND((DATE(YEAR($I7),12,31)-$I7+1)/365*$D7,2),YEAR(V$2)-YEAR($I7)&gt;20,0)</f>
        <v>1750</v>
      </c>
      <c r="W7" s="48" cm="1">
        <f t="array" ref="W7">_xlfn.IFS(YEAR(W$2)&lt;YEAR($I7),0,YEAR(W$2)=YEAR($I7),ROUND(((W$2-$I7+1)/365)*$D7,2),AND(YEAR(W$2)&gt;YEAR($I7),YEAR(W$2)-YEAR($I7)&lt;20),$D7,YEAR(W$2)-YEAR($I7)=20,ROUND((DATE(YEAR($I7),12,31)-$I7+1)/365*$D7,2),YEAR(W$2)-YEAR($I7)&gt;20,0)</f>
        <v>1750</v>
      </c>
      <c r="X7" s="48" cm="1">
        <f t="array" ref="X7">_xlfn.IFS(YEAR(X$2)&lt;YEAR($I7),0,YEAR(X$2)=YEAR($I7),ROUND(((X$2-$I7+1)/365)*$D7,2),AND(YEAR(X$2)&gt;YEAR($I7),YEAR(X$2)-YEAR($I7)&lt;20),$D7,YEAR(X$2)-YEAR($I7)=20,ROUND((DATE(YEAR($I7),12,31)-$I7+1)/365*$D7,2),YEAR(X$2)-YEAR($I7)&gt;20,0)</f>
        <v>1750</v>
      </c>
      <c r="Y7" s="48" cm="1">
        <f t="array" ref="Y7">_xlfn.IFS(YEAR(Y$2)&lt;YEAR($I7),0,YEAR(Y$2)=YEAR($I7),ROUND(((Y$2-$I7+1)/365)*$D7,2),AND(YEAR(Y$2)&gt;YEAR($I7),YEAR(Y$2)-YEAR($I7)&lt;20),$D7,YEAR(Y$2)-YEAR($I7)=20,ROUND((DATE(YEAR($I7),12,31)-$I7+1)/365*$D7,2),YEAR(Y$2)-YEAR($I7)&gt;20,0)</f>
        <v>1750</v>
      </c>
      <c r="Z7" s="48" cm="1">
        <f t="array" ref="Z7">_xlfn.IFS(YEAR(Z$2)&lt;YEAR($I7),0,YEAR(Z$2)=YEAR($I7),ROUND(((Z$2-$I7+1)/365)*$D7,2),AND(YEAR(Z$2)&gt;YEAR($I7),YEAR(Z$2)-YEAR($I7)&lt;20),$D7,YEAR(Z$2)-YEAR($I7)=20,ROUND((DATE(YEAR($I7),12,31)-$I7+1)/365*$D7,2),YEAR(Z$2)-YEAR($I7)&gt;20,0)</f>
        <v>1750</v>
      </c>
      <c r="AA7" s="48" cm="1">
        <f t="array" ref="AA7">_xlfn.IFS(YEAR(AA$2)&lt;YEAR($I7),0,YEAR(AA$2)=YEAR($I7),ROUND(((AA$2-$I7+1)/365)*$D7,2),AND(YEAR(AA$2)&gt;YEAR($I7),YEAR(AA$2)-YEAR($I7)&lt;20),$D7,YEAR(AA$2)-YEAR($I7)=20,ROUND((DATE(YEAR($I7),12,31)-$I7+1)/365*$D7,2),YEAR(AA$2)-YEAR($I7)&gt;20,0)</f>
        <v>1750</v>
      </c>
      <c r="AB7" s="48" cm="1">
        <f t="array" ref="AB7">_xlfn.IFS(YEAR(AB$2)&lt;YEAR($I7),0,YEAR(AB$2)=YEAR($I7),ROUND(((AB$2-$I7+1)/365)*$D7,2),AND(YEAR(AB$2)&gt;YEAR($I7),YEAR(AB$2)-YEAR($I7)&lt;20),$D7,YEAR(AB$2)-YEAR($I7)=20,ROUND((DATE(YEAR($I7),12,31)-$I7+1)/365*$D7,2),YEAR(AB$2)-YEAR($I7)&gt;20,0)</f>
        <v>1750</v>
      </c>
      <c r="AC7" s="48" cm="1">
        <f t="array" ref="AC7">_xlfn.IFS(YEAR(AC$2)&lt;YEAR($I7),0,YEAR(AC$2)=YEAR($I7),ROUND(((AC$2-$I7+1)/365)*$D7,2),AND(YEAR(AC$2)&gt;YEAR($I7),YEAR(AC$2)-YEAR($I7)&lt;20),$D7,YEAR(AC$2)-YEAR($I7)=20,ROUND((DATE(YEAR($I7),12,31)-$I7+1)/365*$D7,2),YEAR(AC$2)-YEAR($I7)&gt;20,0)</f>
        <v>1750</v>
      </c>
      <c r="AD7" s="48" cm="1">
        <f t="array" ref="AD7">_xlfn.IFS(YEAR(AD$2)&lt;YEAR($I7),0,YEAR(AD$2)=YEAR($I7),ROUND(((AD$2-$I7+1)/365)*$D7,2),AND(YEAR(AD$2)&gt;YEAR($I7),YEAR(AD$2)-YEAR($I7)&lt;20),$D7,YEAR(AD$2)-YEAR($I7)=20,ROUND((DATE(YEAR($I7),12,31)-$I7+1)/365*$D7,2),YEAR(AD$2)-YEAR($I7)&gt;20,0)</f>
        <v>1750</v>
      </c>
      <c r="AE7" s="48" cm="1">
        <f t="array" ref="AE7">_xlfn.IFS(YEAR(AE$2)&lt;YEAR($I7),0,YEAR(AE$2)=YEAR($I7),ROUND(((AE$2-$I7+1)/365)*$D7,2),AND(YEAR(AE$2)&gt;YEAR($I7),YEAR(AE$2)-YEAR($I7)&lt;20),$D7,YEAR(AE$2)-YEAR($I7)=20,ROUND((DATE(YEAR($I7),12,31)-$I7+1)/365*$D7,2),YEAR(AE$2)-YEAR($I7)&gt;20,0)</f>
        <v>81.510000000000005</v>
      </c>
      <c r="AF7" s="48" cm="1">
        <f t="array" ref="AF7">_xlfn.IFS(YEAR(AF$2)&lt;YEAR($I7),0,YEAR(AF$2)=YEAR($I7),ROUND(((AF$2-$I7+1)/365)*$D7,2),AND(YEAR(AF$2)&gt;YEAR($I7),YEAR(AF$2)-YEAR($I7)&lt;20),$D7,YEAR(AF$2)-YEAR($I7)=20,ROUND((DATE(YEAR($I7),12,31)-$I7+1)/365*$D7,2),YEAR(AF$2)-YEAR($I7)&gt;20,0)</f>
        <v>0</v>
      </c>
      <c r="AG7" s="48" cm="1">
        <f t="array" ref="AG7">_xlfn.IFS(YEAR(AG$2)&lt;YEAR($I7),0,YEAR(AG$2)=YEAR($I7),ROUND(((AG$2-$I7+1)/365)*$D7,2),AND(YEAR(AG$2)&gt;YEAR($I7),YEAR(AG$2)-YEAR($I7)&lt;20),$D7,YEAR(AG$2)-YEAR($I7)=20,ROUND((DATE(YEAR($I7),12,31)-$I7+1)/365*$D7,2),YEAR(AG$2)-YEAR($I7)&gt;20,0)</f>
        <v>0</v>
      </c>
      <c r="AH7" s="48" cm="1">
        <f t="array" ref="AH7">_xlfn.IFS(YEAR(AH$2)&lt;YEAR($I7),0,YEAR(AH$2)=YEAR($I7),ROUND(((AH$2-$I7+1)/365)*$D7,2),AND(YEAR(AH$2)&gt;YEAR($I7),YEAR(AH$2)-YEAR($I7)&lt;20),$D7,YEAR(AH$2)-YEAR($I7)=20,ROUND((DATE(YEAR($I7),12,31)-$I7+1)/365*$D7,2),YEAR(AH$2)-YEAR($I7)&gt;20,0)</f>
        <v>0</v>
      </c>
      <c r="AI7" s="48" cm="1">
        <f t="array" ref="AI7">_xlfn.IFS(YEAR(AI$2)&lt;YEAR($I7),0,YEAR(AI$2)=YEAR($I7),ROUND(((AI$2-$I7+1)/365)*$D7,2),AND(YEAR(AI$2)&gt;YEAR($I7),YEAR(AI$2)-YEAR($I7)&lt;20),$D7,YEAR(AI$2)-YEAR($I7)=20,ROUND((DATE(YEAR($I7),12,31)-$I7+1)/365*$D7,2),YEAR(AI$2)-YEAR($I7)&gt;20,0)</f>
        <v>0</v>
      </c>
      <c r="AJ7" s="48" cm="1">
        <f t="array" ref="AJ7">_xlfn.IFS(YEAR(AJ$2)&lt;YEAR($I7),0,YEAR(AJ$2)=YEAR($I7),ROUND(((AJ$2-$I7+1)/365)*$D7,2),AND(YEAR(AJ$2)&gt;YEAR($I7),YEAR(AJ$2)-YEAR($I7)&lt;20),$D7,YEAR(AJ$2)-YEAR($I7)=20,ROUND((DATE(YEAR($I7),12,31)-$I7+1)/365*$D7,2),YEAR(AJ$2)-YEAR($I7)&gt;20,0)</f>
        <v>0</v>
      </c>
      <c r="AK7" s="48" cm="1">
        <f t="array" ref="AK7">_xlfn.IFS(YEAR(AK$2)&lt;YEAR($I7),0,YEAR(AK$2)=YEAR($I7),ROUND(((AK$2-$I7+1)/365)*$D7,2),AND(YEAR(AK$2)&gt;YEAR($I7),YEAR(AK$2)-YEAR($I7)&lt;20),$D7,YEAR(AK$2)-YEAR($I7)=20,ROUND((DATE(YEAR($I7),12,31)-$I7+1)/365*$D7,2),YEAR(AK$2)-YEAR($I7)&gt;20,0)</f>
        <v>0</v>
      </c>
      <c r="AL7" s="48" cm="1">
        <f t="array" ref="AL7">_xlfn.IFS(YEAR(AL$2)&lt;YEAR($I7),0,YEAR(AL$2)=YEAR($I7),ROUND(((AL$2-$I7+1)/365)*$D7,2),AND(YEAR(AL$2)&gt;YEAR($I7),YEAR(AL$2)-YEAR($I7)&lt;20),$D7,YEAR(AL$2)-YEAR($I7)=20,ROUND((DATE(YEAR($I7),12,31)-$I7+1)/365*$D7,2),YEAR(AL$2)-YEAR($I7)&gt;20,0)</f>
        <v>0</v>
      </c>
      <c r="AM7" s="48" cm="1">
        <f t="array" ref="AM7">_xlfn.IFS(YEAR(AM$2)&lt;YEAR($I7),0,YEAR(AM$2)=YEAR($I7),ROUND(((AM$2-$I7+1)/365)*$D7,2),AND(YEAR(AM$2)&gt;YEAR($I7),YEAR(AM$2)-YEAR($I7)&lt;20),$D7,YEAR(AM$2)-YEAR($I7)=20,ROUND((DATE(YEAR($I7),12,31)-$I7+1)/365*$D7,2),YEAR(AM$2)-YEAR($I7)&gt;20,0)</f>
        <v>0</v>
      </c>
      <c r="AO7" s="48">
        <v>1</v>
      </c>
      <c r="AP7" s="4" t="s">
        <v>13</v>
      </c>
      <c r="AQ7" s="48" t="s">
        <v>99</v>
      </c>
      <c r="AR7" s="48" cm="1">
        <f t="array" ref="AR7">ROUND(SUMIFS(J$3:J$100,$E$3:$E$100,$AQ7,$F$3:$F$100,$AO7,$A$3:$A$100,$AP7)/1000,2) + ROUND(SUMPRODUCT(('Unallocated Scenarios'!$A$20:$A$39=$AP7)*(AR$2&gt;'Unallocated Scenarios'!$G$20:$G$39)*('Unallocated Scenarios'!$B$20:$B$39=$AO7)*('Unallocated Scenarios'!$C$20:$C$39=$AQ7)*'Unallocated Scenarios'!$D$20:$D$39)/1000,2)</f>
        <v>0</v>
      </c>
      <c r="AS7" s="48" cm="1">
        <f t="array" ref="AS7">ROUND(SUMIFS(K$3:K$100,$E$3:$E$100,$AQ7,$F$3:$F$100,$AO7,$A$3:$A$100,$AP7)/1000,2) + ROUND(SUMPRODUCT(('Unallocated Scenarios'!$A$20:$A$39=$AP7)*(AS$2&gt;'Unallocated Scenarios'!$G$20:$G$39)*('Unallocated Scenarios'!$B$20:$B$39=$AO7)*('Unallocated Scenarios'!$C$20:$C$39=$AQ7)*'Unallocated Scenarios'!$D$20:$D$39)/1000,2)</f>
        <v>0</v>
      </c>
      <c r="AT7" s="48" cm="1">
        <f t="array" ref="AT7">ROUND(SUMIFS(L$3:L$100,$E$3:$E$100,$AQ7,$F$3:$F$100,$AO7,$A$3:$A$100,$AP7)/1000,2) + ROUND(SUMPRODUCT(('Unallocated Scenarios'!$A$20:$A$39=$AP7)*(AT$2&gt;'Unallocated Scenarios'!$G$20:$G$39)*('Unallocated Scenarios'!$B$20:$B$39=$AO7)*('Unallocated Scenarios'!$C$20:$C$39=$AQ7)*'Unallocated Scenarios'!$D$20:$D$39)/1000,2)</f>
        <v>0</v>
      </c>
      <c r="AU7" s="48" cm="1">
        <f t="array" ref="AU7">ROUND(SUMIFS(M$3:M$100,$E$3:$E$100,$AQ7,$F$3:$F$100,$AO7,$A$3:$A$100,$AP7)/1000,2) + ROUND(SUMPRODUCT(('Unallocated Scenarios'!$A$20:$A$39=$AP7)*(AU$2&gt;'Unallocated Scenarios'!$G$20:$G$39)*('Unallocated Scenarios'!$B$20:$B$39=$AO7)*('Unallocated Scenarios'!$C$20:$C$39=$AQ7)*'Unallocated Scenarios'!$D$20:$D$39)/1000,2)</f>
        <v>1.63</v>
      </c>
      <c r="AV7" s="48" cm="1">
        <f t="array" ref="AV7">ROUND(SUMIFS(N$3:N$100,$E$3:$E$100,$AQ7,$F$3:$F$100,$AO7,$A$3:$A$100,$AP7)/1000,2) + ROUND(SUMPRODUCT(('Unallocated Scenarios'!$A$20:$A$39=$AP7)*(AV$2&gt;'Unallocated Scenarios'!$G$20:$G$39)*('Unallocated Scenarios'!$B$20:$B$39=$AO7)*('Unallocated Scenarios'!$C$20:$C$39=$AQ7)*'Unallocated Scenarios'!$D$20:$D$39)/1000,2)</f>
        <v>2.95</v>
      </c>
      <c r="AW7" s="48" cm="1">
        <f t="array" ref="AW7">ROUND(SUMIFS(O$3:O$100,$E$3:$E$100,$AQ7,$F$3:$F$100,$AO7,$A$3:$A$100,$AP7)/1000,2) + ROUND(SUMPRODUCT(('Unallocated Scenarios'!$A$20:$A$39=$AP7)*(AW$2&gt;'Unallocated Scenarios'!$G$20:$G$39)*('Unallocated Scenarios'!$B$20:$B$39=$AO7)*('Unallocated Scenarios'!$C$20:$C$39=$AQ7)*'Unallocated Scenarios'!$D$20:$D$39)/1000,2)</f>
        <v>2.95</v>
      </c>
      <c r="AX7" s="48" cm="1">
        <f t="array" ref="AX7">ROUND(SUMIFS(P$3:P$100,$E$3:$E$100,$AQ7,$F$3:$F$100,$AO7,$A$3:$A$100,$AP7)/1000,2) + ROUND(SUMPRODUCT(('Unallocated Scenarios'!$A$20:$A$39=$AP7)*(AX$2&gt;'Unallocated Scenarios'!$G$20:$G$39)*('Unallocated Scenarios'!$B$20:$B$39=$AO7)*('Unallocated Scenarios'!$C$20:$C$39=$AQ7)*'Unallocated Scenarios'!$D$20:$D$39)/1000,2)</f>
        <v>2.95</v>
      </c>
      <c r="AY7" s="48" cm="1">
        <f t="array" ref="AY7">ROUND(SUMIFS(Q$3:Q$100,$E$3:$E$100,$AQ7,$F$3:$F$100,$AO7,$A$3:$A$100,$AP7)/1000,2) + ROUND(SUMPRODUCT(('Unallocated Scenarios'!$A$20:$A$39=$AP7)*(AY$2&gt;'Unallocated Scenarios'!$G$20:$G$39)*('Unallocated Scenarios'!$B$20:$B$39=$AO7)*('Unallocated Scenarios'!$C$20:$C$39=$AQ7)*'Unallocated Scenarios'!$D$20:$D$39)/1000,2)</f>
        <v>3.12</v>
      </c>
      <c r="AZ7" s="48" cm="1">
        <f t="array" ref="AZ7">ROUND(SUMIFS(R$3:R$100,$E$3:$E$100,$AQ7,$F$3:$F$100,$AO7,$A$3:$A$100,$AP7)/1000,2) + ROUND(SUMPRODUCT(('Unallocated Scenarios'!$A$20:$A$39=$AP7)*(AZ$2&gt;'Unallocated Scenarios'!$G$20:$G$39)*('Unallocated Scenarios'!$B$20:$B$39=$AO7)*('Unallocated Scenarios'!$C$20:$C$39=$AQ7)*'Unallocated Scenarios'!$D$20:$D$39)/1000,2)</f>
        <v>3.2800000000000002</v>
      </c>
      <c r="BA7" s="48" cm="1">
        <f t="array" ref="BA7">ROUND(SUMIFS(S$3:S$100,$E$3:$E$100,$AQ7,$F$3:$F$100,$AO7,$A$3:$A$100,$AP7)/1000,2) + ROUND(SUMPRODUCT(('Unallocated Scenarios'!$A$20:$A$39=$AP7)*(BA$2&gt;'Unallocated Scenarios'!$G$20:$G$39)*('Unallocated Scenarios'!$B$20:$B$39=$AO7)*('Unallocated Scenarios'!$C$20:$C$39=$AQ7)*'Unallocated Scenarios'!$D$20:$D$39)/1000,2)</f>
        <v>3.2800000000000002</v>
      </c>
      <c r="BB7" s="48" cm="1">
        <f t="array" ref="BB7">ROUND(SUMIFS(T$3:T$100,$E$3:$E$100,$AQ7,$F$3:$F$100,$AO7,$A$3:$A$100,$AP7)/1000,2) + ROUND(SUMPRODUCT(('Unallocated Scenarios'!$A$20:$A$39=$AP7)*(BB$2&gt;'Unallocated Scenarios'!$G$20:$G$39)*('Unallocated Scenarios'!$B$20:$B$39=$AO7)*('Unallocated Scenarios'!$C$20:$C$39=$AQ7)*'Unallocated Scenarios'!$D$20:$D$39)/1000,2)</f>
        <v>3.2800000000000002</v>
      </c>
      <c r="BC7" s="48" cm="1">
        <f t="array" ref="BC7">ROUND(SUMIFS(U$3:U$100,$E$3:$E$100,$AQ7,$F$3:$F$100,$AO7,$A$3:$A$100,$AP7)/1000,2) + ROUND(SUMPRODUCT(('Unallocated Scenarios'!$A$20:$A$39=$AP7)*(BC$2&gt;'Unallocated Scenarios'!$G$20:$G$39)*('Unallocated Scenarios'!$B$20:$B$39=$AO7)*('Unallocated Scenarios'!$C$20:$C$39=$AQ7)*'Unallocated Scenarios'!$D$20:$D$39)/1000,2)</f>
        <v>3.2800000000000002</v>
      </c>
      <c r="BD7" s="48" cm="1">
        <f t="array" ref="BD7">ROUND(SUMIFS(V$3:V$100,$E$3:$E$100,$AQ7,$F$3:$F$100,$AO7,$A$3:$A$100,$AP7)/1000,2) + ROUND(SUMPRODUCT(('Unallocated Scenarios'!$A$20:$A$39=$AP7)*(BD$2&gt;'Unallocated Scenarios'!$G$20:$G$39)*('Unallocated Scenarios'!$B$20:$B$39=$AO7)*('Unallocated Scenarios'!$C$20:$C$39=$AQ7)*'Unallocated Scenarios'!$D$20:$D$39)/1000,2)</f>
        <v>3.2800000000000002</v>
      </c>
      <c r="BE7" s="48" cm="1">
        <f t="array" ref="BE7">ROUND(SUMIFS(W$3:W$100,$E$3:$E$100,$AQ7,$F$3:$F$100,$AO7,$A$3:$A$100,$AP7)/1000,2) + ROUND(SUMPRODUCT(('Unallocated Scenarios'!$A$20:$A$39=$AP7)*(BE$2&gt;'Unallocated Scenarios'!$G$20:$G$39)*('Unallocated Scenarios'!$B$20:$B$39=$AO7)*('Unallocated Scenarios'!$C$20:$C$39=$AQ7)*'Unallocated Scenarios'!$D$20:$D$39)/1000,2)</f>
        <v>3.2800000000000002</v>
      </c>
      <c r="BF7" s="48" cm="1">
        <f t="array" ref="BF7">ROUND(SUMIFS(X$3:X$100,$E$3:$E$100,$AQ7,$F$3:$F$100,$AO7,$A$3:$A$100,$AP7)/1000,2) + ROUND(SUMPRODUCT(('Unallocated Scenarios'!$A$20:$A$39=$AP7)*(BF$2&gt;'Unallocated Scenarios'!$G$20:$G$39)*('Unallocated Scenarios'!$B$20:$B$39=$AO7)*('Unallocated Scenarios'!$C$20:$C$39=$AQ7)*'Unallocated Scenarios'!$D$20:$D$39)/1000,2)</f>
        <v>3.2800000000000002</v>
      </c>
      <c r="BG7" s="48" cm="1">
        <f t="array" ref="BG7">ROUND(SUMIFS(Y$3:Y$100,$E$3:$E$100,$AQ7,$F$3:$F$100,$AO7,$A$3:$A$100,$AP7)/1000,2) + ROUND(SUMPRODUCT(('Unallocated Scenarios'!$A$20:$A$39=$AP7)*(BG$2&gt;'Unallocated Scenarios'!$G$20:$G$39)*('Unallocated Scenarios'!$B$20:$B$39=$AO7)*('Unallocated Scenarios'!$C$20:$C$39=$AQ7)*'Unallocated Scenarios'!$D$20:$D$39)/1000,2)</f>
        <v>3.2800000000000002</v>
      </c>
      <c r="BH7" s="48" cm="1">
        <f t="array" ref="BH7">ROUND(SUMIFS(Z$3:Z$100,$E$3:$E$100,$AQ7,$F$3:$F$100,$AO7,$A$3:$A$100,$AP7)/1000,2) + ROUND(SUMPRODUCT(('Unallocated Scenarios'!$A$20:$A$39=$AP7)*(BH$2&gt;'Unallocated Scenarios'!$G$20:$G$39)*('Unallocated Scenarios'!$B$20:$B$39=$AO7)*('Unallocated Scenarios'!$C$20:$C$39=$AQ7)*'Unallocated Scenarios'!$D$20:$D$39)/1000,2)</f>
        <v>3.2800000000000002</v>
      </c>
      <c r="BI7" s="48" cm="1">
        <f t="array" ref="BI7">ROUND(SUMIFS(AA$3:AA$100,$E$3:$E$100,$AQ7,$F$3:$F$100,$AO7,$A$3:$A$100,$AP7)/1000,2) + ROUND(SUMPRODUCT(('Unallocated Scenarios'!$A$20:$A$39=$AP7)*(BI$2&gt;'Unallocated Scenarios'!$G$20:$G$39)*('Unallocated Scenarios'!$B$20:$B$39=$AO7)*('Unallocated Scenarios'!$C$20:$C$39=$AQ7)*'Unallocated Scenarios'!$D$20:$D$39)/1000,2)</f>
        <v>3.2800000000000002</v>
      </c>
      <c r="BJ7" s="48" cm="1">
        <f t="array" ref="BJ7">ROUND(SUMIFS(AB$3:AB$100,$E$3:$E$100,$AQ7,$F$3:$F$100,$AO7,$A$3:$A$100,$AP7)/1000,2) + ROUND(SUMPRODUCT(('Unallocated Scenarios'!$A$20:$A$39=$AP7)*(BJ$2&gt;'Unallocated Scenarios'!$G$20:$G$39)*('Unallocated Scenarios'!$B$20:$B$39=$AO7)*('Unallocated Scenarios'!$C$20:$C$39=$AQ7)*'Unallocated Scenarios'!$D$20:$D$39)/1000,2)</f>
        <v>3.2800000000000002</v>
      </c>
      <c r="BK7" s="48" cm="1">
        <f t="array" ref="BK7">ROUND(SUMIFS(AC$3:AC$100,$E$3:$E$100,$AQ7,$F$3:$F$100,$AO7,$A$3:$A$100,$AP7)/1000,2) + ROUND(SUMPRODUCT(('Unallocated Scenarios'!$A$20:$A$39=$AP7)*(BK$2&gt;'Unallocated Scenarios'!$G$20:$G$39)*('Unallocated Scenarios'!$B$20:$B$39=$AO7)*('Unallocated Scenarios'!$C$20:$C$39=$AQ7)*'Unallocated Scenarios'!$D$20:$D$39)/1000,2)</f>
        <v>3.2800000000000002</v>
      </c>
      <c r="BL7" s="48" cm="1">
        <f t="array" ref="BL7">ROUND(SUMIFS(AD$3:AD$100,$E$3:$E$100,$AQ7,$F$3:$F$100,$AO7,$A$3:$A$100,$AP7)/1000,2) + ROUND(SUMPRODUCT(('Unallocated Scenarios'!$A$20:$A$39=$AP7)*(BL$2&gt;'Unallocated Scenarios'!$G$20:$G$39)*('Unallocated Scenarios'!$B$20:$B$39=$AO7)*('Unallocated Scenarios'!$C$20:$C$39=$AQ7)*'Unallocated Scenarios'!$D$20:$D$39)/1000,2)</f>
        <v>3.2800000000000002</v>
      </c>
      <c r="BM7" s="48" cm="1">
        <f t="array" ref="BM7">ROUND(SUMIFS(AE$3:AE$100,$E$3:$E$100,$AQ7,$F$3:$F$100,$AO7,$A$3:$A$100,$AP7)/1000,2) + ROUND(SUMPRODUCT(('Unallocated Scenarios'!$A$20:$A$39=$AP7)*(BM$2&gt;'Unallocated Scenarios'!$G$20:$G$39)*('Unallocated Scenarios'!$B$20:$B$39=$AO7)*('Unallocated Scenarios'!$C$20:$C$39=$AQ7)*'Unallocated Scenarios'!$D$20:$D$39)/1000,2)</f>
        <v>3.2800000000000002</v>
      </c>
      <c r="BN7" s="48" cm="1">
        <f t="array" ref="BN7">ROUND(SUMIFS(AF$3:AF$100,$E$3:$E$100,$AQ7,$F$3:$F$100,$AO7,$A$3:$A$100,$AP7)/1000,2) + ROUND(SUMPRODUCT(('Unallocated Scenarios'!$A$20:$A$39=$AP7)*(BN$2&gt;'Unallocated Scenarios'!$G$20:$G$39)*('Unallocated Scenarios'!$B$20:$B$39=$AO7)*('Unallocated Scenarios'!$C$20:$C$39=$AQ7)*'Unallocated Scenarios'!$D$20:$D$39)/1000,2)</f>
        <v>3.2800000000000002</v>
      </c>
      <c r="BO7" s="48" cm="1">
        <f t="array" ref="BO7">ROUND(SUMIFS(AG$3:AG$100,$E$3:$E$100,$AQ7,$F$3:$F$100,$AO7,$A$3:$A$100,$AP7)/1000,2) + ROUND(SUMPRODUCT(('Unallocated Scenarios'!$A$20:$A$39=$AP7)*(BO$2&gt;'Unallocated Scenarios'!$G$20:$G$39)*('Unallocated Scenarios'!$B$20:$B$39=$AO7)*('Unallocated Scenarios'!$C$20:$C$39=$AQ7)*'Unallocated Scenarios'!$D$20:$D$39)/1000,2)</f>
        <v>1.96</v>
      </c>
      <c r="BP7" s="48" cm="1">
        <f t="array" ref="BP7">ROUND(SUMIFS(AH$3:AH$100,$E$3:$E$100,$AQ7,$F$3:$F$100,$AO7,$A$3:$A$100,$AP7)/1000,2) + ROUND(SUMPRODUCT(('Unallocated Scenarios'!$A$20:$A$39=$AP7)*(BP$2&gt;'Unallocated Scenarios'!$G$20:$G$39)*('Unallocated Scenarios'!$B$20:$B$39=$AO7)*('Unallocated Scenarios'!$C$20:$C$39=$AQ7)*'Unallocated Scenarios'!$D$20:$D$39)/1000,2)</f>
        <v>0.33</v>
      </c>
      <c r="BQ7" s="48" cm="1">
        <f t="array" ref="BQ7">ROUND(SUMIFS(AI$3:AI$100,$E$3:$E$100,$AQ7,$F$3:$F$100,$AO7,$A$3:$A$100,$AP7)/1000,2) + ROUND(SUMPRODUCT(('Unallocated Scenarios'!$A$20:$A$39=$AP7)*(BQ$2&gt;'Unallocated Scenarios'!$G$20:$G$39)*('Unallocated Scenarios'!$B$20:$B$39=$AO7)*('Unallocated Scenarios'!$C$20:$C$39=$AQ7)*'Unallocated Scenarios'!$D$20:$D$39)/1000,2)</f>
        <v>0.33</v>
      </c>
      <c r="BR7" s="48" cm="1">
        <f t="array" ref="BR7">ROUND(SUMIFS(AJ$3:AJ$100,$E$3:$E$100,$AQ7,$F$3:$F$100,$AO7,$A$3:$A$100,$AP7)/1000,2) + ROUND(SUMPRODUCT(('Unallocated Scenarios'!$A$20:$A$39=$AP7)*(BR$2&gt;'Unallocated Scenarios'!$G$20:$G$39)*('Unallocated Scenarios'!$B$20:$B$39=$AO7)*('Unallocated Scenarios'!$C$20:$C$39=$AQ7)*'Unallocated Scenarios'!$D$20:$D$39)/1000,2)</f>
        <v>0.33</v>
      </c>
      <c r="BS7" s="48" cm="1">
        <f t="array" ref="BS7">ROUND(SUMIFS(AK$3:AK$100,$E$3:$E$100,$AQ7,$F$3:$F$100,$AO7,$A$3:$A$100,$AP7)/1000,2) + ROUND(SUMPRODUCT(('Unallocated Scenarios'!$A$20:$A$39=$AP7)*(BS$2&gt;'Unallocated Scenarios'!$G$20:$G$39)*('Unallocated Scenarios'!$B$20:$B$39=$AO7)*('Unallocated Scenarios'!$C$20:$C$39=$AQ7)*'Unallocated Scenarios'!$D$20:$D$39)/1000,2)</f>
        <v>0.33</v>
      </c>
      <c r="BT7" s="48" cm="1">
        <f t="array" ref="BT7">ROUND(SUMIFS(AL$3:AL$100,$E$3:$E$100,$AQ7,$F$3:$F$100,$AO7,$A$3:$A$100,$AP7)/1000,2) + ROUND(SUMPRODUCT(('Unallocated Scenarios'!$A$20:$A$39=$AP7)*(BT$2&gt;'Unallocated Scenarios'!$G$20:$G$39)*('Unallocated Scenarios'!$B$20:$B$39=$AO7)*('Unallocated Scenarios'!$C$20:$C$39=$AQ7)*'Unallocated Scenarios'!$D$20:$D$39)/1000,2)</f>
        <v>0.33</v>
      </c>
      <c r="BU7" s="48" cm="1">
        <f t="array" ref="BU7">ROUND(SUMIFS(AM$3:AM$100,$E$3:$E$100,$AQ7,$F$3:$F$100,$AO7,$A$3:$A$100,$AP7)/1000,2) + ROUND(SUMPRODUCT(('Unallocated Scenarios'!$A$20:$A$39=$AP7)*(BU$2&gt;'Unallocated Scenarios'!$G$20:$G$39)*('Unallocated Scenarios'!$B$20:$B$39=$AO7)*('Unallocated Scenarios'!$C$20:$C$39=$AQ7)*'Unallocated Scenarios'!$D$20:$D$39)/1000,2)</f>
        <v>0.33</v>
      </c>
    </row>
    <row r="8" spans="1:73">
      <c r="A8" s="155" t="str" cm="1">
        <f t="array" ref="A8">_xlfn.IFS(LEFT(C8,3)="PGE","PGE",LEFT(C8,2)="PP","PAC",TRUE,"IP")</f>
        <v>PAC</v>
      </c>
      <c r="B8" s="155" t="str">
        <f>IF(ISNA(MATCH(C8,'Monthly Report July 2025'!E:E,0)),"Missing","Present")</f>
        <v>Present</v>
      </c>
      <c r="C8" s="155" t="s">
        <v>114</v>
      </c>
      <c r="D8" s="176" cm="1">
        <f t="array" ref="D8">INDEX('Monthly Report July 2025'!L:L,MATCH(C8,'Monthly Report July 2025'!E:E,0),0)</f>
        <v>567</v>
      </c>
      <c r="E8" s="176" t="str" cm="1">
        <f t="array" ref="E8">IF(INDEX('PA Fees by Project'!K:K,MATCH(C8,'PA Fees by Project'!E:E,0),0)="No","Non-Carve Out", "Carve Out")</f>
        <v>Non-Carve Out</v>
      </c>
      <c r="F8" s="176" cm="1">
        <f t="array" ref="F8">INDEX('PA Fees by Project'!J:J,MATCH(C8,'PA Fees by Project'!E:E,0),0)</f>
        <v>2</v>
      </c>
      <c r="G8" s="155" t="str" cm="1">
        <f t="array" ref="G8">INDEX('PA Fees by Project'!G:G,MATCH(C8,'PA Fees by Project'!E:E,0),0)</f>
        <v>Operational</v>
      </c>
      <c r="H8" s="175" cm="1">
        <f t="array" ref="H8">INDEX('PA Fees by Project'!Q:Q,MATCH(C8,'PA Fees by Project'!E:E,0),0)</f>
        <v>45139</v>
      </c>
      <c r="I8" s="156" cm="1">
        <f t="array" ref="I8">_xlfn.IFS(G8="Operational",H8,G8="Certified",EDATE(INDEX('PA Fees by Project'!R:R,MATCH(C8,'PA Fees by Project'!E:E,0),0),6),TRUE,EDATE(INDEX('PA Fees by Project'!O:O,MATCH(C8,'PA Fees by Project'!E:E,0),0),6))</f>
        <v>45139</v>
      </c>
      <c r="J8" s="48" cm="1">
        <f t="array" ref="J8">_xlfn.IFS(YEAR(J$2)&lt;YEAR($I8),0,YEAR(J$2)=YEAR($I8),ROUND(((J$2-$I8+1)/365)*$D8,2),AND(YEAR(J$2)&gt;YEAR($I8),YEAR(J$2)-YEAR($I8)&lt;20),$D8,YEAR(J$2)-YEAR($I8)=20,ROUND((DATE(YEAR($I8),12,31)-$I8+1)/365*$D8,2),YEAR(J$2)-YEAR($I8)&gt;20,0)</f>
        <v>0</v>
      </c>
      <c r="K8" s="48" cm="1">
        <f t="array" ref="K8">_xlfn.IFS(YEAR(K$2)&lt;YEAR($I8),0,YEAR(K$2)=YEAR($I8),ROUND(((K$2-$I8+1)/365)*$D8,2),AND(YEAR(K$2)&gt;YEAR($I8),YEAR(K$2)-YEAR($I8)&lt;20),$D8,YEAR(K$2)-YEAR($I8)=20,ROUND((DATE(YEAR($I8),12,31)-$I8+1)/365*$D8,2),YEAR(K$2)-YEAR($I8)&gt;20,0)</f>
        <v>0</v>
      </c>
      <c r="L8" s="48" cm="1">
        <f t="array" ref="L8">_xlfn.IFS(YEAR(L$2)&lt;YEAR($I8),0,YEAR(L$2)=YEAR($I8),ROUND(((L$2-$I8+1)/365)*$D8,2),AND(YEAR(L$2)&gt;YEAR($I8),YEAR(L$2)-YEAR($I8)&lt;20),$D8,YEAR(L$2)-YEAR($I8)=20,ROUND((DATE(YEAR($I8),12,31)-$I8+1)/365*$D8,2),YEAR(L$2)-YEAR($I8)&gt;20,0)</f>
        <v>237.67</v>
      </c>
      <c r="M8" s="48" cm="1">
        <f t="array" ref="M8">_xlfn.IFS(YEAR(M$2)&lt;YEAR($I8),0,YEAR(M$2)=YEAR($I8),ROUND(((M$2-$I8+1)/365)*$D8,2),AND(YEAR(M$2)&gt;YEAR($I8),YEAR(M$2)-YEAR($I8)&lt;20),$D8,YEAR(M$2)-YEAR($I8)=20,ROUND((DATE(YEAR($I8),12,31)-$I8+1)/365*$D8,2),YEAR(M$2)-YEAR($I8)&gt;20,0)</f>
        <v>567</v>
      </c>
      <c r="N8" s="48" cm="1">
        <f t="array" ref="N8">_xlfn.IFS(YEAR(N$2)&lt;YEAR($I8),0,YEAR(N$2)=YEAR($I8),ROUND(((N$2-$I8+1)/365)*$D8,2),AND(YEAR(N$2)&gt;YEAR($I8),YEAR(N$2)-YEAR($I8)&lt;20),$D8,YEAR(N$2)-YEAR($I8)=20,ROUND((DATE(YEAR($I8),12,31)-$I8+1)/365*$D8,2),YEAR(N$2)-YEAR($I8)&gt;20,0)</f>
        <v>567</v>
      </c>
      <c r="O8" s="48" cm="1">
        <f t="array" ref="O8">_xlfn.IFS(YEAR(O$2)&lt;YEAR($I8),0,YEAR(O$2)=YEAR($I8),ROUND(((O$2-$I8+1)/365)*$D8,2),AND(YEAR(O$2)&gt;YEAR($I8),YEAR(O$2)-YEAR($I8)&lt;20),$D8,YEAR(O$2)-YEAR($I8)=20,ROUND((DATE(YEAR($I8),12,31)-$I8+1)/365*$D8,2),YEAR(O$2)-YEAR($I8)&gt;20,0)</f>
        <v>567</v>
      </c>
      <c r="P8" s="48" cm="1">
        <f t="array" ref="P8">_xlfn.IFS(YEAR(P$2)&lt;YEAR($I8),0,YEAR(P$2)=YEAR($I8),ROUND(((P$2-$I8+1)/365)*$D8,2),AND(YEAR(P$2)&gt;YEAR($I8),YEAR(P$2)-YEAR($I8)&lt;20),$D8,YEAR(P$2)-YEAR($I8)=20,ROUND((DATE(YEAR($I8),12,31)-$I8+1)/365*$D8,2),YEAR(P$2)-YEAR($I8)&gt;20,0)</f>
        <v>567</v>
      </c>
      <c r="Q8" s="48" cm="1">
        <f t="array" ref="Q8">_xlfn.IFS(YEAR(Q$2)&lt;YEAR($I8),0,YEAR(Q$2)=YEAR($I8),ROUND(((Q$2-$I8+1)/365)*$D8,2),AND(YEAR(Q$2)&gt;YEAR($I8),YEAR(Q$2)-YEAR($I8)&lt;20),$D8,YEAR(Q$2)-YEAR($I8)=20,ROUND((DATE(YEAR($I8),12,31)-$I8+1)/365*$D8,2),YEAR(Q$2)-YEAR($I8)&gt;20,0)</f>
        <v>567</v>
      </c>
      <c r="R8" s="48" cm="1">
        <f t="array" ref="R8">_xlfn.IFS(YEAR(R$2)&lt;YEAR($I8),0,YEAR(R$2)=YEAR($I8),ROUND(((R$2-$I8+1)/365)*$D8,2),AND(YEAR(R$2)&gt;YEAR($I8),YEAR(R$2)-YEAR($I8)&lt;20),$D8,YEAR(R$2)-YEAR($I8)=20,ROUND((DATE(YEAR($I8),12,31)-$I8+1)/365*$D8,2),YEAR(R$2)-YEAR($I8)&gt;20,0)</f>
        <v>567</v>
      </c>
      <c r="S8" s="48" cm="1">
        <f t="array" ref="S8">_xlfn.IFS(YEAR(S$2)&lt;YEAR($I8),0,YEAR(S$2)=YEAR($I8),ROUND(((S$2-$I8+1)/365)*$D8,2),AND(YEAR(S$2)&gt;YEAR($I8),YEAR(S$2)-YEAR($I8)&lt;20),$D8,YEAR(S$2)-YEAR($I8)=20,ROUND((DATE(YEAR($I8),12,31)-$I8+1)/365*$D8,2),YEAR(S$2)-YEAR($I8)&gt;20,0)</f>
        <v>567</v>
      </c>
      <c r="T8" s="48" cm="1">
        <f t="array" ref="T8">_xlfn.IFS(YEAR(T$2)&lt;YEAR($I8),0,YEAR(T$2)=YEAR($I8),ROUND(((T$2-$I8+1)/365)*$D8,2),AND(YEAR(T$2)&gt;YEAR($I8),YEAR(T$2)-YEAR($I8)&lt;20),$D8,YEAR(T$2)-YEAR($I8)=20,ROUND((DATE(YEAR($I8),12,31)-$I8+1)/365*$D8,2),YEAR(T$2)-YEAR($I8)&gt;20,0)</f>
        <v>567</v>
      </c>
      <c r="U8" s="48" cm="1">
        <f t="array" ref="U8">_xlfn.IFS(YEAR(U$2)&lt;YEAR($I8),0,YEAR(U$2)=YEAR($I8),ROUND(((U$2-$I8+1)/365)*$D8,2),AND(YEAR(U$2)&gt;YEAR($I8),YEAR(U$2)-YEAR($I8)&lt;20),$D8,YEAR(U$2)-YEAR($I8)=20,ROUND((DATE(YEAR($I8),12,31)-$I8+1)/365*$D8,2),YEAR(U$2)-YEAR($I8)&gt;20,0)</f>
        <v>567</v>
      </c>
      <c r="V8" s="48" cm="1">
        <f t="array" ref="V8">_xlfn.IFS(YEAR(V$2)&lt;YEAR($I8),0,YEAR(V$2)=YEAR($I8),ROUND(((V$2-$I8+1)/365)*$D8,2),AND(YEAR(V$2)&gt;YEAR($I8),YEAR(V$2)-YEAR($I8)&lt;20),$D8,YEAR(V$2)-YEAR($I8)=20,ROUND((DATE(YEAR($I8),12,31)-$I8+1)/365*$D8,2),YEAR(V$2)-YEAR($I8)&gt;20,0)</f>
        <v>567</v>
      </c>
      <c r="W8" s="48" cm="1">
        <f t="array" ref="W8">_xlfn.IFS(YEAR(W$2)&lt;YEAR($I8),0,YEAR(W$2)=YEAR($I8),ROUND(((W$2-$I8+1)/365)*$D8,2),AND(YEAR(W$2)&gt;YEAR($I8),YEAR(W$2)-YEAR($I8)&lt;20),$D8,YEAR(W$2)-YEAR($I8)=20,ROUND((DATE(YEAR($I8),12,31)-$I8+1)/365*$D8,2),YEAR(W$2)-YEAR($I8)&gt;20,0)</f>
        <v>567</v>
      </c>
      <c r="X8" s="48" cm="1">
        <f t="array" ref="X8">_xlfn.IFS(YEAR(X$2)&lt;YEAR($I8),0,YEAR(X$2)=YEAR($I8),ROUND(((X$2-$I8+1)/365)*$D8,2),AND(YEAR(X$2)&gt;YEAR($I8),YEAR(X$2)-YEAR($I8)&lt;20),$D8,YEAR(X$2)-YEAR($I8)=20,ROUND((DATE(YEAR($I8),12,31)-$I8+1)/365*$D8,2),YEAR(X$2)-YEAR($I8)&gt;20,0)</f>
        <v>567</v>
      </c>
      <c r="Y8" s="48" cm="1">
        <f t="array" ref="Y8">_xlfn.IFS(YEAR(Y$2)&lt;YEAR($I8),0,YEAR(Y$2)=YEAR($I8),ROUND(((Y$2-$I8+1)/365)*$D8,2),AND(YEAR(Y$2)&gt;YEAR($I8),YEAR(Y$2)-YEAR($I8)&lt;20),$D8,YEAR(Y$2)-YEAR($I8)=20,ROUND((DATE(YEAR($I8),12,31)-$I8+1)/365*$D8,2),YEAR(Y$2)-YEAR($I8)&gt;20,0)</f>
        <v>567</v>
      </c>
      <c r="Z8" s="48" cm="1">
        <f t="array" ref="Z8">_xlfn.IFS(YEAR(Z$2)&lt;YEAR($I8),0,YEAR(Z$2)=YEAR($I8),ROUND(((Z$2-$I8+1)/365)*$D8,2),AND(YEAR(Z$2)&gt;YEAR($I8),YEAR(Z$2)-YEAR($I8)&lt;20),$D8,YEAR(Z$2)-YEAR($I8)=20,ROUND((DATE(YEAR($I8),12,31)-$I8+1)/365*$D8,2),YEAR(Z$2)-YEAR($I8)&gt;20,0)</f>
        <v>567</v>
      </c>
      <c r="AA8" s="48" cm="1">
        <f t="array" ref="AA8">_xlfn.IFS(YEAR(AA$2)&lt;YEAR($I8),0,YEAR(AA$2)=YEAR($I8),ROUND(((AA$2-$I8+1)/365)*$D8,2),AND(YEAR(AA$2)&gt;YEAR($I8),YEAR(AA$2)-YEAR($I8)&lt;20),$D8,YEAR(AA$2)-YEAR($I8)=20,ROUND((DATE(YEAR($I8),12,31)-$I8+1)/365*$D8,2),YEAR(AA$2)-YEAR($I8)&gt;20,0)</f>
        <v>567</v>
      </c>
      <c r="AB8" s="48" cm="1">
        <f t="array" ref="AB8">_xlfn.IFS(YEAR(AB$2)&lt;YEAR($I8),0,YEAR(AB$2)=YEAR($I8),ROUND(((AB$2-$I8+1)/365)*$D8,2),AND(YEAR(AB$2)&gt;YEAR($I8),YEAR(AB$2)-YEAR($I8)&lt;20),$D8,YEAR(AB$2)-YEAR($I8)=20,ROUND((DATE(YEAR($I8),12,31)-$I8+1)/365*$D8,2),YEAR(AB$2)-YEAR($I8)&gt;20,0)</f>
        <v>567</v>
      </c>
      <c r="AC8" s="48" cm="1">
        <f t="array" ref="AC8">_xlfn.IFS(YEAR(AC$2)&lt;YEAR($I8),0,YEAR(AC$2)=YEAR($I8),ROUND(((AC$2-$I8+1)/365)*$D8,2),AND(YEAR(AC$2)&gt;YEAR($I8),YEAR(AC$2)-YEAR($I8)&lt;20),$D8,YEAR(AC$2)-YEAR($I8)=20,ROUND((DATE(YEAR($I8),12,31)-$I8+1)/365*$D8,2),YEAR(AC$2)-YEAR($I8)&gt;20,0)</f>
        <v>567</v>
      </c>
      <c r="AD8" s="48" cm="1">
        <f t="array" ref="AD8">_xlfn.IFS(YEAR(AD$2)&lt;YEAR($I8),0,YEAR(AD$2)=YEAR($I8),ROUND(((AD$2-$I8+1)/365)*$D8,2),AND(YEAR(AD$2)&gt;YEAR($I8),YEAR(AD$2)-YEAR($I8)&lt;20),$D8,YEAR(AD$2)-YEAR($I8)=20,ROUND((DATE(YEAR($I8),12,31)-$I8+1)/365*$D8,2),YEAR(AD$2)-YEAR($I8)&gt;20,0)</f>
        <v>567</v>
      </c>
      <c r="AE8" s="48" cm="1">
        <f t="array" ref="AE8">_xlfn.IFS(YEAR(AE$2)&lt;YEAR($I8),0,YEAR(AE$2)=YEAR($I8),ROUND(((AE$2-$I8+1)/365)*$D8,2),AND(YEAR(AE$2)&gt;YEAR($I8),YEAR(AE$2)-YEAR($I8)&lt;20),$D8,YEAR(AE$2)-YEAR($I8)=20,ROUND((DATE(YEAR($I8),12,31)-$I8+1)/365*$D8,2),YEAR(AE$2)-YEAR($I8)&gt;20,0)</f>
        <v>567</v>
      </c>
      <c r="AF8" s="48" cm="1">
        <f t="array" ref="AF8">_xlfn.IFS(YEAR(AF$2)&lt;YEAR($I8),0,YEAR(AF$2)=YEAR($I8),ROUND(((AF$2-$I8+1)/365)*$D8,2),AND(YEAR(AF$2)&gt;YEAR($I8),YEAR(AF$2)-YEAR($I8)&lt;20),$D8,YEAR(AF$2)-YEAR($I8)=20,ROUND((DATE(YEAR($I8),12,31)-$I8+1)/365*$D8,2),YEAR(AF$2)-YEAR($I8)&gt;20,0)</f>
        <v>237.67</v>
      </c>
      <c r="AG8" s="48" cm="1">
        <f t="array" ref="AG8">_xlfn.IFS(YEAR(AG$2)&lt;YEAR($I8),0,YEAR(AG$2)=YEAR($I8),ROUND(((AG$2-$I8+1)/365)*$D8,2),AND(YEAR(AG$2)&gt;YEAR($I8),YEAR(AG$2)-YEAR($I8)&lt;20),$D8,YEAR(AG$2)-YEAR($I8)=20,ROUND((DATE(YEAR($I8),12,31)-$I8+1)/365*$D8,2),YEAR(AG$2)-YEAR($I8)&gt;20,0)</f>
        <v>0</v>
      </c>
      <c r="AH8" s="48" cm="1">
        <f t="array" ref="AH8">_xlfn.IFS(YEAR(AH$2)&lt;YEAR($I8),0,YEAR(AH$2)=YEAR($I8),ROUND(((AH$2-$I8+1)/365)*$D8,2),AND(YEAR(AH$2)&gt;YEAR($I8),YEAR(AH$2)-YEAR($I8)&lt;20),$D8,YEAR(AH$2)-YEAR($I8)=20,ROUND((DATE(YEAR($I8),12,31)-$I8+1)/365*$D8,2),YEAR(AH$2)-YEAR($I8)&gt;20,0)</f>
        <v>0</v>
      </c>
      <c r="AI8" s="48" cm="1">
        <f t="array" ref="AI8">_xlfn.IFS(YEAR(AI$2)&lt;YEAR($I8),0,YEAR(AI$2)=YEAR($I8),ROUND(((AI$2-$I8+1)/365)*$D8,2),AND(YEAR(AI$2)&gt;YEAR($I8),YEAR(AI$2)-YEAR($I8)&lt;20),$D8,YEAR(AI$2)-YEAR($I8)=20,ROUND((DATE(YEAR($I8),12,31)-$I8+1)/365*$D8,2),YEAR(AI$2)-YEAR($I8)&gt;20,0)</f>
        <v>0</v>
      </c>
      <c r="AJ8" s="48" cm="1">
        <f t="array" ref="AJ8">_xlfn.IFS(YEAR(AJ$2)&lt;YEAR($I8),0,YEAR(AJ$2)=YEAR($I8),ROUND(((AJ$2-$I8+1)/365)*$D8,2),AND(YEAR(AJ$2)&gt;YEAR($I8),YEAR(AJ$2)-YEAR($I8)&lt;20),$D8,YEAR(AJ$2)-YEAR($I8)=20,ROUND((DATE(YEAR($I8),12,31)-$I8+1)/365*$D8,2),YEAR(AJ$2)-YEAR($I8)&gt;20,0)</f>
        <v>0</v>
      </c>
      <c r="AK8" s="48" cm="1">
        <f t="array" ref="AK8">_xlfn.IFS(YEAR(AK$2)&lt;YEAR($I8),0,YEAR(AK$2)=YEAR($I8),ROUND(((AK$2-$I8+1)/365)*$D8,2),AND(YEAR(AK$2)&gt;YEAR($I8),YEAR(AK$2)-YEAR($I8)&lt;20),$D8,YEAR(AK$2)-YEAR($I8)=20,ROUND((DATE(YEAR($I8),12,31)-$I8+1)/365*$D8,2),YEAR(AK$2)-YEAR($I8)&gt;20,0)</f>
        <v>0</v>
      </c>
      <c r="AL8" s="48" cm="1">
        <f t="array" ref="AL8">_xlfn.IFS(YEAR(AL$2)&lt;YEAR($I8),0,YEAR(AL$2)=YEAR($I8),ROUND(((AL$2-$I8+1)/365)*$D8,2),AND(YEAR(AL$2)&gt;YEAR($I8),YEAR(AL$2)-YEAR($I8)&lt;20),$D8,YEAR(AL$2)-YEAR($I8)=20,ROUND((DATE(YEAR($I8),12,31)-$I8+1)/365*$D8,2),YEAR(AL$2)-YEAR($I8)&gt;20,0)</f>
        <v>0</v>
      </c>
      <c r="AM8" s="48" cm="1">
        <f t="array" ref="AM8">_xlfn.IFS(YEAR(AM$2)&lt;YEAR($I8),0,YEAR(AM$2)=YEAR($I8),ROUND(((AM$2-$I8+1)/365)*$D8,2),AND(YEAR(AM$2)&gt;YEAR($I8),YEAR(AM$2)-YEAR($I8)&lt;20),$D8,YEAR(AM$2)-YEAR($I8)=20,ROUND((DATE(YEAR($I8),12,31)-$I8+1)/365*$D8,2),YEAR(AM$2)-YEAR($I8)&gt;20,0)</f>
        <v>0</v>
      </c>
      <c r="AO8" s="48">
        <v>2</v>
      </c>
      <c r="AP8" s="4" t="s">
        <v>11</v>
      </c>
      <c r="AQ8" s="48" t="s">
        <v>75</v>
      </c>
      <c r="AR8" s="48" cm="1">
        <f t="array" ref="AR8">ROUND(SUMIFS(J$3:J$100,$E$3:$E$100,$AQ8,$F$3:$F$100,$AO8,$A$3:$A$100,$AP8)/1000,2) + ROUND(SUMPRODUCT(('Unallocated Scenarios'!$A$20:$A$39=$AP8)*(AR$2&gt;'Unallocated Scenarios'!$G$20:$G$39)*('Unallocated Scenarios'!$B$20:$B$39=$AO8)*('Unallocated Scenarios'!$C$20:$C$39=$AQ8)*'Unallocated Scenarios'!$D$20:$D$39)/1000,2)</f>
        <v>0</v>
      </c>
      <c r="AS8" s="48" cm="1">
        <f t="array" ref="AS8">ROUND(SUMIFS(K$3:K$100,$E$3:$E$100,$AQ8,$F$3:$F$100,$AO8,$A$3:$A$100,$AP8)/1000,2) + ROUND(SUMPRODUCT(('Unallocated Scenarios'!$A$20:$A$39=$AP8)*(AS$2&gt;'Unallocated Scenarios'!$G$20:$G$39)*('Unallocated Scenarios'!$B$20:$B$39=$AO8)*('Unallocated Scenarios'!$C$20:$C$39=$AQ8)*'Unallocated Scenarios'!$D$20:$D$39)/1000,2)</f>
        <v>0</v>
      </c>
      <c r="AT8" s="48" cm="1">
        <f t="array" ref="AT8">ROUND(SUMIFS(L$3:L$100,$E$3:$E$100,$AQ8,$F$3:$F$100,$AO8,$A$3:$A$100,$AP8)/1000,2) + ROUND(SUMPRODUCT(('Unallocated Scenarios'!$A$20:$A$39=$AP8)*(AT$2&gt;'Unallocated Scenarios'!$G$20:$G$39)*('Unallocated Scenarios'!$B$20:$B$39=$AO8)*('Unallocated Scenarios'!$C$20:$C$39=$AQ8)*'Unallocated Scenarios'!$D$20:$D$39)/1000,2)</f>
        <v>0</v>
      </c>
      <c r="AU8" s="48" cm="1">
        <f t="array" ref="AU8">ROUND(SUMIFS(M$3:M$100,$E$3:$E$100,$AQ8,$F$3:$F$100,$AO8,$A$3:$A$100,$AP8)/1000,2) + ROUND(SUMPRODUCT(('Unallocated Scenarios'!$A$20:$A$39=$AP8)*(AU$2&gt;'Unallocated Scenarios'!$G$20:$G$39)*('Unallocated Scenarios'!$B$20:$B$39=$AO8)*('Unallocated Scenarios'!$C$20:$C$39=$AQ8)*'Unallocated Scenarios'!$D$20:$D$39)/1000,2)</f>
        <v>0.18</v>
      </c>
      <c r="AV8" s="48" cm="1">
        <f t="array" ref="AV8">ROUND(SUMIFS(N$3:N$100,$E$3:$E$100,$AQ8,$F$3:$F$100,$AO8,$A$3:$A$100,$AP8)/1000,2) + ROUND(SUMPRODUCT(('Unallocated Scenarios'!$A$20:$A$39=$AP8)*(AV$2&gt;'Unallocated Scenarios'!$G$20:$G$39)*('Unallocated Scenarios'!$B$20:$B$39=$AO8)*('Unallocated Scenarios'!$C$20:$C$39=$AQ8)*'Unallocated Scenarios'!$D$20:$D$39)/1000,2)</f>
        <v>0.3</v>
      </c>
      <c r="AW8" s="48" cm="1">
        <f t="array" ref="AW8">ROUND(SUMIFS(O$3:O$100,$E$3:$E$100,$AQ8,$F$3:$F$100,$AO8,$A$3:$A$100,$AP8)/1000,2) + ROUND(SUMPRODUCT(('Unallocated Scenarios'!$A$20:$A$39=$AP8)*(AW$2&gt;'Unallocated Scenarios'!$G$20:$G$39)*('Unallocated Scenarios'!$B$20:$B$39=$AO8)*('Unallocated Scenarios'!$C$20:$C$39=$AQ8)*'Unallocated Scenarios'!$D$20:$D$39)/1000,2)</f>
        <v>2.14</v>
      </c>
      <c r="AX8" s="48" cm="1">
        <f t="array" ref="AX8">ROUND(SUMIFS(P$3:P$100,$E$3:$E$100,$AQ8,$F$3:$F$100,$AO8,$A$3:$A$100,$AP8)/1000,2) + ROUND(SUMPRODUCT(('Unallocated Scenarios'!$A$20:$A$39=$AP8)*(AX$2&gt;'Unallocated Scenarios'!$G$20:$G$39)*('Unallocated Scenarios'!$B$20:$B$39=$AO8)*('Unallocated Scenarios'!$C$20:$C$39=$AQ8)*'Unallocated Scenarios'!$D$20:$D$39)/1000,2)</f>
        <v>10</v>
      </c>
      <c r="AY8" s="48" cm="1">
        <f t="array" ref="AY8">ROUND(SUMIFS(Q$3:Q$100,$E$3:$E$100,$AQ8,$F$3:$F$100,$AO8,$A$3:$A$100,$AP8)/1000,2) + ROUND(SUMPRODUCT(('Unallocated Scenarios'!$A$20:$A$39=$AP8)*(AY$2&gt;'Unallocated Scenarios'!$G$20:$G$39)*('Unallocated Scenarios'!$B$20:$B$39=$AO8)*('Unallocated Scenarios'!$C$20:$C$39=$AQ8)*'Unallocated Scenarios'!$D$20:$D$39)/1000,2)</f>
        <v>27.61</v>
      </c>
      <c r="AZ8" s="48" cm="1">
        <f t="array" ref="AZ8">ROUND(SUMIFS(R$3:R$100,$E$3:$E$100,$AQ8,$F$3:$F$100,$AO8,$A$3:$A$100,$AP8)/1000,2) + ROUND(SUMPRODUCT(('Unallocated Scenarios'!$A$20:$A$39=$AP8)*(AZ$2&gt;'Unallocated Scenarios'!$G$20:$G$39)*('Unallocated Scenarios'!$B$20:$B$39=$AO8)*('Unallocated Scenarios'!$C$20:$C$39=$AQ8)*'Unallocated Scenarios'!$D$20:$D$39)/1000,2)</f>
        <v>43.25</v>
      </c>
      <c r="BA8" s="48" cm="1">
        <f t="array" ref="BA8">ROUND(SUMIFS(S$3:S$100,$E$3:$E$100,$AQ8,$F$3:$F$100,$AO8,$A$3:$A$100,$AP8)/1000,2) + ROUND(SUMPRODUCT(('Unallocated Scenarios'!$A$20:$A$39=$AP8)*(BA$2&gt;'Unallocated Scenarios'!$G$20:$G$39)*('Unallocated Scenarios'!$B$20:$B$39=$AO8)*('Unallocated Scenarios'!$C$20:$C$39=$AQ8)*'Unallocated Scenarios'!$D$20:$D$39)/1000,2)</f>
        <v>43.25</v>
      </c>
      <c r="BB8" s="48" cm="1">
        <f t="array" ref="BB8">ROUND(SUMIFS(T$3:T$100,$E$3:$E$100,$AQ8,$F$3:$F$100,$AO8,$A$3:$A$100,$AP8)/1000,2) + ROUND(SUMPRODUCT(('Unallocated Scenarios'!$A$20:$A$39=$AP8)*(BB$2&gt;'Unallocated Scenarios'!$G$20:$G$39)*('Unallocated Scenarios'!$B$20:$B$39=$AO8)*('Unallocated Scenarios'!$C$20:$C$39=$AQ8)*'Unallocated Scenarios'!$D$20:$D$39)/1000,2)</f>
        <v>43.25</v>
      </c>
      <c r="BC8" s="48" cm="1">
        <f t="array" ref="BC8">ROUND(SUMIFS(U$3:U$100,$E$3:$E$100,$AQ8,$F$3:$F$100,$AO8,$A$3:$A$100,$AP8)/1000,2) + ROUND(SUMPRODUCT(('Unallocated Scenarios'!$A$20:$A$39=$AP8)*(BC$2&gt;'Unallocated Scenarios'!$G$20:$G$39)*('Unallocated Scenarios'!$B$20:$B$39=$AO8)*('Unallocated Scenarios'!$C$20:$C$39=$AQ8)*'Unallocated Scenarios'!$D$20:$D$39)/1000,2)</f>
        <v>43.25</v>
      </c>
      <c r="BD8" s="48" cm="1">
        <f t="array" ref="BD8">ROUND(SUMIFS(V$3:V$100,$E$3:$E$100,$AQ8,$F$3:$F$100,$AO8,$A$3:$A$100,$AP8)/1000,2) + ROUND(SUMPRODUCT(('Unallocated Scenarios'!$A$20:$A$39=$AP8)*(BD$2&gt;'Unallocated Scenarios'!$G$20:$G$39)*('Unallocated Scenarios'!$B$20:$B$39=$AO8)*('Unallocated Scenarios'!$C$20:$C$39=$AQ8)*'Unallocated Scenarios'!$D$20:$D$39)/1000,2)</f>
        <v>43.25</v>
      </c>
      <c r="BE8" s="48" cm="1">
        <f t="array" ref="BE8">ROUND(SUMIFS(W$3:W$100,$E$3:$E$100,$AQ8,$F$3:$F$100,$AO8,$A$3:$A$100,$AP8)/1000,2) + ROUND(SUMPRODUCT(('Unallocated Scenarios'!$A$20:$A$39=$AP8)*(BE$2&gt;'Unallocated Scenarios'!$G$20:$G$39)*('Unallocated Scenarios'!$B$20:$B$39=$AO8)*('Unallocated Scenarios'!$C$20:$C$39=$AQ8)*'Unallocated Scenarios'!$D$20:$D$39)/1000,2)</f>
        <v>43.25</v>
      </c>
      <c r="BF8" s="48" cm="1">
        <f t="array" ref="BF8">ROUND(SUMIFS(X$3:X$100,$E$3:$E$100,$AQ8,$F$3:$F$100,$AO8,$A$3:$A$100,$AP8)/1000,2) + ROUND(SUMPRODUCT(('Unallocated Scenarios'!$A$20:$A$39=$AP8)*(BF$2&gt;'Unallocated Scenarios'!$G$20:$G$39)*('Unallocated Scenarios'!$B$20:$B$39=$AO8)*('Unallocated Scenarios'!$C$20:$C$39=$AQ8)*'Unallocated Scenarios'!$D$20:$D$39)/1000,2)</f>
        <v>43.25</v>
      </c>
      <c r="BG8" s="48" cm="1">
        <f t="array" ref="BG8">ROUND(SUMIFS(Y$3:Y$100,$E$3:$E$100,$AQ8,$F$3:$F$100,$AO8,$A$3:$A$100,$AP8)/1000,2) + ROUND(SUMPRODUCT(('Unallocated Scenarios'!$A$20:$A$39=$AP8)*(BG$2&gt;'Unallocated Scenarios'!$G$20:$G$39)*('Unallocated Scenarios'!$B$20:$B$39=$AO8)*('Unallocated Scenarios'!$C$20:$C$39=$AQ8)*'Unallocated Scenarios'!$D$20:$D$39)/1000,2)</f>
        <v>43.25</v>
      </c>
      <c r="BH8" s="48" cm="1">
        <f t="array" ref="BH8">ROUND(SUMIFS(Z$3:Z$100,$E$3:$E$100,$AQ8,$F$3:$F$100,$AO8,$A$3:$A$100,$AP8)/1000,2) + ROUND(SUMPRODUCT(('Unallocated Scenarios'!$A$20:$A$39=$AP8)*(BH$2&gt;'Unallocated Scenarios'!$G$20:$G$39)*('Unallocated Scenarios'!$B$20:$B$39=$AO8)*('Unallocated Scenarios'!$C$20:$C$39=$AQ8)*'Unallocated Scenarios'!$D$20:$D$39)/1000,2)</f>
        <v>43.25</v>
      </c>
      <c r="BI8" s="48" cm="1">
        <f t="array" ref="BI8">ROUND(SUMIFS(AA$3:AA$100,$E$3:$E$100,$AQ8,$F$3:$F$100,$AO8,$A$3:$A$100,$AP8)/1000,2) + ROUND(SUMPRODUCT(('Unallocated Scenarios'!$A$20:$A$39=$AP8)*(BI$2&gt;'Unallocated Scenarios'!$G$20:$G$39)*('Unallocated Scenarios'!$B$20:$B$39=$AO8)*('Unallocated Scenarios'!$C$20:$C$39=$AQ8)*'Unallocated Scenarios'!$D$20:$D$39)/1000,2)</f>
        <v>43.25</v>
      </c>
      <c r="BJ8" s="48" cm="1">
        <f t="array" ref="BJ8">ROUND(SUMIFS(AB$3:AB$100,$E$3:$E$100,$AQ8,$F$3:$F$100,$AO8,$A$3:$A$100,$AP8)/1000,2) + ROUND(SUMPRODUCT(('Unallocated Scenarios'!$A$20:$A$39=$AP8)*(BJ$2&gt;'Unallocated Scenarios'!$G$20:$G$39)*('Unallocated Scenarios'!$B$20:$B$39=$AO8)*('Unallocated Scenarios'!$C$20:$C$39=$AQ8)*'Unallocated Scenarios'!$D$20:$D$39)/1000,2)</f>
        <v>43.25</v>
      </c>
      <c r="BK8" s="48" cm="1">
        <f t="array" ref="BK8">ROUND(SUMIFS(AC$3:AC$100,$E$3:$E$100,$AQ8,$F$3:$F$100,$AO8,$A$3:$A$100,$AP8)/1000,2) + ROUND(SUMPRODUCT(('Unallocated Scenarios'!$A$20:$A$39=$AP8)*(BK$2&gt;'Unallocated Scenarios'!$G$20:$G$39)*('Unallocated Scenarios'!$B$20:$B$39=$AO8)*('Unallocated Scenarios'!$C$20:$C$39=$AQ8)*'Unallocated Scenarios'!$D$20:$D$39)/1000,2)</f>
        <v>43.25</v>
      </c>
      <c r="BL8" s="48" cm="1">
        <f t="array" ref="BL8">ROUND(SUMIFS(AD$3:AD$100,$E$3:$E$100,$AQ8,$F$3:$F$100,$AO8,$A$3:$A$100,$AP8)/1000,2) + ROUND(SUMPRODUCT(('Unallocated Scenarios'!$A$20:$A$39=$AP8)*(BL$2&gt;'Unallocated Scenarios'!$G$20:$G$39)*('Unallocated Scenarios'!$B$20:$B$39=$AO8)*('Unallocated Scenarios'!$C$20:$C$39=$AQ8)*'Unallocated Scenarios'!$D$20:$D$39)/1000,2)</f>
        <v>43.25</v>
      </c>
      <c r="BM8" s="48" cm="1">
        <f t="array" ref="BM8">ROUND(SUMIFS(AE$3:AE$100,$E$3:$E$100,$AQ8,$F$3:$F$100,$AO8,$A$3:$A$100,$AP8)/1000,2) + ROUND(SUMPRODUCT(('Unallocated Scenarios'!$A$20:$A$39=$AP8)*(BM$2&gt;'Unallocated Scenarios'!$G$20:$G$39)*('Unallocated Scenarios'!$B$20:$B$39=$AO8)*('Unallocated Scenarios'!$C$20:$C$39=$AQ8)*'Unallocated Scenarios'!$D$20:$D$39)/1000,2)</f>
        <v>43.25</v>
      </c>
      <c r="BN8" s="48" cm="1">
        <f t="array" ref="BN8">ROUND(SUMIFS(AF$3:AF$100,$E$3:$E$100,$AQ8,$F$3:$F$100,$AO8,$A$3:$A$100,$AP8)/1000,2) + ROUND(SUMPRODUCT(('Unallocated Scenarios'!$A$20:$A$39=$AP8)*(BN$2&gt;'Unallocated Scenarios'!$G$20:$G$39)*('Unallocated Scenarios'!$B$20:$B$39=$AO8)*('Unallocated Scenarios'!$C$20:$C$39=$AQ8)*'Unallocated Scenarios'!$D$20:$D$39)/1000,2)</f>
        <v>43.25</v>
      </c>
      <c r="BO8" s="48" cm="1">
        <f t="array" ref="BO8">ROUND(SUMIFS(AG$3:AG$100,$E$3:$E$100,$AQ8,$F$3:$F$100,$AO8,$A$3:$A$100,$AP8)/1000,2) + ROUND(SUMPRODUCT(('Unallocated Scenarios'!$A$20:$A$39=$AP8)*(BO$2&gt;'Unallocated Scenarios'!$G$20:$G$39)*('Unallocated Scenarios'!$B$20:$B$39=$AO8)*('Unallocated Scenarios'!$C$20:$C$39=$AQ8)*'Unallocated Scenarios'!$D$20:$D$39)/1000,2)</f>
        <v>43.13</v>
      </c>
      <c r="BP8" s="48" cm="1">
        <f t="array" ref="BP8">ROUND(SUMIFS(AH$3:AH$100,$E$3:$E$100,$AQ8,$F$3:$F$100,$AO8,$A$3:$A$100,$AP8)/1000,2) + ROUND(SUMPRODUCT(('Unallocated Scenarios'!$A$20:$A$39=$AP8)*(BP$2&gt;'Unallocated Scenarios'!$G$20:$G$39)*('Unallocated Scenarios'!$B$20:$B$39=$AO8)*('Unallocated Scenarios'!$C$20:$C$39=$AQ8)*'Unallocated Scenarios'!$D$20:$D$39)/1000,2)</f>
        <v>42.95</v>
      </c>
      <c r="BQ8" s="48" cm="1">
        <f t="array" ref="BQ8">ROUND(SUMIFS(AI$3:AI$100,$E$3:$E$100,$AQ8,$F$3:$F$100,$AO8,$A$3:$A$100,$AP8)/1000,2) + ROUND(SUMPRODUCT(('Unallocated Scenarios'!$A$20:$A$39=$AP8)*(BQ$2&gt;'Unallocated Scenarios'!$G$20:$G$39)*('Unallocated Scenarios'!$B$20:$B$39=$AO8)*('Unallocated Scenarios'!$C$20:$C$39=$AQ8)*'Unallocated Scenarios'!$D$20:$D$39)/1000,2)</f>
        <v>41.27</v>
      </c>
      <c r="BR8" s="48" cm="1">
        <f t="array" ref="BR8">ROUND(SUMIFS(AJ$3:AJ$100,$E$3:$E$100,$AQ8,$F$3:$F$100,$AO8,$A$3:$A$100,$AP8)/1000,2) + ROUND(SUMPRODUCT(('Unallocated Scenarios'!$A$20:$A$39=$AP8)*(BR$2&gt;'Unallocated Scenarios'!$G$20:$G$39)*('Unallocated Scenarios'!$B$20:$B$39=$AO8)*('Unallocated Scenarios'!$C$20:$C$39=$AQ8)*'Unallocated Scenarios'!$D$20:$D$39)/1000,2)</f>
        <v>37.46</v>
      </c>
      <c r="BS8" s="48" cm="1">
        <f t="array" ref="BS8">ROUND(SUMIFS(AK$3:AK$100,$E$3:$E$100,$AQ8,$F$3:$F$100,$AO8,$A$3:$A$100,$AP8)/1000,2) + ROUND(SUMPRODUCT(('Unallocated Scenarios'!$A$20:$A$39=$AP8)*(BS$2&gt;'Unallocated Scenarios'!$G$20:$G$39)*('Unallocated Scenarios'!$B$20:$B$39=$AO8)*('Unallocated Scenarios'!$C$20:$C$39=$AQ8)*'Unallocated Scenarios'!$D$20:$D$39)/1000,2)</f>
        <v>31.28</v>
      </c>
      <c r="BT8" s="48" cm="1">
        <f t="array" ref="BT8">ROUND(SUMIFS(AL$3:AL$100,$E$3:$E$100,$AQ8,$F$3:$F$100,$AO8,$A$3:$A$100,$AP8)/1000,2) + ROUND(SUMPRODUCT(('Unallocated Scenarios'!$A$20:$A$39=$AP8)*(BT$2&gt;'Unallocated Scenarios'!$G$20:$G$39)*('Unallocated Scenarios'!$B$20:$B$39=$AO8)*('Unallocated Scenarios'!$C$20:$C$39=$AQ8)*'Unallocated Scenarios'!$D$20:$D$39)/1000,2)</f>
        <v>31.28</v>
      </c>
      <c r="BU8" s="48" cm="1">
        <f t="array" ref="BU8">ROUND(SUMIFS(AM$3:AM$100,$E$3:$E$100,$AQ8,$F$3:$F$100,$AO8,$A$3:$A$100,$AP8)/1000,2) + ROUND(SUMPRODUCT(('Unallocated Scenarios'!$A$20:$A$39=$AP8)*(BU$2&gt;'Unallocated Scenarios'!$G$20:$G$39)*('Unallocated Scenarios'!$B$20:$B$39=$AO8)*('Unallocated Scenarios'!$C$20:$C$39=$AQ8)*'Unallocated Scenarios'!$D$20:$D$39)/1000,2)</f>
        <v>31.28</v>
      </c>
    </row>
    <row r="9" spans="1:73">
      <c r="A9" s="155" t="str" cm="1">
        <f t="array" ref="A9">_xlfn.IFS(LEFT(C9,3)="PGE","PGE",LEFT(C9,2)="PP","PAC",TRUE,"IP")</f>
        <v>PGE</v>
      </c>
      <c r="B9" s="155" t="str">
        <f>IF(ISNA(MATCH(C9,'Monthly Report July 2025'!E:E,0)),"Missing","Present")</f>
        <v>Present</v>
      </c>
      <c r="C9" s="155" t="s">
        <v>115</v>
      </c>
      <c r="D9" s="176" cm="1">
        <f t="array" ref="D9">INDEX('Monthly Report July 2025'!L:L,MATCH(C9,'Monthly Report July 2025'!E:E,0),0)</f>
        <v>40</v>
      </c>
      <c r="E9" s="176" t="str" cm="1">
        <f t="array" ref="E9">IF(INDEX('PA Fees by Project'!K:K,MATCH(C9,'PA Fees by Project'!E:E,0),0)="No","Non-Carve Out", "Carve Out")</f>
        <v>Carve Out</v>
      </c>
      <c r="F9" s="176" cm="1">
        <f t="array" ref="F9">INDEX('PA Fees by Project'!J:J,MATCH(C9,'PA Fees by Project'!E:E,0),0)</f>
        <v>1</v>
      </c>
      <c r="G9" s="155" t="str" cm="1">
        <f t="array" ref="G9">INDEX('PA Fees by Project'!G:G,MATCH(C9,'PA Fees by Project'!E:E,0),0)</f>
        <v>Operational</v>
      </c>
      <c r="H9" s="175" cm="1">
        <f t="array" ref="H9">INDEX('PA Fees by Project'!Q:Q,MATCH(C9,'PA Fees by Project'!E:E,0),0)</f>
        <v>44715</v>
      </c>
      <c r="I9" s="156" cm="1">
        <f t="array" ref="I9">_xlfn.IFS(G9="Operational",H9,G9="Certified",EDATE(INDEX('PA Fees by Project'!R:R,MATCH(C9,'PA Fees by Project'!E:E,0),0),6),TRUE,EDATE(INDEX('PA Fees by Project'!O:O,MATCH(C9,'PA Fees by Project'!E:E,0),0),6))</f>
        <v>44715</v>
      </c>
      <c r="J9" s="48" cm="1">
        <f t="array" ref="J9">_xlfn.IFS(YEAR(J$2)&lt;YEAR($I9),0,YEAR(J$2)=YEAR($I9),ROUND(((J$2-$I9+1)/365)*$D9,2),AND(YEAR(J$2)&gt;YEAR($I9),YEAR(J$2)-YEAR($I9)&lt;20),$D9,YEAR(J$2)-YEAR($I9)=20,ROUND((DATE(YEAR($I9),12,31)-$I9+1)/365*$D9,2),YEAR(J$2)-YEAR($I9)&gt;20,0)</f>
        <v>0</v>
      </c>
      <c r="K9" s="48" cm="1">
        <f t="array" ref="K9">_xlfn.IFS(YEAR(K$2)&lt;YEAR($I9),0,YEAR(K$2)=YEAR($I9),ROUND(((K$2-$I9+1)/365)*$D9,2),AND(YEAR(K$2)&gt;YEAR($I9),YEAR(K$2)-YEAR($I9)&lt;20),$D9,YEAR(K$2)-YEAR($I9)=20,ROUND((DATE(YEAR($I9),12,31)-$I9+1)/365*$D9,2),YEAR(K$2)-YEAR($I9)&gt;20,0)</f>
        <v>23.23</v>
      </c>
      <c r="L9" s="48" cm="1">
        <f t="array" ref="L9">_xlfn.IFS(YEAR(L$2)&lt;YEAR($I9),0,YEAR(L$2)=YEAR($I9),ROUND(((L$2-$I9+1)/365)*$D9,2),AND(YEAR(L$2)&gt;YEAR($I9),YEAR(L$2)-YEAR($I9)&lt;20),$D9,YEAR(L$2)-YEAR($I9)=20,ROUND((DATE(YEAR($I9),12,31)-$I9+1)/365*$D9,2),YEAR(L$2)-YEAR($I9)&gt;20,0)</f>
        <v>40</v>
      </c>
      <c r="M9" s="48" cm="1">
        <f t="array" ref="M9">_xlfn.IFS(YEAR(M$2)&lt;YEAR($I9),0,YEAR(M$2)=YEAR($I9),ROUND(((M$2-$I9+1)/365)*$D9,2),AND(YEAR(M$2)&gt;YEAR($I9),YEAR(M$2)-YEAR($I9)&lt;20),$D9,YEAR(M$2)-YEAR($I9)=20,ROUND((DATE(YEAR($I9),12,31)-$I9+1)/365*$D9,2),YEAR(M$2)-YEAR($I9)&gt;20,0)</f>
        <v>40</v>
      </c>
      <c r="N9" s="48" cm="1">
        <f t="array" ref="N9">_xlfn.IFS(YEAR(N$2)&lt;YEAR($I9),0,YEAR(N$2)=YEAR($I9),ROUND(((N$2-$I9+1)/365)*$D9,2),AND(YEAR(N$2)&gt;YEAR($I9),YEAR(N$2)-YEAR($I9)&lt;20),$D9,YEAR(N$2)-YEAR($I9)=20,ROUND((DATE(YEAR($I9),12,31)-$I9+1)/365*$D9,2),YEAR(N$2)-YEAR($I9)&gt;20,0)</f>
        <v>40</v>
      </c>
      <c r="O9" s="48" cm="1">
        <f t="array" ref="O9">_xlfn.IFS(YEAR(O$2)&lt;YEAR($I9),0,YEAR(O$2)=YEAR($I9),ROUND(((O$2-$I9+1)/365)*$D9,2),AND(YEAR(O$2)&gt;YEAR($I9),YEAR(O$2)-YEAR($I9)&lt;20),$D9,YEAR(O$2)-YEAR($I9)=20,ROUND((DATE(YEAR($I9),12,31)-$I9+1)/365*$D9,2),YEAR(O$2)-YEAR($I9)&gt;20,0)</f>
        <v>40</v>
      </c>
      <c r="P9" s="48" cm="1">
        <f t="array" ref="P9">_xlfn.IFS(YEAR(P$2)&lt;YEAR($I9),0,YEAR(P$2)=YEAR($I9),ROUND(((P$2-$I9+1)/365)*$D9,2),AND(YEAR(P$2)&gt;YEAR($I9),YEAR(P$2)-YEAR($I9)&lt;20),$D9,YEAR(P$2)-YEAR($I9)=20,ROUND((DATE(YEAR($I9),12,31)-$I9+1)/365*$D9,2),YEAR(P$2)-YEAR($I9)&gt;20,0)</f>
        <v>40</v>
      </c>
      <c r="Q9" s="48" cm="1">
        <f t="array" ref="Q9">_xlfn.IFS(YEAR(Q$2)&lt;YEAR($I9),0,YEAR(Q$2)=YEAR($I9),ROUND(((Q$2-$I9+1)/365)*$D9,2),AND(YEAR(Q$2)&gt;YEAR($I9),YEAR(Q$2)-YEAR($I9)&lt;20),$D9,YEAR(Q$2)-YEAR($I9)=20,ROUND((DATE(YEAR($I9),12,31)-$I9+1)/365*$D9,2),YEAR(Q$2)-YEAR($I9)&gt;20,0)</f>
        <v>40</v>
      </c>
      <c r="R9" s="48" cm="1">
        <f t="array" ref="R9">_xlfn.IFS(YEAR(R$2)&lt;YEAR($I9),0,YEAR(R$2)=YEAR($I9),ROUND(((R$2-$I9+1)/365)*$D9,2),AND(YEAR(R$2)&gt;YEAR($I9),YEAR(R$2)-YEAR($I9)&lt;20),$D9,YEAR(R$2)-YEAR($I9)=20,ROUND((DATE(YEAR($I9),12,31)-$I9+1)/365*$D9,2),YEAR(R$2)-YEAR($I9)&gt;20,0)</f>
        <v>40</v>
      </c>
      <c r="S9" s="48" cm="1">
        <f t="array" ref="S9">_xlfn.IFS(YEAR(S$2)&lt;YEAR($I9),0,YEAR(S$2)=YEAR($I9),ROUND(((S$2-$I9+1)/365)*$D9,2),AND(YEAR(S$2)&gt;YEAR($I9),YEAR(S$2)-YEAR($I9)&lt;20),$D9,YEAR(S$2)-YEAR($I9)=20,ROUND((DATE(YEAR($I9),12,31)-$I9+1)/365*$D9,2),YEAR(S$2)-YEAR($I9)&gt;20,0)</f>
        <v>40</v>
      </c>
      <c r="T9" s="48" cm="1">
        <f t="array" ref="T9">_xlfn.IFS(YEAR(T$2)&lt;YEAR($I9),0,YEAR(T$2)=YEAR($I9),ROUND(((T$2-$I9+1)/365)*$D9,2),AND(YEAR(T$2)&gt;YEAR($I9),YEAR(T$2)-YEAR($I9)&lt;20),$D9,YEAR(T$2)-YEAR($I9)=20,ROUND((DATE(YEAR($I9),12,31)-$I9+1)/365*$D9,2),YEAR(T$2)-YEAR($I9)&gt;20,0)</f>
        <v>40</v>
      </c>
      <c r="U9" s="48" cm="1">
        <f t="array" ref="U9">_xlfn.IFS(YEAR(U$2)&lt;YEAR($I9),0,YEAR(U$2)=YEAR($I9),ROUND(((U$2-$I9+1)/365)*$D9,2),AND(YEAR(U$2)&gt;YEAR($I9),YEAR(U$2)-YEAR($I9)&lt;20),$D9,YEAR(U$2)-YEAR($I9)=20,ROUND((DATE(YEAR($I9),12,31)-$I9+1)/365*$D9,2),YEAR(U$2)-YEAR($I9)&gt;20,0)</f>
        <v>40</v>
      </c>
      <c r="V9" s="48" cm="1">
        <f t="array" ref="V9">_xlfn.IFS(YEAR(V$2)&lt;YEAR($I9),0,YEAR(V$2)=YEAR($I9),ROUND(((V$2-$I9+1)/365)*$D9,2),AND(YEAR(V$2)&gt;YEAR($I9),YEAR(V$2)-YEAR($I9)&lt;20),$D9,YEAR(V$2)-YEAR($I9)=20,ROUND((DATE(YEAR($I9),12,31)-$I9+1)/365*$D9,2),YEAR(V$2)-YEAR($I9)&gt;20,0)</f>
        <v>40</v>
      </c>
      <c r="W9" s="48" cm="1">
        <f t="array" ref="W9">_xlfn.IFS(YEAR(W$2)&lt;YEAR($I9),0,YEAR(W$2)=YEAR($I9),ROUND(((W$2-$I9+1)/365)*$D9,2),AND(YEAR(W$2)&gt;YEAR($I9),YEAR(W$2)-YEAR($I9)&lt;20),$D9,YEAR(W$2)-YEAR($I9)=20,ROUND((DATE(YEAR($I9),12,31)-$I9+1)/365*$D9,2),YEAR(W$2)-YEAR($I9)&gt;20,0)</f>
        <v>40</v>
      </c>
      <c r="X9" s="48" cm="1">
        <f t="array" ref="X9">_xlfn.IFS(YEAR(X$2)&lt;YEAR($I9),0,YEAR(X$2)=YEAR($I9),ROUND(((X$2-$I9+1)/365)*$D9,2),AND(YEAR(X$2)&gt;YEAR($I9),YEAR(X$2)-YEAR($I9)&lt;20),$D9,YEAR(X$2)-YEAR($I9)=20,ROUND((DATE(YEAR($I9),12,31)-$I9+1)/365*$D9,2),YEAR(X$2)-YEAR($I9)&gt;20,0)</f>
        <v>40</v>
      </c>
      <c r="Y9" s="48" cm="1">
        <f t="array" ref="Y9">_xlfn.IFS(YEAR(Y$2)&lt;YEAR($I9),0,YEAR(Y$2)=YEAR($I9),ROUND(((Y$2-$I9+1)/365)*$D9,2),AND(YEAR(Y$2)&gt;YEAR($I9),YEAR(Y$2)-YEAR($I9)&lt;20),$D9,YEAR(Y$2)-YEAR($I9)=20,ROUND((DATE(YEAR($I9),12,31)-$I9+1)/365*$D9,2),YEAR(Y$2)-YEAR($I9)&gt;20,0)</f>
        <v>40</v>
      </c>
      <c r="Z9" s="48" cm="1">
        <f t="array" ref="Z9">_xlfn.IFS(YEAR(Z$2)&lt;YEAR($I9),0,YEAR(Z$2)=YEAR($I9),ROUND(((Z$2-$I9+1)/365)*$D9,2),AND(YEAR(Z$2)&gt;YEAR($I9),YEAR(Z$2)-YEAR($I9)&lt;20),$D9,YEAR(Z$2)-YEAR($I9)=20,ROUND((DATE(YEAR($I9),12,31)-$I9+1)/365*$D9,2),YEAR(Z$2)-YEAR($I9)&gt;20,0)</f>
        <v>40</v>
      </c>
      <c r="AA9" s="48" cm="1">
        <f t="array" ref="AA9">_xlfn.IFS(YEAR(AA$2)&lt;YEAR($I9),0,YEAR(AA$2)=YEAR($I9),ROUND(((AA$2-$I9+1)/365)*$D9,2),AND(YEAR(AA$2)&gt;YEAR($I9),YEAR(AA$2)-YEAR($I9)&lt;20),$D9,YEAR(AA$2)-YEAR($I9)=20,ROUND((DATE(YEAR($I9),12,31)-$I9+1)/365*$D9,2),YEAR(AA$2)-YEAR($I9)&gt;20,0)</f>
        <v>40</v>
      </c>
      <c r="AB9" s="48" cm="1">
        <f t="array" ref="AB9">_xlfn.IFS(YEAR(AB$2)&lt;YEAR($I9),0,YEAR(AB$2)=YEAR($I9),ROUND(((AB$2-$I9+1)/365)*$D9,2),AND(YEAR(AB$2)&gt;YEAR($I9),YEAR(AB$2)-YEAR($I9)&lt;20),$D9,YEAR(AB$2)-YEAR($I9)=20,ROUND((DATE(YEAR($I9),12,31)-$I9+1)/365*$D9,2),YEAR(AB$2)-YEAR($I9)&gt;20,0)</f>
        <v>40</v>
      </c>
      <c r="AC9" s="48" cm="1">
        <f t="array" ref="AC9">_xlfn.IFS(YEAR(AC$2)&lt;YEAR($I9),0,YEAR(AC$2)=YEAR($I9),ROUND(((AC$2-$I9+1)/365)*$D9,2),AND(YEAR(AC$2)&gt;YEAR($I9),YEAR(AC$2)-YEAR($I9)&lt;20),$D9,YEAR(AC$2)-YEAR($I9)=20,ROUND((DATE(YEAR($I9),12,31)-$I9+1)/365*$D9,2),YEAR(AC$2)-YEAR($I9)&gt;20,0)</f>
        <v>40</v>
      </c>
      <c r="AD9" s="48" cm="1">
        <f t="array" ref="AD9">_xlfn.IFS(YEAR(AD$2)&lt;YEAR($I9),0,YEAR(AD$2)=YEAR($I9),ROUND(((AD$2-$I9+1)/365)*$D9,2),AND(YEAR(AD$2)&gt;YEAR($I9),YEAR(AD$2)-YEAR($I9)&lt;20),$D9,YEAR(AD$2)-YEAR($I9)=20,ROUND((DATE(YEAR($I9),12,31)-$I9+1)/365*$D9,2),YEAR(AD$2)-YEAR($I9)&gt;20,0)</f>
        <v>40</v>
      </c>
      <c r="AE9" s="48" cm="1">
        <f t="array" ref="AE9">_xlfn.IFS(YEAR(AE$2)&lt;YEAR($I9),0,YEAR(AE$2)=YEAR($I9),ROUND(((AE$2-$I9+1)/365)*$D9,2),AND(YEAR(AE$2)&gt;YEAR($I9),YEAR(AE$2)-YEAR($I9)&lt;20),$D9,YEAR(AE$2)-YEAR($I9)=20,ROUND((DATE(YEAR($I9),12,31)-$I9+1)/365*$D9,2),YEAR(AE$2)-YEAR($I9)&gt;20,0)</f>
        <v>23.23</v>
      </c>
      <c r="AF9" s="48" cm="1">
        <f t="array" ref="AF9">_xlfn.IFS(YEAR(AF$2)&lt;YEAR($I9),0,YEAR(AF$2)=YEAR($I9),ROUND(((AF$2-$I9+1)/365)*$D9,2),AND(YEAR(AF$2)&gt;YEAR($I9),YEAR(AF$2)-YEAR($I9)&lt;20),$D9,YEAR(AF$2)-YEAR($I9)=20,ROUND((DATE(YEAR($I9),12,31)-$I9+1)/365*$D9,2),YEAR(AF$2)-YEAR($I9)&gt;20,0)</f>
        <v>0</v>
      </c>
      <c r="AG9" s="48" cm="1">
        <f t="array" ref="AG9">_xlfn.IFS(YEAR(AG$2)&lt;YEAR($I9),0,YEAR(AG$2)=YEAR($I9),ROUND(((AG$2-$I9+1)/365)*$D9,2),AND(YEAR(AG$2)&gt;YEAR($I9),YEAR(AG$2)-YEAR($I9)&lt;20),$D9,YEAR(AG$2)-YEAR($I9)=20,ROUND((DATE(YEAR($I9),12,31)-$I9+1)/365*$D9,2),YEAR(AG$2)-YEAR($I9)&gt;20,0)</f>
        <v>0</v>
      </c>
      <c r="AH9" s="48" cm="1">
        <f t="array" ref="AH9">_xlfn.IFS(YEAR(AH$2)&lt;YEAR($I9),0,YEAR(AH$2)=YEAR($I9),ROUND(((AH$2-$I9+1)/365)*$D9,2),AND(YEAR(AH$2)&gt;YEAR($I9),YEAR(AH$2)-YEAR($I9)&lt;20),$D9,YEAR(AH$2)-YEAR($I9)=20,ROUND((DATE(YEAR($I9),12,31)-$I9+1)/365*$D9,2),YEAR(AH$2)-YEAR($I9)&gt;20,0)</f>
        <v>0</v>
      </c>
      <c r="AI9" s="48" cm="1">
        <f t="array" ref="AI9">_xlfn.IFS(YEAR(AI$2)&lt;YEAR($I9),0,YEAR(AI$2)=YEAR($I9),ROUND(((AI$2-$I9+1)/365)*$D9,2),AND(YEAR(AI$2)&gt;YEAR($I9),YEAR(AI$2)-YEAR($I9)&lt;20),$D9,YEAR(AI$2)-YEAR($I9)=20,ROUND((DATE(YEAR($I9),12,31)-$I9+1)/365*$D9,2),YEAR(AI$2)-YEAR($I9)&gt;20,0)</f>
        <v>0</v>
      </c>
      <c r="AJ9" s="48" cm="1">
        <f t="array" ref="AJ9">_xlfn.IFS(YEAR(AJ$2)&lt;YEAR($I9),0,YEAR(AJ$2)=YEAR($I9),ROUND(((AJ$2-$I9+1)/365)*$D9,2),AND(YEAR(AJ$2)&gt;YEAR($I9),YEAR(AJ$2)-YEAR($I9)&lt;20),$D9,YEAR(AJ$2)-YEAR($I9)=20,ROUND((DATE(YEAR($I9),12,31)-$I9+1)/365*$D9,2),YEAR(AJ$2)-YEAR($I9)&gt;20,0)</f>
        <v>0</v>
      </c>
      <c r="AK9" s="48" cm="1">
        <f t="array" ref="AK9">_xlfn.IFS(YEAR(AK$2)&lt;YEAR($I9),0,YEAR(AK$2)=YEAR($I9),ROUND(((AK$2-$I9+1)/365)*$D9,2),AND(YEAR(AK$2)&gt;YEAR($I9),YEAR(AK$2)-YEAR($I9)&lt;20),$D9,YEAR(AK$2)-YEAR($I9)=20,ROUND((DATE(YEAR($I9),12,31)-$I9+1)/365*$D9,2),YEAR(AK$2)-YEAR($I9)&gt;20,0)</f>
        <v>0</v>
      </c>
      <c r="AL9" s="48" cm="1">
        <f t="array" ref="AL9">_xlfn.IFS(YEAR(AL$2)&lt;YEAR($I9),0,YEAR(AL$2)=YEAR($I9),ROUND(((AL$2-$I9+1)/365)*$D9,2),AND(YEAR(AL$2)&gt;YEAR($I9),YEAR(AL$2)-YEAR($I9)&lt;20),$D9,YEAR(AL$2)-YEAR($I9)=20,ROUND((DATE(YEAR($I9),12,31)-$I9+1)/365*$D9,2),YEAR(AL$2)-YEAR($I9)&gt;20,0)</f>
        <v>0</v>
      </c>
      <c r="AM9" s="48" cm="1">
        <f t="array" ref="AM9">_xlfn.IFS(YEAR(AM$2)&lt;YEAR($I9),0,YEAR(AM$2)=YEAR($I9),ROUND(((AM$2-$I9+1)/365)*$D9,2),AND(YEAR(AM$2)&gt;YEAR($I9),YEAR(AM$2)-YEAR($I9)&lt;20),$D9,YEAR(AM$2)-YEAR($I9)=20,ROUND((DATE(YEAR($I9),12,31)-$I9+1)/365*$D9,2),YEAR(AM$2)-YEAR($I9)&gt;20,0)</f>
        <v>0</v>
      </c>
      <c r="AO9" s="65">
        <v>2</v>
      </c>
      <c r="AP9" s="308" t="s">
        <v>11</v>
      </c>
      <c r="AQ9" s="48" t="s">
        <v>99</v>
      </c>
      <c r="AR9" s="48" cm="1">
        <f t="array" ref="AR9">ROUND(SUMIFS(J$3:J$100,$E$3:$E$100,$AQ9,$F$3:$F$100,$AO9,$A$3:$A$100,$AP9)/1000,2) + ROUND(SUMPRODUCT(('Unallocated Scenarios'!$A$20:$A$39=$AP9)*(AR$2&gt;'Unallocated Scenarios'!$G$20:$G$39)*('Unallocated Scenarios'!$B$20:$B$39=$AO9)*('Unallocated Scenarios'!$C$20:$C$39=$AQ9)*'Unallocated Scenarios'!$D$20:$D$39)/1000,2)</f>
        <v>0</v>
      </c>
      <c r="AS9" s="48" cm="1">
        <f t="array" ref="AS9">ROUND(SUMIFS(K$3:K$100,$E$3:$E$100,$AQ9,$F$3:$F$100,$AO9,$A$3:$A$100,$AP9)/1000,2) + ROUND(SUMPRODUCT(('Unallocated Scenarios'!$A$20:$A$39=$AP9)*(AS$2&gt;'Unallocated Scenarios'!$G$20:$G$39)*('Unallocated Scenarios'!$B$20:$B$39=$AO9)*('Unallocated Scenarios'!$C$20:$C$39=$AQ9)*'Unallocated Scenarios'!$D$20:$D$39)/1000,2)</f>
        <v>0</v>
      </c>
      <c r="AT9" s="48" cm="1">
        <f t="array" ref="AT9">ROUND(SUMIFS(L$3:L$100,$E$3:$E$100,$AQ9,$F$3:$F$100,$AO9,$A$3:$A$100,$AP9)/1000,2) + ROUND(SUMPRODUCT(('Unallocated Scenarios'!$A$20:$A$39=$AP9)*(AT$2&gt;'Unallocated Scenarios'!$G$20:$G$39)*('Unallocated Scenarios'!$B$20:$B$39=$AO9)*('Unallocated Scenarios'!$C$20:$C$39=$AQ9)*'Unallocated Scenarios'!$D$20:$D$39)/1000,2)</f>
        <v>1.83</v>
      </c>
      <c r="AU9" s="48" cm="1">
        <f t="array" ref="AU9">ROUND(SUMIFS(M$3:M$100,$E$3:$E$100,$AQ9,$F$3:$F$100,$AO9,$A$3:$A$100,$AP9)/1000,2) + ROUND(SUMPRODUCT(('Unallocated Scenarios'!$A$20:$A$39=$AP9)*(AU$2&gt;'Unallocated Scenarios'!$G$20:$G$39)*('Unallocated Scenarios'!$B$20:$B$39=$AO9)*('Unallocated Scenarios'!$C$20:$C$39=$AQ9)*'Unallocated Scenarios'!$D$20:$D$39)/1000,2)</f>
        <v>5.34</v>
      </c>
      <c r="AV9" s="48" cm="1">
        <f t="array" ref="AV9">ROUND(SUMIFS(N$3:N$100,$E$3:$E$100,$AQ9,$F$3:$F$100,$AO9,$A$3:$A$100,$AP9)/1000,2) + ROUND(SUMPRODUCT(('Unallocated Scenarios'!$A$20:$A$39=$AP9)*(AV$2&gt;'Unallocated Scenarios'!$G$20:$G$39)*('Unallocated Scenarios'!$B$20:$B$39=$AO9)*('Unallocated Scenarios'!$C$20:$C$39=$AQ9)*'Unallocated Scenarios'!$D$20:$D$39)/1000,2)</f>
        <v>22.48</v>
      </c>
      <c r="AW9" s="48" cm="1">
        <f t="array" ref="AW9">ROUND(SUMIFS(O$3:O$100,$E$3:$E$100,$AQ9,$F$3:$F$100,$AO9,$A$3:$A$100,$AP9)/1000,2) + ROUND(SUMPRODUCT(('Unallocated Scenarios'!$A$20:$A$39=$AP9)*(AW$2&gt;'Unallocated Scenarios'!$G$20:$G$39)*('Unallocated Scenarios'!$B$20:$B$39=$AO9)*('Unallocated Scenarios'!$C$20:$C$39=$AQ9)*'Unallocated Scenarios'!$D$20:$D$39)/1000,2)</f>
        <v>31.05</v>
      </c>
      <c r="AX9" s="48" cm="1">
        <f t="array" ref="AX9">ROUND(SUMIFS(P$3:P$100,$E$3:$E$100,$AQ9,$F$3:$F$100,$AO9,$A$3:$A$100,$AP9)/1000,2) + ROUND(SUMPRODUCT(('Unallocated Scenarios'!$A$20:$A$39=$AP9)*(AX$2&gt;'Unallocated Scenarios'!$G$20:$G$39)*('Unallocated Scenarios'!$B$20:$B$39=$AO9)*('Unallocated Scenarios'!$C$20:$C$39=$AQ9)*'Unallocated Scenarios'!$D$20:$D$39)/1000,2)</f>
        <v>37.28</v>
      </c>
      <c r="AY9" s="48" cm="1">
        <f t="array" ref="AY9">ROUND(SUMIFS(Q$3:Q$100,$E$3:$E$100,$AQ9,$F$3:$F$100,$AO9,$A$3:$A$100,$AP9)/1000,2) + ROUND(SUMPRODUCT(('Unallocated Scenarios'!$A$20:$A$39=$AP9)*(AY$2&gt;'Unallocated Scenarios'!$G$20:$G$39)*('Unallocated Scenarios'!$B$20:$B$39=$AO9)*('Unallocated Scenarios'!$C$20:$C$39=$AQ9)*'Unallocated Scenarios'!$D$20:$D$39)/1000,2)</f>
        <v>37.67</v>
      </c>
      <c r="AZ9" s="48" cm="1">
        <f t="array" ref="AZ9">ROUND(SUMIFS(R$3:R$100,$E$3:$E$100,$AQ9,$F$3:$F$100,$AO9,$A$3:$A$100,$AP9)/1000,2) + ROUND(SUMPRODUCT(('Unallocated Scenarios'!$A$20:$A$39=$AP9)*(AZ$2&gt;'Unallocated Scenarios'!$G$20:$G$39)*('Unallocated Scenarios'!$B$20:$B$39=$AO9)*('Unallocated Scenarios'!$C$20:$C$39=$AQ9)*'Unallocated Scenarios'!$D$20:$D$39)/1000,2)</f>
        <v>37.69</v>
      </c>
      <c r="BA9" s="48" cm="1">
        <f t="array" ref="BA9">ROUND(SUMIFS(S$3:S$100,$E$3:$E$100,$AQ9,$F$3:$F$100,$AO9,$A$3:$A$100,$AP9)/1000,2) + ROUND(SUMPRODUCT(('Unallocated Scenarios'!$A$20:$A$39=$AP9)*(BA$2&gt;'Unallocated Scenarios'!$G$20:$G$39)*('Unallocated Scenarios'!$B$20:$B$39=$AO9)*('Unallocated Scenarios'!$C$20:$C$39=$AQ9)*'Unallocated Scenarios'!$D$20:$D$39)/1000,2)</f>
        <v>37.69</v>
      </c>
      <c r="BB9" s="48" cm="1">
        <f t="array" ref="BB9">ROUND(SUMIFS(T$3:T$100,$E$3:$E$100,$AQ9,$F$3:$F$100,$AO9,$A$3:$A$100,$AP9)/1000,2) + ROUND(SUMPRODUCT(('Unallocated Scenarios'!$A$20:$A$39=$AP9)*(BB$2&gt;'Unallocated Scenarios'!$G$20:$G$39)*('Unallocated Scenarios'!$B$20:$B$39=$AO9)*('Unallocated Scenarios'!$C$20:$C$39=$AQ9)*'Unallocated Scenarios'!$D$20:$D$39)/1000,2)</f>
        <v>37.69</v>
      </c>
      <c r="BC9" s="48" cm="1">
        <f t="array" ref="BC9">ROUND(SUMIFS(U$3:U$100,$E$3:$E$100,$AQ9,$F$3:$F$100,$AO9,$A$3:$A$100,$AP9)/1000,2) + ROUND(SUMPRODUCT(('Unallocated Scenarios'!$A$20:$A$39=$AP9)*(BC$2&gt;'Unallocated Scenarios'!$G$20:$G$39)*('Unallocated Scenarios'!$B$20:$B$39=$AO9)*('Unallocated Scenarios'!$C$20:$C$39=$AQ9)*'Unallocated Scenarios'!$D$20:$D$39)/1000,2)</f>
        <v>37.69</v>
      </c>
      <c r="BD9" s="48" cm="1">
        <f t="array" ref="BD9">ROUND(SUMIFS(V$3:V$100,$E$3:$E$100,$AQ9,$F$3:$F$100,$AO9,$A$3:$A$100,$AP9)/1000,2) + ROUND(SUMPRODUCT(('Unallocated Scenarios'!$A$20:$A$39=$AP9)*(BD$2&gt;'Unallocated Scenarios'!$G$20:$G$39)*('Unallocated Scenarios'!$B$20:$B$39=$AO9)*('Unallocated Scenarios'!$C$20:$C$39=$AQ9)*'Unallocated Scenarios'!$D$20:$D$39)/1000,2)</f>
        <v>37.69</v>
      </c>
      <c r="BE9" s="48" cm="1">
        <f t="array" ref="BE9">ROUND(SUMIFS(W$3:W$100,$E$3:$E$100,$AQ9,$F$3:$F$100,$AO9,$A$3:$A$100,$AP9)/1000,2) + ROUND(SUMPRODUCT(('Unallocated Scenarios'!$A$20:$A$39=$AP9)*(BE$2&gt;'Unallocated Scenarios'!$G$20:$G$39)*('Unallocated Scenarios'!$B$20:$B$39=$AO9)*('Unallocated Scenarios'!$C$20:$C$39=$AQ9)*'Unallocated Scenarios'!$D$20:$D$39)/1000,2)</f>
        <v>37.69</v>
      </c>
      <c r="BF9" s="48" cm="1">
        <f t="array" ref="BF9">ROUND(SUMIFS(X$3:X$100,$E$3:$E$100,$AQ9,$F$3:$F$100,$AO9,$A$3:$A$100,$AP9)/1000,2) + ROUND(SUMPRODUCT(('Unallocated Scenarios'!$A$20:$A$39=$AP9)*(BF$2&gt;'Unallocated Scenarios'!$G$20:$G$39)*('Unallocated Scenarios'!$B$20:$B$39=$AO9)*('Unallocated Scenarios'!$C$20:$C$39=$AQ9)*'Unallocated Scenarios'!$D$20:$D$39)/1000,2)</f>
        <v>37.69</v>
      </c>
      <c r="BG9" s="48" cm="1">
        <f t="array" ref="BG9">ROUND(SUMIFS(Y$3:Y$100,$E$3:$E$100,$AQ9,$F$3:$F$100,$AO9,$A$3:$A$100,$AP9)/1000,2) + ROUND(SUMPRODUCT(('Unallocated Scenarios'!$A$20:$A$39=$AP9)*(BG$2&gt;'Unallocated Scenarios'!$G$20:$G$39)*('Unallocated Scenarios'!$B$20:$B$39=$AO9)*('Unallocated Scenarios'!$C$20:$C$39=$AQ9)*'Unallocated Scenarios'!$D$20:$D$39)/1000,2)</f>
        <v>37.69</v>
      </c>
      <c r="BH9" s="48" cm="1">
        <f t="array" ref="BH9">ROUND(SUMIFS(Z$3:Z$100,$E$3:$E$100,$AQ9,$F$3:$F$100,$AO9,$A$3:$A$100,$AP9)/1000,2) + ROUND(SUMPRODUCT(('Unallocated Scenarios'!$A$20:$A$39=$AP9)*(BH$2&gt;'Unallocated Scenarios'!$G$20:$G$39)*('Unallocated Scenarios'!$B$20:$B$39=$AO9)*('Unallocated Scenarios'!$C$20:$C$39=$AQ9)*'Unallocated Scenarios'!$D$20:$D$39)/1000,2)</f>
        <v>37.69</v>
      </c>
      <c r="BI9" s="48" cm="1">
        <f t="array" ref="BI9">ROUND(SUMIFS(AA$3:AA$100,$E$3:$E$100,$AQ9,$F$3:$F$100,$AO9,$A$3:$A$100,$AP9)/1000,2) + ROUND(SUMPRODUCT(('Unallocated Scenarios'!$A$20:$A$39=$AP9)*(BI$2&gt;'Unallocated Scenarios'!$G$20:$G$39)*('Unallocated Scenarios'!$B$20:$B$39=$AO9)*('Unallocated Scenarios'!$C$20:$C$39=$AQ9)*'Unallocated Scenarios'!$D$20:$D$39)/1000,2)</f>
        <v>37.69</v>
      </c>
      <c r="BJ9" s="48" cm="1">
        <f t="array" ref="BJ9">ROUND(SUMIFS(AB$3:AB$100,$E$3:$E$100,$AQ9,$F$3:$F$100,$AO9,$A$3:$A$100,$AP9)/1000,2) + ROUND(SUMPRODUCT(('Unallocated Scenarios'!$A$20:$A$39=$AP9)*(BJ$2&gt;'Unallocated Scenarios'!$G$20:$G$39)*('Unallocated Scenarios'!$B$20:$B$39=$AO9)*('Unallocated Scenarios'!$C$20:$C$39=$AQ9)*'Unallocated Scenarios'!$D$20:$D$39)/1000,2)</f>
        <v>37.69</v>
      </c>
      <c r="BK9" s="48" cm="1">
        <f t="array" ref="BK9">ROUND(SUMIFS(AC$3:AC$100,$E$3:$E$100,$AQ9,$F$3:$F$100,$AO9,$A$3:$A$100,$AP9)/1000,2) + ROUND(SUMPRODUCT(('Unallocated Scenarios'!$A$20:$A$39=$AP9)*(BK$2&gt;'Unallocated Scenarios'!$G$20:$G$39)*('Unallocated Scenarios'!$B$20:$B$39=$AO9)*('Unallocated Scenarios'!$C$20:$C$39=$AQ9)*'Unallocated Scenarios'!$D$20:$D$39)/1000,2)</f>
        <v>37.69</v>
      </c>
      <c r="BL9" s="48" cm="1">
        <f t="array" ref="BL9">ROUND(SUMIFS(AD$3:AD$100,$E$3:$E$100,$AQ9,$F$3:$F$100,$AO9,$A$3:$A$100,$AP9)/1000,2) + ROUND(SUMPRODUCT(('Unallocated Scenarios'!$A$20:$A$39=$AP9)*(BL$2&gt;'Unallocated Scenarios'!$G$20:$G$39)*('Unallocated Scenarios'!$B$20:$B$39=$AO9)*('Unallocated Scenarios'!$C$20:$C$39=$AQ9)*'Unallocated Scenarios'!$D$20:$D$39)/1000,2)</f>
        <v>37.69</v>
      </c>
      <c r="BM9" s="48" cm="1">
        <f t="array" ref="BM9">ROUND(SUMIFS(AE$3:AE$100,$E$3:$E$100,$AQ9,$F$3:$F$100,$AO9,$A$3:$A$100,$AP9)/1000,2) + ROUND(SUMPRODUCT(('Unallocated Scenarios'!$A$20:$A$39=$AP9)*(BM$2&gt;'Unallocated Scenarios'!$G$20:$G$39)*('Unallocated Scenarios'!$B$20:$B$39=$AO9)*('Unallocated Scenarios'!$C$20:$C$39=$AQ9)*'Unallocated Scenarios'!$D$20:$D$39)/1000,2)</f>
        <v>37.69</v>
      </c>
      <c r="BN9" s="48" cm="1">
        <f t="array" ref="BN9">ROUND(SUMIFS(AF$3:AF$100,$E$3:$E$100,$AQ9,$F$3:$F$100,$AO9,$A$3:$A$100,$AP9)/1000,2) + ROUND(SUMPRODUCT(('Unallocated Scenarios'!$A$20:$A$39=$AP9)*(BN$2&gt;'Unallocated Scenarios'!$G$20:$G$39)*('Unallocated Scenarios'!$B$20:$B$39=$AO9)*('Unallocated Scenarios'!$C$20:$C$39=$AQ9)*'Unallocated Scenarios'!$D$20:$D$39)/1000,2)</f>
        <v>37.519999999999996</v>
      </c>
      <c r="BO9" s="48" cm="1">
        <f t="array" ref="BO9">ROUND(SUMIFS(AG$3:AG$100,$E$3:$E$100,$AQ9,$F$3:$F$100,$AO9,$A$3:$A$100,$AP9)/1000,2) + ROUND(SUMPRODUCT(('Unallocated Scenarios'!$A$20:$A$39=$AP9)*(BO$2&gt;'Unallocated Scenarios'!$G$20:$G$39)*('Unallocated Scenarios'!$B$20:$B$39=$AO9)*('Unallocated Scenarios'!$C$20:$C$39=$AQ9)*'Unallocated Scenarios'!$D$20:$D$39)/1000,2)</f>
        <v>24.9</v>
      </c>
      <c r="BP9" s="48" cm="1">
        <f t="array" ref="BP9">ROUND(SUMIFS(AH$3:AH$100,$E$3:$E$100,$AQ9,$F$3:$F$100,$AO9,$A$3:$A$100,$AP9)/1000,2) + ROUND(SUMPRODUCT(('Unallocated Scenarios'!$A$20:$A$39=$AP9)*(BP$2&gt;'Unallocated Scenarios'!$G$20:$G$39)*('Unallocated Scenarios'!$B$20:$B$39=$AO9)*('Unallocated Scenarios'!$C$20:$C$39=$AQ9)*'Unallocated Scenarios'!$D$20:$D$39)/1000,2)</f>
        <v>18.259999999999998</v>
      </c>
      <c r="BQ9" s="48" cm="1">
        <f t="array" ref="BQ9">ROUND(SUMIFS(AI$3:AI$100,$E$3:$E$100,$AQ9,$F$3:$F$100,$AO9,$A$3:$A$100,$AP9)/1000,2) + ROUND(SUMPRODUCT(('Unallocated Scenarios'!$A$20:$A$39=$AP9)*(BQ$2&gt;'Unallocated Scenarios'!$G$20:$G$39)*('Unallocated Scenarios'!$B$20:$B$39=$AO9)*('Unallocated Scenarios'!$C$20:$C$39=$AQ9)*'Unallocated Scenarios'!$D$20:$D$39)/1000,2)</f>
        <v>6.31</v>
      </c>
      <c r="BR9" s="48" cm="1">
        <f t="array" ref="BR9">ROUND(SUMIFS(AJ$3:AJ$100,$E$3:$E$100,$AQ9,$F$3:$F$100,$AO9,$A$3:$A$100,$AP9)/1000,2) + ROUND(SUMPRODUCT(('Unallocated Scenarios'!$A$20:$A$39=$AP9)*(BR$2&gt;'Unallocated Scenarios'!$G$20:$G$39)*('Unallocated Scenarios'!$B$20:$B$39=$AO9)*('Unallocated Scenarios'!$C$20:$C$39=$AQ9)*'Unallocated Scenarios'!$D$20:$D$39)/1000,2)</f>
        <v>0.67</v>
      </c>
      <c r="BS9" s="48" cm="1">
        <f t="array" ref="BS9">ROUND(SUMIFS(AK$3:AK$100,$E$3:$E$100,$AQ9,$F$3:$F$100,$AO9,$A$3:$A$100,$AP9)/1000,2) + ROUND(SUMPRODUCT(('Unallocated Scenarios'!$A$20:$A$39=$AP9)*(BS$2&gt;'Unallocated Scenarios'!$G$20:$G$39)*('Unallocated Scenarios'!$B$20:$B$39=$AO9)*('Unallocated Scenarios'!$C$20:$C$39=$AQ9)*'Unallocated Scenarios'!$D$20:$D$39)/1000,2)</f>
        <v>0.04</v>
      </c>
      <c r="BT9" s="48" cm="1">
        <f t="array" ref="BT9">ROUND(SUMIFS(AL$3:AL$100,$E$3:$E$100,$AQ9,$F$3:$F$100,$AO9,$A$3:$A$100,$AP9)/1000,2) + ROUND(SUMPRODUCT(('Unallocated Scenarios'!$A$20:$A$39=$AP9)*(BT$2&gt;'Unallocated Scenarios'!$G$20:$G$39)*('Unallocated Scenarios'!$B$20:$B$39=$AO9)*('Unallocated Scenarios'!$C$20:$C$39=$AQ9)*'Unallocated Scenarios'!$D$20:$D$39)/1000,2)</f>
        <v>0.04</v>
      </c>
      <c r="BU9" s="48" cm="1">
        <f t="array" ref="BU9">ROUND(SUMIFS(AM$3:AM$100,$E$3:$E$100,$AQ9,$F$3:$F$100,$AO9,$A$3:$A$100,$AP9)/1000,2) + ROUND(SUMPRODUCT(('Unallocated Scenarios'!$A$20:$A$39=$AP9)*(BU$2&gt;'Unallocated Scenarios'!$G$20:$G$39)*('Unallocated Scenarios'!$B$20:$B$39=$AO9)*('Unallocated Scenarios'!$C$20:$C$39=$AQ9)*'Unallocated Scenarios'!$D$20:$D$39)/1000,2)</f>
        <v>0.04</v>
      </c>
    </row>
    <row r="10" spans="1:73">
      <c r="A10" s="155" t="str" cm="1">
        <f t="array" ref="A10">_xlfn.IFS(LEFT(C10,3)="PGE","PGE",LEFT(C10,2)="PP","PAC",TRUE,"IP")</f>
        <v>PGE</v>
      </c>
      <c r="B10" s="155" t="str">
        <f>IF(ISNA(MATCH(C10,'Monthly Report July 2025'!E:E,0)),"Missing","Present")</f>
        <v>Present</v>
      </c>
      <c r="C10" s="155" t="s">
        <v>116</v>
      </c>
      <c r="D10" s="176" cm="1">
        <f t="array" ref="D10">INDEX('Monthly Report July 2025'!L:L,MATCH(C10,'Monthly Report July 2025'!E:E,0),0)</f>
        <v>2000</v>
      </c>
      <c r="E10" s="176" t="str" cm="1">
        <f t="array" ref="E10">IF(INDEX('PA Fees by Project'!K:K,MATCH(C10,'PA Fees by Project'!E:E,0),0)="No","Non-Carve Out", "Carve Out")</f>
        <v>Non-Carve Out</v>
      </c>
      <c r="F10" s="176" cm="1">
        <f t="array" ref="F10">INDEX('PA Fees by Project'!J:J,MATCH(C10,'PA Fees by Project'!E:E,0),0)</f>
        <v>1</v>
      </c>
      <c r="G10" s="155" t="str" cm="1">
        <f t="array" ref="G10">INDEX('PA Fees by Project'!G:G,MATCH(C10,'PA Fees by Project'!E:E,0),0)</f>
        <v>Operational</v>
      </c>
      <c r="H10" s="175" cm="1">
        <f t="array" ref="H10">INDEX('PA Fees by Project'!Q:Q,MATCH(C10,'PA Fees by Project'!E:E,0),0)</f>
        <v>44910</v>
      </c>
      <c r="I10" s="156" cm="1">
        <f t="array" ref="I10">_xlfn.IFS(G10="Operational",H10,G10="Certified",EDATE(INDEX('PA Fees by Project'!R:R,MATCH(C10,'PA Fees by Project'!E:E,0),0),6),TRUE,EDATE(INDEX('PA Fees by Project'!O:O,MATCH(C10,'PA Fees by Project'!E:E,0),0),6))</f>
        <v>44910</v>
      </c>
      <c r="J10" s="48" cm="1">
        <f t="array" ref="J10">_xlfn.IFS(YEAR(J$2)&lt;YEAR($I10),0,YEAR(J$2)=YEAR($I10),ROUND(((J$2-$I10+1)/365)*$D10,2),AND(YEAR(J$2)&gt;YEAR($I10),YEAR(J$2)-YEAR($I10)&lt;20),$D10,YEAR(J$2)-YEAR($I10)=20,ROUND((DATE(YEAR($I10),12,31)-$I10+1)/365*$D10,2),YEAR(J$2)-YEAR($I10)&gt;20,0)</f>
        <v>0</v>
      </c>
      <c r="K10" s="48" cm="1">
        <f t="array" ref="K10">_xlfn.IFS(YEAR(K$2)&lt;YEAR($I10),0,YEAR(K$2)=YEAR($I10),ROUND(((K$2-$I10+1)/365)*$D10,2),AND(YEAR(K$2)&gt;YEAR($I10),YEAR(K$2)-YEAR($I10)&lt;20),$D10,YEAR(K$2)-YEAR($I10)=20,ROUND((DATE(YEAR($I10),12,31)-$I10+1)/365*$D10,2),YEAR(K$2)-YEAR($I10)&gt;20,0)</f>
        <v>93.15</v>
      </c>
      <c r="L10" s="48" cm="1">
        <f t="array" ref="L10">_xlfn.IFS(YEAR(L$2)&lt;YEAR($I10),0,YEAR(L$2)=YEAR($I10),ROUND(((L$2-$I10+1)/365)*$D10,2),AND(YEAR(L$2)&gt;YEAR($I10),YEAR(L$2)-YEAR($I10)&lt;20),$D10,YEAR(L$2)-YEAR($I10)=20,ROUND((DATE(YEAR($I10),12,31)-$I10+1)/365*$D10,2),YEAR(L$2)-YEAR($I10)&gt;20,0)</f>
        <v>2000</v>
      </c>
      <c r="M10" s="48" cm="1">
        <f t="array" ref="M10">_xlfn.IFS(YEAR(M$2)&lt;YEAR($I10),0,YEAR(M$2)=YEAR($I10),ROUND(((M$2-$I10+1)/365)*$D10,2),AND(YEAR(M$2)&gt;YEAR($I10),YEAR(M$2)-YEAR($I10)&lt;20),$D10,YEAR(M$2)-YEAR($I10)=20,ROUND((DATE(YEAR($I10),12,31)-$I10+1)/365*$D10,2),YEAR(M$2)-YEAR($I10)&gt;20,0)</f>
        <v>2000</v>
      </c>
      <c r="N10" s="48" cm="1">
        <f t="array" ref="N10">_xlfn.IFS(YEAR(N$2)&lt;YEAR($I10),0,YEAR(N$2)=YEAR($I10),ROUND(((N$2-$I10+1)/365)*$D10,2),AND(YEAR(N$2)&gt;YEAR($I10),YEAR(N$2)-YEAR($I10)&lt;20),$D10,YEAR(N$2)-YEAR($I10)=20,ROUND((DATE(YEAR($I10),12,31)-$I10+1)/365*$D10,2),YEAR(N$2)-YEAR($I10)&gt;20,0)</f>
        <v>2000</v>
      </c>
      <c r="O10" s="48" cm="1">
        <f t="array" ref="O10">_xlfn.IFS(YEAR(O$2)&lt;YEAR($I10),0,YEAR(O$2)=YEAR($I10),ROUND(((O$2-$I10+1)/365)*$D10,2),AND(YEAR(O$2)&gt;YEAR($I10),YEAR(O$2)-YEAR($I10)&lt;20),$D10,YEAR(O$2)-YEAR($I10)=20,ROUND((DATE(YEAR($I10),12,31)-$I10+1)/365*$D10,2),YEAR(O$2)-YEAR($I10)&gt;20,0)</f>
        <v>2000</v>
      </c>
      <c r="P10" s="48" cm="1">
        <f t="array" ref="P10">_xlfn.IFS(YEAR(P$2)&lt;YEAR($I10),0,YEAR(P$2)=YEAR($I10),ROUND(((P$2-$I10+1)/365)*$D10,2),AND(YEAR(P$2)&gt;YEAR($I10),YEAR(P$2)-YEAR($I10)&lt;20),$D10,YEAR(P$2)-YEAR($I10)=20,ROUND((DATE(YEAR($I10),12,31)-$I10+1)/365*$D10,2),YEAR(P$2)-YEAR($I10)&gt;20,0)</f>
        <v>2000</v>
      </c>
      <c r="Q10" s="48" cm="1">
        <f t="array" ref="Q10">_xlfn.IFS(YEAR(Q$2)&lt;YEAR($I10),0,YEAR(Q$2)=YEAR($I10),ROUND(((Q$2-$I10+1)/365)*$D10,2),AND(YEAR(Q$2)&gt;YEAR($I10),YEAR(Q$2)-YEAR($I10)&lt;20),$D10,YEAR(Q$2)-YEAR($I10)=20,ROUND((DATE(YEAR($I10),12,31)-$I10+1)/365*$D10,2),YEAR(Q$2)-YEAR($I10)&gt;20,0)</f>
        <v>2000</v>
      </c>
      <c r="R10" s="48" cm="1">
        <f t="array" ref="R10">_xlfn.IFS(YEAR(R$2)&lt;YEAR($I10),0,YEAR(R$2)=YEAR($I10),ROUND(((R$2-$I10+1)/365)*$D10,2),AND(YEAR(R$2)&gt;YEAR($I10),YEAR(R$2)-YEAR($I10)&lt;20),$D10,YEAR(R$2)-YEAR($I10)=20,ROUND((DATE(YEAR($I10),12,31)-$I10+1)/365*$D10,2),YEAR(R$2)-YEAR($I10)&gt;20,0)</f>
        <v>2000</v>
      </c>
      <c r="S10" s="48" cm="1">
        <f t="array" ref="S10">_xlfn.IFS(YEAR(S$2)&lt;YEAR($I10),0,YEAR(S$2)=YEAR($I10),ROUND(((S$2-$I10+1)/365)*$D10,2),AND(YEAR(S$2)&gt;YEAR($I10),YEAR(S$2)-YEAR($I10)&lt;20),$D10,YEAR(S$2)-YEAR($I10)=20,ROUND((DATE(YEAR($I10),12,31)-$I10+1)/365*$D10,2),YEAR(S$2)-YEAR($I10)&gt;20,0)</f>
        <v>2000</v>
      </c>
      <c r="T10" s="48" cm="1">
        <f t="array" ref="T10">_xlfn.IFS(YEAR(T$2)&lt;YEAR($I10),0,YEAR(T$2)=YEAR($I10),ROUND(((T$2-$I10+1)/365)*$D10,2),AND(YEAR(T$2)&gt;YEAR($I10),YEAR(T$2)-YEAR($I10)&lt;20),$D10,YEAR(T$2)-YEAR($I10)=20,ROUND((DATE(YEAR($I10),12,31)-$I10+1)/365*$D10,2),YEAR(T$2)-YEAR($I10)&gt;20,0)</f>
        <v>2000</v>
      </c>
      <c r="U10" s="48" cm="1">
        <f t="array" ref="U10">_xlfn.IFS(YEAR(U$2)&lt;YEAR($I10),0,YEAR(U$2)=YEAR($I10),ROUND(((U$2-$I10+1)/365)*$D10,2),AND(YEAR(U$2)&gt;YEAR($I10),YEAR(U$2)-YEAR($I10)&lt;20),$D10,YEAR(U$2)-YEAR($I10)=20,ROUND((DATE(YEAR($I10),12,31)-$I10+1)/365*$D10,2),YEAR(U$2)-YEAR($I10)&gt;20,0)</f>
        <v>2000</v>
      </c>
      <c r="V10" s="48" cm="1">
        <f t="array" ref="V10">_xlfn.IFS(YEAR(V$2)&lt;YEAR($I10),0,YEAR(V$2)=YEAR($I10),ROUND(((V$2-$I10+1)/365)*$D10,2),AND(YEAR(V$2)&gt;YEAR($I10),YEAR(V$2)-YEAR($I10)&lt;20),$D10,YEAR(V$2)-YEAR($I10)=20,ROUND((DATE(YEAR($I10),12,31)-$I10+1)/365*$D10,2),YEAR(V$2)-YEAR($I10)&gt;20,0)</f>
        <v>2000</v>
      </c>
      <c r="W10" s="48" cm="1">
        <f t="array" ref="W10">_xlfn.IFS(YEAR(W$2)&lt;YEAR($I10),0,YEAR(W$2)=YEAR($I10),ROUND(((W$2-$I10+1)/365)*$D10,2),AND(YEAR(W$2)&gt;YEAR($I10),YEAR(W$2)-YEAR($I10)&lt;20),$D10,YEAR(W$2)-YEAR($I10)=20,ROUND((DATE(YEAR($I10),12,31)-$I10+1)/365*$D10,2),YEAR(W$2)-YEAR($I10)&gt;20,0)</f>
        <v>2000</v>
      </c>
      <c r="X10" s="48" cm="1">
        <f t="array" ref="X10">_xlfn.IFS(YEAR(X$2)&lt;YEAR($I10),0,YEAR(X$2)=YEAR($I10),ROUND(((X$2-$I10+1)/365)*$D10,2),AND(YEAR(X$2)&gt;YEAR($I10),YEAR(X$2)-YEAR($I10)&lt;20),$D10,YEAR(X$2)-YEAR($I10)=20,ROUND((DATE(YEAR($I10),12,31)-$I10+1)/365*$D10,2),YEAR(X$2)-YEAR($I10)&gt;20,0)</f>
        <v>2000</v>
      </c>
      <c r="Y10" s="48" cm="1">
        <f t="array" ref="Y10">_xlfn.IFS(YEAR(Y$2)&lt;YEAR($I10),0,YEAR(Y$2)=YEAR($I10),ROUND(((Y$2-$I10+1)/365)*$D10,2),AND(YEAR(Y$2)&gt;YEAR($I10),YEAR(Y$2)-YEAR($I10)&lt;20),$D10,YEAR(Y$2)-YEAR($I10)=20,ROUND((DATE(YEAR($I10),12,31)-$I10+1)/365*$D10,2),YEAR(Y$2)-YEAR($I10)&gt;20,0)</f>
        <v>2000</v>
      </c>
      <c r="Z10" s="48" cm="1">
        <f t="array" ref="Z10">_xlfn.IFS(YEAR(Z$2)&lt;YEAR($I10),0,YEAR(Z$2)=YEAR($I10),ROUND(((Z$2-$I10+1)/365)*$D10,2),AND(YEAR(Z$2)&gt;YEAR($I10),YEAR(Z$2)-YEAR($I10)&lt;20),$D10,YEAR(Z$2)-YEAR($I10)=20,ROUND((DATE(YEAR($I10),12,31)-$I10+1)/365*$D10,2),YEAR(Z$2)-YEAR($I10)&gt;20,0)</f>
        <v>2000</v>
      </c>
      <c r="AA10" s="48" cm="1">
        <f t="array" ref="AA10">_xlfn.IFS(YEAR(AA$2)&lt;YEAR($I10),0,YEAR(AA$2)=YEAR($I10),ROUND(((AA$2-$I10+1)/365)*$D10,2),AND(YEAR(AA$2)&gt;YEAR($I10),YEAR(AA$2)-YEAR($I10)&lt;20),$D10,YEAR(AA$2)-YEAR($I10)=20,ROUND((DATE(YEAR($I10),12,31)-$I10+1)/365*$D10,2),YEAR(AA$2)-YEAR($I10)&gt;20,0)</f>
        <v>2000</v>
      </c>
      <c r="AB10" s="48" cm="1">
        <f t="array" ref="AB10">_xlfn.IFS(YEAR(AB$2)&lt;YEAR($I10),0,YEAR(AB$2)=YEAR($I10),ROUND(((AB$2-$I10+1)/365)*$D10,2),AND(YEAR(AB$2)&gt;YEAR($I10),YEAR(AB$2)-YEAR($I10)&lt;20),$D10,YEAR(AB$2)-YEAR($I10)=20,ROUND((DATE(YEAR($I10),12,31)-$I10+1)/365*$D10,2),YEAR(AB$2)-YEAR($I10)&gt;20,0)</f>
        <v>2000</v>
      </c>
      <c r="AC10" s="48" cm="1">
        <f t="array" ref="AC10">_xlfn.IFS(YEAR(AC$2)&lt;YEAR($I10),0,YEAR(AC$2)=YEAR($I10),ROUND(((AC$2-$I10+1)/365)*$D10,2),AND(YEAR(AC$2)&gt;YEAR($I10),YEAR(AC$2)-YEAR($I10)&lt;20),$D10,YEAR(AC$2)-YEAR($I10)=20,ROUND((DATE(YEAR($I10),12,31)-$I10+1)/365*$D10,2),YEAR(AC$2)-YEAR($I10)&gt;20,0)</f>
        <v>2000</v>
      </c>
      <c r="AD10" s="48" cm="1">
        <f t="array" ref="AD10">_xlfn.IFS(YEAR(AD$2)&lt;YEAR($I10),0,YEAR(AD$2)=YEAR($I10),ROUND(((AD$2-$I10+1)/365)*$D10,2),AND(YEAR(AD$2)&gt;YEAR($I10),YEAR(AD$2)-YEAR($I10)&lt;20),$D10,YEAR(AD$2)-YEAR($I10)=20,ROUND((DATE(YEAR($I10),12,31)-$I10+1)/365*$D10,2),YEAR(AD$2)-YEAR($I10)&gt;20,0)</f>
        <v>2000</v>
      </c>
      <c r="AE10" s="48" cm="1">
        <f t="array" ref="AE10">_xlfn.IFS(YEAR(AE$2)&lt;YEAR($I10),0,YEAR(AE$2)=YEAR($I10),ROUND(((AE$2-$I10+1)/365)*$D10,2),AND(YEAR(AE$2)&gt;YEAR($I10),YEAR(AE$2)-YEAR($I10)&lt;20),$D10,YEAR(AE$2)-YEAR($I10)=20,ROUND((DATE(YEAR($I10),12,31)-$I10+1)/365*$D10,2),YEAR(AE$2)-YEAR($I10)&gt;20,0)</f>
        <v>93.15</v>
      </c>
      <c r="AF10" s="48" cm="1">
        <f t="array" ref="AF10">_xlfn.IFS(YEAR(AF$2)&lt;YEAR($I10),0,YEAR(AF$2)=YEAR($I10),ROUND(((AF$2-$I10+1)/365)*$D10,2),AND(YEAR(AF$2)&gt;YEAR($I10),YEAR(AF$2)-YEAR($I10)&lt;20),$D10,YEAR(AF$2)-YEAR($I10)=20,ROUND((DATE(YEAR($I10),12,31)-$I10+1)/365*$D10,2),YEAR(AF$2)-YEAR($I10)&gt;20,0)</f>
        <v>0</v>
      </c>
      <c r="AG10" s="48" cm="1">
        <f t="array" ref="AG10">_xlfn.IFS(YEAR(AG$2)&lt;YEAR($I10),0,YEAR(AG$2)=YEAR($I10),ROUND(((AG$2-$I10+1)/365)*$D10,2),AND(YEAR(AG$2)&gt;YEAR($I10),YEAR(AG$2)-YEAR($I10)&lt;20),$D10,YEAR(AG$2)-YEAR($I10)=20,ROUND((DATE(YEAR($I10),12,31)-$I10+1)/365*$D10,2),YEAR(AG$2)-YEAR($I10)&gt;20,0)</f>
        <v>0</v>
      </c>
      <c r="AH10" s="48" cm="1">
        <f t="array" ref="AH10">_xlfn.IFS(YEAR(AH$2)&lt;YEAR($I10),0,YEAR(AH$2)=YEAR($I10),ROUND(((AH$2-$I10+1)/365)*$D10,2),AND(YEAR(AH$2)&gt;YEAR($I10),YEAR(AH$2)-YEAR($I10)&lt;20),$D10,YEAR(AH$2)-YEAR($I10)=20,ROUND((DATE(YEAR($I10),12,31)-$I10+1)/365*$D10,2),YEAR(AH$2)-YEAR($I10)&gt;20,0)</f>
        <v>0</v>
      </c>
      <c r="AI10" s="48" cm="1">
        <f t="array" ref="AI10">_xlfn.IFS(YEAR(AI$2)&lt;YEAR($I10),0,YEAR(AI$2)=YEAR($I10),ROUND(((AI$2-$I10+1)/365)*$D10,2),AND(YEAR(AI$2)&gt;YEAR($I10),YEAR(AI$2)-YEAR($I10)&lt;20),$D10,YEAR(AI$2)-YEAR($I10)=20,ROUND((DATE(YEAR($I10),12,31)-$I10+1)/365*$D10,2),YEAR(AI$2)-YEAR($I10)&gt;20,0)</f>
        <v>0</v>
      </c>
      <c r="AJ10" s="48" cm="1">
        <f t="array" ref="AJ10">_xlfn.IFS(YEAR(AJ$2)&lt;YEAR($I10),0,YEAR(AJ$2)=YEAR($I10),ROUND(((AJ$2-$I10+1)/365)*$D10,2),AND(YEAR(AJ$2)&gt;YEAR($I10),YEAR(AJ$2)-YEAR($I10)&lt;20),$D10,YEAR(AJ$2)-YEAR($I10)=20,ROUND((DATE(YEAR($I10),12,31)-$I10+1)/365*$D10,2),YEAR(AJ$2)-YEAR($I10)&gt;20,0)</f>
        <v>0</v>
      </c>
      <c r="AK10" s="48" cm="1">
        <f t="array" ref="AK10">_xlfn.IFS(YEAR(AK$2)&lt;YEAR($I10),0,YEAR(AK$2)=YEAR($I10),ROUND(((AK$2-$I10+1)/365)*$D10,2),AND(YEAR(AK$2)&gt;YEAR($I10),YEAR(AK$2)-YEAR($I10)&lt;20),$D10,YEAR(AK$2)-YEAR($I10)=20,ROUND((DATE(YEAR($I10),12,31)-$I10+1)/365*$D10,2),YEAR(AK$2)-YEAR($I10)&gt;20,0)</f>
        <v>0</v>
      </c>
      <c r="AL10" s="48" cm="1">
        <f t="array" ref="AL10">_xlfn.IFS(YEAR(AL$2)&lt;YEAR($I10),0,YEAR(AL$2)=YEAR($I10),ROUND(((AL$2-$I10+1)/365)*$D10,2),AND(YEAR(AL$2)&gt;YEAR($I10),YEAR(AL$2)-YEAR($I10)&lt;20),$D10,YEAR(AL$2)-YEAR($I10)=20,ROUND((DATE(YEAR($I10),12,31)-$I10+1)/365*$D10,2),YEAR(AL$2)-YEAR($I10)&gt;20,0)</f>
        <v>0</v>
      </c>
      <c r="AM10" s="48" cm="1">
        <f t="array" ref="AM10">_xlfn.IFS(YEAR(AM$2)&lt;YEAR($I10),0,YEAR(AM$2)=YEAR($I10),ROUND(((AM$2-$I10+1)/365)*$D10,2),AND(YEAR(AM$2)&gt;YEAR($I10),YEAR(AM$2)-YEAR($I10)&lt;20),$D10,YEAR(AM$2)-YEAR($I10)=20,ROUND((DATE(YEAR($I10),12,31)-$I10+1)/365*$D10,2),YEAR(AM$2)-YEAR($I10)&gt;20,0)</f>
        <v>0</v>
      </c>
      <c r="AO10" s="48">
        <v>2</v>
      </c>
      <c r="AP10" s="4" t="s">
        <v>12</v>
      </c>
      <c r="AQ10" s="48" t="s">
        <v>75</v>
      </c>
      <c r="AR10" s="48" cm="1">
        <f t="array" ref="AR10">ROUND(SUMIFS(J$3:J$100,$E$3:$E$100,$AQ10,$F$3:$F$100,$AO10,$A$3:$A$100,$AP10)/1000,2) + ROUND(SUMPRODUCT(('Unallocated Scenarios'!$A$20:$A$39=$AP10)*(AR$2&gt;'Unallocated Scenarios'!$G$20:$G$39)*('Unallocated Scenarios'!$B$20:$B$39=$AO10)*('Unallocated Scenarios'!$C$20:$C$39=$AQ10)*'Unallocated Scenarios'!$D$20:$D$39)/1000,2)</f>
        <v>0</v>
      </c>
      <c r="AS10" s="48" cm="1">
        <f t="array" ref="AS10">ROUND(SUMIFS(K$3:K$100,$E$3:$E$100,$AQ10,$F$3:$F$100,$AO10,$A$3:$A$100,$AP10)/1000,2) + ROUND(SUMPRODUCT(('Unallocated Scenarios'!$A$20:$A$39=$AP10)*(AS$2&gt;'Unallocated Scenarios'!$G$20:$G$39)*('Unallocated Scenarios'!$B$20:$B$39=$AO10)*('Unallocated Scenarios'!$C$20:$C$39=$AQ10)*'Unallocated Scenarios'!$D$20:$D$39)/1000,2)</f>
        <v>0</v>
      </c>
      <c r="AT10" s="48" cm="1">
        <f t="array" ref="AT10">ROUND(SUMIFS(L$3:L$100,$E$3:$E$100,$AQ10,$F$3:$F$100,$AO10,$A$3:$A$100,$AP10)/1000,2) + ROUND(SUMPRODUCT(('Unallocated Scenarios'!$A$20:$A$39=$AP10)*(AT$2&gt;'Unallocated Scenarios'!$G$20:$G$39)*('Unallocated Scenarios'!$B$20:$B$39=$AO10)*('Unallocated Scenarios'!$C$20:$C$39=$AQ10)*'Unallocated Scenarios'!$D$20:$D$39)/1000,2)</f>
        <v>0</v>
      </c>
      <c r="AU10" s="48" cm="1">
        <f t="array" ref="AU10">ROUND(SUMIFS(M$3:M$100,$E$3:$E$100,$AQ10,$F$3:$F$100,$AO10,$A$3:$A$100,$AP10)/1000,2) + ROUND(SUMPRODUCT(('Unallocated Scenarios'!$A$20:$A$39=$AP10)*(AU$2&gt;'Unallocated Scenarios'!$G$20:$G$39)*('Unallocated Scenarios'!$B$20:$B$39=$AO10)*('Unallocated Scenarios'!$C$20:$C$39=$AQ10)*'Unallocated Scenarios'!$D$20:$D$39)/1000,2)</f>
        <v>0</v>
      </c>
      <c r="AV10" s="48" cm="1">
        <f t="array" ref="AV10">ROUND(SUMIFS(N$3:N$100,$E$3:$E$100,$AQ10,$F$3:$F$100,$AO10,$A$3:$A$100,$AP10)/1000,2) + ROUND(SUMPRODUCT(('Unallocated Scenarios'!$A$20:$A$39=$AP10)*(AV$2&gt;'Unallocated Scenarios'!$G$20:$G$39)*('Unallocated Scenarios'!$B$20:$B$39=$AO10)*('Unallocated Scenarios'!$C$20:$C$39=$AQ10)*'Unallocated Scenarios'!$D$20:$D$39)/1000,2)</f>
        <v>0</v>
      </c>
      <c r="AW10" s="48" cm="1">
        <f t="array" ref="AW10">ROUND(SUMIFS(O$3:O$100,$E$3:$E$100,$AQ10,$F$3:$F$100,$AO10,$A$3:$A$100,$AP10)/1000,2) + ROUND(SUMPRODUCT(('Unallocated Scenarios'!$A$20:$A$39=$AP10)*(AW$2&gt;'Unallocated Scenarios'!$G$20:$G$39)*('Unallocated Scenarios'!$B$20:$B$39=$AO10)*('Unallocated Scenarios'!$C$20:$C$39=$AQ10)*'Unallocated Scenarios'!$D$20:$D$39)/1000,2)</f>
        <v>0.46</v>
      </c>
      <c r="AX10" s="48" cm="1">
        <f t="array" ref="AX10">ROUND(SUMIFS(P$3:P$100,$E$3:$E$100,$AQ10,$F$3:$F$100,$AO10,$A$3:$A$100,$AP10)/1000,2) + ROUND(SUMPRODUCT(('Unallocated Scenarios'!$A$20:$A$39=$AP10)*(AX$2&gt;'Unallocated Scenarios'!$G$20:$G$39)*('Unallocated Scenarios'!$B$20:$B$39=$AO10)*('Unallocated Scenarios'!$C$20:$C$39=$AQ10)*'Unallocated Scenarios'!$D$20:$D$39)/1000,2)</f>
        <v>6.83</v>
      </c>
      <c r="AY10" s="48" cm="1">
        <f t="array" ref="AY10">ROUND(SUMIFS(Q$3:Q$100,$E$3:$E$100,$AQ10,$F$3:$F$100,$AO10,$A$3:$A$100,$AP10)/1000,2) + ROUND(SUMPRODUCT(('Unallocated Scenarios'!$A$20:$A$39=$AP10)*(AY$2&gt;'Unallocated Scenarios'!$G$20:$G$39)*('Unallocated Scenarios'!$B$20:$B$39=$AO10)*('Unallocated Scenarios'!$C$20:$C$39=$AQ10)*'Unallocated Scenarios'!$D$20:$D$39)/1000,2)</f>
        <v>25.840000000000003</v>
      </c>
      <c r="AZ10" s="48" cm="1">
        <f t="array" ref="AZ10">ROUND(SUMIFS(R$3:R$100,$E$3:$E$100,$AQ10,$F$3:$F$100,$AO10,$A$3:$A$100,$AP10)/1000,2) + ROUND(SUMPRODUCT(('Unallocated Scenarios'!$A$20:$A$39=$AP10)*(AZ$2&gt;'Unallocated Scenarios'!$G$20:$G$39)*('Unallocated Scenarios'!$B$20:$B$39=$AO10)*('Unallocated Scenarios'!$C$20:$C$39=$AQ10)*'Unallocated Scenarios'!$D$20:$D$39)/1000,2)</f>
        <v>43.78</v>
      </c>
      <c r="BA10" s="48" cm="1">
        <f t="array" ref="BA10">ROUND(SUMIFS(S$3:S$100,$E$3:$E$100,$AQ10,$F$3:$F$100,$AO10,$A$3:$A$100,$AP10)/1000,2) + ROUND(SUMPRODUCT(('Unallocated Scenarios'!$A$20:$A$39=$AP10)*(BA$2&gt;'Unallocated Scenarios'!$G$20:$G$39)*('Unallocated Scenarios'!$B$20:$B$39=$AO10)*('Unallocated Scenarios'!$C$20:$C$39=$AQ10)*'Unallocated Scenarios'!$D$20:$D$39)/1000,2)</f>
        <v>43.78</v>
      </c>
      <c r="BB10" s="48" cm="1">
        <f t="array" ref="BB10">ROUND(SUMIFS(T$3:T$100,$E$3:$E$100,$AQ10,$F$3:$F$100,$AO10,$A$3:$A$100,$AP10)/1000,2) + ROUND(SUMPRODUCT(('Unallocated Scenarios'!$A$20:$A$39=$AP10)*(BB$2&gt;'Unallocated Scenarios'!$G$20:$G$39)*('Unallocated Scenarios'!$B$20:$B$39=$AO10)*('Unallocated Scenarios'!$C$20:$C$39=$AQ10)*'Unallocated Scenarios'!$D$20:$D$39)/1000,2)</f>
        <v>43.78</v>
      </c>
      <c r="BC10" s="48" cm="1">
        <f t="array" ref="BC10">ROUND(SUMIFS(U$3:U$100,$E$3:$E$100,$AQ10,$F$3:$F$100,$AO10,$A$3:$A$100,$AP10)/1000,2) + ROUND(SUMPRODUCT(('Unallocated Scenarios'!$A$20:$A$39=$AP10)*(BC$2&gt;'Unallocated Scenarios'!$G$20:$G$39)*('Unallocated Scenarios'!$B$20:$B$39=$AO10)*('Unallocated Scenarios'!$C$20:$C$39=$AQ10)*'Unallocated Scenarios'!$D$20:$D$39)/1000,2)</f>
        <v>43.78</v>
      </c>
      <c r="BD10" s="48" cm="1">
        <f t="array" ref="BD10">ROUND(SUMIFS(V$3:V$100,$E$3:$E$100,$AQ10,$F$3:$F$100,$AO10,$A$3:$A$100,$AP10)/1000,2) + ROUND(SUMPRODUCT(('Unallocated Scenarios'!$A$20:$A$39=$AP10)*(BD$2&gt;'Unallocated Scenarios'!$G$20:$G$39)*('Unallocated Scenarios'!$B$20:$B$39=$AO10)*('Unallocated Scenarios'!$C$20:$C$39=$AQ10)*'Unallocated Scenarios'!$D$20:$D$39)/1000,2)</f>
        <v>43.78</v>
      </c>
      <c r="BE10" s="48" cm="1">
        <f t="array" ref="BE10">ROUND(SUMIFS(W$3:W$100,$E$3:$E$100,$AQ10,$F$3:$F$100,$AO10,$A$3:$A$100,$AP10)/1000,2) + ROUND(SUMPRODUCT(('Unallocated Scenarios'!$A$20:$A$39=$AP10)*(BE$2&gt;'Unallocated Scenarios'!$G$20:$G$39)*('Unallocated Scenarios'!$B$20:$B$39=$AO10)*('Unallocated Scenarios'!$C$20:$C$39=$AQ10)*'Unallocated Scenarios'!$D$20:$D$39)/1000,2)</f>
        <v>43.78</v>
      </c>
      <c r="BF10" s="48" cm="1">
        <f t="array" ref="BF10">ROUND(SUMIFS(X$3:X$100,$E$3:$E$100,$AQ10,$F$3:$F$100,$AO10,$A$3:$A$100,$AP10)/1000,2) + ROUND(SUMPRODUCT(('Unallocated Scenarios'!$A$20:$A$39=$AP10)*(BF$2&gt;'Unallocated Scenarios'!$G$20:$G$39)*('Unallocated Scenarios'!$B$20:$B$39=$AO10)*('Unallocated Scenarios'!$C$20:$C$39=$AQ10)*'Unallocated Scenarios'!$D$20:$D$39)/1000,2)</f>
        <v>43.78</v>
      </c>
      <c r="BG10" s="48" cm="1">
        <f t="array" ref="BG10">ROUND(SUMIFS(Y$3:Y$100,$E$3:$E$100,$AQ10,$F$3:$F$100,$AO10,$A$3:$A$100,$AP10)/1000,2) + ROUND(SUMPRODUCT(('Unallocated Scenarios'!$A$20:$A$39=$AP10)*(BG$2&gt;'Unallocated Scenarios'!$G$20:$G$39)*('Unallocated Scenarios'!$B$20:$B$39=$AO10)*('Unallocated Scenarios'!$C$20:$C$39=$AQ10)*'Unallocated Scenarios'!$D$20:$D$39)/1000,2)</f>
        <v>43.78</v>
      </c>
      <c r="BH10" s="48" cm="1">
        <f t="array" ref="BH10">ROUND(SUMIFS(Z$3:Z$100,$E$3:$E$100,$AQ10,$F$3:$F$100,$AO10,$A$3:$A$100,$AP10)/1000,2) + ROUND(SUMPRODUCT(('Unallocated Scenarios'!$A$20:$A$39=$AP10)*(BH$2&gt;'Unallocated Scenarios'!$G$20:$G$39)*('Unallocated Scenarios'!$B$20:$B$39=$AO10)*('Unallocated Scenarios'!$C$20:$C$39=$AQ10)*'Unallocated Scenarios'!$D$20:$D$39)/1000,2)</f>
        <v>43.78</v>
      </c>
      <c r="BI10" s="48" cm="1">
        <f t="array" ref="BI10">ROUND(SUMIFS(AA$3:AA$100,$E$3:$E$100,$AQ10,$F$3:$F$100,$AO10,$A$3:$A$100,$AP10)/1000,2) + ROUND(SUMPRODUCT(('Unallocated Scenarios'!$A$20:$A$39=$AP10)*(BI$2&gt;'Unallocated Scenarios'!$G$20:$G$39)*('Unallocated Scenarios'!$B$20:$B$39=$AO10)*('Unallocated Scenarios'!$C$20:$C$39=$AQ10)*'Unallocated Scenarios'!$D$20:$D$39)/1000,2)</f>
        <v>43.78</v>
      </c>
      <c r="BJ10" s="48" cm="1">
        <f t="array" ref="BJ10">ROUND(SUMIFS(AB$3:AB$100,$E$3:$E$100,$AQ10,$F$3:$F$100,$AO10,$A$3:$A$100,$AP10)/1000,2) + ROUND(SUMPRODUCT(('Unallocated Scenarios'!$A$20:$A$39=$AP10)*(BJ$2&gt;'Unallocated Scenarios'!$G$20:$G$39)*('Unallocated Scenarios'!$B$20:$B$39=$AO10)*('Unallocated Scenarios'!$C$20:$C$39=$AQ10)*'Unallocated Scenarios'!$D$20:$D$39)/1000,2)</f>
        <v>43.78</v>
      </c>
      <c r="BK10" s="48" cm="1">
        <f t="array" ref="BK10">ROUND(SUMIFS(AC$3:AC$100,$E$3:$E$100,$AQ10,$F$3:$F$100,$AO10,$A$3:$A$100,$AP10)/1000,2) + ROUND(SUMPRODUCT(('Unallocated Scenarios'!$A$20:$A$39=$AP10)*(BK$2&gt;'Unallocated Scenarios'!$G$20:$G$39)*('Unallocated Scenarios'!$B$20:$B$39=$AO10)*('Unallocated Scenarios'!$C$20:$C$39=$AQ10)*'Unallocated Scenarios'!$D$20:$D$39)/1000,2)</f>
        <v>43.78</v>
      </c>
      <c r="BL10" s="48" cm="1">
        <f t="array" ref="BL10">ROUND(SUMIFS(AD$3:AD$100,$E$3:$E$100,$AQ10,$F$3:$F$100,$AO10,$A$3:$A$100,$AP10)/1000,2) + ROUND(SUMPRODUCT(('Unallocated Scenarios'!$A$20:$A$39=$AP10)*(BL$2&gt;'Unallocated Scenarios'!$G$20:$G$39)*('Unallocated Scenarios'!$B$20:$B$39=$AO10)*('Unallocated Scenarios'!$C$20:$C$39=$AQ10)*'Unallocated Scenarios'!$D$20:$D$39)/1000,2)</f>
        <v>43.78</v>
      </c>
      <c r="BM10" s="48" cm="1">
        <f t="array" ref="BM10">ROUND(SUMIFS(AE$3:AE$100,$E$3:$E$100,$AQ10,$F$3:$F$100,$AO10,$A$3:$A$100,$AP10)/1000,2) + ROUND(SUMPRODUCT(('Unallocated Scenarios'!$A$20:$A$39=$AP10)*(BM$2&gt;'Unallocated Scenarios'!$G$20:$G$39)*('Unallocated Scenarios'!$B$20:$B$39=$AO10)*('Unallocated Scenarios'!$C$20:$C$39=$AQ10)*'Unallocated Scenarios'!$D$20:$D$39)/1000,2)</f>
        <v>43.78</v>
      </c>
      <c r="BN10" s="48" cm="1">
        <f t="array" ref="BN10">ROUND(SUMIFS(AF$3:AF$100,$E$3:$E$100,$AQ10,$F$3:$F$100,$AO10,$A$3:$A$100,$AP10)/1000,2) + ROUND(SUMPRODUCT(('Unallocated Scenarios'!$A$20:$A$39=$AP10)*(BN$2&gt;'Unallocated Scenarios'!$G$20:$G$39)*('Unallocated Scenarios'!$B$20:$B$39=$AO10)*('Unallocated Scenarios'!$C$20:$C$39=$AQ10)*'Unallocated Scenarios'!$D$20:$D$39)/1000,2)</f>
        <v>43.78</v>
      </c>
      <c r="BO10" s="48" cm="1">
        <f t="array" ref="BO10">ROUND(SUMIFS(AG$3:AG$100,$E$3:$E$100,$AQ10,$F$3:$F$100,$AO10,$A$3:$A$100,$AP10)/1000,2) + ROUND(SUMPRODUCT(('Unallocated Scenarios'!$A$20:$A$39=$AP10)*(BO$2&gt;'Unallocated Scenarios'!$G$20:$G$39)*('Unallocated Scenarios'!$B$20:$B$39=$AO10)*('Unallocated Scenarios'!$C$20:$C$39=$AQ10)*'Unallocated Scenarios'!$D$20:$D$39)/1000,2)</f>
        <v>43.78</v>
      </c>
      <c r="BP10" s="48" cm="1">
        <f t="array" ref="BP10">ROUND(SUMIFS(AH$3:AH$100,$E$3:$E$100,$AQ10,$F$3:$F$100,$AO10,$A$3:$A$100,$AP10)/1000,2) + ROUND(SUMPRODUCT(('Unallocated Scenarios'!$A$20:$A$39=$AP10)*(BP$2&gt;'Unallocated Scenarios'!$G$20:$G$39)*('Unallocated Scenarios'!$B$20:$B$39=$AO10)*('Unallocated Scenarios'!$C$20:$C$39=$AQ10)*'Unallocated Scenarios'!$D$20:$D$39)/1000,2)</f>
        <v>43.78</v>
      </c>
      <c r="BQ10" s="48" cm="1">
        <f t="array" ref="BQ10">ROUND(SUMIFS(AI$3:AI$100,$E$3:$E$100,$AQ10,$F$3:$F$100,$AO10,$A$3:$A$100,$AP10)/1000,2) + ROUND(SUMPRODUCT(('Unallocated Scenarios'!$A$20:$A$39=$AP10)*(BQ$2&gt;'Unallocated Scenarios'!$G$20:$G$39)*('Unallocated Scenarios'!$B$20:$B$39=$AO10)*('Unallocated Scenarios'!$C$20:$C$39=$AQ10)*'Unallocated Scenarios'!$D$20:$D$39)/1000,2)</f>
        <v>40.89</v>
      </c>
      <c r="BR10" s="48" cm="1">
        <f t="array" ref="BR10">ROUND(SUMIFS(AJ$3:AJ$100,$E$3:$E$100,$AQ10,$F$3:$F$100,$AO10,$A$3:$A$100,$AP10)/1000,2) + ROUND(SUMPRODUCT(('Unallocated Scenarios'!$A$20:$A$39=$AP10)*(BR$2&gt;'Unallocated Scenarios'!$G$20:$G$39)*('Unallocated Scenarios'!$B$20:$B$39=$AO10)*('Unallocated Scenarios'!$C$20:$C$39=$AQ10)*'Unallocated Scenarios'!$D$20:$D$39)/1000,2)</f>
        <v>39.36</v>
      </c>
      <c r="BS10" s="48" cm="1">
        <f t="array" ref="BS10">ROUND(SUMIFS(AK$3:AK$100,$E$3:$E$100,$AQ10,$F$3:$F$100,$AO10,$A$3:$A$100,$AP10)/1000,2) + ROUND(SUMPRODUCT(('Unallocated Scenarios'!$A$20:$A$39=$AP10)*(BS$2&gt;'Unallocated Scenarios'!$G$20:$G$39)*('Unallocated Scenarios'!$B$20:$B$39=$AO10)*('Unallocated Scenarios'!$C$20:$C$39=$AQ10)*'Unallocated Scenarios'!$D$20:$D$39)/1000,2)</f>
        <v>35.880000000000003</v>
      </c>
      <c r="BT10" s="48" cm="1">
        <f t="array" ref="BT10">ROUND(SUMIFS(AL$3:AL$100,$E$3:$E$100,$AQ10,$F$3:$F$100,$AO10,$A$3:$A$100,$AP10)/1000,2) + ROUND(SUMPRODUCT(('Unallocated Scenarios'!$A$20:$A$39=$AP10)*(BT$2&gt;'Unallocated Scenarios'!$G$20:$G$39)*('Unallocated Scenarios'!$B$20:$B$39=$AO10)*('Unallocated Scenarios'!$C$20:$C$39=$AQ10)*'Unallocated Scenarios'!$D$20:$D$39)/1000,2)</f>
        <v>35.880000000000003</v>
      </c>
      <c r="BU10" s="48" cm="1">
        <f t="array" ref="BU10">ROUND(SUMIFS(AM$3:AM$100,$E$3:$E$100,$AQ10,$F$3:$F$100,$AO10,$A$3:$A$100,$AP10)/1000,2) + ROUND(SUMPRODUCT(('Unallocated Scenarios'!$A$20:$A$39=$AP10)*(BU$2&gt;'Unallocated Scenarios'!$G$20:$G$39)*('Unallocated Scenarios'!$B$20:$B$39=$AO10)*('Unallocated Scenarios'!$C$20:$C$39=$AQ10)*'Unallocated Scenarios'!$D$20:$D$39)/1000,2)</f>
        <v>35.880000000000003</v>
      </c>
    </row>
    <row r="11" spans="1:73">
      <c r="A11" s="155" t="str" cm="1">
        <f t="array" ref="A11">_xlfn.IFS(LEFT(C11,3)="PGE","PGE",LEFT(C11,2)="PP","PAC",TRUE,"IP")</f>
        <v>PAC</v>
      </c>
      <c r="B11" s="155" t="str">
        <f>IF(ISNA(MATCH(C11,'Monthly Report July 2025'!E:E,0)),"Missing","Present")</f>
        <v>Present</v>
      </c>
      <c r="C11" s="155" t="s">
        <v>117</v>
      </c>
      <c r="D11" s="176" cm="1">
        <f t="array" ref="D11">INDEX('Monthly Report July 2025'!L:L,MATCH(C11,'Monthly Report July 2025'!E:E,0),0)</f>
        <v>2800</v>
      </c>
      <c r="E11" s="176" t="str" cm="1">
        <f t="array" ref="E11">IF(INDEX('PA Fees by Project'!K:K,MATCH(C11,'PA Fees by Project'!E:E,0),0)="No","Non-Carve Out", "Carve Out")</f>
        <v>Non-Carve Out</v>
      </c>
      <c r="F11" s="176" cm="1">
        <f t="array" ref="F11">INDEX('PA Fees by Project'!J:J,MATCH(C11,'PA Fees by Project'!E:E,0),0)</f>
        <v>1</v>
      </c>
      <c r="G11" s="155" t="str" cm="1">
        <f t="array" ref="G11">INDEX('PA Fees by Project'!G:G,MATCH(C11,'PA Fees by Project'!E:E,0),0)</f>
        <v>Operational</v>
      </c>
      <c r="H11" s="175" cm="1">
        <f t="array" ref="H11">INDEX('PA Fees by Project'!Q:Q,MATCH(C11,'PA Fees by Project'!E:E,0),0)</f>
        <v>45415</v>
      </c>
      <c r="I11" s="156" cm="1">
        <f t="array" ref="I11">_xlfn.IFS(G11="Operational",H11,G11="Certified",EDATE(INDEX('PA Fees by Project'!R:R,MATCH(C11,'PA Fees by Project'!E:E,0),0),6),TRUE,EDATE(INDEX('PA Fees by Project'!O:O,MATCH(C11,'PA Fees by Project'!E:E,0),0),6))</f>
        <v>45415</v>
      </c>
      <c r="J11" s="48" cm="1">
        <f t="array" ref="J11">_xlfn.IFS(YEAR(J$2)&lt;YEAR($I11),0,YEAR(J$2)=YEAR($I11),ROUND(((J$2-$I11+1)/365)*$D11,2),AND(YEAR(J$2)&gt;YEAR($I11),YEAR(J$2)-YEAR($I11)&lt;20),$D11,YEAR(J$2)-YEAR($I11)=20,ROUND((DATE(YEAR($I11),12,31)-$I11+1)/365*$D11,2),YEAR(J$2)-YEAR($I11)&gt;20,0)</f>
        <v>0</v>
      </c>
      <c r="K11" s="48" cm="1">
        <f t="array" ref="K11">_xlfn.IFS(YEAR(K$2)&lt;YEAR($I11),0,YEAR(K$2)=YEAR($I11),ROUND(((K$2-$I11+1)/365)*$D11,2),AND(YEAR(K$2)&gt;YEAR($I11),YEAR(K$2)-YEAR($I11)&lt;20),$D11,YEAR(K$2)-YEAR($I11)=20,ROUND((DATE(YEAR($I11),12,31)-$I11+1)/365*$D11,2),YEAR(K$2)-YEAR($I11)&gt;20,0)</f>
        <v>0</v>
      </c>
      <c r="L11" s="48" cm="1">
        <f t="array" ref="L11">_xlfn.IFS(YEAR(L$2)&lt;YEAR($I11),0,YEAR(L$2)=YEAR($I11),ROUND(((L$2-$I11+1)/365)*$D11,2),AND(YEAR(L$2)&gt;YEAR($I11),YEAR(L$2)-YEAR($I11)&lt;20),$D11,YEAR(L$2)-YEAR($I11)=20,ROUND((DATE(YEAR($I11),12,31)-$I11+1)/365*$D11,2),YEAR(L$2)-YEAR($I11)&gt;20,0)</f>
        <v>0</v>
      </c>
      <c r="M11" s="48" cm="1">
        <f t="array" ref="M11">_xlfn.IFS(YEAR(M$2)&lt;YEAR($I11),0,YEAR(M$2)=YEAR($I11),ROUND(((M$2-$I11+1)/365)*$D11,2),AND(YEAR(M$2)&gt;YEAR($I11),YEAR(M$2)-YEAR($I11)&lt;20),$D11,YEAR(M$2)-YEAR($I11)=20,ROUND((DATE(YEAR($I11),12,31)-$I11+1)/365*$D11,2),YEAR(M$2)-YEAR($I11)&gt;20,0)</f>
        <v>1864.11</v>
      </c>
      <c r="N11" s="48" cm="1">
        <f t="array" ref="N11">_xlfn.IFS(YEAR(N$2)&lt;YEAR($I11),0,YEAR(N$2)=YEAR($I11),ROUND(((N$2-$I11+1)/365)*$D11,2),AND(YEAR(N$2)&gt;YEAR($I11),YEAR(N$2)-YEAR($I11)&lt;20),$D11,YEAR(N$2)-YEAR($I11)=20,ROUND((DATE(YEAR($I11),12,31)-$I11+1)/365*$D11,2),YEAR(N$2)-YEAR($I11)&gt;20,0)</f>
        <v>2800</v>
      </c>
      <c r="O11" s="48" cm="1">
        <f t="array" ref="O11">_xlfn.IFS(YEAR(O$2)&lt;YEAR($I11),0,YEAR(O$2)=YEAR($I11),ROUND(((O$2-$I11+1)/365)*$D11,2),AND(YEAR(O$2)&gt;YEAR($I11),YEAR(O$2)-YEAR($I11)&lt;20),$D11,YEAR(O$2)-YEAR($I11)=20,ROUND((DATE(YEAR($I11),12,31)-$I11+1)/365*$D11,2),YEAR(O$2)-YEAR($I11)&gt;20,0)</f>
        <v>2800</v>
      </c>
      <c r="P11" s="48" cm="1">
        <f t="array" ref="P11">_xlfn.IFS(YEAR(P$2)&lt;YEAR($I11),0,YEAR(P$2)=YEAR($I11),ROUND(((P$2-$I11+1)/365)*$D11,2),AND(YEAR(P$2)&gt;YEAR($I11),YEAR(P$2)-YEAR($I11)&lt;20),$D11,YEAR(P$2)-YEAR($I11)=20,ROUND((DATE(YEAR($I11),12,31)-$I11+1)/365*$D11,2),YEAR(P$2)-YEAR($I11)&gt;20,0)</f>
        <v>2800</v>
      </c>
      <c r="Q11" s="48" cm="1">
        <f t="array" ref="Q11">_xlfn.IFS(YEAR(Q$2)&lt;YEAR($I11),0,YEAR(Q$2)=YEAR($I11),ROUND(((Q$2-$I11+1)/365)*$D11,2),AND(YEAR(Q$2)&gt;YEAR($I11),YEAR(Q$2)-YEAR($I11)&lt;20),$D11,YEAR(Q$2)-YEAR($I11)=20,ROUND((DATE(YEAR($I11),12,31)-$I11+1)/365*$D11,2),YEAR(Q$2)-YEAR($I11)&gt;20,0)</f>
        <v>2800</v>
      </c>
      <c r="R11" s="48" cm="1">
        <f t="array" ref="R11">_xlfn.IFS(YEAR(R$2)&lt;YEAR($I11),0,YEAR(R$2)=YEAR($I11),ROUND(((R$2-$I11+1)/365)*$D11,2),AND(YEAR(R$2)&gt;YEAR($I11),YEAR(R$2)-YEAR($I11)&lt;20),$D11,YEAR(R$2)-YEAR($I11)=20,ROUND((DATE(YEAR($I11),12,31)-$I11+1)/365*$D11,2),YEAR(R$2)-YEAR($I11)&gt;20,0)</f>
        <v>2800</v>
      </c>
      <c r="S11" s="48" cm="1">
        <f t="array" ref="S11">_xlfn.IFS(YEAR(S$2)&lt;YEAR($I11),0,YEAR(S$2)=YEAR($I11),ROUND(((S$2-$I11+1)/365)*$D11,2),AND(YEAR(S$2)&gt;YEAR($I11),YEAR(S$2)-YEAR($I11)&lt;20),$D11,YEAR(S$2)-YEAR($I11)=20,ROUND((DATE(YEAR($I11),12,31)-$I11+1)/365*$D11,2),YEAR(S$2)-YEAR($I11)&gt;20,0)</f>
        <v>2800</v>
      </c>
      <c r="T11" s="48" cm="1">
        <f t="array" ref="T11">_xlfn.IFS(YEAR(T$2)&lt;YEAR($I11),0,YEAR(T$2)=YEAR($I11),ROUND(((T$2-$I11+1)/365)*$D11,2),AND(YEAR(T$2)&gt;YEAR($I11),YEAR(T$2)-YEAR($I11)&lt;20),$D11,YEAR(T$2)-YEAR($I11)=20,ROUND((DATE(YEAR($I11),12,31)-$I11+1)/365*$D11,2),YEAR(T$2)-YEAR($I11)&gt;20,0)</f>
        <v>2800</v>
      </c>
      <c r="U11" s="48" cm="1">
        <f t="array" ref="U11">_xlfn.IFS(YEAR(U$2)&lt;YEAR($I11),0,YEAR(U$2)=YEAR($I11),ROUND(((U$2-$I11+1)/365)*$D11,2),AND(YEAR(U$2)&gt;YEAR($I11),YEAR(U$2)-YEAR($I11)&lt;20),$D11,YEAR(U$2)-YEAR($I11)=20,ROUND((DATE(YEAR($I11),12,31)-$I11+1)/365*$D11,2),YEAR(U$2)-YEAR($I11)&gt;20,0)</f>
        <v>2800</v>
      </c>
      <c r="V11" s="48" cm="1">
        <f t="array" ref="V11">_xlfn.IFS(YEAR(V$2)&lt;YEAR($I11),0,YEAR(V$2)=YEAR($I11),ROUND(((V$2-$I11+1)/365)*$D11,2),AND(YEAR(V$2)&gt;YEAR($I11),YEAR(V$2)-YEAR($I11)&lt;20),$D11,YEAR(V$2)-YEAR($I11)=20,ROUND((DATE(YEAR($I11),12,31)-$I11+1)/365*$D11,2),YEAR(V$2)-YEAR($I11)&gt;20,0)</f>
        <v>2800</v>
      </c>
      <c r="W11" s="48" cm="1">
        <f t="array" ref="W11">_xlfn.IFS(YEAR(W$2)&lt;YEAR($I11),0,YEAR(W$2)=YEAR($I11),ROUND(((W$2-$I11+1)/365)*$D11,2),AND(YEAR(W$2)&gt;YEAR($I11),YEAR(W$2)-YEAR($I11)&lt;20),$D11,YEAR(W$2)-YEAR($I11)=20,ROUND((DATE(YEAR($I11),12,31)-$I11+1)/365*$D11,2),YEAR(W$2)-YEAR($I11)&gt;20,0)</f>
        <v>2800</v>
      </c>
      <c r="X11" s="48" cm="1">
        <f t="array" ref="X11">_xlfn.IFS(YEAR(X$2)&lt;YEAR($I11),0,YEAR(X$2)=YEAR($I11),ROUND(((X$2-$I11+1)/365)*$D11,2),AND(YEAR(X$2)&gt;YEAR($I11),YEAR(X$2)-YEAR($I11)&lt;20),$D11,YEAR(X$2)-YEAR($I11)=20,ROUND((DATE(YEAR($I11),12,31)-$I11+1)/365*$D11,2),YEAR(X$2)-YEAR($I11)&gt;20,0)</f>
        <v>2800</v>
      </c>
      <c r="Y11" s="48" cm="1">
        <f t="array" ref="Y11">_xlfn.IFS(YEAR(Y$2)&lt;YEAR($I11),0,YEAR(Y$2)=YEAR($I11),ROUND(((Y$2-$I11+1)/365)*$D11,2),AND(YEAR(Y$2)&gt;YEAR($I11),YEAR(Y$2)-YEAR($I11)&lt;20),$D11,YEAR(Y$2)-YEAR($I11)=20,ROUND((DATE(YEAR($I11),12,31)-$I11+1)/365*$D11,2),YEAR(Y$2)-YEAR($I11)&gt;20,0)</f>
        <v>2800</v>
      </c>
      <c r="Z11" s="48" cm="1">
        <f t="array" ref="Z11">_xlfn.IFS(YEAR(Z$2)&lt;YEAR($I11),0,YEAR(Z$2)=YEAR($I11),ROUND(((Z$2-$I11+1)/365)*$D11,2),AND(YEAR(Z$2)&gt;YEAR($I11),YEAR(Z$2)-YEAR($I11)&lt;20),$D11,YEAR(Z$2)-YEAR($I11)=20,ROUND((DATE(YEAR($I11),12,31)-$I11+1)/365*$D11,2),YEAR(Z$2)-YEAR($I11)&gt;20,0)</f>
        <v>2800</v>
      </c>
      <c r="AA11" s="48" cm="1">
        <f t="array" ref="AA11">_xlfn.IFS(YEAR(AA$2)&lt;YEAR($I11),0,YEAR(AA$2)=YEAR($I11),ROUND(((AA$2-$I11+1)/365)*$D11,2),AND(YEAR(AA$2)&gt;YEAR($I11),YEAR(AA$2)-YEAR($I11)&lt;20),$D11,YEAR(AA$2)-YEAR($I11)=20,ROUND((DATE(YEAR($I11),12,31)-$I11+1)/365*$D11,2),YEAR(AA$2)-YEAR($I11)&gt;20,0)</f>
        <v>2800</v>
      </c>
      <c r="AB11" s="48" cm="1">
        <f t="array" ref="AB11">_xlfn.IFS(YEAR(AB$2)&lt;YEAR($I11),0,YEAR(AB$2)=YEAR($I11),ROUND(((AB$2-$I11+1)/365)*$D11,2),AND(YEAR(AB$2)&gt;YEAR($I11),YEAR(AB$2)-YEAR($I11)&lt;20),$D11,YEAR(AB$2)-YEAR($I11)=20,ROUND((DATE(YEAR($I11),12,31)-$I11+1)/365*$D11,2),YEAR(AB$2)-YEAR($I11)&gt;20,0)</f>
        <v>2800</v>
      </c>
      <c r="AC11" s="48" cm="1">
        <f t="array" ref="AC11">_xlfn.IFS(YEAR(AC$2)&lt;YEAR($I11),0,YEAR(AC$2)=YEAR($I11),ROUND(((AC$2-$I11+1)/365)*$D11,2),AND(YEAR(AC$2)&gt;YEAR($I11),YEAR(AC$2)-YEAR($I11)&lt;20),$D11,YEAR(AC$2)-YEAR($I11)=20,ROUND((DATE(YEAR($I11),12,31)-$I11+1)/365*$D11,2),YEAR(AC$2)-YEAR($I11)&gt;20,0)</f>
        <v>2800</v>
      </c>
      <c r="AD11" s="48" cm="1">
        <f t="array" ref="AD11">_xlfn.IFS(YEAR(AD$2)&lt;YEAR($I11),0,YEAR(AD$2)=YEAR($I11),ROUND(((AD$2-$I11+1)/365)*$D11,2),AND(YEAR(AD$2)&gt;YEAR($I11),YEAR(AD$2)-YEAR($I11)&lt;20),$D11,YEAR(AD$2)-YEAR($I11)=20,ROUND((DATE(YEAR($I11),12,31)-$I11+1)/365*$D11,2),YEAR(AD$2)-YEAR($I11)&gt;20,0)</f>
        <v>2800</v>
      </c>
      <c r="AE11" s="48" cm="1">
        <f t="array" ref="AE11">_xlfn.IFS(YEAR(AE$2)&lt;YEAR($I11),0,YEAR(AE$2)=YEAR($I11),ROUND(((AE$2-$I11+1)/365)*$D11,2),AND(YEAR(AE$2)&gt;YEAR($I11),YEAR(AE$2)-YEAR($I11)&lt;20),$D11,YEAR(AE$2)-YEAR($I11)=20,ROUND((DATE(YEAR($I11),12,31)-$I11+1)/365*$D11,2),YEAR(AE$2)-YEAR($I11)&gt;20,0)</f>
        <v>2800</v>
      </c>
      <c r="AF11" s="48" cm="1">
        <f t="array" ref="AF11">_xlfn.IFS(YEAR(AF$2)&lt;YEAR($I11),0,YEAR(AF$2)=YEAR($I11),ROUND(((AF$2-$I11+1)/365)*$D11,2),AND(YEAR(AF$2)&gt;YEAR($I11),YEAR(AF$2)-YEAR($I11)&lt;20),$D11,YEAR(AF$2)-YEAR($I11)=20,ROUND((DATE(YEAR($I11),12,31)-$I11+1)/365*$D11,2),YEAR(AF$2)-YEAR($I11)&gt;20,0)</f>
        <v>2800</v>
      </c>
      <c r="AG11" s="48" cm="1">
        <f t="array" ref="AG11">_xlfn.IFS(YEAR(AG$2)&lt;YEAR($I11),0,YEAR(AG$2)=YEAR($I11),ROUND(((AG$2-$I11+1)/365)*$D11,2),AND(YEAR(AG$2)&gt;YEAR($I11),YEAR(AG$2)-YEAR($I11)&lt;20),$D11,YEAR(AG$2)-YEAR($I11)=20,ROUND((DATE(YEAR($I11),12,31)-$I11+1)/365*$D11,2),YEAR(AG$2)-YEAR($I11)&gt;20,0)</f>
        <v>1864.11</v>
      </c>
      <c r="AH11" s="48" cm="1">
        <f t="array" ref="AH11">_xlfn.IFS(YEAR(AH$2)&lt;YEAR($I11),0,YEAR(AH$2)=YEAR($I11),ROUND(((AH$2-$I11+1)/365)*$D11,2),AND(YEAR(AH$2)&gt;YEAR($I11),YEAR(AH$2)-YEAR($I11)&lt;20),$D11,YEAR(AH$2)-YEAR($I11)=20,ROUND((DATE(YEAR($I11),12,31)-$I11+1)/365*$D11,2),YEAR(AH$2)-YEAR($I11)&gt;20,0)</f>
        <v>0</v>
      </c>
      <c r="AI11" s="48" cm="1">
        <f t="array" ref="AI11">_xlfn.IFS(YEAR(AI$2)&lt;YEAR($I11),0,YEAR(AI$2)=YEAR($I11),ROUND(((AI$2-$I11+1)/365)*$D11,2),AND(YEAR(AI$2)&gt;YEAR($I11),YEAR(AI$2)-YEAR($I11)&lt;20),$D11,YEAR(AI$2)-YEAR($I11)=20,ROUND((DATE(YEAR($I11),12,31)-$I11+1)/365*$D11,2),YEAR(AI$2)-YEAR($I11)&gt;20,0)</f>
        <v>0</v>
      </c>
      <c r="AJ11" s="48" cm="1">
        <f t="array" ref="AJ11">_xlfn.IFS(YEAR(AJ$2)&lt;YEAR($I11),0,YEAR(AJ$2)=YEAR($I11),ROUND(((AJ$2-$I11+1)/365)*$D11,2),AND(YEAR(AJ$2)&gt;YEAR($I11),YEAR(AJ$2)-YEAR($I11)&lt;20),$D11,YEAR(AJ$2)-YEAR($I11)=20,ROUND((DATE(YEAR($I11),12,31)-$I11+1)/365*$D11,2),YEAR(AJ$2)-YEAR($I11)&gt;20,0)</f>
        <v>0</v>
      </c>
      <c r="AK11" s="48" cm="1">
        <f t="array" ref="AK11">_xlfn.IFS(YEAR(AK$2)&lt;YEAR($I11),0,YEAR(AK$2)=YEAR($I11),ROUND(((AK$2-$I11+1)/365)*$D11,2),AND(YEAR(AK$2)&gt;YEAR($I11),YEAR(AK$2)-YEAR($I11)&lt;20),$D11,YEAR(AK$2)-YEAR($I11)=20,ROUND((DATE(YEAR($I11),12,31)-$I11+1)/365*$D11,2),YEAR(AK$2)-YEAR($I11)&gt;20,0)</f>
        <v>0</v>
      </c>
      <c r="AL11" s="48" cm="1">
        <f t="array" ref="AL11">_xlfn.IFS(YEAR(AL$2)&lt;YEAR($I11),0,YEAR(AL$2)=YEAR($I11),ROUND(((AL$2-$I11+1)/365)*$D11,2),AND(YEAR(AL$2)&gt;YEAR($I11),YEAR(AL$2)-YEAR($I11)&lt;20),$D11,YEAR(AL$2)-YEAR($I11)=20,ROUND((DATE(YEAR($I11),12,31)-$I11+1)/365*$D11,2),YEAR(AL$2)-YEAR($I11)&gt;20,0)</f>
        <v>0</v>
      </c>
      <c r="AM11" s="48" cm="1">
        <f t="array" ref="AM11">_xlfn.IFS(YEAR(AM$2)&lt;YEAR($I11),0,YEAR(AM$2)=YEAR($I11),ROUND(((AM$2-$I11+1)/365)*$D11,2),AND(YEAR(AM$2)&gt;YEAR($I11),YEAR(AM$2)-YEAR($I11)&lt;20),$D11,YEAR(AM$2)-YEAR($I11)=20,ROUND((DATE(YEAR($I11),12,31)-$I11+1)/365*$D11,2),YEAR(AM$2)-YEAR($I11)&gt;20,0)</f>
        <v>0</v>
      </c>
      <c r="AO11" s="65">
        <v>2</v>
      </c>
      <c r="AP11" s="308" t="s">
        <v>12</v>
      </c>
      <c r="AQ11" s="48" t="s">
        <v>99</v>
      </c>
      <c r="AR11" s="48" cm="1">
        <f t="array" ref="AR11">ROUND(SUMIFS(J$3:J$100,$E$3:$E$100,$AQ11,$F$3:$F$100,$AO11,$A$3:$A$100,$AP11)/1000,2) + ROUND(SUMPRODUCT(('Unallocated Scenarios'!$A$20:$A$39=$AP11)*(AR$2&gt;'Unallocated Scenarios'!$G$20:$G$39)*('Unallocated Scenarios'!$B$20:$B$39=$AO11)*('Unallocated Scenarios'!$C$20:$C$39=$AQ11)*'Unallocated Scenarios'!$D$20:$D$39)/1000,2)</f>
        <v>0</v>
      </c>
      <c r="AS11" s="48" cm="1">
        <f t="array" ref="AS11">ROUND(SUMIFS(K$3:K$100,$E$3:$E$100,$AQ11,$F$3:$F$100,$AO11,$A$3:$A$100,$AP11)/1000,2) + ROUND(SUMPRODUCT(('Unallocated Scenarios'!$A$20:$A$39=$AP11)*(AS$2&gt;'Unallocated Scenarios'!$G$20:$G$39)*('Unallocated Scenarios'!$B$20:$B$39=$AO11)*('Unallocated Scenarios'!$C$20:$C$39=$AQ11)*'Unallocated Scenarios'!$D$20:$D$39)/1000,2)</f>
        <v>0</v>
      </c>
      <c r="AT11" s="48" cm="1">
        <f t="array" ref="AT11">ROUND(SUMIFS(L$3:L$100,$E$3:$E$100,$AQ11,$F$3:$F$100,$AO11,$A$3:$A$100,$AP11)/1000,2) + ROUND(SUMPRODUCT(('Unallocated Scenarios'!$A$20:$A$39=$AP11)*(AT$2&gt;'Unallocated Scenarios'!$G$20:$G$39)*('Unallocated Scenarios'!$B$20:$B$39=$AO11)*('Unallocated Scenarios'!$C$20:$C$39=$AQ11)*'Unallocated Scenarios'!$D$20:$D$39)/1000,2)</f>
        <v>0.24</v>
      </c>
      <c r="AU11" s="48" cm="1">
        <f t="array" ref="AU11">ROUND(SUMIFS(M$3:M$100,$E$3:$E$100,$AQ11,$F$3:$F$100,$AO11,$A$3:$A$100,$AP11)/1000,2) + ROUND(SUMPRODUCT(('Unallocated Scenarios'!$A$20:$A$39=$AP11)*(AU$2&gt;'Unallocated Scenarios'!$G$20:$G$39)*('Unallocated Scenarios'!$B$20:$B$39=$AO11)*('Unallocated Scenarios'!$C$20:$C$39=$AQ11)*'Unallocated Scenarios'!$D$20:$D$39)/1000,2)</f>
        <v>2.65</v>
      </c>
      <c r="AV11" s="48" cm="1">
        <f t="array" ref="AV11">ROUND(SUMIFS(N$3:N$100,$E$3:$E$100,$AQ11,$F$3:$F$100,$AO11,$A$3:$A$100,$AP11)/1000,2) + ROUND(SUMPRODUCT(('Unallocated Scenarios'!$A$20:$A$39=$AP11)*(AV$2&gt;'Unallocated Scenarios'!$G$20:$G$39)*('Unallocated Scenarios'!$B$20:$B$39=$AO11)*('Unallocated Scenarios'!$C$20:$C$39=$AQ11)*'Unallocated Scenarios'!$D$20:$D$39)/1000,2)</f>
        <v>11.36</v>
      </c>
      <c r="AW11" s="48" cm="1">
        <f t="array" ref="AW11">ROUND(SUMIFS(O$3:O$100,$E$3:$E$100,$AQ11,$F$3:$F$100,$AO11,$A$3:$A$100,$AP11)/1000,2) + ROUND(SUMPRODUCT(('Unallocated Scenarios'!$A$20:$A$39=$AP11)*(AW$2&gt;'Unallocated Scenarios'!$G$20:$G$39)*('Unallocated Scenarios'!$B$20:$B$39=$AO11)*('Unallocated Scenarios'!$C$20:$C$39=$AQ11)*'Unallocated Scenarios'!$D$20:$D$39)/1000,2)</f>
        <v>21.44</v>
      </c>
      <c r="AX11" s="48" cm="1">
        <f t="array" ref="AX11">ROUND(SUMIFS(P$3:P$100,$E$3:$E$100,$AQ11,$F$3:$F$100,$AO11,$A$3:$A$100,$AP11)/1000,2) + ROUND(SUMPRODUCT(('Unallocated Scenarios'!$A$20:$A$39=$AP11)*(AX$2&gt;'Unallocated Scenarios'!$G$20:$G$39)*('Unallocated Scenarios'!$B$20:$B$39=$AO11)*('Unallocated Scenarios'!$C$20:$C$39=$AQ11)*'Unallocated Scenarios'!$D$20:$D$39)/1000,2)</f>
        <v>28.12</v>
      </c>
      <c r="AY11" s="48" cm="1">
        <f t="array" ref="AY11">ROUND(SUMIFS(Q$3:Q$100,$E$3:$E$100,$AQ11,$F$3:$F$100,$AO11,$A$3:$A$100,$AP11)/1000,2) + ROUND(SUMPRODUCT(('Unallocated Scenarios'!$A$20:$A$39=$AP11)*(AY$2&gt;'Unallocated Scenarios'!$G$20:$G$39)*('Unallocated Scenarios'!$B$20:$B$39=$AO11)*('Unallocated Scenarios'!$C$20:$C$39=$AQ11)*'Unallocated Scenarios'!$D$20:$D$39)/1000,2)</f>
        <v>28.36</v>
      </c>
      <c r="AZ11" s="48" cm="1">
        <f t="array" ref="AZ11">ROUND(SUMIFS(R$3:R$100,$E$3:$E$100,$AQ11,$F$3:$F$100,$AO11,$A$3:$A$100,$AP11)/1000,2) + ROUND(SUMPRODUCT(('Unallocated Scenarios'!$A$20:$A$39=$AP11)*(AZ$2&gt;'Unallocated Scenarios'!$G$20:$G$39)*('Unallocated Scenarios'!$B$20:$B$39=$AO11)*('Unallocated Scenarios'!$C$20:$C$39=$AQ11)*'Unallocated Scenarios'!$D$20:$D$39)/1000,2)</f>
        <v>28.61</v>
      </c>
      <c r="BA11" s="48" cm="1">
        <f t="array" ref="BA11">ROUND(SUMIFS(S$3:S$100,$E$3:$E$100,$AQ11,$F$3:$F$100,$AO11,$A$3:$A$100,$AP11)/1000,2) + ROUND(SUMPRODUCT(('Unallocated Scenarios'!$A$20:$A$39=$AP11)*(BA$2&gt;'Unallocated Scenarios'!$G$20:$G$39)*('Unallocated Scenarios'!$B$20:$B$39=$AO11)*('Unallocated Scenarios'!$C$20:$C$39=$AQ11)*'Unallocated Scenarios'!$D$20:$D$39)/1000,2)</f>
        <v>28.61</v>
      </c>
      <c r="BB11" s="48" cm="1">
        <f t="array" ref="BB11">ROUND(SUMIFS(T$3:T$100,$E$3:$E$100,$AQ11,$F$3:$F$100,$AO11,$A$3:$A$100,$AP11)/1000,2) + ROUND(SUMPRODUCT(('Unallocated Scenarios'!$A$20:$A$39=$AP11)*(BB$2&gt;'Unallocated Scenarios'!$G$20:$G$39)*('Unallocated Scenarios'!$B$20:$B$39=$AO11)*('Unallocated Scenarios'!$C$20:$C$39=$AQ11)*'Unallocated Scenarios'!$D$20:$D$39)/1000,2)</f>
        <v>28.61</v>
      </c>
      <c r="BC11" s="48" cm="1">
        <f t="array" ref="BC11">ROUND(SUMIFS(U$3:U$100,$E$3:$E$100,$AQ11,$F$3:$F$100,$AO11,$A$3:$A$100,$AP11)/1000,2) + ROUND(SUMPRODUCT(('Unallocated Scenarios'!$A$20:$A$39=$AP11)*(BC$2&gt;'Unallocated Scenarios'!$G$20:$G$39)*('Unallocated Scenarios'!$B$20:$B$39=$AO11)*('Unallocated Scenarios'!$C$20:$C$39=$AQ11)*'Unallocated Scenarios'!$D$20:$D$39)/1000,2)</f>
        <v>28.61</v>
      </c>
      <c r="BD11" s="48" cm="1">
        <f t="array" ref="BD11">ROUND(SUMIFS(V$3:V$100,$E$3:$E$100,$AQ11,$F$3:$F$100,$AO11,$A$3:$A$100,$AP11)/1000,2) + ROUND(SUMPRODUCT(('Unallocated Scenarios'!$A$20:$A$39=$AP11)*(BD$2&gt;'Unallocated Scenarios'!$G$20:$G$39)*('Unallocated Scenarios'!$B$20:$B$39=$AO11)*('Unallocated Scenarios'!$C$20:$C$39=$AQ11)*'Unallocated Scenarios'!$D$20:$D$39)/1000,2)</f>
        <v>28.61</v>
      </c>
      <c r="BE11" s="48" cm="1">
        <f t="array" ref="BE11">ROUND(SUMIFS(W$3:W$100,$E$3:$E$100,$AQ11,$F$3:$F$100,$AO11,$A$3:$A$100,$AP11)/1000,2) + ROUND(SUMPRODUCT(('Unallocated Scenarios'!$A$20:$A$39=$AP11)*(BE$2&gt;'Unallocated Scenarios'!$G$20:$G$39)*('Unallocated Scenarios'!$B$20:$B$39=$AO11)*('Unallocated Scenarios'!$C$20:$C$39=$AQ11)*'Unallocated Scenarios'!$D$20:$D$39)/1000,2)</f>
        <v>28.61</v>
      </c>
      <c r="BF11" s="48" cm="1">
        <f t="array" ref="BF11">ROUND(SUMIFS(X$3:X$100,$E$3:$E$100,$AQ11,$F$3:$F$100,$AO11,$A$3:$A$100,$AP11)/1000,2) + ROUND(SUMPRODUCT(('Unallocated Scenarios'!$A$20:$A$39=$AP11)*(BF$2&gt;'Unallocated Scenarios'!$G$20:$G$39)*('Unallocated Scenarios'!$B$20:$B$39=$AO11)*('Unallocated Scenarios'!$C$20:$C$39=$AQ11)*'Unallocated Scenarios'!$D$20:$D$39)/1000,2)</f>
        <v>28.61</v>
      </c>
      <c r="BG11" s="48" cm="1">
        <f t="array" ref="BG11">ROUND(SUMIFS(Y$3:Y$100,$E$3:$E$100,$AQ11,$F$3:$F$100,$AO11,$A$3:$A$100,$AP11)/1000,2) + ROUND(SUMPRODUCT(('Unallocated Scenarios'!$A$20:$A$39=$AP11)*(BG$2&gt;'Unallocated Scenarios'!$G$20:$G$39)*('Unallocated Scenarios'!$B$20:$B$39=$AO11)*('Unallocated Scenarios'!$C$20:$C$39=$AQ11)*'Unallocated Scenarios'!$D$20:$D$39)/1000,2)</f>
        <v>28.61</v>
      </c>
      <c r="BH11" s="48" cm="1">
        <f t="array" ref="BH11">ROUND(SUMIFS(Z$3:Z$100,$E$3:$E$100,$AQ11,$F$3:$F$100,$AO11,$A$3:$A$100,$AP11)/1000,2) + ROUND(SUMPRODUCT(('Unallocated Scenarios'!$A$20:$A$39=$AP11)*(BH$2&gt;'Unallocated Scenarios'!$G$20:$G$39)*('Unallocated Scenarios'!$B$20:$B$39=$AO11)*('Unallocated Scenarios'!$C$20:$C$39=$AQ11)*'Unallocated Scenarios'!$D$20:$D$39)/1000,2)</f>
        <v>28.61</v>
      </c>
      <c r="BI11" s="48" cm="1">
        <f t="array" ref="BI11">ROUND(SUMIFS(AA$3:AA$100,$E$3:$E$100,$AQ11,$F$3:$F$100,$AO11,$A$3:$A$100,$AP11)/1000,2) + ROUND(SUMPRODUCT(('Unallocated Scenarios'!$A$20:$A$39=$AP11)*(BI$2&gt;'Unallocated Scenarios'!$G$20:$G$39)*('Unallocated Scenarios'!$B$20:$B$39=$AO11)*('Unallocated Scenarios'!$C$20:$C$39=$AQ11)*'Unallocated Scenarios'!$D$20:$D$39)/1000,2)</f>
        <v>28.61</v>
      </c>
      <c r="BJ11" s="48" cm="1">
        <f t="array" ref="BJ11">ROUND(SUMIFS(AB$3:AB$100,$E$3:$E$100,$AQ11,$F$3:$F$100,$AO11,$A$3:$A$100,$AP11)/1000,2) + ROUND(SUMPRODUCT(('Unallocated Scenarios'!$A$20:$A$39=$AP11)*(BJ$2&gt;'Unallocated Scenarios'!$G$20:$G$39)*('Unallocated Scenarios'!$B$20:$B$39=$AO11)*('Unallocated Scenarios'!$C$20:$C$39=$AQ11)*'Unallocated Scenarios'!$D$20:$D$39)/1000,2)</f>
        <v>28.61</v>
      </c>
      <c r="BK11" s="48" cm="1">
        <f t="array" ref="BK11">ROUND(SUMIFS(AC$3:AC$100,$E$3:$E$100,$AQ11,$F$3:$F$100,$AO11,$A$3:$A$100,$AP11)/1000,2) + ROUND(SUMPRODUCT(('Unallocated Scenarios'!$A$20:$A$39=$AP11)*(BK$2&gt;'Unallocated Scenarios'!$G$20:$G$39)*('Unallocated Scenarios'!$B$20:$B$39=$AO11)*('Unallocated Scenarios'!$C$20:$C$39=$AQ11)*'Unallocated Scenarios'!$D$20:$D$39)/1000,2)</f>
        <v>28.61</v>
      </c>
      <c r="BL11" s="48" cm="1">
        <f t="array" ref="BL11">ROUND(SUMIFS(AD$3:AD$100,$E$3:$E$100,$AQ11,$F$3:$F$100,$AO11,$A$3:$A$100,$AP11)/1000,2) + ROUND(SUMPRODUCT(('Unallocated Scenarios'!$A$20:$A$39=$AP11)*(BL$2&gt;'Unallocated Scenarios'!$G$20:$G$39)*('Unallocated Scenarios'!$B$20:$B$39=$AO11)*('Unallocated Scenarios'!$C$20:$C$39=$AQ11)*'Unallocated Scenarios'!$D$20:$D$39)/1000,2)</f>
        <v>28.61</v>
      </c>
      <c r="BM11" s="48" cm="1">
        <f t="array" ref="BM11">ROUND(SUMIFS(AE$3:AE$100,$E$3:$E$100,$AQ11,$F$3:$F$100,$AO11,$A$3:$A$100,$AP11)/1000,2) + ROUND(SUMPRODUCT(('Unallocated Scenarios'!$A$20:$A$39=$AP11)*(BM$2&gt;'Unallocated Scenarios'!$G$20:$G$39)*('Unallocated Scenarios'!$B$20:$B$39=$AO11)*('Unallocated Scenarios'!$C$20:$C$39=$AQ11)*'Unallocated Scenarios'!$D$20:$D$39)/1000,2)</f>
        <v>28.61</v>
      </c>
      <c r="BN11" s="48" cm="1">
        <f t="array" ref="BN11">ROUND(SUMIFS(AF$3:AF$100,$E$3:$E$100,$AQ11,$F$3:$F$100,$AO11,$A$3:$A$100,$AP11)/1000,2) + ROUND(SUMPRODUCT(('Unallocated Scenarios'!$A$20:$A$39=$AP11)*(BN$2&gt;'Unallocated Scenarios'!$G$20:$G$39)*('Unallocated Scenarios'!$B$20:$B$39=$AO11)*('Unallocated Scenarios'!$C$20:$C$39=$AQ11)*'Unallocated Scenarios'!$D$20:$D$39)/1000,2)</f>
        <v>28.279999999999998</v>
      </c>
      <c r="BO11" s="48" cm="1">
        <f t="array" ref="BO11">ROUND(SUMIFS(AG$3:AG$100,$E$3:$E$100,$AQ11,$F$3:$F$100,$AO11,$A$3:$A$100,$AP11)/1000,2) + ROUND(SUMPRODUCT(('Unallocated Scenarios'!$A$20:$A$39=$AP11)*(BO$2&gt;'Unallocated Scenarios'!$G$20:$G$39)*('Unallocated Scenarios'!$B$20:$B$39=$AO11)*('Unallocated Scenarios'!$C$20:$C$39=$AQ11)*'Unallocated Scenarios'!$D$20:$D$39)/1000,2)</f>
        <v>25.009999999999998</v>
      </c>
      <c r="BP11" s="48" cm="1">
        <f t="array" ref="BP11">ROUND(SUMIFS(AH$3:AH$100,$E$3:$E$100,$AQ11,$F$3:$F$100,$AO11,$A$3:$A$100,$AP11)/1000,2) + ROUND(SUMPRODUCT(('Unallocated Scenarios'!$A$20:$A$39=$AP11)*(BP$2&gt;'Unallocated Scenarios'!$G$20:$G$39)*('Unallocated Scenarios'!$B$20:$B$39=$AO11)*('Unallocated Scenarios'!$C$20:$C$39=$AQ11)*'Unallocated Scenarios'!$D$20:$D$39)/1000,2)</f>
        <v>20.049999999999997</v>
      </c>
      <c r="BQ11" s="48" cm="1">
        <f t="array" ref="BQ11">ROUND(SUMIFS(AI$3:AI$100,$E$3:$E$100,$AQ11,$F$3:$F$100,$AO11,$A$3:$A$100,$AP11)/1000,2) + ROUND(SUMPRODUCT(('Unallocated Scenarios'!$A$20:$A$39=$AP11)*(BQ$2&gt;'Unallocated Scenarios'!$G$20:$G$39)*('Unallocated Scenarios'!$B$20:$B$39=$AO11)*('Unallocated Scenarios'!$C$20:$C$39=$AQ11)*'Unallocated Scenarios'!$D$20:$D$39)/1000,2)</f>
        <v>7.7</v>
      </c>
      <c r="BR11" s="48" cm="1">
        <f t="array" ref="BR11">ROUND(SUMIFS(AJ$3:AJ$100,$E$3:$E$100,$AQ11,$F$3:$F$100,$AO11,$A$3:$A$100,$AP11)/1000,2) + ROUND(SUMPRODUCT(('Unallocated Scenarios'!$A$20:$A$39=$AP11)*(BR$2&gt;'Unallocated Scenarios'!$G$20:$G$39)*('Unallocated Scenarios'!$B$20:$B$39=$AO11)*('Unallocated Scenarios'!$C$20:$C$39=$AQ11)*'Unallocated Scenarios'!$D$20:$D$39)/1000,2)</f>
        <v>0.49</v>
      </c>
      <c r="BS11" s="48" cm="1">
        <f t="array" ref="BS11">ROUND(SUMIFS(AK$3:AK$100,$E$3:$E$100,$AQ11,$F$3:$F$100,$AO11,$A$3:$A$100,$AP11)/1000,2) + ROUND(SUMPRODUCT(('Unallocated Scenarios'!$A$20:$A$39=$AP11)*(BS$2&gt;'Unallocated Scenarios'!$G$20:$G$39)*('Unallocated Scenarios'!$B$20:$B$39=$AO11)*('Unallocated Scenarios'!$C$20:$C$39=$AQ11)*'Unallocated Scenarios'!$D$20:$D$39)/1000,2)</f>
        <v>0.49</v>
      </c>
      <c r="BT11" s="48" cm="1">
        <f t="array" ref="BT11">ROUND(SUMIFS(AL$3:AL$100,$E$3:$E$100,$AQ11,$F$3:$F$100,$AO11,$A$3:$A$100,$AP11)/1000,2) + ROUND(SUMPRODUCT(('Unallocated Scenarios'!$A$20:$A$39=$AP11)*(BT$2&gt;'Unallocated Scenarios'!$G$20:$G$39)*('Unallocated Scenarios'!$B$20:$B$39=$AO11)*('Unallocated Scenarios'!$C$20:$C$39=$AQ11)*'Unallocated Scenarios'!$D$20:$D$39)/1000,2)</f>
        <v>0.49</v>
      </c>
      <c r="BU11" s="48" cm="1">
        <f t="array" ref="BU11">ROUND(SUMIFS(AM$3:AM$100,$E$3:$E$100,$AQ11,$F$3:$F$100,$AO11,$A$3:$A$100,$AP11)/1000,2) + ROUND(SUMPRODUCT(('Unallocated Scenarios'!$A$20:$A$39=$AP11)*(BU$2&gt;'Unallocated Scenarios'!$G$20:$G$39)*('Unallocated Scenarios'!$B$20:$B$39=$AO11)*('Unallocated Scenarios'!$C$20:$C$39=$AQ11)*'Unallocated Scenarios'!$D$20:$D$39)/1000,2)</f>
        <v>0.49</v>
      </c>
    </row>
    <row r="12" spans="1:73">
      <c r="A12" s="155" t="str" cm="1">
        <f t="array" ref="A12">_xlfn.IFS(LEFT(C12,3)="PGE","PGE",LEFT(C12,2)="PP","PAC",TRUE,"IP")</f>
        <v>PGE</v>
      </c>
      <c r="B12" s="155" t="str">
        <f>IF(ISNA(MATCH(C12,'Monthly Report July 2025'!E:E,0)),"Missing","Present")</f>
        <v>Present</v>
      </c>
      <c r="C12" s="155" t="s">
        <v>118</v>
      </c>
      <c r="D12" s="176" cm="1">
        <f t="array" ref="D12">INDEX('Monthly Report July 2025'!L:L,MATCH(C12,'Monthly Report July 2025'!E:E,0),0)</f>
        <v>2502</v>
      </c>
      <c r="E12" s="176" t="str" cm="1">
        <f t="array" ref="E12">IF(INDEX('PA Fees by Project'!K:K,MATCH(C12,'PA Fees by Project'!E:E,0),0)="No","Non-Carve Out", "Carve Out")</f>
        <v>Non-Carve Out</v>
      </c>
      <c r="F12" s="176" cm="1">
        <f t="array" ref="F12">INDEX('PA Fees by Project'!J:J,MATCH(C12,'PA Fees by Project'!E:E,0),0)</f>
        <v>1</v>
      </c>
      <c r="G12" s="155" t="str" cm="1">
        <f t="array" ref="G12">INDEX('PA Fees by Project'!G:G,MATCH(C12,'PA Fees by Project'!E:E,0),0)</f>
        <v>Operational</v>
      </c>
      <c r="H12" s="175" cm="1">
        <f t="array" ref="H12">INDEX('PA Fees by Project'!Q:Q,MATCH(C12,'PA Fees by Project'!E:E,0),0)</f>
        <v>44256</v>
      </c>
      <c r="I12" s="156" cm="1">
        <f t="array" ref="I12">_xlfn.IFS(G12="Operational",H12,G12="Certified",EDATE(INDEX('PA Fees by Project'!R:R,MATCH(C12,'PA Fees by Project'!E:E,0),0),6),TRUE,EDATE(INDEX('PA Fees by Project'!O:O,MATCH(C12,'PA Fees by Project'!E:E,0),0),6))</f>
        <v>44256</v>
      </c>
      <c r="J12" s="48" cm="1">
        <f t="array" ref="J12">_xlfn.IFS(YEAR(J$2)&lt;YEAR($I12),0,YEAR(J$2)=YEAR($I12),ROUND(((J$2-$I12+1)/365)*$D12,2),AND(YEAR(J$2)&gt;YEAR($I12),YEAR(J$2)-YEAR($I12)&lt;20),$D12,YEAR(J$2)-YEAR($I12)=20,ROUND((DATE(YEAR($I12),12,31)-$I12+1)/365*$D12,2),YEAR(J$2)-YEAR($I12)&gt;20,0)</f>
        <v>2097.5700000000002</v>
      </c>
      <c r="K12" s="48" cm="1">
        <f t="array" ref="K12">_xlfn.IFS(YEAR(K$2)&lt;YEAR($I12),0,YEAR(K$2)=YEAR($I12),ROUND(((K$2-$I12+1)/365)*$D12,2),AND(YEAR(K$2)&gt;YEAR($I12),YEAR(K$2)-YEAR($I12)&lt;20),$D12,YEAR(K$2)-YEAR($I12)=20,ROUND((DATE(YEAR($I12),12,31)-$I12+1)/365*$D12,2),YEAR(K$2)-YEAR($I12)&gt;20,0)</f>
        <v>2502</v>
      </c>
      <c r="L12" s="48" cm="1">
        <f t="array" ref="L12">_xlfn.IFS(YEAR(L$2)&lt;YEAR($I12),0,YEAR(L$2)=YEAR($I12),ROUND(((L$2-$I12+1)/365)*$D12,2),AND(YEAR(L$2)&gt;YEAR($I12),YEAR(L$2)-YEAR($I12)&lt;20),$D12,YEAR(L$2)-YEAR($I12)=20,ROUND((DATE(YEAR($I12),12,31)-$I12+1)/365*$D12,2),YEAR(L$2)-YEAR($I12)&gt;20,0)</f>
        <v>2502</v>
      </c>
      <c r="M12" s="48" cm="1">
        <f t="array" ref="M12">_xlfn.IFS(YEAR(M$2)&lt;YEAR($I12),0,YEAR(M$2)=YEAR($I12),ROUND(((M$2-$I12+1)/365)*$D12,2),AND(YEAR(M$2)&gt;YEAR($I12),YEAR(M$2)-YEAR($I12)&lt;20),$D12,YEAR(M$2)-YEAR($I12)=20,ROUND((DATE(YEAR($I12),12,31)-$I12+1)/365*$D12,2),YEAR(M$2)-YEAR($I12)&gt;20,0)</f>
        <v>2502</v>
      </c>
      <c r="N12" s="48" cm="1">
        <f t="array" ref="N12">_xlfn.IFS(YEAR(N$2)&lt;YEAR($I12),0,YEAR(N$2)=YEAR($I12),ROUND(((N$2-$I12+1)/365)*$D12,2),AND(YEAR(N$2)&gt;YEAR($I12),YEAR(N$2)-YEAR($I12)&lt;20),$D12,YEAR(N$2)-YEAR($I12)=20,ROUND((DATE(YEAR($I12),12,31)-$I12+1)/365*$D12,2),YEAR(N$2)-YEAR($I12)&gt;20,0)</f>
        <v>2502</v>
      </c>
      <c r="O12" s="48" cm="1">
        <f t="array" ref="O12">_xlfn.IFS(YEAR(O$2)&lt;YEAR($I12),0,YEAR(O$2)=YEAR($I12),ROUND(((O$2-$I12+1)/365)*$D12,2),AND(YEAR(O$2)&gt;YEAR($I12),YEAR(O$2)-YEAR($I12)&lt;20),$D12,YEAR(O$2)-YEAR($I12)=20,ROUND((DATE(YEAR($I12),12,31)-$I12+1)/365*$D12,2),YEAR(O$2)-YEAR($I12)&gt;20,0)</f>
        <v>2502</v>
      </c>
      <c r="P12" s="48" cm="1">
        <f t="array" ref="P12">_xlfn.IFS(YEAR(P$2)&lt;YEAR($I12),0,YEAR(P$2)=YEAR($I12),ROUND(((P$2-$I12+1)/365)*$D12,2),AND(YEAR(P$2)&gt;YEAR($I12),YEAR(P$2)-YEAR($I12)&lt;20),$D12,YEAR(P$2)-YEAR($I12)=20,ROUND((DATE(YEAR($I12),12,31)-$I12+1)/365*$D12,2),YEAR(P$2)-YEAR($I12)&gt;20,0)</f>
        <v>2502</v>
      </c>
      <c r="Q12" s="48" cm="1">
        <f t="array" ref="Q12">_xlfn.IFS(YEAR(Q$2)&lt;YEAR($I12),0,YEAR(Q$2)=YEAR($I12),ROUND(((Q$2-$I12+1)/365)*$D12,2),AND(YEAR(Q$2)&gt;YEAR($I12),YEAR(Q$2)-YEAR($I12)&lt;20),$D12,YEAR(Q$2)-YEAR($I12)=20,ROUND((DATE(YEAR($I12),12,31)-$I12+1)/365*$D12,2),YEAR(Q$2)-YEAR($I12)&gt;20,0)</f>
        <v>2502</v>
      </c>
      <c r="R12" s="48" cm="1">
        <f t="array" ref="R12">_xlfn.IFS(YEAR(R$2)&lt;YEAR($I12),0,YEAR(R$2)=YEAR($I12),ROUND(((R$2-$I12+1)/365)*$D12,2),AND(YEAR(R$2)&gt;YEAR($I12),YEAR(R$2)-YEAR($I12)&lt;20),$D12,YEAR(R$2)-YEAR($I12)=20,ROUND((DATE(YEAR($I12),12,31)-$I12+1)/365*$D12,2),YEAR(R$2)-YEAR($I12)&gt;20,0)</f>
        <v>2502</v>
      </c>
      <c r="S12" s="48" cm="1">
        <f t="array" ref="S12">_xlfn.IFS(YEAR(S$2)&lt;YEAR($I12),0,YEAR(S$2)=YEAR($I12),ROUND(((S$2-$I12+1)/365)*$D12,2),AND(YEAR(S$2)&gt;YEAR($I12),YEAR(S$2)-YEAR($I12)&lt;20),$D12,YEAR(S$2)-YEAR($I12)=20,ROUND((DATE(YEAR($I12),12,31)-$I12+1)/365*$D12,2),YEAR(S$2)-YEAR($I12)&gt;20,0)</f>
        <v>2502</v>
      </c>
      <c r="T12" s="48" cm="1">
        <f t="array" ref="T12">_xlfn.IFS(YEAR(T$2)&lt;YEAR($I12),0,YEAR(T$2)=YEAR($I12),ROUND(((T$2-$I12+1)/365)*$D12,2),AND(YEAR(T$2)&gt;YEAR($I12),YEAR(T$2)-YEAR($I12)&lt;20),$D12,YEAR(T$2)-YEAR($I12)=20,ROUND((DATE(YEAR($I12),12,31)-$I12+1)/365*$D12,2),YEAR(T$2)-YEAR($I12)&gt;20,0)</f>
        <v>2502</v>
      </c>
      <c r="U12" s="48" cm="1">
        <f t="array" ref="U12">_xlfn.IFS(YEAR(U$2)&lt;YEAR($I12),0,YEAR(U$2)=YEAR($I12),ROUND(((U$2-$I12+1)/365)*$D12,2),AND(YEAR(U$2)&gt;YEAR($I12),YEAR(U$2)-YEAR($I12)&lt;20),$D12,YEAR(U$2)-YEAR($I12)=20,ROUND((DATE(YEAR($I12),12,31)-$I12+1)/365*$D12,2),YEAR(U$2)-YEAR($I12)&gt;20,0)</f>
        <v>2502</v>
      </c>
      <c r="V12" s="48" cm="1">
        <f t="array" ref="V12">_xlfn.IFS(YEAR(V$2)&lt;YEAR($I12),0,YEAR(V$2)=YEAR($I12),ROUND(((V$2-$I12+1)/365)*$D12,2),AND(YEAR(V$2)&gt;YEAR($I12),YEAR(V$2)-YEAR($I12)&lt;20),$D12,YEAR(V$2)-YEAR($I12)=20,ROUND((DATE(YEAR($I12),12,31)-$I12+1)/365*$D12,2),YEAR(V$2)-YEAR($I12)&gt;20,0)</f>
        <v>2502</v>
      </c>
      <c r="W12" s="48" cm="1">
        <f t="array" ref="W12">_xlfn.IFS(YEAR(W$2)&lt;YEAR($I12),0,YEAR(W$2)=YEAR($I12),ROUND(((W$2-$I12+1)/365)*$D12,2),AND(YEAR(W$2)&gt;YEAR($I12),YEAR(W$2)-YEAR($I12)&lt;20),$D12,YEAR(W$2)-YEAR($I12)=20,ROUND((DATE(YEAR($I12),12,31)-$I12+1)/365*$D12,2),YEAR(W$2)-YEAR($I12)&gt;20,0)</f>
        <v>2502</v>
      </c>
      <c r="X12" s="48" cm="1">
        <f t="array" ref="X12">_xlfn.IFS(YEAR(X$2)&lt;YEAR($I12),0,YEAR(X$2)=YEAR($I12),ROUND(((X$2-$I12+1)/365)*$D12,2),AND(YEAR(X$2)&gt;YEAR($I12),YEAR(X$2)-YEAR($I12)&lt;20),$D12,YEAR(X$2)-YEAR($I12)=20,ROUND((DATE(YEAR($I12),12,31)-$I12+1)/365*$D12,2),YEAR(X$2)-YEAR($I12)&gt;20,0)</f>
        <v>2502</v>
      </c>
      <c r="Y12" s="48" cm="1">
        <f t="array" ref="Y12">_xlfn.IFS(YEAR(Y$2)&lt;YEAR($I12),0,YEAR(Y$2)=YEAR($I12),ROUND(((Y$2-$I12+1)/365)*$D12,2),AND(YEAR(Y$2)&gt;YEAR($I12),YEAR(Y$2)-YEAR($I12)&lt;20),$D12,YEAR(Y$2)-YEAR($I12)=20,ROUND((DATE(YEAR($I12),12,31)-$I12+1)/365*$D12,2),YEAR(Y$2)-YEAR($I12)&gt;20,0)</f>
        <v>2502</v>
      </c>
      <c r="Z12" s="48" cm="1">
        <f t="array" ref="Z12">_xlfn.IFS(YEAR(Z$2)&lt;YEAR($I12),0,YEAR(Z$2)=YEAR($I12),ROUND(((Z$2-$I12+1)/365)*$D12,2),AND(YEAR(Z$2)&gt;YEAR($I12),YEAR(Z$2)-YEAR($I12)&lt;20),$D12,YEAR(Z$2)-YEAR($I12)=20,ROUND((DATE(YEAR($I12),12,31)-$I12+1)/365*$D12,2),YEAR(Z$2)-YEAR($I12)&gt;20,0)</f>
        <v>2502</v>
      </c>
      <c r="AA12" s="48" cm="1">
        <f t="array" ref="AA12">_xlfn.IFS(YEAR(AA$2)&lt;YEAR($I12),0,YEAR(AA$2)=YEAR($I12),ROUND(((AA$2-$I12+1)/365)*$D12,2),AND(YEAR(AA$2)&gt;YEAR($I12),YEAR(AA$2)-YEAR($I12)&lt;20),$D12,YEAR(AA$2)-YEAR($I12)=20,ROUND((DATE(YEAR($I12),12,31)-$I12+1)/365*$D12,2),YEAR(AA$2)-YEAR($I12)&gt;20,0)</f>
        <v>2502</v>
      </c>
      <c r="AB12" s="48" cm="1">
        <f t="array" ref="AB12">_xlfn.IFS(YEAR(AB$2)&lt;YEAR($I12),0,YEAR(AB$2)=YEAR($I12),ROUND(((AB$2-$I12+1)/365)*$D12,2),AND(YEAR(AB$2)&gt;YEAR($I12),YEAR(AB$2)-YEAR($I12)&lt;20),$D12,YEAR(AB$2)-YEAR($I12)=20,ROUND((DATE(YEAR($I12),12,31)-$I12+1)/365*$D12,2),YEAR(AB$2)-YEAR($I12)&gt;20,0)</f>
        <v>2502</v>
      </c>
      <c r="AC12" s="48" cm="1">
        <f t="array" ref="AC12">_xlfn.IFS(YEAR(AC$2)&lt;YEAR($I12),0,YEAR(AC$2)=YEAR($I12),ROUND(((AC$2-$I12+1)/365)*$D12,2),AND(YEAR(AC$2)&gt;YEAR($I12),YEAR(AC$2)-YEAR($I12)&lt;20),$D12,YEAR(AC$2)-YEAR($I12)=20,ROUND((DATE(YEAR($I12),12,31)-$I12+1)/365*$D12,2),YEAR(AC$2)-YEAR($I12)&gt;20,0)</f>
        <v>2502</v>
      </c>
      <c r="AD12" s="48" cm="1">
        <f t="array" ref="AD12">_xlfn.IFS(YEAR(AD$2)&lt;YEAR($I12),0,YEAR(AD$2)=YEAR($I12),ROUND(((AD$2-$I12+1)/365)*$D12,2),AND(YEAR(AD$2)&gt;YEAR($I12),YEAR(AD$2)-YEAR($I12)&lt;20),$D12,YEAR(AD$2)-YEAR($I12)=20,ROUND((DATE(YEAR($I12),12,31)-$I12+1)/365*$D12,2),YEAR(AD$2)-YEAR($I12)&gt;20,0)</f>
        <v>2097.5700000000002</v>
      </c>
      <c r="AE12" s="48" cm="1">
        <f t="array" ref="AE12">_xlfn.IFS(YEAR(AE$2)&lt;YEAR($I12),0,YEAR(AE$2)=YEAR($I12),ROUND(((AE$2-$I12+1)/365)*$D12,2),AND(YEAR(AE$2)&gt;YEAR($I12),YEAR(AE$2)-YEAR($I12)&lt;20),$D12,YEAR(AE$2)-YEAR($I12)=20,ROUND((DATE(YEAR($I12),12,31)-$I12+1)/365*$D12,2),YEAR(AE$2)-YEAR($I12)&gt;20,0)</f>
        <v>0</v>
      </c>
      <c r="AF12" s="48" cm="1">
        <f t="array" ref="AF12">_xlfn.IFS(YEAR(AF$2)&lt;YEAR($I12),0,YEAR(AF$2)=YEAR($I12),ROUND(((AF$2-$I12+1)/365)*$D12,2),AND(YEAR(AF$2)&gt;YEAR($I12),YEAR(AF$2)-YEAR($I12)&lt;20),$D12,YEAR(AF$2)-YEAR($I12)=20,ROUND((DATE(YEAR($I12),12,31)-$I12+1)/365*$D12,2),YEAR(AF$2)-YEAR($I12)&gt;20,0)</f>
        <v>0</v>
      </c>
      <c r="AG12" s="48" cm="1">
        <f t="array" ref="AG12">_xlfn.IFS(YEAR(AG$2)&lt;YEAR($I12),0,YEAR(AG$2)=YEAR($I12),ROUND(((AG$2-$I12+1)/365)*$D12,2),AND(YEAR(AG$2)&gt;YEAR($I12),YEAR(AG$2)-YEAR($I12)&lt;20),$D12,YEAR(AG$2)-YEAR($I12)=20,ROUND((DATE(YEAR($I12),12,31)-$I12+1)/365*$D12,2),YEAR(AG$2)-YEAR($I12)&gt;20,0)</f>
        <v>0</v>
      </c>
      <c r="AH12" s="48" cm="1">
        <f t="array" ref="AH12">_xlfn.IFS(YEAR(AH$2)&lt;YEAR($I12),0,YEAR(AH$2)=YEAR($I12),ROUND(((AH$2-$I12+1)/365)*$D12,2),AND(YEAR(AH$2)&gt;YEAR($I12),YEAR(AH$2)-YEAR($I12)&lt;20),$D12,YEAR(AH$2)-YEAR($I12)=20,ROUND((DATE(YEAR($I12),12,31)-$I12+1)/365*$D12,2),YEAR(AH$2)-YEAR($I12)&gt;20,0)</f>
        <v>0</v>
      </c>
      <c r="AI12" s="48" cm="1">
        <f t="array" ref="AI12">_xlfn.IFS(YEAR(AI$2)&lt;YEAR($I12),0,YEAR(AI$2)=YEAR($I12),ROUND(((AI$2-$I12+1)/365)*$D12,2),AND(YEAR(AI$2)&gt;YEAR($I12),YEAR(AI$2)-YEAR($I12)&lt;20),$D12,YEAR(AI$2)-YEAR($I12)=20,ROUND((DATE(YEAR($I12),12,31)-$I12+1)/365*$D12,2),YEAR(AI$2)-YEAR($I12)&gt;20,0)</f>
        <v>0</v>
      </c>
      <c r="AJ12" s="48" cm="1">
        <f t="array" ref="AJ12">_xlfn.IFS(YEAR(AJ$2)&lt;YEAR($I12),0,YEAR(AJ$2)=YEAR($I12),ROUND(((AJ$2-$I12+1)/365)*$D12,2),AND(YEAR(AJ$2)&gt;YEAR($I12),YEAR(AJ$2)-YEAR($I12)&lt;20),$D12,YEAR(AJ$2)-YEAR($I12)=20,ROUND((DATE(YEAR($I12),12,31)-$I12+1)/365*$D12,2),YEAR(AJ$2)-YEAR($I12)&gt;20,0)</f>
        <v>0</v>
      </c>
      <c r="AK12" s="48" cm="1">
        <f t="array" ref="AK12">_xlfn.IFS(YEAR(AK$2)&lt;YEAR($I12),0,YEAR(AK$2)=YEAR($I12),ROUND(((AK$2-$I12+1)/365)*$D12,2),AND(YEAR(AK$2)&gt;YEAR($I12),YEAR(AK$2)-YEAR($I12)&lt;20),$D12,YEAR(AK$2)-YEAR($I12)=20,ROUND((DATE(YEAR($I12),12,31)-$I12+1)/365*$D12,2),YEAR(AK$2)-YEAR($I12)&gt;20,0)</f>
        <v>0</v>
      </c>
      <c r="AL12" s="48" cm="1">
        <f t="array" ref="AL12">_xlfn.IFS(YEAR(AL$2)&lt;YEAR($I12),0,YEAR(AL$2)=YEAR($I12),ROUND(((AL$2-$I12+1)/365)*$D12,2),AND(YEAR(AL$2)&gt;YEAR($I12),YEAR(AL$2)-YEAR($I12)&lt;20),$D12,YEAR(AL$2)-YEAR($I12)=20,ROUND((DATE(YEAR($I12),12,31)-$I12+1)/365*$D12,2),YEAR(AL$2)-YEAR($I12)&gt;20,0)</f>
        <v>0</v>
      </c>
      <c r="AM12" s="48" cm="1">
        <f t="array" ref="AM12">_xlfn.IFS(YEAR(AM$2)&lt;YEAR($I12),0,YEAR(AM$2)=YEAR($I12),ROUND(((AM$2-$I12+1)/365)*$D12,2),AND(YEAR(AM$2)&gt;YEAR($I12),YEAR(AM$2)-YEAR($I12)&lt;20),$D12,YEAR(AM$2)-YEAR($I12)=20,ROUND((DATE(YEAR($I12),12,31)-$I12+1)/365*$D12,2),YEAR(AM$2)-YEAR($I12)&gt;20,0)</f>
        <v>0</v>
      </c>
      <c r="AO12" s="48">
        <v>2</v>
      </c>
      <c r="AP12" s="4" t="s">
        <v>13</v>
      </c>
      <c r="AQ12" s="48" t="s">
        <v>99</v>
      </c>
      <c r="AR12" s="48" cm="1">
        <f t="array" ref="AR12">ROUND(SUMIFS(J$3:J$100,$E$3:$E$100,$AQ12,$F$3:$F$100,$AO12,$A$3:$A$100,$AP12)/1000,2) + ROUND(SUMPRODUCT(('Unallocated Scenarios'!$A$20:$A$39=$AP12)*(AR$2&gt;'Unallocated Scenarios'!$G$20:$G$39)*('Unallocated Scenarios'!$B$20:$B$39=$AO12)*('Unallocated Scenarios'!$C$20:$C$39=$AQ12)*'Unallocated Scenarios'!$D$20:$D$39)/1000,2)</f>
        <v>0</v>
      </c>
      <c r="AS12" s="48" cm="1">
        <f t="array" ref="AS12">ROUND(SUMIFS(K$3:K$100,$E$3:$E$100,$AQ12,$F$3:$F$100,$AO12,$A$3:$A$100,$AP12)/1000,2) + ROUND(SUMPRODUCT(('Unallocated Scenarios'!$A$20:$A$39=$AP12)*(AS$2&gt;'Unallocated Scenarios'!$G$20:$G$39)*('Unallocated Scenarios'!$B$20:$B$39=$AO12)*('Unallocated Scenarios'!$C$20:$C$39=$AQ12)*'Unallocated Scenarios'!$D$20:$D$39)/1000,2)</f>
        <v>0</v>
      </c>
      <c r="AT12" s="48" cm="1">
        <f t="array" ref="AT12">ROUND(SUMIFS(L$3:L$100,$E$3:$E$100,$AQ12,$F$3:$F$100,$AO12,$A$3:$A$100,$AP12)/1000,2) + ROUND(SUMPRODUCT(('Unallocated Scenarios'!$A$20:$A$39=$AP12)*(AT$2&gt;'Unallocated Scenarios'!$G$20:$G$39)*('Unallocated Scenarios'!$B$20:$B$39=$AO12)*('Unallocated Scenarios'!$C$20:$C$39=$AQ12)*'Unallocated Scenarios'!$D$20:$D$39)/1000,2)</f>
        <v>0</v>
      </c>
      <c r="AU12" s="48" cm="1">
        <f t="array" ref="AU12">ROUND(SUMIFS(M$3:M$100,$E$3:$E$100,$AQ12,$F$3:$F$100,$AO12,$A$3:$A$100,$AP12)/1000,2) + ROUND(SUMPRODUCT(('Unallocated Scenarios'!$A$20:$A$39=$AP12)*(AU$2&gt;'Unallocated Scenarios'!$G$20:$G$39)*('Unallocated Scenarios'!$B$20:$B$39=$AO12)*('Unallocated Scenarios'!$C$20:$C$39=$AQ12)*'Unallocated Scenarios'!$D$20:$D$39)/1000,2)</f>
        <v>0</v>
      </c>
      <c r="AV12" s="48" cm="1">
        <f t="array" ref="AV12">ROUND(SUMIFS(N$3:N$100,$E$3:$E$100,$AQ12,$F$3:$F$100,$AO12,$A$3:$A$100,$AP12)/1000,2) + ROUND(SUMPRODUCT(('Unallocated Scenarios'!$A$20:$A$39=$AP12)*(AV$2&gt;'Unallocated Scenarios'!$G$20:$G$39)*('Unallocated Scenarios'!$B$20:$B$39=$AO12)*('Unallocated Scenarios'!$C$20:$C$39=$AQ12)*'Unallocated Scenarios'!$D$20:$D$39)/1000,2)</f>
        <v>0</v>
      </c>
      <c r="AW12" s="48" cm="1">
        <f t="array" ref="AW12">ROUND(SUMIFS(O$3:O$100,$E$3:$E$100,$AQ12,$F$3:$F$100,$AO12,$A$3:$A$100,$AP12)/1000,2) + ROUND(SUMPRODUCT(('Unallocated Scenarios'!$A$20:$A$39=$AP12)*(AW$2&gt;'Unallocated Scenarios'!$G$20:$G$39)*('Unallocated Scenarios'!$B$20:$B$39=$AO12)*('Unallocated Scenarios'!$C$20:$C$39=$AQ12)*'Unallocated Scenarios'!$D$20:$D$39)/1000,2)</f>
        <v>0</v>
      </c>
      <c r="AX12" s="48" cm="1">
        <f t="array" ref="AX12">ROUND(SUMIFS(P$3:P$100,$E$3:$E$100,$AQ12,$F$3:$F$100,$AO12,$A$3:$A$100,$AP12)/1000,2) + ROUND(SUMPRODUCT(('Unallocated Scenarios'!$A$20:$A$39=$AP12)*(AX$2&gt;'Unallocated Scenarios'!$G$20:$G$39)*('Unallocated Scenarios'!$B$20:$B$39=$AO12)*('Unallocated Scenarios'!$C$20:$C$39=$AQ12)*'Unallocated Scenarios'!$D$20:$D$39)/1000,2)</f>
        <v>0</v>
      </c>
      <c r="AY12" s="48" cm="1">
        <f t="array" ref="AY12">ROUND(SUMIFS(Q$3:Q$100,$E$3:$E$100,$AQ12,$F$3:$F$100,$AO12,$A$3:$A$100,$AP12)/1000,2) + ROUND(SUMPRODUCT(('Unallocated Scenarios'!$A$20:$A$39=$AP12)*(AY$2&gt;'Unallocated Scenarios'!$G$20:$G$39)*('Unallocated Scenarios'!$B$20:$B$39=$AO12)*('Unallocated Scenarios'!$C$20:$C$39=$AQ12)*'Unallocated Scenarios'!$D$20:$D$39)/1000,2)</f>
        <v>0</v>
      </c>
      <c r="AZ12" s="48" cm="1">
        <f t="array" ref="AZ12">ROUND(SUMIFS(R$3:R$100,$E$3:$E$100,$AQ12,$F$3:$F$100,$AO12,$A$3:$A$100,$AP12)/1000,2) + ROUND(SUMPRODUCT(('Unallocated Scenarios'!$A$20:$A$39=$AP12)*(AZ$2&gt;'Unallocated Scenarios'!$G$20:$G$39)*('Unallocated Scenarios'!$B$20:$B$39=$AO12)*('Unallocated Scenarios'!$C$20:$C$39=$AQ12)*'Unallocated Scenarios'!$D$20:$D$39)/1000,2)</f>
        <v>0</v>
      </c>
      <c r="BA12" s="48" cm="1">
        <f t="array" ref="BA12">ROUND(SUMIFS(S$3:S$100,$E$3:$E$100,$AQ12,$F$3:$F$100,$AO12,$A$3:$A$100,$AP12)/1000,2) + ROUND(SUMPRODUCT(('Unallocated Scenarios'!$A$20:$A$39=$AP12)*(BA$2&gt;'Unallocated Scenarios'!$G$20:$G$39)*('Unallocated Scenarios'!$B$20:$B$39=$AO12)*('Unallocated Scenarios'!$C$20:$C$39=$AQ12)*'Unallocated Scenarios'!$D$20:$D$39)/1000,2)</f>
        <v>0</v>
      </c>
      <c r="BB12" s="48" cm="1">
        <f t="array" ref="BB12">ROUND(SUMIFS(T$3:T$100,$E$3:$E$100,$AQ12,$F$3:$F$100,$AO12,$A$3:$A$100,$AP12)/1000,2) + ROUND(SUMPRODUCT(('Unallocated Scenarios'!$A$20:$A$39=$AP12)*(BB$2&gt;'Unallocated Scenarios'!$G$20:$G$39)*('Unallocated Scenarios'!$B$20:$B$39=$AO12)*('Unallocated Scenarios'!$C$20:$C$39=$AQ12)*'Unallocated Scenarios'!$D$20:$D$39)/1000,2)</f>
        <v>0</v>
      </c>
      <c r="BC12" s="48" cm="1">
        <f t="array" ref="BC12">ROUND(SUMIFS(U$3:U$100,$E$3:$E$100,$AQ12,$F$3:$F$100,$AO12,$A$3:$A$100,$AP12)/1000,2) + ROUND(SUMPRODUCT(('Unallocated Scenarios'!$A$20:$A$39=$AP12)*(BC$2&gt;'Unallocated Scenarios'!$G$20:$G$39)*('Unallocated Scenarios'!$B$20:$B$39=$AO12)*('Unallocated Scenarios'!$C$20:$C$39=$AQ12)*'Unallocated Scenarios'!$D$20:$D$39)/1000,2)</f>
        <v>0</v>
      </c>
      <c r="BD12" s="48" cm="1">
        <f t="array" ref="BD12">ROUND(SUMIFS(V$3:V$100,$E$3:$E$100,$AQ12,$F$3:$F$100,$AO12,$A$3:$A$100,$AP12)/1000,2) + ROUND(SUMPRODUCT(('Unallocated Scenarios'!$A$20:$A$39=$AP12)*(BD$2&gt;'Unallocated Scenarios'!$G$20:$G$39)*('Unallocated Scenarios'!$B$20:$B$39=$AO12)*('Unallocated Scenarios'!$C$20:$C$39=$AQ12)*'Unallocated Scenarios'!$D$20:$D$39)/1000,2)</f>
        <v>0</v>
      </c>
      <c r="BE12" s="48" cm="1">
        <f t="array" ref="BE12">ROUND(SUMIFS(W$3:W$100,$E$3:$E$100,$AQ12,$F$3:$F$100,$AO12,$A$3:$A$100,$AP12)/1000,2) + ROUND(SUMPRODUCT(('Unallocated Scenarios'!$A$20:$A$39=$AP12)*(BE$2&gt;'Unallocated Scenarios'!$G$20:$G$39)*('Unallocated Scenarios'!$B$20:$B$39=$AO12)*('Unallocated Scenarios'!$C$20:$C$39=$AQ12)*'Unallocated Scenarios'!$D$20:$D$39)/1000,2)</f>
        <v>0</v>
      </c>
      <c r="BF12" s="48" cm="1">
        <f t="array" ref="BF12">ROUND(SUMIFS(X$3:X$100,$E$3:$E$100,$AQ12,$F$3:$F$100,$AO12,$A$3:$A$100,$AP12)/1000,2) + ROUND(SUMPRODUCT(('Unallocated Scenarios'!$A$20:$A$39=$AP12)*(BF$2&gt;'Unallocated Scenarios'!$G$20:$G$39)*('Unallocated Scenarios'!$B$20:$B$39=$AO12)*('Unallocated Scenarios'!$C$20:$C$39=$AQ12)*'Unallocated Scenarios'!$D$20:$D$39)/1000,2)</f>
        <v>0</v>
      </c>
      <c r="BG12" s="48" cm="1">
        <f t="array" ref="BG12">ROUND(SUMIFS(Y$3:Y$100,$E$3:$E$100,$AQ12,$F$3:$F$100,$AO12,$A$3:$A$100,$AP12)/1000,2) + ROUND(SUMPRODUCT(('Unallocated Scenarios'!$A$20:$A$39=$AP12)*(BG$2&gt;'Unallocated Scenarios'!$G$20:$G$39)*('Unallocated Scenarios'!$B$20:$B$39=$AO12)*('Unallocated Scenarios'!$C$20:$C$39=$AQ12)*'Unallocated Scenarios'!$D$20:$D$39)/1000,2)</f>
        <v>0</v>
      </c>
      <c r="BH12" s="48" cm="1">
        <f t="array" ref="BH12">ROUND(SUMIFS(Z$3:Z$100,$E$3:$E$100,$AQ12,$F$3:$F$100,$AO12,$A$3:$A$100,$AP12)/1000,2) + ROUND(SUMPRODUCT(('Unallocated Scenarios'!$A$20:$A$39=$AP12)*(BH$2&gt;'Unallocated Scenarios'!$G$20:$G$39)*('Unallocated Scenarios'!$B$20:$B$39=$AO12)*('Unallocated Scenarios'!$C$20:$C$39=$AQ12)*'Unallocated Scenarios'!$D$20:$D$39)/1000,2)</f>
        <v>0</v>
      </c>
      <c r="BI12" s="48" cm="1">
        <f t="array" ref="BI12">ROUND(SUMIFS(AA$3:AA$100,$E$3:$E$100,$AQ12,$F$3:$F$100,$AO12,$A$3:$A$100,$AP12)/1000,2) + ROUND(SUMPRODUCT(('Unallocated Scenarios'!$A$20:$A$39=$AP12)*(BI$2&gt;'Unallocated Scenarios'!$G$20:$G$39)*('Unallocated Scenarios'!$B$20:$B$39=$AO12)*('Unallocated Scenarios'!$C$20:$C$39=$AQ12)*'Unallocated Scenarios'!$D$20:$D$39)/1000,2)</f>
        <v>0</v>
      </c>
      <c r="BJ12" s="48" cm="1">
        <f t="array" ref="BJ12">ROUND(SUMIFS(AB$3:AB$100,$E$3:$E$100,$AQ12,$F$3:$F$100,$AO12,$A$3:$A$100,$AP12)/1000,2) + ROUND(SUMPRODUCT(('Unallocated Scenarios'!$A$20:$A$39=$AP12)*(BJ$2&gt;'Unallocated Scenarios'!$G$20:$G$39)*('Unallocated Scenarios'!$B$20:$B$39=$AO12)*('Unallocated Scenarios'!$C$20:$C$39=$AQ12)*'Unallocated Scenarios'!$D$20:$D$39)/1000,2)</f>
        <v>0</v>
      </c>
      <c r="BK12" s="48" cm="1">
        <f t="array" ref="BK12">ROUND(SUMIFS(AC$3:AC$100,$E$3:$E$100,$AQ12,$F$3:$F$100,$AO12,$A$3:$A$100,$AP12)/1000,2) + ROUND(SUMPRODUCT(('Unallocated Scenarios'!$A$20:$A$39=$AP12)*(BK$2&gt;'Unallocated Scenarios'!$G$20:$G$39)*('Unallocated Scenarios'!$B$20:$B$39=$AO12)*('Unallocated Scenarios'!$C$20:$C$39=$AQ12)*'Unallocated Scenarios'!$D$20:$D$39)/1000,2)</f>
        <v>0</v>
      </c>
      <c r="BL12" s="48" cm="1">
        <f t="array" ref="BL12">ROUND(SUMIFS(AD$3:AD$100,$E$3:$E$100,$AQ12,$F$3:$F$100,$AO12,$A$3:$A$100,$AP12)/1000,2) + ROUND(SUMPRODUCT(('Unallocated Scenarios'!$A$20:$A$39=$AP12)*(BL$2&gt;'Unallocated Scenarios'!$G$20:$G$39)*('Unallocated Scenarios'!$B$20:$B$39=$AO12)*('Unallocated Scenarios'!$C$20:$C$39=$AQ12)*'Unallocated Scenarios'!$D$20:$D$39)/1000,2)</f>
        <v>0</v>
      </c>
      <c r="BM12" s="48" cm="1">
        <f t="array" ref="BM12">ROUND(SUMIFS(AE$3:AE$100,$E$3:$E$100,$AQ12,$F$3:$F$100,$AO12,$A$3:$A$100,$AP12)/1000,2) + ROUND(SUMPRODUCT(('Unallocated Scenarios'!$A$20:$A$39=$AP12)*(BM$2&gt;'Unallocated Scenarios'!$G$20:$G$39)*('Unallocated Scenarios'!$B$20:$B$39=$AO12)*('Unallocated Scenarios'!$C$20:$C$39=$AQ12)*'Unallocated Scenarios'!$D$20:$D$39)/1000,2)</f>
        <v>0</v>
      </c>
      <c r="BN12" s="48" cm="1">
        <f t="array" ref="BN12">ROUND(SUMIFS(AF$3:AF$100,$E$3:$E$100,$AQ12,$F$3:$F$100,$AO12,$A$3:$A$100,$AP12)/1000,2) + ROUND(SUMPRODUCT(('Unallocated Scenarios'!$A$20:$A$39=$AP12)*(BN$2&gt;'Unallocated Scenarios'!$G$20:$G$39)*('Unallocated Scenarios'!$B$20:$B$39=$AO12)*('Unallocated Scenarios'!$C$20:$C$39=$AQ12)*'Unallocated Scenarios'!$D$20:$D$39)/1000,2)</f>
        <v>0</v>
      </c>
      <c r="BO12" s="48" cm="1">
        <f t="array" ref="BO12">ROUND(SUMIFS(AG$3:AG$100,$E$3:$E$100,$AQ12,$F$3:$F$100,$AO12,$A$3:$A$100,$AP12)/1000,2) + ROUND(SUMPRODUCT(('Unallocated Scenarios'!$A$20:$A$39=$AP12)*(BO$2&gt;'Unallocated Scenarios'!$G$20:$G$39)*('Unallocated Scenarios'!$B$20:$B$39=$AO12)*('Unallocated Scenarios'!$C$20:$C$39=$AQ12)*'Unallocated Scenarios'!$D$20:$D$39)/1000,2)</f>
        <v>0</v>
      </c>
      <c r="BP12" s="48" cm="1">
        <f t="array" ref="BP12">ROUND(SUMIFS(AH$3:AH$100,$E$3:$E$100,$AQ12,$F$3:$F$100,$AO12,$A$3:$A$100,$AP12)/1000,2) + ROUND(SUMPRODUCT(('Unallocated Scenarios'!$A$20:$A$39=$AP12)*(BP$2&gt;'Unallocated Scenarios'!$G$20:$G$39)*('Unallocated Scenarios'!$B$20:$B$39=$AO12)*('Unallocated Scenarios'!$C$20:$C$39=$AQ12)*'Unallocated Scenarios'!$D$20:$D$39)/1000,2)</f>
        <v>0</v>
      </c>
      <c r="BQ12" s="48" cm="1">
        <f t="array" ref="BQ12">ROUND(SUMIFS(AI$3:AI$100,$E$3:$E$100,$AQ12,$F$3:$F$100,$AO12,$A$3:$A$100,$AP12)/1000,2) + ROUND(SUMPRODUCT(('Unallocated Scenarios'!$A$20:$A$39=$AP12)*(BQ$2&gt;'Unallocated Scenarios'!$G$20:$G$39)*('Unallocated Scenarios'!$B$20:$B$39=$AO12)*('Unallocated Scenarios'!$C$20:$C$39=$AQ12)*'Unallocated Scenarios'!$D$20:$D$39)/1000,2)</f>
        <v>0</v>
      </c>
      <c r="BR12" s="48" cm="1">
        <f t="array" ref="BR12">ROUND(SUMIFS(AJ$3:AJ$100,$E$3:$E$100,$AQ12,$F$3:$F$100,$AO12,$A$3:$A$100,$AP12)/1000,2) + ROUND(SUMPRODUCT(('Unallocated Scenarios'!$A$20:$A$39=$AP12)*(BR$2&gt;'Unallocated Scenarios'!$G$20:$G$39)*('Unallocated Scenarios'!$B$20:$B$39=$AO12)*('Unallocated Scenarios'!$C$20:$C$39=$AQ12)*'Unallocated Scenarios'!$D$20:$D$39)/1000,2)</f>
        <v>0</v>
      </c>
      <c r="BS12" s="48" cm="1">
        <f t="array" ref="BS12">ROUND(SUMIFS(AK$3:AK$100,$E$3:$E$100,$AQ12,$F$3:$F$100,$AO12,$A$3:$A$100,$AP12)/1000,2) + ROUND(SUMPRODUCT(('Unallocated Scenarios'!$A$20:$A$39=$AP12)*(BS$2&gt;'Unallocated Scenarios'!$G$20:$G$39)*('Unallocated Scenarios'!$B$20:$B$39=$AO12)*('Unallocated Scenarios'!$C$20:$C$39=$AQ12)*'Unallocated Scenarios'!$D$20:$D$39)/1000,2)</f>
        <v>0</v>
      </c>
      <c r="BT12" s="48" cm="1">
        <f t="array" ref="BT12">ROUND(SUMIFS(AL$3:AL$100,$E$3:$E$100,$AQ12,$F$3:$F$100,$AO12,$A$3:$A$100,$AP12)/1000,2) + ROUND(SUMPRODUCT(('Unallocated Scenarios'!$A$20:$A$39=$AP12)*(BT$2&gt;'Unallocated Scenarios'!$G$20:$G$39)*('Unallocated Scenarios'!$B$20:$B$39=$AO12)*('Unallocated Scenarios'!$C$20:$C$39=$AQ12)*'Unallocated Scenarios'!$D$20:$D$39)/1000,2)</f>
        <v>0</v>
      </c>
      <c r="BU12" s="48" cm="1">
        <f t="array" ref="BU12">ROUND(SUMIFS(AM$3:AM$100,$E$3:$E$100,$AQ12,$F$3:$F$100,$AO12,$A$3:$A$100,$AP12)/1000,2) + ROUND(SUMPRODUCT(('Unallocated Scenarios'!$A$20:$A$39=$AP12)*(BU$2&gt;'Unallocated Scenarios'!$G$20:$G$39)*('Unallocated Scenarios'!$B$20:$B$39=$AO12)*('Unallocated Scenarios'!$C$20:$C$39=$AQ12)*'Unallocated Scenarios'!$D$20:$D$39)/1000,2)</f>
        <v>0</v>
      </c>
    </row>
    <row r="13" spans="1:73">
      <c r="A13" s="155" t="str" cm="1">
        <f t="array" ref="A13">_xlfn.IFS(LEFT(C13,3)="PGE","PGE",LEFT(C13,2)="PP","PAC",TRUE,"IP")</f>
        <v>PAC</v>
      </c>
      <c r="B13" s="155" t="str">
        <f>IF(ISNA(MATCH(C13,'Monthly Report July 2025'!E:E,0)),"Missing","Present")</f>
        <v>Present</v>
      </c>
      <c r="C13" s="155" t="s">
        <v>119</v>
      </c>
      <c r="D13" s="176" cm="1">
        <f t="array" ref="D13">INDEX('Monthly Report July 2025'!L:L,MATCH(C13,'Monthly Report July 2025'!E:E,0),0)</f>
        <v>129.6</v>
      </c>
      <c r="E13" s="176" t="str" cm="1">
        <f t="array" ref="E13">IF(INDEX('PA Fees by Project'!K:K,MATCH(C13,'PA Fees by Project'!E:E,0),0)="No","Non-Carve Out", "Carve Out")</f>
        <v>Carve Out</v>
      </c>
      <c r="F13" s="176" cm="1">
        <f t="array" ref="F13">INDEX('PA Fees by Project'!J:J,MATCH(C13,'PA Fees by Project'!E:E,0),0)</f>
        <v>1</v>
      </c>
      <c r="G13" s="155" t="str" cm="1">
        <f t="array" ref="G13">INDEX('PA Fees by Project'!G:G,MATCH(C13,'PA Fees by Project'!E:E,0),0)</f>
        <v>Operational</v>
      </c>
      <c r="H13" s="175" cm="1">
        <f t="array" ref="H13">INDEX('PA Fees by Project'!Q:Q,MATCH(C13,'PA Fees by Project'!E:E,0),0)</f>
        <v>44634</v>
      </c>
      <c r="I13" s="156" cm="1">
        <f t="array" ref="I13">_xlfn.IFS(G13="Operational",H13,G13="Certified",EDATE(INDEX('PA Fees by Project'!R:R,MATCH(C13,'PA Fees by Project'!E:E,0),0),6),TRUE,EDATE(INDEX('PA Fees by Project'!O:O,MATCH(C13,'PA Fees by Project'!E:E,0),0),6))</f>
        <v>44634</v>
      </c>
      <c r="J13" s="48" cm="1">
        <f t="array" ref="J13">_xlfn.IFS(YEAR(J$2)&lt;YEAR($I13),0,YEAR(J$2)=YEAR($I13),ROUND(((J$2-$I13+1)/365)*$D13,2),AND(YEAR(J$2)&gt;YEAR($I13),YEAR(J$2)-YEAR($I13)&lt;20),$D13,YEAR(J$2)-YEAR($I13)=20,ROUND((DATE(YEAR($I13),12,31)-$I13+1)/365*$D13,2),YEAR(J$2)-YEAR($I13)&gt;20,0)</f>
        <v>0</v>
      </c>
      <c r="K13" s="48" cm="1">
        <f t="array" ref="K13">_xlfn.IFS(YEAR(K$2)&lt;YEAR($I13),0,YEAR(K$2)=YEAR($I13),ROUND(((K$2-$I13+1)/365)*$D13,2),AND(YEAR(K$2)&gt;YEAR($I13),YEAR(K$2)-YEAR($I13)&lt;20),$D13,YEAR(K$2)-YEAR($I13)=20,ROUND((DATE(YEAR($I13),12,31)-$I13+1)/365*$D13,2),YEAR(K$2)-YEAR($I13)&gt;20,0)</f>
        <v>104.04</v>
      </c>
      <c r="L13" s="48" cm="1">
        <f t="array" ref="L13">_xlfn.IFS(YEAR(L$2)&lt;YEAR($I13),0,YEAR(L$2)=YEAR($I13),ROUND(((L$2-$I13+1)/365)*$D13,2),AND(YEAR(L$2)&gt;YEAR($I13),YEAR(L$2)-YEAR($I13)&lt;20),$D13,YEAR(L$2)-YEAR($I13)=20,ROUND((DATE(YEAR($I13),12,31)-$I13+1)/365*$D13,2),YEAR(L$2)-YEAR($I13)&gt;20,0)</f>
        <v>129.6</v>
      </c>
      <c r="M13" s="48" cm="1">
        <f t="array" ref="M13">_xlfn.IFS(YEAR(M$2)&lt;YEAR($I13),0,YEAR(M$2)=YEAR($I13),ROUND(((M$2-$I13+1)/365)*$D13,2),AND(YEAR(M$2)&gt;YEAR($I13),YEAR(M$2)-YEAR($I13)&lt;20),$D13,YEAR(M$2)-YEAR($I13)=20,ROUND((DATE(YEAR($I13),12,31)-$I13+1)/365*$D13,2),YEAR(M$2)-YEAR($I13)&gt;20,0)</f>
        <v>129.6</v>
      </c>
      <c r="N13" s="48" cm="1">
        <f t="array" ref="N13">_xlfn.IFS(YEAR(N$2)&lt;YEAR($I13),0,YEAR(N$2)=YEAR($I13),ROUND(((N$2-$I13+1)/365)*$D13,2),AND(YEAR(N$2)&gt;YEAR($I13),YEAR(N$2)-YEAR($I13)&lt;20),$D13,YEAR(N$2)-YEAR($I13)=20,ROUND((DATE(YEAR($I13),12,31)-$I13+1)/365*$D13,2),YEAR(N$2)-YEAR($I13)&gt;20,0)</f>
        <v>129.6</v>
      </c>
      <c r="O13" s="48" cm="1">
        <f t="array" ref="O13">_xlfn.IFS(YEAR(O$2)&lt;YEAR($I13),0,YEAR(O$2)=YEAR($I13),ROUND(((O$2-$I13+1)/365)*$D13,2),AND(YEAR(O$2)&gt;YEAR($I13),YEAR(O$2)-YEAR($I13)&lt;20),$D13,YEAR(O$2)-YEAR($I13)=20,ROUND((DATE(YEAR($I13),12,31)-$I13+1)/365*$D13,2),YEAR(O$2)-YEAR($I13)&gt;20,0)</f>
        <v>129.6</v>
      </c>
      <c r="P13" s="48" cm="1">
        <f t="array" ref="P13">_xlfn.IFS(YEAR(P$2)&lt;YEAR($I13),0,YEAR(P$2)=YEAR($I13),ROUND(((P$2-$I13+1)/365)*$D13,2),AND(YEAR(P$2)&gt;YEAR($I13),YEAR(P$2)-YEAR($I13)&lt;20),$D13,YEAR(P$2)-YEAR($I13)=20,ROUND((DATE(YEAR($I13),12,31)-$I13+1)/365*$D13,2),YEAR(P$2)-YEAR($I13)&gt;20,0)</f>
        <v>129.6</v>
      </c>
      <c r="Q13" s="48" cm="1">
        <f t="array" ref="Q13">_xlfn.IFS(YEAR(Q$2)&lt;YEAR($I13),0,YEAR(Q$2)=YEAR($I13),ROUND(((Q$2-$I13+1)/365)*$D13,2),AND(YEAR(Q$2)&gt;YEAR($I13),YEAR(Q$2)-YEAR($I13)&lt;20),$D13,YEAR(Q$2)-YEAR($I13)=20,ROUND((DATE(YEAR($I13),12,31)-$I13+1)/365*$D13,2),YEAR(Q$2)-YEAR($I13)&gt;20,0)</f>
        <v>129.6</v>
      </c>
      <c r="R13" s="48" cm="1">
        <f t="array" ref="R13">_xlfn.IFS(YEAR(R$2)&lt;YEAR($I13),0,YEAR(R$2)=YEAR($I13),ROUND(((R$2-$I13+1)/365)*$D13,2),AND(YEAR(R$2)&gt;YEAR($I13),YEAR(R$2)-YEAR($I13)&lt;20),$D13,YEAR(R$2)-YEAR($I13)=20,ROUND((DATE(YEAR($I13),12,31)-$I13+1)/365*$D13,2),YEAR(R$2)-YEAR($I13)&gt;20,0)</f>
        <v>129.6</v>
      </c>
      <c r="S13" s="48" cm="1">
        <f t="array" ref="S13">_xlfn.IFS(YEAR(S$2)&lt;YEAR($I13),0,YEAR(S$2)=YEAR($I13),ROUND(((S$2-$I13+1)/365)*$D13,2),AND(YEAR(S$2)&gt;YEAR($I13),YEAR(S$2)-YEAR($I13)&lt;20),$D13,YEAR(S$2)-YEAR($I13)=20,ROUND((DATE(YEAR($I13),12,31)-$I13+1)/365*$D13,2),YEAR(S$2)-YEAR($I13)&gt;20,0)</f>
        <v>129.6</v>
      </c>
      <c r="T13" s="48" cm="1">
        <f t="array" ref="T13">_xlfn.IFS(YEAR(T$2)&lt;YEAR($I13),0,YEAR(T$2)=YEAR($I13),ROUND(((T$2-$I13+1)/365)*$D13,2),AND(YEAR(T$2)&gt;YEAR($I13),YEAR(T$2)-YEAR($I13)&lt;20),$D13,YEAR(T$2)-YEAR($I13)=20,ROUND((DATE(YEAR($I13),12,31)-$I13+1)/365*$D13,2),YEAR(T$2)-YEAR($I13)&gt;20,0)</f>
        <v>129.6</v>
      </c>
      <c r="U13" s="48" cm="1">
        <f t="array" ref="U13">_xlfn.IFS(YEAR(U$2)&lt;YEAR($I13),0,YEAR(U$2)=YEAR($I13),ROUND(((U$2-$I13+1)/365)*$D13,2),AND(YEAR(U$2)&gt;YEAR($I13),YEAR(U$2)-YEAR($I13)&lt;20),$D13,YEAR(U$2)-YEAR($I13)=20,ROUND((DATE(YEAR($I13),12,31)-$I13+1)/365*$D13,2),YEAR(U$2)-YEAR($I13)&gt;20,0)</f>
        <v>129.6</v>
      </c>
      <c r="V13" s="48" cm="1">
        <f t="array" ref="V13">_xlfn.IFS(YEAR(V$2)&lt;YEAR($I13),0,YEAR(V$2)=YEAR($I13),ROUND(((V$2-$I13+1)/365)*$D13,2),AND(YEAR(V$2)&gt;YEAR($I13),YEAR(V$2)-YEAR($I13)&lt;20),$D13,YEAR(V$2)-YEAR($I13)=20,ROUND((DATE(YEAR($I13),12,31)-$I13+1)/365*$D13,2),YEAR(V$2)-YEAR($I13)&gt;20,0)</f>
        <v>129.6</v>
      </c>
      <c r="W13" s="48" cm="1">
        <f t="array" ref="W13">_xlfn.IFS(YEAR(W$2)&lt;YEAR($I13),0,YEAR(W$2)=YEAR($I13),ROUND(((W$2-$I13+1)/365)*$D13,2),AND(YEAR(W$2)&gt;YEAR($I13),YEAR(W$2)-YEAR($I13)&lt;20),$D13,YEAR(W$2)-YEAR($I13)=20,ROUND((DATE(YEAR($I13),12,31)-$I13+1)/365*$D13,2),YEAR(W$2)-YEAR($I13)&gt;20,0)</f>
        <v>129.6</v>
      </c>
      <c r="X13" s="48" cm="1">
        <f t="array" ref="X13">_xlfn.IFS(YEAR(X$2)&lt;YEAR($I13),0,YEAR(X$2)=YEAR($I13),ROUND(((X$2-$I13+1)/365)*$D13,2),AND(YEAR(X$2)&gt;YEAR($I13),YEAR(X$2)-YEAR($I13)&lt;20),$D13,YEAR(X$2)-YEAR($I13)=20,ROUND((DATE(YEAR($I13),12,31)-$I13+1)/365*$D13,2),YEAR(X$2)-YEAR($I13)&gt;20,0)</f>
        <v>129.6</v>
      </c>
      <c r="Y13" s="48" cm="1">
        <f t="array" ref="Y13">_xlfn.IFS(YEAR(Y$2)&lt;YEAR($I13),0,YEAR(Y$2)=YEAR($I13),ROUND(((Y$2-$I13+1)/365)*$D13,2),AND(YEAR(Y$2)&gt;YEAR($I13),YEAR(Y$2)-YEAR($I13)&lt;20),$D13,YEAR(Y$2)-YEAR($I13)=20,ROUND((DATE(YEAR($I13),12,31)-$I13+1)/365*$D13,2),YEAR(Y$2)-YEAR($I13)&gt;20,0)</f>
        <v>129.6</v>
      </c>
      <c r="Z13" s="48" cm="1">
        <f t="array" ref="Z13">_xlfn.IFS(YEAR(Z$2)&lt;YEAR($I13),0,YEAR(Z$2)=YEAR($I13),ROUND(((Z$2-$I13+1)/365)*$D13,2),AND(YEAR(Z$2)&gt;YEAR($I13),YEAR(Z$2)-YEAR($I13)&lt;20),$D13,YEAR(Z$2)-YEAR($I13)=20,ROUND((DATE(YEAR($I13),12,31)-$I13+1)/365*$D13,2),YEAR(Z$2)-YEAR($I13)&gt;20,0)</f>
        <v>129.6</v>
      </c>
      <c r="AA13" s="48" cm="1">
        <f t="array" ref="AA13">_xlfn.IFS(YEAR(AA$2)&lt;YEAR($I13),0,YEAR(AA$2)=YEAR($I13),ROUND(((AA$2-$I13+1)/365)*$D13,2),AND(YEAR(AA$2)&gt;YEAR($I13),YEAR(AA$2)-YEAR($I13)&lt;20),$D13,YEAR(AA$2)-YEAR($I13)=20,ROUND((DATE(YEAR($I13),12,31)-$I13+1)/365*$D13,2),YEAR(AA$2)-YEAR($I13)&gt;20,0)</f>
        <v>129.6</v>
      </c>
      <c r="AB13" s="48" cm="1">
        <f t="array" ref="AB13">_xlfn.IFS(YEAR(AB$2)&lt;YEAR($I13),0,YEAR(AB$2)=YEAR($I13),ROUND(((AB$2-$I13+1)/365)*$D13,2),AND(YEAR(AB$2)&gt;YEAR($I13),YEAR(AB$2)-YEAR($I13)&lt;20),$D13,YEAR(AB$2)-YEAR($I13)=20,ROUND((DATE(YEAR($I13),12,31)-$I13+1)/365*$D13,2),YEAR(AB$2)-YEAR($I13)&gt;20,0)</f>
        <v>129.6</v>
      </c>
      <c r="AC13" s="48" cm="1">
        <f t="array" ref="AC13">_xlfn.IFS(YEAR(AC$2)&lt;YEAR($I13),0,YEAR(AC$2)=YEAR($I13),ROUND(((AC$2-$I13+1)/365)*$D13,2),AND(YEAR(AC$2)&gt;YEAR($I13),YEAR(AC$2)-YEAR($I13)&lt;20),$D13,YEAR(AC$2)-YEAR($I13)=20,ROUND((DATE(YEAR($I13),12,31)-$I13+1)/365*$D13,2),YEAR(AC$2)-YEAR($I13)&gt;20,0)</f>
        <v>129.6</v>
      </c>
      <c r="AD13" s="48" cm="1">
        <f t="array" ref="AD13">_xlfn.IFS(YEAR(AD$2)&lt;YEAR($I13),0,YEAR(AD$2)=YEAR($I13),ROUND(((AD$2-$I13+1)/365)*$D13,2),AND(YEAR(AD$2)&gt;YEAR($I13),YEAR(AD$2)-YEAR($I13)&lt;20),$D13,YEAR(AD$2)-YEAR($I13)=20,ROUND((DATE(YEAR($I13),12,31)-$I13+1)/365*$D13,2),YEAR(AD$2)-YEAR($I13)&gt;20,0)</f>
        <v>129.6</v>
      </c>
      <c r="AE13" s="48" cm="1">
        <f t="array" ref="AE13">_xlfn.IFS(YEAR(AE$2)&lt;YEAR($I13),0,YEAR(AE$2)=YEAR($I13),ROUND(((AE$2-$I13+1)/365)*$D13,2),AND(YEAR(AE$2)&gt;YEAR($I13),YEAR(AE$2)-YEAR($I13)&lt;20),$D13,YEAR(AE$2)-YEAR($I13)=20,ROUND((DATE(YEAR($I13),12,31)-$I13+1)/365*$D13,2),YEAR(AE$2)-YEAR($I13)&gt;20,0)</f>
        <v>104.04</v>
      </c>
      <c r="AF13" s="48" cm="1">
        <f t="array" ref="AF13">_xlfn.IFS(YEAR(AF$2)&lt;YEAR($I13),0,YEAR(AF$2)=YEAR($I13),ROUND(((AF$2-$I13+1)/365)*$D13,2),AND(YEAR(AF$2)&gt;YEAR($I13),YEAR(AF$2)-YEAR($I13)&lt;20),$D13,YEAR(AF$2)-YEAR($I13)=20,ROUND((DATE(YEAR($I13),12,31)-$I13+1)/365*$D13,2),YEAR(AF$2)-YEAR($I13)&gt;20,0)</f>
        <v>0</v>
      </c>
      <c r="AG13" s="48" cm="1">
        <f t="array" ref="AG13">_xlfn.IFS(YEAR(AG$2)&lt;YEAR($I13),0,YEAR(AG$2)=YEAR($I13),ROUND(((AG$2-$I13+1)/365)*$D13,2),AND(YEAR(AG$2)&gt;YEAR($I13),YEAR(AG$2)-YEAR($I13)&lt;20),$D13,YEAR(AG$2)-YEAR($I13)=20,ROUND((DATE(YEAR($I13),12,31)-$I13+1)/365*$D13,2),YEAR(AG$2)-YEAR($I13)&gt;20,0)</f>
        <v>0</v>
      </c>
      <c r="AH13" s="48" cm="1">
        <f t="array" ref="AH13">_xlfn.IFS(YEAR(AH$2)&lt;YEAR($I13),0,YEAR(AH$2)=YEAR($I13),ROUND(((AH$2-$I13+1)/365)*$D13,2),AND(YEAR(AH$2)&gt;YEAR($I13),YEAR(AH$2)-YEAR($I13)&lt;20),$D13,YEAR(AH$2)-YEAR($I13)=20,ROUND((DATE(YEAR($I13),12,31)-$I13+1)/365*$D13,2),YEAR(AH$2)-YEAR($I13)&gt;20,0)</f>
        <v>0</v>
      </c>
      <c r="AI13" s="48" cm="1">
        <f t="array" ref="AI13">_xlfn.IFS(YEAR(AI$2)&lt;YEAR($I13),0,YEAR(AI$2)=YEAR($I13),ROUND(((AI$2-$I13+1)/365)*$D13,2),AND(YEAR(AI$2)&gt;YEAR($I13),YEAR(AI$2)-YEAR($I13)&lt;20),$D13,YEAR(AI$2)-YEAR($I13)=20,ROUND((DATE(YEAR($I13),12,31)-$I13+1)/365*$D13,2),YEAR(AI$2)-YEAR($I13)&gt;20,0)</f>
        <v>0</v>
      </c>
      <c r="AJ13" s="48" cm="1">
        <f t="array" ref="AJ13">_xlfn.IFS(YEAR(AJ$2)&lt;YEAR($I13),0,YEAR(AJ$2)=YEAR($I13),ROUND(((AJ$2-$I13+1)/365)*$D13,2),AND(YEAR(AJ$2)&gt;YEAR($I13),YEAR(AJ$2)-YEAR($I13)&lt;20),$D13,YEAR(AJ$2)-YEAR($I13)=20,ROUND((DATE(YEAR($I13),12,31)-$I13+1)/365*$D13,2),YEAR(AJ$2)-YEAR($I13)&gt;20,0)</f>
        <v>0</v>
      </c>
      <c r="AK13" s="48" cm="1">
        <f t="array" ref="AK13">_xlfn.IFS(YEAR(AK$2)&lt;YEAR($I13),0,YEAR(AK$2)=YEAR($I13),ROUND(((AK$2-$I13+1)/365)*$D13,2),AND(YEAR(AK$2)&gt;YEAR($I13),YEAR(AK$2)-YEAR($I13)&lt;20),$D13,YEAR(AK$2)-YEAR($I13)=20,ROUND((DATE(YEAR($I13),12,31)-$I13+1)/365*$D13,2),YEAR(AK$2)-YEAR($I13)&gt;20,0)</f>
        <v>0</v>
      </c>
      <c r="AL13" s="48" cm="1">
        <f t="array" ref="AL13">_xlfn.IFS(YEAR(AL$2)&lt;YEAR($I13),0,YEAR(AL$2)=YEAR($I13),ROUND(((AL$2-$I13+1)/365)*$D13,2),AND(YEAR(AL$2)&gt;YEAR($I13),YEAR(AL$2)-YEAR($I13)&lt;20),$D13,YEAR(AL$2)-YEAR($I13)=20,ROUND((DATE(YEAR($I13),12,31)-$I13+1)/365*$D13,2),YEAR(AL$2)-YEAR($I13)&gt;20,0)</f>
        <v>0</v>
      </c>
      <c r="AM13" s="48" cm="1">
        <f t="array" ref="AM13">_xlfn.IFS(YEAR(AM$2)&lt;YEAR($I13),0,YEAR(AM$2)=YEAR($I13),ROUND(((AM$2-$I13+1)/365)*$D13,2),AND(YEAR(AM$2)&gt;YEAR($I13),YEAR(AM$2)-YEAR($I13)&lt;20),$D13,YEAR(AM$2)-YEAR($I13)=20,ROUND((DATE(YEAR($I13),12,31)-$I13+1)/365*$D13,2),YEAR(AM$2)-YEAR($I13)&gt;20,0)</f>
        <v>0</v>
      </c>
      <c r="AP13" s="5"/>
      <c r="AR13">
        <f t="shared" ref="AR13:BU13" si="0">SUM(AR3:AR12)</f>
        <v>5.95</v>
      </c>
      <c r="AS13">
        <f t="shared" si="0"/>
        <v>10.179999999999998</v>
      </c>
      <c r="AT13">
        <f t="shared" si="0"/>
        <v>27.929999999999996</v>
      </c>
      <c r="AU13">
        <f t="shared" si="0"/>
        <v>38.93</v>
      </c>
      <c r="AV13">
        <f t="shared" si="0"/>
        <v>82.47</v>
      </c>
      <c r="AW13">
        <f t="shared" si="0"/>
        <v>111.75999999999999</v>
      </c>
      <c r="AX13">
        <f t="shared" si="0"/>
        <v>139.6</v>
      </c>
      <c r="AY13">
        <f t="shared" si="0"/>
        <v>177.02000000000004</v>
      </c>
      <c r="AZ13">
        <f t="shared" si="0"/>
        <v>211.02999999999997</v>
      </c>
      <c r="BA13">
        <f t="shared" si="0"/>
        <v>211.02999999999997</v>
      </c>
      <c r="BB13">
        <f t="shared" si="0"/>
        <v>211.02999999999997</v>
      </c>
      <c r="BC13">
        <f t="shared" si="0"/>
        <v>211.02999999999997</v>
      </c>
      <c r="BD13">
        <f t="shared" si="0"/>
        <v>211.02999999999997</v>
      </c>
      <c r="BE13">
        <f t="shared" si="0"/>
        <v>211.02999999999997</v>
      </c>
      <c r="BF13">
        <f t="shared" si="0"/>
        <v>211.02999999999997</v>
      </c>
      <c r="BG13">
        <f t="shared" si="0"/>
        <v>211.02999999999997</v>
      </c>
      <c r="BH13">
        <f t="shared" si="0"/>
        <v>211.02999999999997</v>
      </c>
      <c r="BI13">
        <f t="shared" si="0"/>
        <v>211.02999999999997</v>
      </c>
      <c r="BJ13">
        <f t="shared" si="0"/>
        <v>211.02999999999997</v>
      </c>
      <c r="BK13">
        <f t="shared" si="0"/>
        <v>211.02999999999997</v>
      </c>
      <c r="BL13">
        <f t="shared" si="0"/>
        <v>207.93</v>
      </c>
      <c r="BM13">
        <f t="shared" si="0"/>
        <v>186.98000000000002</v>
      </c>
      <c r="BN13">
        <f t="shared" si="0"/>
        <v>184.63</v>
      </c>
      <c r="BO13">
        <f t="shared" si="0"/>
        <v>157.87</v>
      </c>
      <c r="BP13">
        <f t="shared" si="0"/>
        <v>135</v>
      </c>
      <c r="BQ13">
        <f t="shared" si="0"/>
        <v>97.93</v>
      </c>
      <c r="BR13">
        <f t="shared" si="0"/>
        <v>78.309999999999988</v>
      </c>
      <c r="BS13">
        <f t="shared" si="0"/>
        <v>68.02</v>
      </c>
      <c r="BT13">
        <f t="shared" si="0"/>
        <v>68.02</v>
      </c>
      <c r="BU13">
        <f t="shared" si="0"/>
        <v>68.02</v>
      </c>
    </row>
    <row r="14" spans="1:73">
      <c r="A14" s="155" t="str" cm="1">
        <f t="array" ref="A14">_xlfn.IFS(LEFT(C14,3)="PGE","PGE",LEFT(C14,2)="PP","PAC",TRUE,"IP")</f>
        <v>PGE</v>
      </c>
      <c r="B14" s="155" t="str">
        <f>IF(ISNA(MATCH(C14,'Monthly Report July 2025'!E:E,0)),"Missing","Present")</f>
        <v>Present</v>
      </c>
      <c r="C14" s="155" t="s">
        <v>120</v>
      </c>
      <c r="D14" s="176" cm="1">
        <f t="array" ref="D14">INDEX('Monthly Report July 2025'!L:L,MATCH(C14,'Monthly Report July 2025'!E:E,0),0)</f>
        <v>2200</v>
      </c>
      <c r="E14" s="176" t="str" cm="1">
        <f t="array" ref="E14">IF(INDEX('PA Fees by Project'!K:K,MATCH(C14,'PA Fees by Project'!E:E,0),0)="No","Non-Carve Out", "Carve Out")</f>
        <v>Non-Carve Out</v>
      </c>
      <c r="F14" s="176" cm="1">
        <f t="array" ref="F14">INDEX('PA Fees by Project'!J:J,MATCH(C14,'PA Fees by Project'!E:E,0),0)</f>
        <v>1</v>
      </c>
      <c r="G14" s="155" t="str" cm="1">
        <f t="array" ref="G14">INDEX('PA Fees by Project'!G:G,MATCH(C14,'PA Fees by Project'!E:E,0),0)</f>
        <v>Operational</v>
      </c>
      <c r="H14" s="175" cm="1">
        <f t="array" ref="H14">INDEX('PA Fees by Project'!Q:Q,MATCH(C14,'PA Fees by Project'!E:E,0),0)</f>
        <v>44488</v>
      </c>
      <c r="I14" s="156" cm="1">
        <f t="array" ref="I14">_xlfn.IFS(G14="Operational",H14,G14="Certified",EDATE(INDEX('PA Fees by Project'!R:R,MATCH(C14,'PA Fees by Project'!E:E,0),0),6),TRUE,EDATE(INDEX('PA Fees by Project'!O:O,MATCH(C14,'PA Fees by Project'!E:E,0),0),6))</f>
        <v>44488</v>
      </c>
      <c r="J14" s="48" cm="1">
        <f t="array" ref="J14">_xlfn.IFS(YEAR(J$2)&lt;YEAR($I14),0,YEAR(J$2)=YEAR($I14),ROUND(((J$2-$I14+1)/365)*$D14,2),AND(YEAR(J$2)&gt;YEAR($I14),YEAR(J$2)-YEAR($I14)&lt;20),$D14,YEAR(J$2)-YEAR($I14)=20,ROUND((DATE(YEAR($I14),12,31)-$I14+1)/365*$D14,2),YEAR(J$2)-YEAR($I14)&gt;20,0)</f>
        <v>446.03</v>
      </c>
      <c r="K14" s="48" cm="1">
        <f t="array" ref="K14">_xlfn.IFS(YEAR(K$2)&lt;YEAR($I14),0,YEAR(K$2)=YEAR($I14),ROUND(((K$2-$I14+1)/365)*$D14,2),AND(YEAR(K$2)&gt;YEAR($I14),YEAR(K$2)-YEAR($I14)&lt;20),$D14,YEAR(K$2)-YEAR($I14)=20,ROUND((DATE(YEAR($I14),12,31)-$I14+1)/365*$D14,2),YEAR(K$2)-YEAR($I14)&gt;20,0)</f>
        <v>2200</v>
      </c>
      <c r="L14" s="48" cm="1">
        <f t="array" ref="L14">_xlfn.IFS(YEAR(L$2)&lt;YEAR($I14),0,YEAR(L$2)=YEAR($I14),ROUND(((L$2-$I14+1)/365)*$D14,2),AND(YEAR(L$2)&gt;YEAR($I14),YEAR(L$2)-YEAR($I14)&lt;20),$D14,YEAR(L$2)-YEAR($I14)=20,ROUND((DATE(YEAR($I14),12,31)-$I14+1)/365*$D14,2),YEAR(L$2)-YEAR($I14)&gt;20,0)</f>
        <v>2200</v>
      </c>
      <c r="M14" s="48" cm="1">
        <f t="array" ref="M14">_xlfn.IFS(YEAR(M$2)&lt;YEAR($I14),0,YEAR(M$2)=YEAR($I14),ROUND(((M$2-$I14+1)/365)*$D14,2),AND(YEAR(M$2)&gt;YEAR($I14),YEAR(M$2)-YEAR($I14)&lt;20),$D14,YEAR(M$2)-YEAR($I14)=20,ROUND((DATE(YEAR($I14),12,31)-$I14+1)/365*$D14,2),YEAR(M$2)-YEAR($I14)&gt;20,0)</f>
        <v>2200</v>
      </c>
      <c r="N14" s="48" cm="1">
        <f t="array" ref="N14">_xlfn.IFS(YEAR(N$2)&lt;YEAR($I14),0,YEAR(N$2)=YEAR($I14),ROUND(((N$2-$I14+1)/365)*$D14,2),AND(YEAR(N$2)&gt;YEAR($I14),YEAR(N$2)-YEAR($I14)&lt;20),$D14,YEAR(N$2)-YEAR($I14)=20,ROUND((DATE(YEAR($I14),12,31)-$I14+1)/365*$D14,2),YEAR(N$2)-YEAR($I14)&gt;20,0)</f>
        <v>2200</v>
      </c>
      <c r="O14" s="48" cm="1">
        <f t="array" ref="O14">_xlfn.IFS(YEAR(O$2)&lt;YEAR($I14),0,YEAR(O$2)=YEAR($I14),ROUND(((O$2-$I14+1)/365)*$D14,2),AND(YEAR(O$2)&gt;YEAR($I14),YEAR(O$2)-YEAR($I14)&lt;20),$D14,YEAR(O$2)-YEAR($I14)=20,ROUND((DATE(YEAR($I14),12,31)-$I14+1)/365*$D14,2),YEAR(O$2)-YEAR($I14)&gt;20,0)</f>
        <v>2200</v>
      </c>
      <c r="P14" s="48" cm="1">
        <f t="array" ref="P14">_xlfn.IFS(YEAR(P$2)&lt;YEAR($I14),0,YEAR(P$2)=YEAR($I14),ROUND(((P$2-$I14+1)/365)*$D14,2),AND(YEAR(P$2)&gt;YEAR($I14),YEAR(P$2)-YEAR($I14)&lt;20),$D14,YEAR(P$2)-YEAR($I14)=20,ROUND((DATE(YEAR($I14),12,31)-$I14+1)/365*$D14,2),YEAR(P$2)-YEAR($I14)&gt;20,0)</f>
        <v>2200</v>
      </c>
      <c r="Q14" s="48" cm="1">
        <f t="array" ref="Q14">_xlfn.IFS(YEAR(Q$2)&lt;YEAR($I14),0,YEAR(Q$2)=YEAR($I14),ROUND(((Q$2-$I14+1)/365)*$D14,2),AND(YEAR(Q$2)&gt;YEAR($I14),YEAR(Q$2)-YEAR($I14)&lt;20),$D14,YEAR(Q$2)-YEAR($I14)=20,ROUND((DATE(YEAR($I14),12,31)-$I14+1)/365*$D14,2),YEAR(Q$2)-YEAR($I14)&gt;20,0)</f>
        <v>2200</v>
      </c>
      <c r="R14" s="48" cm="1">
        <f t="array" ref="R14">_xlfn.IFS(YEAR(R$2)&lt;YEAR($I14),0,YEAR(R$2)=YEAR($I14),ROUND(((R$2-$I14+1)/365)*$D14,2),AND(YEAR(R$2)&gt;YEAR($I14),YEAR(R$2)-YEAR($I14)&lt;20),$D14,YEAR(R$2)-YEAR($I14)=20,ROUND((DATE(YEAR($I14),12,31)-$I14+1)/365*$D14,2),YEAR(R$2)-YEAR($I14)&gt;20,0)</f>
        <v>2200</v>
      </c>
      <c r="S14" s="48" cm="1">
        <f t="array" ref="S14">_xlfn.IFS(YEAR(S$2)&lt;YEAR($I14),0,YEAR(S$2)=YEAR($I14),ROUND(((S$2-$I14+1)/365)*$D14,2),AND(YEAR(S$2)&gt;YEAR($I14),YEAR(S$2)-YEAR($I14)&lt;20),$D14,YEAR(S$2)-YEAR($I14)=20,ROUND((DATE(YEAR($I14),12,31)-$I14+1)/365*$D14,2),YEAR(S$2)-YEAR($I14)&gt;20,0)</f>
        <v>2200</v>
      </c>
      <c r="T14" s="48" cm="1">
        <f t="array" ref="T14">_xlfn.IFS(YEAR(T$2)&lt;YEAR($I14),0,YEAR(T$2)=YEAR($I14),ROUND(((T$2-$I14+1)/365)*$D14,2),AND(YEAR(T$2)&gt;YEAR($I14),YEAR(T$2)-YEAR($I14)&lt;20),$D14,YEAR(T$2)-YEAR($I14)=20,ROUND((DATE(YEAR($I14),12,31)-$I14+1)/365*$D14,2),YEAR(T$2)-YEAR($I14)&gt;20,0)</f>
        <v>2200</v>
      </c>
      <c r="U14" s="48" cm="1">
        <f t="array" ref="U14">_xlfn.IFS(YEAR(U$2)&lt;YEAR($I14),0,YEAR(U$2)=YEAR($I14),ROUND(((U$2-$I14+1)/365)*$D14,2),AND(YEAR(U$2)&gt;YEAR($I14),YEAR(U$2)-YEAR($I14)&lt;20),$D14,YEAR(U$2)-YEAR($I14)=20,ROUND((DATE(YEAR($I14),12,31)-$I14+1)/365*$D14,2),YEAR(U$2)-YEAR($I14)&gt;20,0)</f>
        <v>2200</v>
      </c>
      <c r="V14" s="48" cm="1">
        <f t="array" ref="V14">_xlfn.IFS(YEAR(V$2)&lt;YEAR($I14),0,YEAR(V$2)=YEAR($I14),ROUND(((V$2-$I14+1)/365)*$D14,2),AND(YEAR(V$2)&gt;YEAR($I14),YEAR(V$2)-YEAR($I14)&lt;20),$D14,YEAR(V$2)-YEAR($I14)=20,ROUND((DATE(YEAR($I14),12,31)-$I14+1)/365*$D14,2),YEAR(V$2)-YEAR($I14)&gt;20,0)</f>
        <v>2200</v>
      </c>
      <c r="W14" s="48" cm="1">
        <f t="array" ref="W14">_xlfn.IFS(YEAR(W$2)&lt;YEAR($I14),0,YEAR(W$2)=YEAR($I14),ROUND(((W$2-$I14+1)/365)*$D14,2),AND(YEAR(W$2)&gt;YEAR($I14),YEAR(W$2)-YEAR($I14)&lt;20),$D14,YEAR(W$2)-YEAR($I14)=20,ROUND((DATE(YEAR($I14),12,31)-$I14+1)/365*$D14,2),YEAR(W$2)-YEAR($I14)&gt;20,0)</f>
        <v>2200</v>
      </c>
      <c r="X14" s="48" cm="1">
        <f t="array" ref="X14">_xlfn.IFS(YEAR(X$2)&lt;YEAR($I14),0,YEAR(X$2)=YEAR($I14),ROUND(((X$2-$I14+1)/365)*$D14,2),AND(YEAR(X$2)&gt;YEAR($I14),YEAR(X$2)-YEAR($I14)&lt;20),$D14,YEAR(X$2)-YEAR($I14)=20,ROUND((DATE(YEAR($I14),12,31)-$I14+1)/365*$D14,2),YEAR(X$2)-YEAR($I14)&gt;20,0)</f>
        <v>2200</v>
      </c>
      <c r="Y14" s="48" cm="1">
        <f t="array" ref="Y14">_xlfn.IFS(YEAR(Y$2)&lt;YEAR($I14),0,YEAR(Y$2)=YEAR($I14),ROUND(((Y$2-$I14+1)/365)*$D14,2),AND(YEAR(Y$2)&gt;YEAR($I14),YEAR(Y$2)-YEAR($I14)&lt;20),$D14,YEAR(Y$2)-YEAR($I14)=20,ROUND((DATE(YEAR($I14),12,31)-$I14+1)/365*$D14,2),YEAR(Y$2)-YEAR($I14)&gt;20,0)</f>
        <v>2200</v>
      </c>
      <c r="Z14" s="48" cm="1">
        <f t="array" ref="Z14">_xlfn.IFS(YEAR(Z$2)&lt;YEAR($I14),0,YEAR(Z$2)=YEAR($I14),ROUND(((Z$2-$I14+1)/365)*$D14,2),AND(YEAR(Z$2)&gt;YEAR($I14),YEAR(Z$2)-YEAR($I14)&lt;20),$D14,YEAR(Z$2)-YEAR($I14)=20,ROUND((DATE(YEAR($I14),12,31)-$I14+1)/365*$D14,2),YEAR(Z$2)-YEAR($I14)&gt;20,0)</f>
        <v>2200</v>
      </c>
      <c r="AA14" s="48" cm="1">
        <f t="array" ref="AA14">_xlfn.IFS(YEAR(AA$2)&lt;YEAR($I14),0,YEAR(AA$2)=YEAR($I14),ROUND(((AA$2-$I14+1)/365)*$D14,2),AND(YEAR(AA$2)&gt;YEAR($I14),YEAR(AA$2)-YEAR($I14)&lt;20),$D14,YEAR(AA$2)-YEAR($I14)=20,ROUND((DATE(YEAR($I14),12,31)-$I14+1)/365*$D14,2),YEAR(AA$2)-YEAR($I14)&gt;20,0)</f>
        <v>2200</v>
      </c>
      <c r="AB14" s="48" cm="1">
        <f t="array" ref="AB14">_xlfn.IFS(YEAR(AB$2)&lt;YEAR($I14),0,YEAR(AB$2)=YEAR($I14),ROUND(((AB$2-$I14+1)/365)*$D14,2),AND(YEAR(AB$2)&gt;YEAR($I14),YEAR(AB$2)-YEAR($I14)&lt;20),$D14,YEAR(AB$2)-YEAR($I14)=20,ROUND((DATE(YEAR($I14),12,31)-$I14+1)/365*$D14,2),YEAR(AB$2)-YEAR($I14)&gt;20,0)</f>
        <v>2200</v>
      </c>
      <c r="AC14" s="48" cm="1">
        <f t="array" ref="AC14">_xlfn.IFS(YEAR(AC$2)&lt;YEAR($I14),0,YEAR(AC$2)=YEAR($I14),ROUND(((AC$2-$I14+1)/365)*$D14,2),AND(YEAR(AC$2)&gt;YEAR($I14),YEAR(AC$2)-YEAR($I14)&lt;20),$D14,YEAR(AC$2)-YEAR($I14)=20,ROUND((DATE(YEAR($I14),12,31)-$I14+1)/365*$D14,2),YEAR(AC$2)-YEAR($I14)&gt;20,0)</f>
        <v>2200</v>
      </c>
      <c r="AD14" s="48" cm="1">
        <f t="array" ref="AD14">_xlfn.IFS(YEAR(AD$2)&lt;YEAR($I14),0,YEAR(AD$2)=YEAR($I14),ROUND(((AD$2-$I14+1)/365)*$D14,2),AND(YEAR(AD$2)&gt;YEAR($I14),YEAR(AD$2)-YEAR($I14)&lt;20),$D14,YEAR(AD$2)-YEAR($I14)=20,ROUND((DATE(YEAR($I14),12,31)-$I14+1)/365*$D14,2),YEAR(AD$2)-YEAR($I14)&gt;20,0)</f>
        <v>446.03</v>
      </c>
      <c r="AE14" s="48" cm="1">
        <f t="array" ref="AE14">_xlfn.IFS(YEAR(AE$2)&lt;YEAR($I14),0,YEAR(AE$2)=YEAR($I14),ROUND(((AE$2-$I14+1)/365)*$D14,2),AND(YEAR(AE$2)&gt;YEAR($I14),YEAR(AE$2)-YEAR($I14)&lt;20),$D14,YEAR(AE$2)-YEAR($I14)=20,ROUND((DATE(YEAR($I14),12,31)-$I14+1)/365*$D14,2),YEAR(AE$2)-YEAR($I14)&gt;20,0)</f>
        <v>0</v>
      </c>
      <c r="AF14" s="48" cm="1">
        <f t="array" ref="AF14">_xlfn.IFS(YEAR(AF$2)&lt;YEAR($I14),0,YEAR(AF$2)=YEAR($I14),ROUND(((AF$2-$I14+1)/365)*$D14,2),AND(YEAR(AF$2)&gt;YEAR($I14),YEAR(AF$2)-YEAR($I14)&lt;20),$D14,YEAR(AF$2)-YEAR($I14)=20,ROUND((DATE(YEAR($I14),12,31)-$I14+1)/365*$D14,2),YEAR(AF$2)-YEAR($I14)&gt;20,0)</f>
        <v>0</v>
      </c>
      <c r="AG14" s="48" cm="1">
        <f t="array" ref="AG14">_xlfn.IFS(YEAR(AG$2)&lt;YEAR($I14),0,YEAR(AG$2)=YEAR($I14),ROUND(((AG$2-$I14+1)/365)*$D14,2),AND(YEAR(AG$2)&gt;YEAR($I14),YEAR(AG$2)-YEAR($I14)&lt;20),$D14,YEAR(AG$2)-YEAR($I14)=20,ROUND((DATE(YEAR($I14),12,31)-$I14+1)/365*$D14,2),YEAR(AG$2)-YEAR($I14)&gt;20,0)</f>
        <v>0</v>
      </c>
      <c r="AH14" s="48" cm="1">
        <f t="array" ref="AH14">_xlfn.IFS(YEAR(AH$2)&lt;YEAR($I14),0,YEAR(AH$2)=YEAR($I14),ROUND(((AH$2-$I14+1)/365)*$D14,2),AND(YEAR(AH$2)&gt;YEAR($I14),YEAR(AH$2)-YEAR($I14)&lt;20),$D14,YEAR(AH$2)-YEAR($I14)=20,ROUND((DATE(YEAR($I14),12,31)-$I14+1)/365*$D14,2),YEAR(AH$2)-YEAR($I14)&gt;20,0)</f>
        <v>0</v>
      </c>
      <c r="AI14" s="48" cm="1">
        <f t="array" ref="AI14">_xlfn.IFS(YEAR(AI$2)&lt;YEAR($I14),0,YEAR(AI$2)=YEAR($I14),ROUND(((AI$2-$I14+1)/365)*$D14,2),AND(YEAR(AI$2)&gt;YEAR($I14),YEAR(AI$2)-YEAR($I14)&lt;20),$D14,YEAR(AI$2)-YEAR($I14)=20,ROUND((DATE(YEAR($I14),12,31)-$I14+1)/365*$D14,2),YEAR(AI$2)-YEAR($I14)&gt;20,0)</f>
        <v>0</v>
      </c>
      <c r="AJ14" s="48" cm="1">
        <f t="array" ref="AJ14">_xlfn.IFS(YEAR(AJ$2)&lt;YEAR($I14),0,YEAR(AJ$2)=YEAR($I14),ROUND(((AJ$2-$I14+1)/365)*$D14,2),AND(YEAR(AJ$2)&gt;YEAR($I14),YEAR(AJ$2)-YEAR($I14)&lt;20),$D14,YEAR(AJ$2)-YEAR($I14)=20,ROUND((DATE(YEAR($I14),12,31)-$I14+1)/365*$D14,2),YEAR(AJ$2)-YEAR($I14)&gt;20,0)</f>
        <v>0</v>
      </c>
      <c r="AK14" s="48" cm="1">
        <f t="array" ref="AK14">_xlfn.IFS(YEAR(AK$2)&lt;YEAR($I14),0,YEAR(AK$2)=YEAR($I14),ROUND(((AK$2-$I14+1)/365)*$D14,2),AND(YEAR(AK$2)&gt;YEAR($I14),YEAR(AK$2)-YEAR($I14)&lt;20),$D14,YEAR(AK$2)-YEAR($I14)=20,ROUND((DATE(YEAR($I14),12,31)-$I14+1)/365*$D14,2),YEAR(AK$2)-YEAR($I14)&gt;20,0)</f>
        <v>0</v>
      </c>
      <c r="AL14" s="48" cm="1">
        <f t="array" ref="AL14">_xlfn.IFS(YEAR(AL$2)&lt;YEAR($I14),0,YEAR(AL$2)=YEAR($I14),ROUND(((AL$2-$I14+1)/365)*$D14,2),AND(YEAR(AL$2)&gt;YEAR($I14),YEAR(AL$2)-YEAR($I14)&lt;20),$D14,YEAR(AL$2)-YEAR($I14)=20,ROUND((DATE(YEAR($I14),12,31)-$I14+1)/365*$D14,2),YEAR(AL$2)-YEAR($I14)&gt;20,0)</f>
        <v>0</v>
      </c>
      <c r="AM14" s="48" cm="1">
        <f t="array" ref="AM14">_xlfn.IFS(YEAR(AM$2)&lt;YEAR($I14),0,YEAR(AM$2)=YEAR($I14),ROUND(((AM$2-$I14+1)/365)*$D14,2),AND(YEAR(AM$2)&gt;YEAR($I14),YEAR(AM$2)-YEAR($I14)&lt;20),$D14,YEAR(AM$2)-YEAR($I14)=20,ROUND((DATE(YEAR($I14),12,31)-$I14+1)/365*$D14,2),YEAR(AM$2)-YEAR($I14)&gt;20,0)</f>
        <v>0</v>
      </c>
    </row>
    <row r="15" spans="1:73">
      <c r="A15" s="155" t="str" cm="1">
        <f t="array" ref="A15">_xlfn.IFS(LEFT(C15,3)="PGE","PGE",LEFT(C15,2)="PP","PAC",TRUE,"IP")</f>
        <v>PGE</v>
      </c>
      <c r="B15" s="155" t="str">
        <f>IF(ISNA(MATCH(C15,'Monthly Report July 2025'!E:E,0)),"Missing","Present")</f>
        <v>Present</v>
      </c>
      <c r="C15" s="155" t="s">
        <v>121</v>
      </c>
      <c r="D15" s="176" cm="1">
        <f t="array" ref="D15">INDEX('Monthly Report July 2025'!L:L,MATCH(C15,'Monthly Report July 2025'!E:E,0),0)</f>
        <v>1998</v>
      </c>
      <c r="E15" s="176" t="str" cm="1">
        <f t="array" ref="E15">IF(INDEX('PA Fees by Project'!K:K,MATCH(C15,'PA Fees by Project'!E:E,0),0)="No","Non-Carve Out", "Carve Out")</f>
        <v>Non-Carve Out</v>
      </c>
      <c r="F15" s="176" cm="1">
        <f t="array" ref="F15">INDEX('PA Fees by Project'!J:J,MATCH(C15,'PA Fees by Project'!E:E,0),0)</f>
        <v>2</v>
      </c>
      <c r="G15" s="155" t="str" cm="1">
        <f t="array" ref="G15">INDEX('PA Fees by Project'!G:G,MATCH(C15,'PA Fees by Project'!E:E,0),0)</f>
        <v>Operational</v>
      </c>
      <c r="H15" s="175" cm="1">
        <f t="array" ref="H15">INDEX('PA Fees by Project'!Q:Q,MATCH(C15,'PA Fees by Project'!E:E,0),0)</f>
        <v>44958</v>
      </c>
      <c r="I15" s="156" cm="1">
        <f t="array" ref="I15">_xlfn.IFS(G15="Operational",H15,G15="Certified",EDATE(INDEX('PA Fees by Project'!R:R,MATCH(C15,'PA Fees by Project'!E:E,0),0),6),TRUE,EDATE(INDEX('PA Fees by Project'!O:O,MATCH(C15,'PA Fees by Project'!E:E,0),0),6))</f>
        <v>44958</v>
      </c>
      <c r="J15" s="48" cm="1">
        <f t="array" ref="J15">_xlfn.IFS(YEAR(J$2)&lt;YEAR($I15),0,YEAR(J$2)=YEAR($I15),ROUND(((J$2-$I15+1)/365)*$D15,2),AND(YEAR(J$2)&gt;YEAR($I15),YEAR(J$2)-YEAR($I15)&lt;20),$D15,YEAR(J$2)-YEAR($I15)=20,ROUND((DATE(YEAR($I15),12,31)-$I15+1)/365*$D15,2),YEAR(J$2)-YEAR($I15)&gt;20,0)</f>
        <v>0</v>
      </c>
      <c r="K15" s="48" cm="1">
        <f t="array" ref="K15">_xlfn.IFS(YEAR(K$2)&lt;YEAR($I15),0,YEAR(K$2)=YEAR($I15),ROUND(((K$2-$I15+1)/365)*$D15,2),AND(YEAR(K$2)&gt;YEAR($I15),YEAR(K$2)-YEAR($I15)&lt;20),$D15,YEAR(K$2)-YEAR($I15)=20,ROUND((DATE(YEAR($I15),12,31)-$I15+1)/365*$D15,2),YEAR(K$2)-YEAR($I15)&gt;20,0)</f>
        <v>0</v>
      </c>
      <c r="L15" s="48" cm="1">
        <f t="array" ref="L15">_xlfn.IFS(YEAR(L$2)&lt;YEAR($I15),0,YEAR(L$2)=YEAR($I15),ROUND(((L$2-$I15+1)/365)*$D15,2),AND(YEAR(L$2)&gt;YEAR($I15),YEAR(L$2)-YEAR($I15)&lt;20),$D15,YEAR(L$2)-YEAR($I15)=20,ROUND((DATE(YEAR($I15),12,31)-$I15+1)/365*$D15,2),YEAR(L$2)-YEAR($I15)&gt;20,0)</f>
        <v>1828.31</v>
      </c>
      <c r="M15" s="48" cm="1">
        <f t="array" ref="M15">_xlfn.IFS(YEAR(M$2)&lt;YEAR($I15),0,YEAR(M$2)=YEAR($I15),ROUND(((M$2-$I15+1)/365)*$D15,2),AND(YEAR(M$2)&gt;YEAR($I15),YEAR(M$2)-YEAR($I15)&lt;20),$D15,YEAR(M$2)-YEAR($I15)=20,ROUND((DATE(YEAR($I15),12,31)-$I15+1)/365*$D15,2),YEAR(M$2)-YEAR($I15)&gt;20,0)</f>
        <v>1998</v>
      </c>
      <c r="N15" s="48" cm="1">
        <f t="array" ref="N15">_xlfn.IFS(YEAR(N$2)&lt;YEAR($I15),0,YEAR(N$2)=YEAR($I15),ROUND(((N$2-$I15+1)/365)*$D15,2),AND(YEAR(N$2)&gt;YEAR($I15),YEAR(N$2)-YEAR($I15)&lt;20),$D15,YEAR(N$2)-YEAR($I15)=20,ROUND((DATE(YEAR($I15),12,31)-$I15+1)/365*$D15,2),YEAR(N$2)-YEAR($I15)&gt;20,0)</f>
        <v>1998</v>
      </c>
      <c r="O15" s="48" cm="1">
        <f t="array" ref="O15">_xlfn.IFS(YEAR(O$2)&lt;YEAR($I15),0,YEAR(O$2)=YEAR($I15),ROUND(((O$2-$I15+1)/365)*$D15,2),AND(YEAR(O$2)&gt;YEAR($I15),YEAR(O$2)-YEAR($I15)&lt;20),$D15,YEAR(O$2)-YEAR($I15)=20,ROUND((DATE(YEAR($I15),12,31)-$I15+1)/365*$D15,2),YEAR(O$2)-YEAR($I15)&gt;20,0)</f>
        <v>1998</v>
      </c>
      <c r="P15" s="48" cm="1">
        <f t="array" ref="P15">_xlfn.IFS(YEAR(P$2)&lt;YEAR($I15),0,YEAR(P$2)=YEAR($I15),ROUND(((P$2-$I15+1)/365)*$D15,2),AND(YEAR(P$2)&gt;YEAR($I15),YEAR(P$2)-YEAR($I15)&lt;20),$D15,YEAR(P$2)-YEAR($I15)=20,ROUND((DATE(YEAR($I15),12,31)-$I15+1)/365*$D15,2),YEAR(P$2)-YEAR($I15)&gt;20,0)</f>
        <v>1998</v>
      </c>
      <c r="Q15" s="48" cm="1">
        <f t="array" ref="Q15">_xlfn.IFS(YEAR(Q$2)&lt;YEAR($I15),0,YEAR(Q$2)=YEAR($I15),ROUND(((Q$2-$I15+1)/365)*$D15,2),AND(YEAR(Q$2)&gt;YEAR($I15),YEAR(Q$2)-YEAR($I15)&lt;20),$D15,YEAR(Q$2)-YEAR($I15)=20,ROUND((DATE(YEAR($I15),12,31)-$I15+1)/365*$D15,2),YEAR(Q$2)-YEAR($I15)&gt;20,0)</f>
        <v>1998</v>
      </c>
      <c r="R15" s="48" cm="1">
        <f t="array" ref="R15">_xlfn.IFS(YEAR(R$2)&lt;YEAR($I15),0,YEAR(R$2)=YEAR($I15),ROUND(((R$2-$I15+1)/365)*$D15,2),AND(YEAR(R$2)&gt;YEAR($I15),YEAR(R$2)-YEAR($I15)&lt;20),$D15,YEAR(R$2)-YEAR($I15)=20,ROUND((DATE(YEAR($I15),12,31)-$I15+1)/365*$D15,2),YEAR(R$2)-YEAR($I15)&gt;20,0)</f>
        <v>1998</v>
      </c>
      <c r="S15" s="48" cm="1">
        <f t="array" ref="S15">_xlfn.IFS(YEAR(S$2)&lt;YEAR($I15),0,YEAR(S$2)=YEAR($I15),ROUND(((S$2-$I15+1)/365)*$D15,2),AND(YEAR(S$2)&gt;YEAR($I15),YEAR(S$2)-YEAR($I15)&lt;20),$D15,YEAR(S$2)-YEAR($I15)=20,ROUND((DATE(YEAR($I15),12,31)-$I15+1)/365*$D15,2),YEAR(S$2)-YEAR($I15)&gt;20,0)</f>
        <v>1998</v>
      </c>
      <c r="T15" s="48" cm="1">
        <f t="array" ref="T15">_xlfn.IFS(YEAR(T$2)&lt;YEAR($I15),0,YEAR(T$2)=YEAR($I15),ROUND(((T$2-$I15+1)/365)*$D15,2),AND(YEAR(T$2)&gt;YEAR($I15),YEAR(T$2)-YEAR($I15)&lt;20),$D15,YEAR(T$2)-YEAR($I15)=20,ROUND((DATE(YEAR($I15),12,31)-$I15+1)/365*$D15,2),YEAR(T$2)-YEAR($I15)&gt;20,0)</f>
        <v>1998</v>
      </c>
      <c r="U15" s="48" cm="1">
        <f t="array" ref="U15">_xlfn.IFS(YEAR(U$2)&lt;YEAR($I15),0,YEAR(U$2)=YEAR($I15),ROUND(((U$2-$I15+1)/365)*$D15,2),AND(YEAR(U$2)&gt;YEAR($I15),YEAR(U$2)-YEAR($I15)&lt;20),$D15,YEAR(U$2)-YEAR($I15)=20,ROUND((DATE(YEAR($I15),12,31)-$I15+1)/365*$D15,2),YEAR(U$2)-YEAR($I15)&gt;20,0)</f>
        <v>1998</v>
      </c>
      <c r="V15" s="48" cm="1">
        <f t="array" ref="V15">_xlfn.IFS(YEAR(V$2)&lt;YEAR($I15),0,YEAR(V$2)=YEAR($I15),ROUND(((V$2-$I15+1)/365)*$D15,2),AND(YEAR(V$2)&gt;YEAR($I15),YEAR(V$2)-YEAR($I15)&lt;20),$D15,YEAR(V$2)-YEAR($I15)=20,ROUND((DATE(YEAR($I15),12,31)-$I15+1)/365*$D15,2),YEAR(V$2)-YEAR($I15)&gt;20,0)</f>
        <v>1998</v>
      </c>
      <c r="W15" s="48" cm="1">
        <f t="array" ref="W15">_xlfn.IFS(YEAR(W$2)&lt;YEAR($I15),0,YEAR(W$2)=YEAR($I15),ROUND(((W$2-$I15+1)/365)*$D15,2),AND(YEAR(W$2)&gt;YEAR($I15),YEAR(W$2)-YEAR($I15)&lt;20),$D15,YEAR(W$2)-YEAR($I15)=20,ROUND((DATE(YEAR($I15),12,31)-$I15+1)/365*$D15,2),YEAR(W$2)-YEAR($I15)&gt;20,0)</f>
        <v>1998</v>
      </c>
      <c r="X15" s="48" cm="1">
        <f t="array" ref="X15">_xlfn.IFS(YEAR(X$2)&lt;YEAR($I15),0,YEAR(X$2)=YEAR($I15),ROUND(((X$2-$I15+1)/365)*$D15,2),AND(YEAR(X$2)&gt;YEAR($I15),YEAR(X$2)-YEAR($I15)&lt;20),$D15,YEAR(X$2)-YEAR($I15)=20,ROUND((DATE(YEAR($I15),12,31)-$I15+1)/365*$D15,2),YEAR(X$2)-YEAR($I15)&gt;20,0)</f>
        <v>1998</v>
      </c>
      <c r="Y15" s="48" cm="1">
        <f t="array" ref="Y15">_xlfn.IFS(YEAR(Y$2)&lt;YEAR($I15),0,YEAR(Y$2)=YEAR($I15),ROUND(((Y$2-$I15+1)/365)*$D15,2),AND(YEAR(Y$2)&gt;YEAR($I15),YEAR(Y$2)-YEAR($I15)&lt;20),$D15,YEAR(Y$2)-YEAR($I15)=20,ROUND((DATE(YEAR($I15),12,31)-$I15+1)/365*$D15,2),YEAR(Y$2)-YEAR($I15)&gt;20,0)</f>
        <v>1998</v>
      </c>
      <c r="Z15" s="48" cm="1">
        <f t="array" ref="Z15">_xlfn.IFS(YEAR(Z$2)&lt;YEAR($I15),0,YEAR(Z$2)=YEAR($I15),ROUND(((Z$2-$I15+1)/365)*$D15,2),AND(YEAR(Z$2)&gt;YEAR($I15),YEAR(Z$2)-YEAR($I15)&lt;20),$D15,YEAR(Z$2)-YEAR($I15)=20,ROUND((DATE(YEAR($I15),12,31)-$I15+1)/365*$D15,2),YEAR(Z$2)-YEAR($I15)&gt;20,0)</f>
        <v>1998</v>
      </c>
      <c r="AA15" s="48" cm="1">
        <f t="array" ref="AA15">_xlfn.IFS(YEAR(AA$2)&lt;YEAR($I15),0,YEAR(AA$2)=YEAR($I15),ROUND(((AA$2-$I15+1)/365)*$D15,2),AND(YEAR(AA$2)&gt;YEAR($I15),YEAR(AA$2)-YEAR($I15)&lt;20),$D15,YEAR(AA$2)-YEAR($I15)=20,ROUND((DATE(YEAR($I15),12,31)-$I15+1)/365*$D15,2),YEAR(AA$2)-YEAR($I15)&gt;20,0)</f>
        <v>1998</v>
      </c>
      <c r="AB15" s="48" cm="1">
        <f t="array" ref="AB15">_xlfn.IFS(YEAR(AB$2)&lt;YEAR($I15),0,YEAR(AB$2)=YEAR($I15),ROUND(((AB$2-$I15+1)/365)*$D15,2),AND(YEAR(AB$2)&gt;YEAR($I15),YEAR(AB$2)-YEAR($I15)&lt;20),$D15,YEAR(AB$2)-YEAR($I15)=20,ROUND((DATE(YEAR($I15),12,31)-$I15+1)/365*$D15,2),YEAR(AB$2)-YEAR($I15)&gt;20,0)</f>
        <v>1998</v>
      </c>
      <c r="AC15" s="48" cm="1">
        <f t="array" ref="AC15">_xlfn.IFS(YEAR(AC$2)&lt;YEAR($I15),0,YEAR(AC$2)=YEAR($I15),ROUND(((AC$2-$I15+1)/365)*$D15,2),AND(YEAR(AC$2)&gt;YEAR($I15),YEAR(AC$2)-YEAR($I15)&lt;20),$D15,YEAR(AC$2)-YEAR($I15)=20,ROUND((DATE(YEAR($I15),12,31)-$I15+1)/365*$D15,2),YEAR(AC$2)-YEAR($I15)&gt;20,0)</f>
        <v>1998</v>
      </c>
      <c r="AD15" s="48" cm="1">
        <f t="array" ref="AD15">_xlfn.IFS(YEAR(AD$2)&lt;YEAR($I15),0,YEAR(AD$2)=YEAR($I15),ROUND(((AD$2-$I15+1)/365)*$D15,2),AND(YEAR(AD$2)&gt;YEAR($I15),YEAR(AD$2)-YEAR($I15)&lt;20),$D15,YEAR(AD$2)-YEAR($I15)=20,ROUND((DATE(YEAR($I15),12,31)-$I15+1)/365*$D15,2),YEAR(AD$2)-YEAR($I15)&gt;20,0)</f>
        <v>1998</v>
      </c>
      <c r="AE15" s="48" cm="1">
        <f t="array" ref="AE15">_xlfn.IFS(YEAR(AE$2)&lt;YEAR($I15),0,YEAR(AE$2)=YEAR($I15),ROUND(((AE$2-$I15+1)/365)*$D15,2),AND(YEAR(AE$2)&gt;YEAR($I15),YEAR(AE$2)-YEAR($I15)&lt;20),$D15,YEAR(AE$2)-YEAR($I15)=20,ROUND((DATE(YEAR($I15),12,31)-$I15+1)/365*$D15,2),YEAR(AE$2)-YEAR($I15)&gt;20,0)</f>
        <v>1998</v>
      </c>
      <c r="AF15" s="48" cm="1">
        <f t="array" ref="AF15">_xlfn.IFS(YEAR(AF$2)&lt;YEAR($I15),0,YEAR(AF$2)=YEAR($I15),ROUND(((AF$2-$I15+1)/365)*$D15,2),AND(YEAR(AF$2)&gt;YEAR($I15),YEAR(AF$2)-YEAR($I15)&lt;20),$D15,YEAR(AF$2)-YEAR($I15)=20,ROUND((DATE(YEAR($I15),12,31)-$I15+1)/365*$D15,2),YEAR(AF$2)-YEAR($I15)&gt;20,0)</f>
        <v>1828.31</v>
      </c>
      <c r="AG15" s="48" cm="1">
        <f t="array" ref="AG15">_xlfn.IFS(YEAR(AG$2)&lt;YEAR($I15),0,YEAR(AG$2)=YEAR($I15),ROUND(((AG$2-$I15+1)/365)*$D15,2),AND(YEAR(AG$2)&gt;YEAR($I15),YEAR(AG$2)-YEAR($I15)&lt;20),$D15,YEAR(AG$2)-YEAR($I15)=20,ROUND((DATE(YEAR($I15),12,31)-$I15+1)/365*$D15,2),YEAR(AG$2)-YEAR($I15)&gt;20,0)</f>
        <v>0</v>
      </c>
      <c r="AH15" s="48" cm="1">
        <f t="array" ref="AH15">_xlfn.IFS(YEAR(AH$2)&lt;YEAR($I15),0,YEAR(AH$2)=YEAR($I15),ROUND(((AH$2-$I15+1)/365)*$D15,2),AND(YEAR(AH$2)&gt;YEAR($I15),YEAR(AH$2)-YEAR($I15)&lt;20),$D15,YEAR(AH$2)-YEAR($I15)=20,ROUND((DATE(YEAR($I15),12,31)-$I15+1)/365*$D15,2),YEAR(AH$2)-YEAR($I15)&gt;20,0)</f>
        <v>0</v>
      </c>
      <c r="AI15" s="48" cm="1">
        <f t="array" ref="AI15">_xlfn.IFS(YEAR(AI$2)&lt;YEAR($I15),0,YEAR(AI$2)=YEAR($I15),ROUND(((AI$2-$I15+1)/365)*$D15,2),AND(YEAR(AI$2)&gt;YEAR($I15),YEAR(AI$2)-YEAR($I15)&lt;20),$D15,YEAR(AI$2)-YEAR($I15)=20,ROUND((DATE(YEAR($I15),12,31)-$I15+1)/365*$D15,2),YEAR(AI$2)-YEAR($I15)&gt;20,0)</f>
        <v>0</v>
      </c>
      <c r="AJ15" s="48" cm="1">
        <f t="array" ref="AJ15">_xlfn.IFS(YEAR(AJ$2)&lt;YEAR($I15),0,YEAR(AJ$2)=YEAR($I15),ROUND(((AJ$2-$I15+1)/365)*$D15,2),AND(YEAR(AJ$2)&gt;YEAR($I15),YEAR(AJ$2)-YEAR($I15)&lt;20),$D15,YEAR(AJ$2)-YEAR($I15)=20,ROUND((DATE(YEAR($I15),12,31)-$I15+1)/365*$D15,2),YEAR(AJ$2)-YEAR($I15)&gt;20,0)</f>
        <v>0</v>
      </c>
      <c r="AK15" s="48" cm="1">
        <f t="array" ref="AK15">_xlfn.IFS(YEAR(AK$2)&lt;YEAR($I15),0,YEAR(AK$2)=YEAR($I15),ROUND(((AK$2-$I15+1)/365)*$D15,2),AND(YEAR(AK$2)&gt;YEAR($I15),YEAR(AK$2)-YEAR($I15)&lt;20),$D15,YEAR(AK$2)-YEAR($I15)=20,ROUND((DATE(YEAR($I15),12,31)-$I15+1)/365*$D15,2),YEAR(AK$2)-YEAR($I15)&gt;20,0)</f>
        <v>0</v>
      </c>
      <c r="AL15" s="48" cm="1">
        <f t="array" ref="AL15">_xlfn.IFS(YEAR(AL$2)&lt;YEAR($I15),0,YEAR(AL$2)=YEAR($I15),ROUND(((AL$2-$I15+1)/365)*$D15,2),AND(YEAR(AL$2)&gt;YEAR($I15),YEAR(AL$2)-YEAR($I15)&lt;20),$D15,YEAR(AL$2)-YEAR($I15)=20,ROUND((DATE(YEAR($I15),12,31)-$I15+1)/365*$D15,2),YEAR(AL$2)-YEAR($I15)&gt;20,0)</f>
        <v>0</v>
      </c>
      <c r="AM15" s="48" cm="1">
        <f t="array" ref="AM15">_xlfn.IFS(YEAR(AM$2)&lt;YEAR($I15),0,YEAR(AM$2)=YEAR($I15),ROUND(((AM$2-$I15+1)/365)*$D15,2),AND(YEAR(AM$2)&gt;YEAR($I15),YEAR(AM$2)-YEAR($I15)&lt;20),$D15,YEAR(AM$2)-YEAR($I15)=20,ROUND((DATE(YEAR($I15),12,31)-$I15+1)/365*$D15,2),YEAR(AM$2)-YEAR($I15)&gt;20,0)</f>
        <v>0</v>
      </c>
    </row>
    <row r="16" spans="1:73">
      <c r="A16" s="155" t="str" cm="1">
        <f t="array" ref="A16">_xlfn.IFS(LEFT(C16,3)="PGE","PGE",LEFT(C16,2)="PP","PAC",TRUE,"IP")</f>
        <v>PGE</v>
      </c>
      <c r="B16" s="155" t="str">
        <f>IF(ISNA(MATCH(C16,'Monthly Report July 2025'!E:E,0)),"Missing","Present")</f>
        <v>Present</v>
      </c>
      <c r="C16" s="155" t="s">
        <v>122</v>
      </c>
      <c r="D16" s="176" cm="1">
        <f t="array" ref="D16">INDEX('Monthly Report July 2025'!L:L,MATCH(C16,'Monthly Report July 2025'!E:E,0),0)</f>
        <v>1850</v>
      </c>
      <c r="E16" s="176" t="str" cm="1">
        <f t="array" ref="E16">IF(INDEX('PA Fees by Project'!K:K,MATCH(C16,'PA Fees by Project'!E:E,0),0)="No","Non-Carve Out", "Carve Out")</f>
        <v>Non-Carve Out</v>
      </c>
      <c r="F16" s="176" cm="1">
        <f t="array" ref="F16">INDEX('PA Fees by Project'!J:J,MATCH(C16,'PA Fees by Project'!E:E,0),0)</f>
        <v>1</v>
      </c>
      <c r="G16" s="155" t="str" cm="1">
        <f t="array" ref="G16">INDEX('PA Fees by Project'!G:G,MATCH(C16,'PA Fees by Project'!E:E,0),0)</f>
        <v>Operational</v>
      </c>
      <c r="H16" s="175" cm="1">
        <f t="array" ref="H16">INDEX('PA Fees by Project'!Q:Q,MATCH(C16,'PA Fees by Project'!E:E,0),0)</f>
        <v>44910</v>
      </c>
      <c r="I16" s="156" cm="1">
        <f t="array" ref="I16">_xlfn.IFS(G16="Operational",H16,G16="Certified",EDATE(INDEX('PA Fees by Project'!R:R,MATCH(C16,'PA Fees by Project'!E:E,0),0),6),TRUE,EDATE(INDEX('PA Fees by Project'!O:O,MATCH(C16,'PA Fees by Project'!E:E,0),0),6))</f>
        <v>44910</v>
      </c>
      <c r="J16" s="48" cm="1">
        <f t="array" ref="J16">_xlfn.IFS(YEAR(J$2)&lt;YEAR($I16),0,YEAR(J$2)=YEAR($I16),ROUND(((J$2-$I16+1)/365)*$D16,2),AND(YEAR(J$2)&gt;YEAR($I16),YEAR(J$2)-YEAR($I16)&lt;20),$D16,YEAR(J$2)-YEAR($I16)=20,ROUND((DATE(YEAR($I16),12,31)-$I16+1)/365*$D16,2),YEAR(J$2)-YEAR($I16)&gt;20,0)</f>
        <v>0</v>
      </c>
      <c r="K16" s="48" cm="1">
        <f t="array" ref="K16">_xlfn.IFS(YEAR(K$2)&lt;YEAR($I16),0,YEAR(K$2)=YEAR($I16),ROUND(((K$2-$I16+1)/365)*$D16,2),AND(YEAR(K$2)&gt;YEAR($I16),YEAR(K$2)-YEAR($I16)&lt;20),$D16,YEAR(K$2)-YEAR($I16)=20,ROUND((DATE(YEAR($I16),12,31)-$I16+1)/365*$D16,2),YEAR(K$2)-YEAR($I16)&gt;20,0)</f>
        <v>86.16</v>
      </c>
      <c r="L16" s="48" cm="1">
        <f t="array" ref="L16">_xlfn.IFS(YEAR(L$2)&lt;YEAR($I16),0,YEAR(L$2)=YEAR($I16),ROUND(((L$2-$I16+1)/365)*$D16,2),AND(YEAR(L$2)&gt;YEAR($I16),YEAR(L$2)-YEAR($I16)&lt;20),$D16,YEAR(L$2)-YEAR($I16)=20,ROUND((DATE(YEAR($I16),12,31)-$I16+1)/365*$D16,2),YEAR(L$2)-YEAR($I16)&gt;20,0)</f>
        <v>1850</v>
      </c>
      <c r="M16" s="48" cm="1">
        <f t="array" ref="M16">_xlfn.IFS(YEAR(M$2)&lt;YEAR($I16),0,YEAR(M$2)=YEAR($I16),ROUND(((M$2-$I16+1)/365)*$D16,2),AND(YEAR(M$2)&gt;YEAR($I16),YEAR(M$2)-YEAR($I16)&lt;20),$D16,YEAR(M$2)-YEAR($I16)=20,ROUND((DATE(YEAR($I16),12,31)-$I16+1)/365*$D16,2),YEAR(M$2)-YEAR($I16)&gt;20,0)</f>
        <v>1850</v>
      </c>
      <c r="N16" s="48" cm="1">
        <f t="array" ref="N16">_xlfn.IFS(YEAR(N$2)&lt;YEAR($I16),0,YEAR(N$2)=YEAR($I16),ROUND(((N$2-$I16+1)/365)*$D16,2),AND(YEAR(N$2)&gt;YEAR($I16),YEAR(N$2)-YEAR($I16)&lt;20),$D16,YEAR(N$2)-YEAR($I16)=20,ROUND((DATE(YEAR($I16),12,31)-$I16+1)/365*$D16,2),YEAR(N$2)-YEAR($I16)&gt;20,0)</f>
        <v>1850</v>
      </c>
      <c r="O16" s="48" cm="1">
        <f t="array" ref="O16">_xlfn.IFS(YEAR(O$2)&lt;YEAR($I16),0,YEAR(O$2)=YEAR($I16),ROUND(((O$2-$I16+1)/365)*$D16,2),AND(YEAR(O$2)&gt;YEAR($I16),YEAR(O$2)-YEAR($I16)&lt;20),$D16,YEAR(O$2)-YEAR($I16)=20,ROUND((DATE(YEAR($I16),12,31)-$I16+1)/365*$D16,2),YEAR(O$2)-YEAR($I16)&gt;20,0)</f>
        <v>1850</v>
      </c>
      <c r="P16" s="48" cm="1">
        <f t="array" ref="P16">_xlfn.IFS(YEAR(P$2)&lt;YEAR($I16),0,YEAR(P$2)=YEAR($I16),ROUND(((P$2-$I16+1)/365)*$D16,2),AND(YEAR(P$2)&gt;YEAR($I16),YEAR(P$2)-YEAR($I16)&lt;20),$D16,YEAR(P$2)-YEAR($I16)=20,ROUND((DATE(YEAR($I16),12,31)-$I16+1)/365*$D16,2),YEAR(P$2)-YEAR($I16)&gt;20,0)</f>
        <v>1850</v>
      </c>
      <c r="Q16" s="48" cm="1">
        <f t="array" ref="Q16">_xlfn.IFS(YEAR(Q$2)&lt;YEAR($I16),0,YEAR(Q$2)=YEAR($I16),ROUND(((Q$2-$I16+1)/365)*$D16,2),AND(YEAR(Q$2)&gt;YEAR($I16),YEAR(Q$2)-YEAR($I16)&lt;20),$D16,YEAR(Q$2)-YEAR($I16)=20,ROUND((DATE(YEAR($I16),12,31)-$I16+1)/365*$D16,2),YEAR(Q$2)-YEAR($I16)&gt;20,0)</f>
        <v>1850</v>
      </c>
      <c r="R16" s="48" cm="1">
        <f t="array" ref="R16">_xlfn.IFS(YEAR(R$2)&lt;YEAR($I16),0,YEAR(R$2)=YEAR($I16),ROUND(((R$2-$I16+1)/365)*$D16,2),AND(YEAR(R$2)&gt;YEAR($I16),YEAR(R$2)-YEAR($I16)&lt;20),$D16,YEAR(R$2)-YEAR($I16)=20,ROUND((DATE(YEAR($I16),12,31)-$I16+1)/365*$D16,2),YEAR(R$2)-YEAR($I16)&gt;20,0)</f>
        <v>1850</v>
      </c>
      <c r="S16" s="48" cm="1">
        <f t="array" ref="S16">_xlfn.IFS(YEAR(S$2)&lt;YEAR($I16),0,YEAR(S$2)=YEAR($I16),ROUND(((S$2-$I16+1)/365)*$D16,2),AND(YEAR(S$2)&gt;YEAR($I16),YEAR(S$2)-YEAR($I16)&lt;20),$D16,YEAR(S$2)-YEAR($I16)=20,ROUND((DATE(YEAR($I16),12,31)-$I16+1)/365*$D16,2),YEAR(S$2)-YEAR($I16)&gt;20,0)</f>
        <v>1850</v>
      </c>
      <c r="T16" s="48" cm="1">
        <f t="array" ref="T16">_xlfn.IFS(YEAR(T$2)&lt;YEAR($I16),0,YEAR(T$2)=YEAR($I16),ROUND(((T$2-$I16+1)/365)*$D16,2),AND(YEAR(T$2)&gt;YEAR($I16),YEAR(T$2)-YEAR($I16)&lt;20),$D16,YEAR(T$2)-YEAR($I16)=20,ROUND((DATE(YEAR($I16),12,31)-$I16+1)/365*$D16,2),YEAR(T$2)-YEAR($I16)&gt;20,0)</f>
        <v>1850</v>
      </c>
      <c r="U16" s="48" cm="1">
        <f t="array" ref="U16">_xlfn.IFS(YEAR(U$2)&lt;YEAR($I16),0,YEAR(U$2)=YEAR($I16),ROUND(((U$2-$I16+1)/365)*$D16,2),AND(YEAR(U$2)&gt;YEAR($I16),YEAR(U$2)-YEAR($I16)&lt;20),$D16,YEAR(U$2)-YEAR($I16)=20,ROUND((DATE(YEAR($I16),12,31)-$I16+1)/365*$D16,2),YEAR(U$2)-YEAR($I16)&gt;20,0)</f>
        <v>1850</v>
      </c>
      <c r="V16" s="48" cm="1">
        <f t="array" ref="V16">_xlfn.IFS(YEAR(V$2)&lt;YEAR($I16),0,YEAR(V$2)=YEAR($I16),ROUND(((V$2-$I16+1)/365)*$D16,2),AND(YEAR(V$2)&gt;YEAR($I16),YEAR(V$2)-YEAR($I16)&lt;20),$D16,YEAR(V$2)-YEAR($I16)=20,ROUND((DATE(YEAR($I16),12,31)-$I16+1)/365*$D16,2),YEAR(V$2)-YEAR($I16)&gt;20,0)</f>
        <v>1850</v>
      </c>
      <c r="W16" s="48" cm="1">
        <f t="array" ref="W16">_xlfn.IFS(YEAR(W$2)&lt;YEAR($I16),0,YEAR(W$2)=YEAR($I16),ROUND(((W$2-$I16+1)/365)*$D16,2),AND(YEAR(W$2)&gt;YEAR($I16),YEAR(W$2)-YEAR($I16)&lt;20),$D16,YEAR(W$2)-YEAR($I16)=20,ROUND((DATE(YEAR($I16),12,31)-$I16+1)/365*$D16,2),YEAR(W$2)-YEAR($I16)&gt;20,0)</f>
        <v>1850</v>
      </c>
      <c r="X16" s="48" cm="1">
        <f t="array" ref="X16">_xlfn.IFS(YEAR(X$2)&lt;YEAR($I16),0,YEAR(X$2)=YEAR($I16),ROUND(((X$2-$I16+1)/365)*$D16,2),AND(YEAR(X$2)&gt;YEAR($I16),YEAR(X$2)-YEAR($I16)&lt;20),$D16,YEAR(X$2)-YEAR($I16)=20,ROUND((DATE(YEAR($I16),12,31)-$I16+1)/365*$D16,2),YEAR(X$2)-YEAR($I16)&gt;20,0)</f>
        <v>1850</v>
      </c>
      <c r="Y16" s="48" cm="1">
        <f t="array" ref="Y16">_xlfn.IFS(YEAR(Y$2)&lt;YEAR($I16),0,YEAR(Y$2)=YEAR($I16),ROUND(((Y$2-$I16+1)/365)*$D16,2),AND(YEAR(Y$2)&gt;YEAR($I16),YEAR(Y$2)-YEAR($I16)&lt;20),$D16,YEAR(Y$2)-YEAR($I16)=20,ROUND((DATE(YEAR($I16),12,31)-$I16+1)/365*$D16,2),YEAR(Y$2)-YEAR($I16)&gt;20,0)</f>
        <v>1850</v>
      </c>
      <c r="Z16" s="48" cm="1">
        <f t="array" ref="Z16">_xlfn.IFS(YEAR(Z$2)&lt;YEAR($I16),0,YEAR(Z$2)=YEAR($I16),ROUND(((Z$2-$I16+1)/365)*$D16,2),AND(YEAR(Z$2)&gt;YEAR($I16),YEAR(Z$2)-YEAR($I16)&lt;20),$D16,YEAR(Z$2)-YEAR($I16)=20,ROUND((DATE(YEAR($I16),12,31)-$I16+1)/365*$D16,2),YEAR(Z$2)-YEAR($I16)&gt;20,0)</f>
        <v>1850</v>
      </c>
      <c r="AA16" s="48" cm="1">
        <f t="array" ref="AA16">_xlfn.IFS(YEAR(AA$2)&lt;YEAR($I16),0,YEAR(AA$2)=YEAR($I16),ROUND(((AA$2-$I16+1)/365)*$D16,2),AND(YEAR(AA$2)&gt;YEAR($I16),YEAR(AA$2)-YEAR($I16)&lt;20),$D16,YEAR(AA$2)-YEAR($I16)=20,ROUND((DATE(YEAR($I16),12,31)-$I16+1)/365*$D16,2),YEAR(AA$2)-YEAR($I16)&gt;20,0)</f>
        <v>1850</v>
      </c>
      <c r="AB16" s="48" cm="1">
        <f t="array" ref="AB16">_xlfn.IFS(YEAR(AB$2)&lt;YEAR($I16),0,YEAR(AB$2)=YEAR($I16),ROUND(((AB$2-$I16+1)/365)*$D16,2),AND(YEAR(AB$2)&gt;YEAR($I16),YEAR(AB$2)-YEAR($I16)&lt;20),$D16,YEAR(AB$2)-YEAR($I16)=20,ROUND((DATE(YEAR($I16),12,31)-$I16+1)/365*$D16,2),YEAR(AB$2)-YEAR($I16)&gt;20,0)</f>
        <v>1850</v>
      </c>
      <c r="AC16" s="48" cm="1">
        <f t="array" ref="AC16">_xlfn.IFS(YEAR(AC$2)&lt;YEAR($I16),0,YEAR(AC$2)=YEAR($I16),ROUND(((AC$2-$I16+1)/365)*$D16,2),AND(YEAR(AC$2)&gt;YEAR($I16),YEAR(AC$2)-YEAR($I16)&lt;20),$D16,YEAR(AC$2)-YEAR($I16)=20,ROUND((DATE(YEAR($I16),12,31)-$I16+1)/365*$D16,2),YEAR(AC$2)-YEAR($I16)&gt;20,0)</f>
        <v>1850</v>
      </c>
      <c r="AD16" s="48" cm="1">
        <f t="array" ref="AD16">_xlfn.IFS(YEAR(AD$2)&lt;YEAR($I16),0,YEAR(AD$2)=YEAR($I16),ROUND(((AD$2-$I16+1)/365)*$D16,2),AND(YEAR(AD$2)&gt;YEAR($I16),YEAR(AD$2)-YEAR($I16)&lt;20),$D16,YEAR(AD$2)-YEAR($I16)=20,ROUND((DATE(YEAR($I16),12,31)-$I16+1)/365*$D16,2),YEAR(AD$2)-YEAR($I16)&gt;20,0)</f>
        <v>1850</v>
      </c>
      <c r="AE16" s="48" cm="1">
        <f t="array" ref="AE16">_xlfn.IFS(YEAR(AE$2)&lt;YEAR($I16),0,YEAR(AE$2)=YEAR($I16),ROUND(((AE$2-$I16+1)/365)*$D16,2),AND(YEAR(AE$2)&gt;YEAR($I16),YEAR(AE$2)-YEAR($I16)&lt;20),$D16,YEAR(AE$2)-YEAR($I16)=20,ROUND((DATE(YEAR($I16),12,31)-$I16+1)/365*$D16,2),YEAR(AE$2)-YEAR($I16)&gt;20,0)</f>
        <v>86.16</v>
      </c>
      <c r="AF16" s="48" cm="1">
        <f t="array" ref="AF16">_xlfn.IFS(YEAR(AF$2)&lt;YEAR($I16),0,YEAR(AF$2)=YEAR($I16),ROUND(((AF$2-$I16+1)/365)*$D16,2),AND(YEAR(AF$2)&gt;YEAR($I16),YEAR(AF$2)-YEAR($I16)&lt;20),$D16,YEAR(AF$2)-YEAR($I16)=20,ROUND((DATE(YEAR($I16),12,31)-$I16+1)/365*$D16,2),YEAR(AF$2)-YEAR($I16)&gt;20,0)</f>
        <v>0</v>
      </c>
      <c r="AG16" s="48" cm="1">
        <f t="array" ref="AG16">_xlfn.IFS(YEAR(AG$2)&lt;YEAR($I16),0,YEAR(AG$2)=YEAR($I16),ROUND(((AG$2-$I16+1)/365)*$D16,2),AND(YEAR(AG$2)&gt;YEAR($I16),YEAR(AG$2)-YEAR($I16)&lt;20),$D16,YEAR(AG$2)-YEAR($I16)=20,ROUND((DATE(YEAR($I16),12,31)-$I16+1)/365*$D16,2),YEAR(AG$2)-YEAR($I16)&gt;20,0)</f>
        <v>0</v>
      </c>
      <c r="AH16" s="48" cm="1">
        <f t="array" ref="AH16">_xlfn.IFS(YEAR(AH$2)&lt;YEAR($I16),0,YEAR(AH$2)=YEAR($I16),ROUND(((AH$2-$I16+1)/365)*$D16,2),AND(YEAR(AH$2)&gt;YEAR($I16),YEAR(AH$2)-YEAR($I16)&lt;20),$D16,YEAR(AH$2)-YEAR($I16)=20,ROUND((DATE(YEAR($I16),12,31)-$I16+1)/365*$D16,2),YEAR(AH$2)-YEAR($I16)&gt;20,0)</f>
        <v>0</v>
      </c>
      <c r="AI16" s="48" cm="1">
        <f t="array" ref="AI16">_xlfn.IFS(YEAR(AI$2)&lt;YEAR($I16),0,YEAR(AI$2)=YEAR($I16),ROUND(((AI$2-$I16+1)/365)*$D16,2),AND(YEAR(AI$2)&gt;YEAR($I16),YEAR(AI$2)-YEAR($I16)&lt;20),$D16,YEAR(AI$2)-YEAR($I16)=20,ROUND((DATE(YEAR($I16),12,31)-$I16+1)/365*$D16,2),YEAR(AI$2)-YEAR($I16)&gt;20,0)</f>
        <v>0</v>
      </c>
      <c r="AJ16" s="48" cm="1">
        <f t="array" ref="AJ16">_xlfn.IFS(YEAR(AJ$2)&lt;YEAR($I16),0,YEAR(AJ$2)=YEAR($I16),ROUND(((AJ$2-$I16+1)/365)*$D16,2),AND(YEAR(AJ$2)&gt;YEAR($I16),YEAR(AJ$2)-YEAR($I16)&lt;20),$D16,YEAR(AJ$2)-YEAR($I16)=20,ROUND((DATE(YEAR($I16),12,31)-$I16+1)/365*$D16,2),YEAR(AJ$2)-YEAR($I16)&gt;20,0)</f>
        <v>0</v>
      </c>
      <c r="AK16" s="48" cm="1">
        <f t="array" ref="AK16">_xlfn.IFS(YEAR(AK$2)&lt;YEAR($I16),0,YEAR(AK$2)=YEAR($I16),ROUND(((AK$2-$I16+1)/365)*$D16,2),AND(YEAR(AK$2)&gt;YEAR($I16),YEAR(AK$2)-YEAR($I16)&lt;20),$D16,YEAR(AK$2)-YEAR($I16)=20,ROUND((DATE(YEAR($I16),12,31)-$I16+1)/365*$D16,2),YEAR(AK$2)-YEAR($I16)&gt;20,0)</f>
        <v>0</v>
      </c>
      <c r="AL16" s="48" cm="1">
        <f t="array" ref="AL16">_xlfn.IFS(YEAR(AL$2)&lt;YEAR($I16),0,YEAR(AL$2)=YEAR($I16),ROUND(((AL$2-$I16+1)/365)*$D16,2),AND(YEAR(AL$2)&gt;YEAR($I16),YEAR(AL$2)-YEAR($I16)&lt;20),$D16,YEAR(AL$2)-YEAR($I16)=20,ROUND((DATE(YEAR($I16),12,31)-$I16+1)/365*$D16,2),YEAR(AL$2)-YEAR($I16)&gt;20,0)</f>
        <v>0</v>
      </c>
      <c r="AM16" s="48" cm="1">
        <f t="array" ref="AM16">_xlfn.IFS(YEAR(AM$2)&lt;YEAR($I16),0,YEAR(AM$2)=YEAR($I16),ROUND(((AM$2-$I16+1)/365)*$D16,2),AND(YEAR(AM$2)&gt;YEAR($I16),YEAR(AM$2)-YEAR($I16)&lt;20),$D16,YEAR(AM$2)-YEAR($I16)=20,ROUND((DATE(YEAR($I16),12,31)-$I16+1)/365*$D16,2),YEAR(AM$2)-YEAR($I16)&gt;20,0)</f>
        <v>0</v>
      </c>
      <c r="AO16" s="383" t="s">
        <v>123</v>
      </c>
      <c r="AP16" s="384"/>
      <c r="AQ16" s="384"/>
      <c r="AR16" s="384"/>
      <c r="AS16" s="384"/>
      <c r="AT16" s="384"/>
      <c r="AU16" s="384"/>
      <c r="AV16" s="384"/>
      <c r="AW16" s="384"/>
      <c r="AX16" s="384"/>
      <c r="AY16" s="385"/>
    </row>
    <row r="17" spans="1:54">
      <c r="A17" s="155" t="str" cm="1">
        <f t="array" ref="A17">_xlfn.IFS(LEFT(C17,3)="PGE","PGE",LEFT(C17,2)="PP","PAC",TRUE,"IP")</f>
        <v>PGE</v>
      </c>
      <c r="B17" s="155" t="str">
        <f>IF(ISNA(MATCH(C17,'Monthly Report July 2025'!E:E,0)),"Missing","Present")</f>
        <v>Present</v>
      </c>
      <c r="C17" s="155" t="s">
        <v>124</v>
      </c>
      <c r="D17" s="176" cm="1">
        <f t="array" ref="D17">INDEX('Monthly Report July 2025'!L:L,MATCH(C17,'Monthly Report July 2025'!E:E,0),0)</f>
        <v>2500</v>
      </c>
      <c r="E17" s="176" t="str" cm="1">
        <f t="array" ref="E17">IF(INDEX('PA Fees by Project'!K:K,MATCH(C17,'PA Fees by Project'!E:E,0),0)="No","Non-Carve Out", "Carve Out")</f>
        <v>Non-Carve Out</v>
      </c>
      <c r="F17" s="176" cm="1">
        <f t="array" ref="F17">INDEX('PA Fees by Project'!J:J,MATCH(C17,'PA Fees by Project'!E:E,0),0)</f>
        <v>1</v>
      </c>
      <c r="G17" s="155" t="str" cm="1">
        <f t="array" ref="G17">INDEX('PA Fees by Project'!G:G,MATCH(C17,'PA Fees by Project'!E:E,0),0)</f>
        <v>Operational</v>
      </c>
      <c r="H17" s="175" cm="1">
        <f t="array" ref="H17">INDEX('PA Fees by Project'!Q:Q,MATCH(C17,'PA Fees by Project'!E:E,0),0)</f>
        <v>44910</v>
      </c>
      <c r="I17" s="156" cm="1">
        <f t="array" ref="I17">_xlfn.IFS(G17="Operational",H17,G17="Certified",EDATE(INDEX('PA Fees by Project'!R:R,MATCH(C17,'PA Fees by Project'!E:E,0),0),6),TRUE,EDATE(INDEX('PA Fees by Project'!O:O,MATCH(C17,'PA Fees by Project'!E:E,0),0),6))</f>
        <v>44910</v>
      </c>
      <c r="J17" s="48" cm="1">
        <f t="array" ref="J17">_xlfn.IFS(YEAR(J$2)&lt;YEAR($I17),0,YEAR(J$2)=YEAR($I17),ROUND(((J$2-$I17+1)/365)*$D17,2),AND(YEAR(J$2)&gt;YEAR($I17),YEAR(J$2)-YEAR($I17)&lt;20),$D17,YEAR(J$2)-YEAR($I17)=20,ROUND((DATE(YEAR($I17),12,31)-$I17+1)/365*$D17,2),YEAR(J$2)-YEAR($I17)&gt;20,0)</f>
        <v>0</v>
      </c>
      <c r="K17" s="48" cm="1">
        <f t="array" ref="K17">_xlfn.IFS(YEAR(K$2)&lt;YEAR($I17),0,YEAR(K$2)=YEAR($I17),ROUND(((K$2-$I17+1)/365)*$D17,2),AND(YEAR(K$2)&gt;YEAR($I17),YEAR(K$2)-YEAR($I17)&lt;20),$D17,YEAR(K$2)-YEAR($I17)=20,ROUND((DATE(YEAR($I17),12,31)-$I17+1)/365*$D17,2),YEAR(K$2)-YEAR($I17)&gt;20,0)</f>
        <v>116.44</v>
      </c>
      <c r="L17" s="48" cm="1">
        <f t="array" ref="L17">_xlfn.IFS(YEAR(L$2)&lt;YEAR($I17),0,YEAR(L$2)=YEAR($I17),ROUND(((L$2-$I17+1)/365)*$D17,2),AND(YEAR(L$2)&gt;YEAR($I17),YEAR(L$2)-YEAR($I17)&lt;20),$D17,YEAR(L$2)-YEAR($I17)=20,ROUND((DATE(YEAR($I17),12,31)-$I17+1)/365*$D17,2),YEAR(L$2)-YEAR($I17)&gt;20,0)</f>
        <v>2500</v>
      </c>
      <c r="M17" s="48" cm="1">
        <f t="array" ref="M17">_xlfn.IFS(YEAR(M$2)&lt;YEAR($I17),0,YEAR(M$2)=YEAR($I17),ROUND(((M$2-$I17+1)/365)*$D17,2),AND(YEAR(M$2)&gt;YEAR($I17),YEAR(M$2)-YEAR($I17)&lt;20),$D17,YEAR(M$2)-YEAR($I17)=20,ROUND((DATE(YEAR($I17),12,31)-$I17+1)/365*$D17,2),YEAR(M$2)-YEAR($I17)&gt;20,0)</f>
        <v>2500</v>
      </c>
      <c r="N17" s="48" cm="1">
        <f t="array" ref="N17">_xlfn.IFS(YEAR(N$2)&lt;YEAR($I17),0,YEAR(N$2)=YEAR($I17),ROUND(((N$2-$I17+1)/365)*$D17,2),AND(YEAR(N$2)&gt;YEAR($I17),YEAR(N$2)-YEAR($I17)&lt;20),$D17,YEAR(N$2)-YEAR($I17)=20,ROUND((DATE(YEAR($I17),12,31)-$I17+1)/365*$D17,2),YEAR(N$2)-YEAR($I17)&gt;20,0)</f>
        <v>2500</v>
      </c>
      <c r="O17" s="48" cm="1">
        <f t="array" ref="O17">_xlfn.IFS(YEAR(O$2)&lt;YEAR($I17),0,YEAR(O$2)=YEAR($I17),ROUND(((O$2-$I17+1)/365)*$D17,2),AND(YEAR(O$2)&gt;YEAR($I17),YEAR(O$2)-YEAR($I17)&lt;20),$D17,YEAR(O$2)-YEAR($I17)=20,ROUND((DATE(YEAR($I17),12,31)-$I17+1)/365*$D17,2),YEAR(O$2)-YEAR($I17)&gt;20,0)</f>
        <v>2500</v>
      </c>
      <c r="P17" s="48" cm="1">
        <f t="array" ref="P17">_xlfn.IFS(YEAR(P$2)&lt;YEAR($I17),0,YEAR(P$2)=YEAR($I17),ROUND(((P$2-$I17+1)/365)*$D17,2),AND(YEAR(P$2)&gt;YEAR($I17),YEAR(P$2)-YEAR($I17)&lt;20),$D17,YEAR(P$2)-YEAR($I17)=20,ROUND((DATE(YEAR($I17),12,31)-$I17+1)/365*$D17,2),YEAR(P$2)-YEAR($I17)&gt;20,0)</f>
        <v>2500</v>
      </c>
      <c r="Q17" s="48" cm="1">
        <f t="array" ref="Q17">_xlfn.IFS(YEAR(Q$2)&lt;YEAR($I17),0,YEAR(Q$2)=YEAR($I17),ROUND(((Q$2-$I17+1)/365)*$D17,2),AND(YEAR(Q$2)&gt;YEAR($I17),YEAR(Q$2)-YEAR($I17)&lt;20),$D17,YEAR(Q$2)-YEAR($I17)=20,ROUND((DATE(YEAR($I17),12,31)-$I17+1)/365*$D17,2),YEAR(Q$2)-YEAR($I17)&gt;20,0)</f>
        <v>2500</v>
      </c>
      <c r="R17" s="48" cm="1">
        <f t="array" ref="R17">_xlfn.IFS(YEAR(R$2)&lt;YEAR($I17),0,YEAR(R$2)=YEAR($I17),ROUND(((R$2-$I17+1)/365)*$D17,2),AND(YEAR(R$2)&gt;YEAR($I17),YEAR(R$2)-YEAR($I17)&lt;20),$D17,YEAR(R$2)-YEAR($I17)=20,ROUND((DATE(YEAR($I17),12,31)-$I17+1)/365*$D17,2),YEAR(R$2)-YEAR($I17)&gt;20,0)</f>
        <v>2500</v>
      </c>
      <c r="S17" s="48" cm="1">
        <f t="array" ref="S17">_xlfn.IFS(YEAR(S$2)&lt;YEAR($I17),0,YEAR(S$2)=YEAR($I17),ROUND(((S$2-$I17+1)/365)*$D17,2),AND(YEAR(S$2)&gt;YEAR($I17),YEAR(S$2)-YEAR($I17)&lt;20),$D17,YEAR(S$2)-YEAR($I17)=20,ROUND((DATE(YEAR($I17),12,31)-$I17+1)/365*$D17,2),YEAR(S$2)-YEAR($I17)&gt;20,0)</f>
        <v>2500</v>
      </c>
      <c r="T17" s="48" cm="1">
        <f t="array" ref="T17">_xlfn.IFS(YEAR(T$2)&lt;YEAR($I17),0,YEAR(T$2)=YEAR($I17),ROUND(((T$2-$I17+1)/365)*$D17,2),AND(YEAR(T$2)&gt;YEAR($I17),YEAR(T$2)-YEAR($I17)&lt;20),$D17,YEAR(T$2)-YEAR($I17)=20,ROUND((DATE(YEAR($I17),12,31)-$I17+1)/365*$D17,2),YEAR(T$2)-YEAR($I17)&gt;20,0)</f>
        <v>2500</v>
      </c>
      <c r="U17" s="48" cm="1">
        <f t="array" ref="U17">_xlfn.IFS(YEAR(U$2)&lt;YEAR($I17),0,YEAR(U$2)=YEAR($I17),ROUND(((U$2-$I17+1)/365)*$D17,2),AND(YEAR(U$2)&gt;YEAR($I17),YEAR(U$2)-YEAR($I17)&lt;20),$D17,YEAR(U$2)-YEAR($I17)=20,ROUND((DATE(YEAR($I17),12,31)-$I17+1)/365*$D17,2),YEAR(U$2)-YEAR($I17)&gt;20,0)</f>
        <v>2500</v>
      </c>
      <c r="V17" s="48" cm="1">
        <f t="array" ref="V17">_xlfn.IFS(YEAR(V$2)&lt;YEAR($I17),0,YEAR(V$2)=YEAR($I17),ROUND(((V$2-$I17+1)/365)*$D17,2),AND(YEAR(V$2)&gt;YEAR($I17),YEAR(V$2)-YEAR($I17)&lt;20),$D17,YEAR(V$2)-YEAR($I17)=20,ROUND((DATE(YEAR($I17),12,31)-$I17+1)/365*$D17,2),YEAR(V$2)-YEAR($I17)&gt;20,0)</f>
        <v>2500</v>
      </c>
      <c r="W17" s="48" cm="1">
        <f t="array" ref="W17">_xlfn.IFS(YEAR(W$2)&lt;YEAR($I17),0,YEAR(W$2)=YEAR($I17),ROUND(((W$2-$I17+1)/365)*$D17,2),AND(YEAR(W$2)&gt;YEAR($I17),YEAR(W$2)-YEAR($I17)&lt;20),$D17,YEAR(W$2)-YEAR($I17)=20,ROUND((DATE(YEAR($I17),12,31)-$I17+1)/365*$D17,2),YEAR(W$2)-YEAR($I17)&gt;20,0)</f>
        <v>2500</v>
      </c>
      <c r="X17" s="48" cm="1">
        <f t="array" ref="X17">_xlfn.IFS(YEAR(X$2)&lt;YEAR($I17),0,YEAR(X$2)=YEAR($I17),ROUND(((X$2-$I17+1)/365)*$D17,2),AND(YEAR(X$2)&gt;YEAR($I17),YEAR(X$2)-YEAR($I17)&lt;20),$D17,YEAR(X$2)-YEAR($I17)=20,ROUND((DATE(YEAR($I17),12,31)-$I17+1)/365*$D17,2),YEAR(X$2)-YEAR($I17)&gt;20,0)</f>
        <v>2500</v>
      </c>
      <c r="Y17" s="48" cm="1">
        <f t="array" ref="Y17">_xlfn.IFS(YEAR(Y$2)&lt;YEAR($I17),0,YEAR(Y$2)=YEAR($I17),ROUND(((Y$2-$I17+1)/365)*$D17,2),AND(YEAR(Y$2)&gt;YEAR($I17),YEAR(Y$2)-YEAR($I17)&lt;20),$D17,YEAR(Y$2)-YEAR($I17)=20,ROUND((DATE(YEAR($I17),12,31)-$I17+1)/365*$D17,2),YEAR(Y$2)-YEAR($I17)&gt;20,0)</f>
        <v>2500</v>
      </c>
      <c r="Z17" s="48" cm="1">
        <f t="array" ref="Z17">_xlfn.IFS(YEAR(Z$2)&lt;YEAR($I17),0,YEAR(Z$2)=YEAR($I17),ROUND(((Z$2-$I17+1)/365)*$D17,2),AND(YEAR(Z$2)&gt;YEAR($I17),YEAR(Z$2)-YEAR($I17)&lt;20),$D17,YEAR(Z$2)-YEAR($I17)=20,ROUND((DATE(YEAR($I17),12,31)-$I17+1)/365*$D17,2),YEAR(Z$2)-YEAR($I17)&gt;20,0)</f>
        <v>2500</v>
      </c>
      <c r="AA17" s="48" cm="1">
        <f t="array" ref="AA17">_xlfn.IFS(YEAR(AA$2)&lt;YEAR($I17),0,YEAR(AA$2)=YEAR($I17),ROUND(((AA$2-$I17+1)/365)*$D17,2),AND(YEAR(AA$2)&gt;YEAR($I17),YEAR(AA$2)-YEAR($I17)&lt;20),$D17,YEAR(AA$2)-YEAR($I17)=20,ROUND((DATE(YEAR($I17),12,31)-$I17+1)/365*$D17,2),YEAR(AA$2)-YEAR($I17)&gt;20,0)</f>
        <v>2500</v>
      </c>
      <c r="AB17" s="48" cm="1">
        <f t="array" ref="AB17">_xlfn.IFS(YEAR(AB$2)&lt;YEAR($I17),0,YEAR(AB$2)=YEAR($I17),ROUND(((AB$2-$I17+1)/365)*$D17,2),AND(YEAR(AB$2)&gt;YEAR($I17),YEAR(AB$2)-YEAR($I17)&lt;20),$D17,YEAR(AB$2)-YEAR($I17)=20,ROUND((DATE(YEAR($I17),12,31)-$I17+1)/365*$D17,2),YEAR(AB$2)-YEAR($I17)&gt;20,0)</f>
        <v>2500</v>
      </c>
      <c r="AC17" s="48" cm="1">
        <f t="array" ref="AC17">_xlfn.IFS(YEAR(AC$2)&lt;YEAR($I17),0,YEAR(AC$2)=YEAR($I17),ROUND(((AC$2-$I17+1)/365)*$D17,2),AND(YEAR(AC$2)&gt;YEAR($I17),YEAR(AC$2)-YEAR($I17)&lt;20),$D17,YEAR(AC$2)-YEAR($I17)=20,ROUND((DATE(YEAR($I17),12,31)-$I17+1)/365*$D17,2),YEAR(AC$2)-YEAR($I17)&gt;20,0)</f>
        <v>2500</v>
      </c>
      <c r="AD17" s="48" cm="1">
        <f t="array" ref="AD17">_xlfn.IFS(YEAR(AD$2)&lt;YEAR($I17),0,YEAR(AD$2)=YEAR($I17),ROUND(((AD$2-$I17+1)/365)*$D17,2),AND(YEAR(AD$2)&gt;YEAR($I17),YEAR(AD$2)-YEAR($I17)&lt;20),$D17,YEAR(AD$2)-YEAR($I17)=20,ROUND((DATE(YEAR($I17),12,31)-$I17+1)/365*$D17,2),YEAR(AD$2)-YEAR($I17)&gt;20,0)</f>
        <v>2500</v>
      </c>
      <c r="AE17" s="48" cm="1">
        <f t="array" ref="AE17">_xlfn.IFS(YEAR(AE$2)&lt;YEAR($I17),0,YEAR(AE$2)=YEAR($I17),ROUND(((AE$2-$I17+1)/365)*$D17,2),AND(YEAR(AE$2)&gt;YEAR($I17),YEAR(AE$2)-YEAR($I17)&lt;20),$D17,YEAR(AE$2)-YEAR($I17)=20,ROUND((DATE(YEAR($I17),12,31)-$I17+1)/365*$D17,2),YEAR(AE$2)-YEAR($I17)&gt;20,0)</f>
        <v>116.44</v>
      </c>
      <c r="AF17" s="48" cm="1">
        <f t="array" ref="AF17">_xlfn.IFS(YEAR(AF$2)&lt;YEAR($I17),0,YEAR(AF$2)=YEAR($I17),ROUND(((AF$2-$I17+1)/365)*$D17,2),AND(YEAR(AF$2)&gt;YEAR($I17),YEAR(AF$2)-YEAR($I17)&lt;20),$D17,YEAR(AF$2)-YEAR($I17)=20,ROUND((DATE(YEAR($I17),12,31)-$I17+1)/365*$D17,2),YEAR(AF$2)-YEAR($I17)&gt;20,0)</f>
        <v>0</v>
      </c>
      <c r="AG17" s="48" cm="1">
        <f t="array" ref="AG17">_xlfn.IFS(YEAR(AG$2)&lt;YEAR($I17),0,YEAR(AG$2)=YEAR($I17),ROUND(((AG$2-$I17+1)/365)*$D17,2),AND(YEAR(AG$2)&gt;YEAR($I17),YEAR(AG$2)-YEAR($I17)&lt;20),$D17,YEAR(AG$2)-YEAR($I17)=20,ROUND((DATE(YEAR($I17),12,31)-$I17+1)/365*$D17,2),YEAR(AG$2)-YEAR($I17)&gt;20,0)</f>
        <v>0</v>
      </c>
      <c r="AH17" s="48" cm="1">
        <f t="array" ref="AH17">_xlfn.IFS(YEAR(AH$2)&lt;YEAR($I17),0,YEAR(AH$2)=YEAR($I17),ROUND(((AH$2-$I17+1)/365)*$D17,2),AND(YEAR(AH$2)&gt;YEAR($I17),YEAR(AH$2)-YEAR($I17)&lt;20),$D17,YEAR(AH$2)-YEAR($I17)=20,ROUND((DATE(YEAR($I17),12,31)-$I17+1)/365*$D17,2),YEAR(AH$2)-YEAR($I17)&gt;20,0)</f>
        <v>0</v>
      </c>
      <c r="AI17" s="48" cm="1">
        <f t="array" ref="AI17">_xlfn.IFS(YEAR(AI$2)&lt;YEAR($I17),0,YEAR(AI$2)=YEAR($I17),ROUND(((AI$2-$I17+1)/365)*$D17,2),AND(YEAR(AI$2)&gt;YEAR($I17),YEAR(AI$2)-YEAR($I17)&lt;20),$D17,YEAR(AI$2)-YEAR($I17)=20,ROUND((DATE(YEAR($I17),12,31)-$I17+1)/365*$D17,2),YEAR(AI$2)-YEAR($I17)&gt;20,0)</f>
        <v>0</v>
      </c>
      <c r="AJ17" s="48" cm="1">
        <f t="array" ref="AJ17">_xlfn.IFS(YEAR(AJ$2)&lt;YEAR($I17),0,YEAR(AJ$2)=YEAR($I17),ROUND(((AJ$2-$I17+1)/365)*$D17,2),AND(YEAR(AJ$2)&gt;YEAR($I17),YEAR(AJ$2)-YEAR($I17)&lt;20),$D17,YEAR(AJ$2)-YEAR($I17)=20,ROUND((DATE(YEAR($I17),12,31)-$I17+1)/365*$D17,2),YEAR(AJ$2)-YEAR($I17)&gt;20,0)</f>
        <v>0</v>
      </c>
      <c r="AK17" s="48" cm="1">
        <f t="array" ref="AK17">_xlfn.IFS(YEAR(AK$2)&lt;YEAR($I17),0,YEAR(AK$2)=YEAR($I17),ROUND(((AK$2-$I17+1)/365)*$D17,2),AND(YEAR(AK$2)&gt;YEAR($I17),YEAR(AK$2)-YEAR($I17)&lt;20),$D17,YEAR(AK$2)-YEAR($I17)=20,ROUND((DATE(YEAR($I17),12,31)-$I17+1)/365*$D17,2),YEAR(AK$2)-YEAR($I17)&gt;20,0)</f>
        <v>0</v>
      </c>
      <c r="AL17" s="48" cm="1">
        <f t="array" ref="AL17">_xlfn.IFS(YEAR(AL$2)&lt;YEAR($I17),0,YEAR(AL$2)=YEAR($I17),ROUND(((AL$2-$I17+1)/365)*$D17,2),AND(YEAR(AL$2)&gt;YEAR($I17),YEAR(AL$2)-YEAR($I17)&lt;20),$D17,YEAR(AL$2)-YEAR($I17)=20,ROUND((DATE(YEAR($I17),12,31)-$I17+1)/365*$D17,2),YEAR(AL$2)-YEAR($I17)&gt;20,0)</f>
        <v>0</v>
      </c>
      <c r="AM17" s="48" cm="1">
        <f t="array" ref="AM17">_xlfn.IFS(YEAR(AM$2)&lt;YEAR($I17),0,YEAR(AM$2)=YEAR($I17),ROUND(((AM$2-$I17+1)/365)*$D17,2),AND(YEAR(AM$2)&gt;YEAR($I17),YEAR(AM$2)-YEAR($I17)&lt;20),$D17,YEAR(AM$2)-YEAR($I17)=20,ROUND((DATE(YEAR($I17),12,31)-$I17+1)/365*$D17,2),YEAR(AM$2)-YEAR($I17)&gt;20,0)</f>
        <v>0</v>
      </c>
      <c r="AO17" s="48"/>
      <c r="AP17" s="48" cm="1">
        <f t="array" ref="AP17:AY49">TRANSPOSE(AO3:BU12)</f>
        <v>1</v>
      </c>
      <c r="AQ17" s="48">
        <v>1</v>
      </c>
      <c r="AR17" s="48">
        <v>1</v>
      </c>
      <c r="AS17" s="48">
        <v>1</v>
      </c>
      <c r="AT17" s="48">
        <v>1</v>
      </c>
      <c r="AU17" s="48">
        <v>2</v>
      </c>
      <c r="AV17" s="48">
        <v>2</v>
      </c>
      <c r="AW17" s="48">
        <v>2</v>
      </c>
      <c r="AX17" s="48">
        <v>2</v>
      </c>
      <c r="AY17" s="48">
        <v>2</v>
      </c>
    </row>
    <row r="18" spans="1:54">
      <c r="A18" s="155" t="str" cm="1">
        <f t="array" ref="A18">_xlfn.IFS(LEFT(C18,3)="PGE","PGE",LEFT(C18,2)="PP","PAC",TRUE,"IP")</f>
        <v>PGE</v>
      </c>
      <c r="B18" s="155" t="str">
        <f>IF(ISNA(MATCH(C18,'Monthly Report July 2025'!E:E,0)),"Missing","Present")</f>
        <v>Present</v>
      </c>
      <c r="C18" s="155" t="s">
        <v>125</v>
      </c>
      <c r="D18" s="176" cm="1">
        <f t="array" ref="D18">INDEX('Monthly Report July 2025'!L:L,MATCH(C18,'Monthly Report July 2025'!E:E,0),0)</f>
        <v>2500</v>
      </c>
      <c r="E18" s="176" t="str" cm="1">
        <f t="array" ref="E18">IF(INDEX('PA Fees by Project'!K:K,MATCH(C18,'PA Fees by Project'!E:E,0),0)="No","Non-Carve Out", "Carve Out")</f>
        <v>Non-Carve Out</v>
      </c>
      <c r="F18" s="176" cm="1">
        <f t="array" ref="F18">INDEX('PA Fees by Project'!J:J,MATCH(C18,'PA Fees by Project'!E:E,0),0)</f>
        <v>1</v>
      </c>
      <c r="G18" s="155" t="str" cm="1">
        <f t="array" ref="G18">INDEX('PA Fees by Project'!G:G,MATCH(C18,'PA Fees by Project'!E:E,0),0)</f>
        <v>Operational</v>
      </c>
      <c r="H18" s="175" cm="1">
        <f t="array" ref="H18">INDEX('PA Fees by Project'!Q:Q,MATCH(C18,'PA Fees by Project'!E:E,0),0)</f>
        <v>44896</v>
      </c>
      <c r="I18" s="156" cm="1">
        <f t="array" ref="I18">_xlfn.IFS(G18="Operational",H18,G18="Certified",EDATE(INDEX('PA Fees by Project'!R:R,MATCH(C18,'PA Fees by Project'!E:E,0),0),6),TRUE,EDATE(INDEX('PA Fees by Project'!O:O,MATCH(C18,'PA Fees by Project'!E:E,0),0),6))</f>
        <v>44896</v>
      </c>
      <c r="J18" s="48" cm="1">
        <f t="array" ref="J18">_xlfn.IFS(YEAR(J$2)&lt;YEAR($I18),0,YEAR(J$2)=YEAR($I18),ROUND(((J$2-$I18+1)/365)*$D18,2),AND(YEAR(J$2)&gt;YEAR($I18),YEAR(J$2)-YEAR($I18)&lt;20),$D18,YEAR(J$2)-YEAR($I18)=20,ROUND((DATE(YEAR($I18),12,31)-$I18+1)/365*$D18,2),YEAR(J$2)-YEAR($I18)&gt;20,0)</f>
        <v>0</v>
      </c>
      <c r="K18" s="48" cm="1">
        <f t="array" ref="K18">_xlfn.IFS(YEAR(K$2)&lt;YEAR($I18),0,YEAR(K$2)=YEAR($I18),ROUND(((K$2-$I18+1)/365)*$D18,2),AND(YEAR(K$2)&gt;YEAR($I18),YEAR(K$2)-YEAR($I18)&lt;20),$D18,YEAR(K$2)-YEAR($I18)=20,ROUND((DATE(YEAR($I18),12,31)-$I18+1)/365*$D18,2),YEAR(K$2)-YEAR($I18)&gt;20,0)</f>
        <v>212.33</v>
      </c>
      <c r="L18" s="48" cm="1">
        <f t="array" ref="L18">_xlfn.IFS(YEAR(L$2)&lt;YEAR($I18),0,YEAR(L$2)=YEAR($I18),ROUND(((L$2-$I18+1)/365)*$D18,2),AND(YEAR(L$2)&gt;YEAR($I18),YEAR(L$2)-YEAR($I18)&lt;20),$D18,YEAR(L$2)-YEAR($I18)=20,ROUND((DATE(YEAR($I18),12,31)-$I18+1)/365*$D18,2),YEAR(L$2)-YEAR($I18)&gt;20,0)</f>
        <v>2500</v>
      </c>
      <c r="M18" s="48" cm="1">
        <f t="array" ref="M18">_xlfn.IFS(YEAR(M$2)&lt;YEAR($I18),0,YEAR(M$2)=YEAR($I18),ROUND(((M$2-$I18+1)/365)*$D18,2),AND(YEAR(M$2)&gt;YEAR($I18),YEAR(M$2)-YEAR($I18)&lt;20),$D18,YEAR(M$2)-YEAR($I18)=20,ROUND((DATE(YEAR($I18),12,31)-$I18+1)/365*$D18,2),YEAR(M$2)-YEAR($I18)&gt;20,0)</f>
        <v>2500</v>
      </c>
      <c r="N18" s="48" cm="1">
        <f t="array" ref="N18">_xlfn.IFS(YEAR(N$2)&lt;YEAR($I18),0,YEAR(N$2)=YEAR($I18),ROUND(((N$2-$I18+1)/365)*$D18,2),AND(YEAR(N$2)&gt;YEAR($I18),YEAR(N$2)-YEAR($I18)&lt;20),$D18,YEAR(N$2)-YEAR($I18)=20,ROUND((DATE(YEAR($I18),12,31)-$I18+1)/365*$D18,2),YEAR(N$2)-YEAR($I18)&gt;20,0)</f>
        <v>2500</v>
      </c>
      <c r="O18" s="48" cm="1">
        <f t="array" ref="O18">_xlfn.IFS(YEAR(O$2)&lt;YEAR($I18),0,YEAR(O$2)=YEAR($I18),ROUND(((O$2-$I18+1)/365)*$D18,2),AND(YEAR(O$2)&gt;YEAR($I18),YEAR(O$2)-YEAR($I18)&lt;20),$D18,YEAR(O$2)-YEAR($I18)=20,ROUND((DATE(YEAR($I18),12,31)-$I18+1)/365*$D18,2),YEAR(O$2)-YEAR($I18)&gt;20,0)</f>
        <v>2500</v>
      </c>
      <c r="P18" s="48" cm="1">
        <f t="array" ref="P18">_xlfn.IFS(YEAR(P$2)&lt;YEAR($I18),0,YEAR(P$2)=YEAR($I18),ROUND(((P$2-$I18+1)/365)*$D18,2),AND(YEAR(P$2)&gt;YEAR($I18),YEAR(P$2)-YEAR($I18)&lt;20),$D18,YEAR(P$2)-YEAR($I18)=20,ROUND((DATE(YEAR($I18),12,31)-$I18+1)/365*$D18,2),YEAR(P$2)-YEAR($I18)&gt;20,0)</f>
        <v>2500</v>
      </c>
      <c r="Q18" s="48" cm="1">
        <f t="array" ref="Q18">_xlfn.IFS(YEAR(Q$2)&lt;YEAR($I18),0,YEAR(Q$2)=YEAR($I18),ROUND(((Q$2-$I18+1)/365)*$D18,2),AND(YEAR(Q$2)&gt;YEAR($I18),YEAR(Q$2)-YEAR($I18)&lt;20),$D18,YEAR(Q$2)-YEAR($I18)=20,ROUND((DATE(YEAR($I18),12,31)-$I18+1)/365*$D18,2),YEAR(Q$2)-YEAR($I18)&gt;20,0)</f>
        <v>2500</v>
      </c>
      <c r="R18" s="48" cm="1">
        <f t="array" ref="R18">_xlfn.IFS(YEAR(R$2)&lt;YEAR($I18),0,YEAR(R$2)=YEAR($I18),ROUND(((R$2-$I18+1)/365)*$D18,2),AND(YEAR(R$2)&gt;YEAR($I18),YEAR(R$2)-YEAR($I18)&lt;20),$D18,YEAR(R$2)-YEAR($I18)=20,ROUND((DATE(YEAR($I18),12,31)-$I18+1)/365*$D18,2),YEAR(R$2)-YEAR($I18)&gt;20,0)</f>
        <v>2500</v>
      </c>
      <c r="S18" s="48" cm="1">
        <f t="array" ref="S18">_xlfn.IFS(YEAR(S$2)&lt;YEAR($I18),0,YEAR(S$2)=YEAR($I18),ROUND(((S$2-$I18+1)/365)*$D18,2),AND(YEAR(S$2)&gt;YEAR($I18),YEAR(S$2)-YEAR($I18)&lt;20),$D18,YEAR(S$2)-YEAR($I18)=20,ROUND((DATE(YEAR($I18),12,31)-$I18+1)/365*$D18,2),YEAR(S$2)-YEAR($I18)&gt;20,0)</f>
        <v>2500</v>
      </c>
      <c r="T18" s="48" cm="1">
        <f t="array" ref="T18">_xlfn.IFS(YEAR(T$2)&lt;YEAR($I18),0,YEAR(T$2)=YEAR($I18),ROUND(((T$2-$I18+1)/365)*$D18,2),AND(YEAR(T$2)&gt;YEAR($I18),YEAR(T$2)-YEAR($I18)&lt;20),$D18,YEAR(T$2)-YEAR($I18)=20,ROUND((DATE(YEAR($I18),12,31)-$I18+1)/365*$D18,2),YEAR(T$2)-YEAR($I18)&gt;20,0)</f>
        <v>2500</v>
      </c>
      <c r="U18" s="48" cm="1">
        <f t="array" ref="U18">_xlfn.IFS(YEAR(U$2)&lt;YEAR($I18),0,YEAR(U$2)=YEAR($I18),ROUND(((U$2-$I18+1)/365)*$D18,2),AND(YEAR(U$2)&gt;YEAR($I18),YEAR(U$2)-YEAR($I18)&lt;20),$D18,YEAR(U$2)-YEAR($I18)=20,ROUND((DATE(YEAR($I18),12,31)-$I18+1)/365*$D18,2),YEAR(U$2)-YEAR($I18)&gt;20,0)</f>
        <v>2500</v>
      </c>
      <c r="V18" s="48" cm="1">
        <f t="array" ref="V18">_xlfn.IFS(YEAR(V$2)&lt;YEAR($I18),0,YEAR(V$2)=YEAR($I18),ROUND(((V$2-$I18+1)/365)*$D18,2),AND(YEAR(V$2)&gt;YEAR($I18),YEAR(V$2)-YEAR($I18)&lt;20),$D18,YEAR(V$2)-YEAR($I18)=20,ROUND((DATE(YEAR($I18),12,31)-$I18+1)/365*$D18,2),YEAR(V$2)-YEAR($I18)&gt;20,0)</f>
        <v>2500</v>
      </c>
      <c r="W18" s="48" cm="1">
        <f t="array" ref="W18">_xlfn.IFS(YEAR(W$2)&lt;YEAR($I18),0,YEAR(W$2)=YEAR($I18),ROUND(((W$2-$I18+1)/365)*$D18,2),AND(YEAR(W$2)&gt;YEAR($I18),YEAR(W$2)-YEAR($I18)&lt;20),$D18,YEAR(W$2)-YEAR($I18)=20,ROUND((DATE(YEAR($I18),12,31)-$I18+1)/365*$D18,2),YEAR(W$2)-YEAR($I18)&gt;20,0)</f>
        <v>2500</v>
      </c>
      <c r="X18" s="48" cm="1">
        <f t="array" ref="X18">_xlfn.IFS(YEAR(X$2)&lt;YEAR($I18),0,YEAR(X$2)=YEAR($I18),ROUND(((X$2-$I18+1)/365)*$D18,2),AND(YEAR(X$2)&gt;YEAR($I18),YEAR(X$2)-YEAR($I18)&lt;20),$D18,YEAR(X$2)-YEAR($I18)=20,ROUND((DATE(YEAR($I18),12,31)-$I18+1)/365*$D18,2),YEAR(X$2)-YEAR($I18)&gt;20,0)</f>
        <v>2500</v>
      </c>
      <c r="Y18" s="48" cm="1">
        <f t="array" ref="Y18">_xlfn.IFS(YEAR(Y$2)&lt;YEAR($I18),0,YEAR(Y$2)=YEAR($I18),ROUND(((Y$2-$I18+1)/365)*$D18,2),AND(YEAR(Y$2)&gt;YEAR($I18),YEAR(Y$2)-YEAR($I18)&lt;20),$D18,YEAR(Y$2)-YEAR($I18)=20,ROUND((DATE(YEAR($I18),12,31)-$I18+1)/365*$D18,2),YEAR(Y$2)-YEAR($I18)&gt;20,0)</f>
        <v>2500</v>
      </c>
      <c r="Z18" s="48" cm="1">
        <f t="array" ref="Z18">_xlfn.IFS(YEAR(Z$2)&lt;YEAR($I18),0,YEAR(Z$2)=YEAR($I18),ROUND(((Z$2-$I18+1)/365)*$D18,2),AND(YEAR(Z$2)&gt;YEAR($I18),YEAR(Z$2)-YEAR($I18)&lt;20),$D18,YEAR(Z$2)-YEAR($I18)=20,ROUND((DATE(YEAR($I18),12,31)-$I18+1)/365*$D18,2),YEAR(Z$2)-YEAR($I18)&gt;20,0)</f>
        <v>2500</v>
      </c>
      <c r="AA18" s="48" cm="1">
        <f t="array" ref="AA18">_xlfn.IFS(YEAR(AA$2)&lt;YEAR($I18),0,YEAR(AA$2)=YEAR($I18),ROUND(((AA$2-$I18+1)/365)*$D18,2),AND(YEAR(AA$2)&gt;YEAR($I18),YEAR(AA$2)-YEAR($I18)&lt;20),$D18,YEAR(AA$2)-YEAR($I18)=20,ROUND((DATE(YEAR($I18),12,31)-$I18+1)/365*$D18,2),YEAR(AA$2)-YEAR($I18)&gt;20,0)</f>
        <v>2500</v>
      </c>
      <c r="AB18" s="48" cm="1">
        <f t="array" ref="AB18">_xlfn.IFS(YEAR(AB$2)&lt;YEAR($I18),0,YEAR(AB$2)=YEAR($I18),ROUND(((AB$2-$I18+1)/365)*$D18,2),AND(YEAR(AB$2)&gt;YEAR($I18),YEAR(AB$2)-YEAR($I18)&lt;20),$D18,YEAR(AB$2)-YEAR($I18)=20,ROUND((DATE(YEAR($I18),12,31)-$I18+1)/365*$D18,2),YEAR(AB$2)-YEAR($I18)&gt;20,0)</f>
        <v>2500</v>
      </c>
      <c r="AC18" s="48" cm="1">
        <f t="array" ref="AC18">_xlfn.IFS(YEAR(AC$2)&lt;YEAR($I18),0,YEAR(AC$2)=YEAR($I18),ROUND(((AC$2-$I18+1)/365)*$D18,2),AND(YEAR(AC$2)&gt;YEAR($I18),YEAR(AC$2)-YEAR($I18)&lt;20),$D18,YEAR(AC$2)-YEAR($I18)=20,ROUND((DATE(YEAR($I18),12,31)-$I18+1)/365*$D18,2),YEAR(AC$2)-YEAR($I18)&gt;20,0)</f>
        <v>2500</v>
      </c>
      <c r="AD18" s="48" cm="1">
        <f t="array" ref="AD18">_xlfn.IFS(YEAR(AD$2)&lt;YEAR($I18),0,YEAR(AD$2)=YEAR($I18),ROUND(((AD$2-$I18+1)/365)*$D18,2),AND(YEAR(AD$2)&gt;YEAR($I18),YEAR(AD$2)-YEAR($I18)&lt;20),$D18,YEAR(AD$2)-YEAR($I18)=20,ROUND((DATE(YEAR($I18),12,31)-$I18+1)/365*$D18,2),YEAR(AD$2)-YEAR($I18)&gt;20,0)</f>
        <v>2500</v>
      </c>
      <c r="AE18" s="48" cm="1">
        <f t="array" ref="AE18">_xlfn.IFS(YEAR(AE$2)&lt;YEAR($I18),0,YEAR(AE$2)=YEAR($I18),ROUND(((AE$2-$I18+1)/365)*$D18,2),AND(YEAR(AE$2)&gt;YEAR($I18),YEAR(AE$2)-YEAR($I18)&lt;20),$D18,YEAR(AE$2)-YEAR($I18)=20,ROUND((DATE(YEAR($I18),12,31)-$I18+1)/365*$D18,2),YEAR(AE$2)-YEAR($I18)&gt;20,0)</f>
        <v>212.33</v>
      </c>
      <c r="AF18" s="48" cm="1">
        <f t="array" ref="AF18">_xlfn.IFS(YEAR(AF$2)&lt;YEAR($I18),0,YEAR(AF$2)=YEAR($I18),ROUND(((AF$2-$I18+1)/365)*$D18,2),AND(YEAR(AF$2)&gt;YEAR($I18),YEAR(AF$2)-YEAR($I18)&lt;20),$D18,YEAR(AF$2)-YEAR($I18)=20,ROUND((DATE(YEAR($I18),12,31)-$I18+1)/365*$D18,2),YEAR(AF$2)-YEAR($I18)&gt;20,0)</f>
        <v>0</v>
      </c>
      <c r="AG18" s="48" cm="1">
        <f t="array" ref="AG18">_xlfn.IFS(YEAR(AG$2)&lt;YEAR($I18),0,YEAR(AG$2)=YEAR($I18),ROUND(((AG$2-$I18+1)/365)*$D18,2),AND(YEAR(AG$2)&gt;YEAR($I18),YEAR(AG$2)-YEAR($I18)&lt;20),$D18,YEAR(AG$2)-YEAR($I18)=20,ROUND((DATE(YEAR($I18),12,31)-$I18+1)/365*$D18,2),YEAR(AG$2)-YEAR($I18)&gt;20,0)</f>
        <v>0</v>
      </c>
      <c r="AH18" s="48" cm="1">
        <f t="array" ref="AH18">_xlfn.IFS(YEAR(AH$2)&lt;YEAR($I18),0,YEAR(AH$2)=YEAR($I18),ROUND(((AH$2-$I18+1)/365)*$D18,2),AND(YEAR(AH$2)&gt;YEAR($I18),YEAR(AH$2)-YEAR($I18)&lt;20),$D18,YEAR(AH$2)-YEAR($I18)=20,ROUND((DATE(YEAR($I18),12,31)-$I18+1)/365*$D18,2),YEAR(AH$2)-YEAR($I18)&gt;20,0)</f>
        <v>0</v>
      </c>
      <c r="AI18" s="48" cm="1">
        <f t="array" ref="AI18">_xlfn.IFS(YEAR(AI$2)&lt;YEAR($I18),0,YEAR(AI$2)=YEAR($I18),ROUND(((AI$2-$I18+1)/365)*$D18,2),AND(YEAR(AI$2)&gt;YEAR($I18),YEAR(AI$2)-YEAR($I18)&lt;20),$D18,YEAR(AI$2)-YEAR($I18)=20,ROUND((DATE(YEAR($I18),12,31)-$I18+1)/365*$D18,2),YEAR(AI$2)-YEAR($I18)&gt;20,0)</f>
        <v>0</v>
      </c>
      <c r="AJ18" s="48" cm="1">
        <f t="array" ref="AJ18">_xlfn.IFS(YEAR(AJ$2)&lt;YEAR($I18),0,YEAR(AJ$2)=YEAR($I18),ROUND(((AJ$2-$I18+1)/365)*$D18,2),AND(YEAR(AJ$2)&gt;YEAR($I18),YEAR(AJ$2)-YEAR($I18)&lt;20),$D18,YEAR(AJ$2)-YEAR($I18)=20,ROUND((DATE(YEAR($I18),12,31)-$I18+1)/365*$D18,2),YEAR(AJ$2)-YEAR($I18)&gt;20,0)</f>
        <v>0</v>
      </c>
      <c r="AK18" s="48" cm="1">
        <f t="array" ref="AK18">_xlfn.IFS(YEAR(AK$2)&lt;YEAR($I18),0,YEAR(AK$2)=YEAR($I18),ROUND(((AK$2-$I18+1)/365)*$D18,2),AND(YEAR(AK$2)&gt;YEAR($I18),YEAR(AK$2)-YEAR($I18)&lt;20),$D18,YEAR(AK$2)-YEAR($I18)=20,ROUND((DATE(YEAR($I18),12,31)-$I18+1)/365*$D18,2),YEAR(AK$2)-YEAR($I18)&gt;20,0)</f>
        <v>0</v>
      </c>
      <c r="AL18" s="48" cm="1">
        <f t="array" ref="AL18">_xlfn.IFS(YEAR(AL$2)&lt;YEAR($I18),0,YEAR(AL$2)=YEAR($I18),ROUND(((AL$2-$I18+1)/365)*$D18,2),AND(YEAR(AL$2)&gt;YEAR($I18),YEAR(AL$2)-YEAR($I18)&lt;20),$D18,YEAR(AL$2)-YEAR($I18)=20,ROUND((DATE(YEAR($I18),12,31)-$I18+1)/365*$D18,2),YEAR(AL$2)-YEAR($I18)&gt;20,0)</f>
        <v>0</v>
      </c>
      <c r="AM18" s="48" cm="1">
        <f t="array" ref="AM18">_xlfn.IFS(YEAR(AM$2)&lt;YEAR($I18),0,YEAR(AM$2)=YEAR($I18),ROUND(((AM$2-$I18+1)/365)*$D18,2),AND(YEAR(AM$2)&gt;YEAR($I18),YEAR(AM$2)-YEAR($I18)&lt;20),$D18,YEAR(AM$2)-YEAR($I18)=20,ROUND((DATE(YEAR($I18),12,31)-$I18+1)/365*$D18,2),YEAR(AM$2)-YEAR($I18)&gt;20,0)</f>
        <v>0</v>
      </c>
      <c r="AO18" s="48"/>
      <c r="AP18" s="48" t="str">
        <v>PGE</v>
      </c>
      <c r="AQ18" s="48" t="str">
        <v>PGE</v>
      </c>
      <c r="AR18" s="48" t="str">
        <v>PAC</v>
      </c>
      <c r="AS18" s="48" t="str">
        <v>PAC</v>
      </c>
      <c r="AT18" s="48" t="str">
        <v>IP</v>
      </c>
      <c r="AU18" s="48" t="str">
        <v>PGE</v>
      </c>
      <c r="AV18" s="48" t="str">
        <v>PGE</v>
      </c>
      <c r="AW18" s="48" t="str">
        <v>PAC</v>
      </c>
      <c r="AX18" s="48" t="str">
        <v>PAC</v>
      </c>
      <c r="AY18" s="48" t="str">
        <v>IP</v>
      </c>
    </row>
    <row r="19" spans="1:54">
      <c r="A19" s="155" t="str" cm="1">
        <f t="array" ref="A19">_xlfn.IFS(LEFT(C19,3)="PGE","PGE",LEFT(C19,2)="PP","PAC",TRUE,"IP")</f>
        <v>PGE</v>
      </c>
      <c r="B19" s="155" t="str">
        <f>IF(ISNA(MATCH(C19,'Monthly Report July 2025'!E:E,0)),"Missing","Present")</f>
        <v>Present</v>
      </c>
      <c r="C19" s="155" t="s">
        <v>126</v>
      </c>
      <c r="D19" s="176" cm="1">
        <f t="array" ref="D19">INDEX('Monthly Report July 2025'!L:L,MATCH(C19,'Monthly Report July 2025'!E:E,0),0)</f>
        <v>300</v>
      </c>
      <c r="E19" s="176" t="str" cm="1">
        <f t="array" ref="E19">IF(INDEX('PA Fees by Project'!K:K,MATCH(C19,'PA Fees by Project'!E:E,0),0)="No","Non-Carve Out", "Carve Out")</f>
        <v>Carve Out</v>
      </c>
      <c r="F19" s="176" cm="1">
        <f t="array" ref="F19">INDEX('PA Fees by Project'!J:J,MATCH(C19,'PA Fees by Project'!E:E,0),0)</f>
        <v>2</v>
      </c>
      <c r="G19" s="155" t="str" cm="1">
        <f t="array" ref="G19">INDEX('PA Fees by Project'!G:G,MATCH(C19,'PA Fees by Project'!E:E,0),0)</f>
        <v>Operational</v>
      </c>
      <c r="H19" s="175" cm="1">
        <f t="array" ref="H19">INDEX('PA Fees by Project'!Q:Q,MATCH(C19,'PA Fees by Project'!E:E,0),0)</f>
        <v>45433</v>
      </c>
      <c r="I19" s="156" cm="1">
        <f t="array" ref="I19">_xlfn.IFS(G19="Operational",H19,G19="Certified",EDATE(INDEX('PA Fees by Project'!R:R,MATCH(C19,'PA Fees by Project'!E:E,0),0),6),TRUE,EDATE(INDEX('PA Fees by Project'!O:O,MATCH(C19,'PA Fees by Project'!E:E,0),0),6))</f>
        <v>45433</v>
      </c>
      <c r="J19" s="48" cm="1">
        <f t="array" ref="J19">_xlfn.IFS(YEAR(J$2)&lt;YEAR($I19),0,YEAR(J$2)=YEAR($I19),ROUND(((J$2-$I19+1)/365)*$D19,2),AND(YEAR(J$2)&gt;YEAR($I19),YEAR(J$2)-YEAR($I19)&lt;20),$D19,YEAR(J$2)-YEAR($I19)=20,ROUND((DATE(YEAR($I19),12,31)-$I19+1)/365*$D19,2),YEAR(J$2)-YEAR($I19)&gt;20,0)</f>
        <v>0</v>
      </c>
      <c r="K19" s="48" cm="1">
        <f t="array" ref="K19">_xlfn.IFS(YEAR(K$2)&lt;YEAR($I19),0,YEAR(K$2)=YEAR($I19),ROUND(((K$2-$I19+1)/365)*$D19,2),AND(YEAR(K$2)&gt;YEAR($I19),YEAR(K$2)-YEAR($I19)&lt;20),$D19,YEAR(K$2)-YEAR($I19)=20,ROUND((DATE(YEAR($I19),12,31)-$I19+1)/365*$D19,2),YEAR(K$2)-YEAR($I19)&gt;20,0)</f>
        <v>0</v>
      </c>
      <c r="L19" s="48" cm="1">
        <f t="array" ref="L19">_xlfn.IFS(YEAR(L$2)&lt;YEAR($I19),0,YEAR(L$2)=YEAR($I19),ROUND(((L$2-$I19+1)/365)*$D19,2),AND(YEAR(L$2)&gt;YEAR($I19),YEAR(L$2)-YEAR($I19)&lt;20),$D19,YEAR(L$2)-YEAR($I19)=20,ROUND((DATE(YEAR($I19),12,31)-$I19+1)/365*$D19,2),YEAR(L$2)-YEAR($I19)&gt;20,0)</f>
        <v>0</v>
      </c>
      <c r="M19" s="48" cm="1">
        <f t="array" ref="M19">_xlfn.IFS(YEAR(M$2)&lt;YEAR($I19),0,YEAR(M$2)=YEAR($I19),ROUND(((M$2-$I19+1)/365)*$D19,2),AND(YEAR(M$2)&gt;YEAR($I19),YEAR(M$2)-YEAR($I19)&lt;20),$D19,YEAR(M$2)-YEAR($I19)=20,ROUND((DATE(YEAR($I19),12,31)-$I19+1)/365*$D19,2),YEAR(M$2)-YEAR($I19)&gt;20,0)</f>
        <v>184.93</v>
      </c>
      <c r="N19" s="48" cm="1">
        <f t="array" ref="N19">_xlfn.IFS(YEAR(N$2)&lt;YEAR($I19),0,YEAR(N$2)=YEAR($I19),ROUND(((N$2-$I19+1)/365)*$D19,2),AND(YEAR(N$2)&gt;YEAR($I19),YEAR(N$2)-YEAR($I19)&lt;20),$D19,YEAR(N$2)-YEAR($I19)=20,ROUND((DATE(YEAR($I19),12,31)-$I19+1)/365*$D19,2),YEAR(N$2)-YEAR($I19)&gt;20,0)</f>
        <v>300</v>
      </c>
      <c r="O19" s="48" cm="1">
        <f t="array" ref="O19">_xlfn.IFS(YEAR(O$2)&lt;YEAR($I19),0,YEAR(O$2)=YEAR($I19),ROUND(((O$2-$I19+1)/365)*$D19,2),AND(YEAR(O$2)&gt;YEAR($I19),YEAR(O$2)-YEAR($I19)&lt;20),$D19,YEAR(O$2)-YEAR($I19)=20,ROUND((DATE(YEAR($I19),12,31)-$I19+1)/365*$D19,2),YEAR(O$2)-YEAR($I19)&gt;20,0)</f>
        <v>300</v>
      </c>
      <c r="P19" s="48" cm="1">
        <f t="array" ref="P19">_xlfn.IFS(YEAR(P$2)&lt;YEAR($I19),0,YEAR(P$2)=YEAR($I19),ROUND(((P$2-$I19+1)/365)*$D19,2),AND(YEAR(P$2)&gt;YEAR($I19),YEAR(P$2)-YEAR($I19)&lt;20),$D19,YEAR(P$2)-YEAR($I19)=20,ROUND((DATE(YEAR($I19),12,31)-$I19+1)/365*$D19,2),YEAR(P$2)-YEAR($I19)&gt;20,0)</f>
        <v>300</v>
      </c>
      <c r="Q19" s="48" cm="1">
        <f t="array" ref="Q19">_xlfn.IFS(YEAR(Q$2)&lt;YEAR($I19),0,YEAR(Q$2)=YEAR($I19),ROUND(((Q$2-$I19+1)/365)*$D19,2),AND(YEAR(Q$2)&gt;YEAR($I19),YEAR(Q$2)-YEAR($I19)&lt;20),$D19,YEAR(Q$2)-YEAR($I19)=20,ROUND((DATE(YEAR($I19),12,31)-$I19+1)/365*$D19,2),YEAR(Q$2)-YEAR($I19)&gt;20,0)</f>
        <v>300</v>
      </c>
      <c r="R19" s="48" cm="1">
        <f t="array" ref="R19">_xlfn.IFS(YEAR(R$2)&lt;YEAR($I19),0,YEAR(R$2)=YEAR($I19),ROUND(((R$2-$I19+1)/365)*$D19,2),AND(YEAR(R$2)&gt;YEAR($I19),YEAR(R$2)-YEAR($I19)&lt;20),$D19,YEAR(R$2)-YEAR($I19)=20,ROUND((DATE(YEAR($I19),12,31)-$I19+1)/365*$D19,2),YEAR(R$2)-YEAR($I19)&gt;20,0)</f>
        <v>300</v>
      </c>
      <c r="S19" s="48" cm="1">
        <f t="array" ref="S19">_xlfn.IFS(YEAR(S$2)&lt;YEAR($I19),0,YEAR(S$2)=YEAR($I19),ROUND(((S$2-$I19+1)/365)*$D19,2),AND(YEAR(S$2)&gt;YEAR($I19),YEAR(S$2)-YEAR($I19)&lt;20),$D19,YEAR(S$2)-YEAR($I19)=20,ROUND((DATE(YEAR($I19),12,31)-$I19+1)/365*$D19,2),YEAR(S$2)-YEAR($I19)&gt;20,0)</f>
        <v>300</v>
      </c>
      <c r="T19" s="48" cm="1">
        <f t="array" ref="T19">_xlfn.IFS(YEAR(T$2)&lt;YEAR($I19),0,YEAR(T$2)=YEAR($I19),ROUND(((T$2-$I19+1)/365)*$D19,2),AND(YEAR(T$2)&gt;YEAR($I19),YEAR(T$2)-YEAR($I19)&lt;20),$D19,YEAR(T$2)-YEAR($I19)=20,ROUND((DATE(YEAR($I19),12,31)-$I19+1)/365*$D19,2),YEAR(T$2)-YEAR($I19)&gt;20,0)</f>
        <v>300</v>
      </c>
      <c r="U19" s="48" cm="1">
        <f t="array" ref="U19">_xlfn.IFS(YEAR(U$2)&lt;YEAR($I19),0,YEAR(U$2)=YEAR($I19),ROUND(((U$2-$I19+1)/365)*$D19,2),AND(YEAR(U$2)&gt;YEAR($I19),YEAR(U$2)-YEAR($I19)&lt;20),$D19,YEAR(U$2)-YEAR($I19)=20,ROUND((DATE(YEAR($I19),12,31)-$I19+1)/365*$D19,2),YEAR(U$2)-YEAR($I19)&gt;20,0)</f>
        <v>300</v>
      </c>
      <c r="V19" s="48" cm="1">
        <f t="array" ref="V19">_xlfn.IFS(YEAR(V$2)&lt;YEAR($I19),0,YEAR(V$2)=YEAR($I19),ROUND(((V$2-$I19+1)/365)*$D19,2),AND(YEAR(V$2)&gt;YEAR($I19),YEAR(V$2)-YEAR($I19)&lt;20),$D19,YEAR(V$2)-YEAR($I19)=20,ROUND((DATE(YEAR($I19),12,31)-$I19+1)/365*$D19,2),YEAR(V$2)-YEAR($I19)&gt;20,0)</f>
        <v>300</v>
      </c>
      <c r="W19" s="48" cm="1">
        <f t="array" ref="W19">_xlfn.IFS(YEAR(W$2)&lt;YEAR($I19),0,YEAR(W$2)=YEAR($I19),ROUND(((W$2-$I19+1)/365)*$D19,2),AND(YEAR(W$2)&gt;YEAR($I19),YEAR(W$2)-YEAR($I19)&lt;20),$D19,YEAR(W$2)-YEAR($I19)=20,ROUND((DATE(YEAR($I19),12,31)-$I19+1)/365*$D19,2),YEAR(W$2)-YEAR($I19)&gt;20,0)</f>
        <v>300</v>
      </c>
      <c r="X19" s="48" cm="1">
        <f t="array" ref="X19">_xlfn.IFS(YEAR(X$2)&lt;YEAR($I19),0,YEAR(X$2)=YEAR($I19),ROUND(((X$2-$I19+1)/365)*$D19,2),AND(YEAR(X$2)&gt;YEAR($I19),YEAR(X$2)-YEAR($I19)&lt;20),$D19,YEAR(X$2)-YEAR($I19)=20,ROUND((DATE(YEAR($I19),12,31)-$I19+1)/365*$D19,2),YEAR(X$2)-YEAR($I19)&gt;20,0)</f>
        <v>300</v>
      </c>
      <c r="Y19" s="48" cm="1">
        <f t="array" ref="Y19">_xlfn.IFS(YEAR(Y$2)&lt;YEAR($I19),0,YEAR(Y$2)=YEAR($I19),ROUND(((Y$2-$I19+1)/365)*$D19,2),AND(YEAR(Y$2)&gt;YEAR($I19),YEAR(Y$2)-YEAR($I19)&lt;20),$D19,YEAR(Y$2)-YEAR($I19)=20,ROUND((DATE(YEAR($I19),12,31)-$I19+1)/365*$D19,2),YEAR(Y$2)-YEAR($I19)&gt;20,0)</f>
        <v>300</v>
      </c>
      <c r="Z19" s="48" cm="1">
        <f t="array" ref="Z19">_xlfn.IFS(YEAR(Z$2)&lt;YEAR($I19),0,YEAR(Z$2)=YEAR($I19),ROUND(((Z$2-$I19+1)/365)*$D19,2),AND(YEAR(Z$2)&gt;YEAR($I19),YEAR(Z$2)-YEAR($I19)&lt;20),$D19,YEAR(Z$2)-YEAR($I19)=20,ROUND((DATE(YEAR($I19),12,31)-$I19+1)/365*$D19,2),YEAR(Z$2)-YEAR($I19)&gt;20,0)</f>
        <v>300</v>
      </c>
      <c r="AA19" s="48" cm="1">
        <f t="array" ref="AA19">_xlfn.IFS(YEAR(AA$2)&lt;YEAR($I19),0,YEAR(AA$2)=YEAR($I19),ROUND(((AA$2-$I19+1)/365)*$D19,2),AND(YEAR(AA$2)&gt;YEAR($I19),YEAR(AA$2)-YEAR($I19)&lt;20),$D19,YEAR(AA$2)-YEAR($I19)=20,ROUND((DATE(YEAR($I19),12,31)-$I19+1)/365*$D19,2),YEAR(AA$2)-YEAR($I19)&gt;20,0)</f>
        <v>300</v>
      </c>
      <c r="AB19" s="48" cm="1">
        <f t="array" ref="AB19">_xlfn.IFS(YEAR(AB$2)&lt;YEAR($I19),0,YEAR(AB$2)=YEAR($I19),ROUND(((AB$2-$I19+1)/365)*$D19,2),AND(YEAR(AB$2)&gt;YEAR($I19),YEAR(AB$2)-YEAR($I19)&lt;20),$D19,YEAR(AB$2)-YEAR($I19)=20,ROUND((DATE(YEAR($I19),12,31)-$I19+1)/365*$D19,2),YEAR(AB$2)-YEAR($I19)&gt;20,0)</f>
        <v>300</v>
      </c>
      <c r="AC19" s="48" cm="1">
        <f t="array" ref="AC19">_xlfn.IFS(YEAR(AC$2)&lt;YEAR($I19),0,YEAR(AC$2)=YEAR($I19),ROUND(((AC$2-$I19+1)/365)*$D19,2),AND(YEAR(AC$2)&gt;YEAR($I19),YEAR(AC$2)-YEAR($I19)&lt;20),$D19,YEAR(AC$2)-YEAR($I19)=20,ROUND((DATE(YEAR($I19),12,31)-$I19+1)/365*$D19,2),YEAR(AC$2)-YEAR($I19)&gt;20,0)</f>
        <v>300</v>
      </c>
      <c r="AD19" s="48" cm="1">
        <f t="array" ref="AD19">_xlfn.IFS(YEAR(AD$2)&lt;YEAR($I19),0,YEAR(AD$2)=YEAR($I19),ROUND(((AD$2-$I19+1)/365)*$D19,2),AND(YEAR(AD$2)&gt;YEAR($I19),YEAR(AD$2)-YEAR($I19)&lt;20),$D19,YEAR(AD$2)-YEAR($I19)=20,ROUND((DATE(YEAR($I19),12,31)-$I19+1)/365*$D19,2),YEAR(AD$2)-YEAR($I19)&gt;20,0)</f>
        <v>300</v>
      </c>
      <c r="AE19" s="48" cm="1">
        <f t="array" ref="AE19">_xlfn.IFS(YEAR(AE$2)&lt;YEAR($I19),0,YEAR(AE$2)=YEAR($I19),ROUND(((AE$2-$I19+1)/365)*$D19,2),AND(YEAR(AE$2)&gt;YEAR($I19),YEAR(AE$2)-YEAR($I19)&lt;20),$D19,YEAR(AE$2)-YEAR($I19)=20,ROUND((DATE(YEAR($I19),12,31)-$I19+1)/365*$D19,2),YEAR(AE$2)-YEAR($I19)&gt;20,0)</f>
        <v>300</v>
      </c>
      <c r="AF19" s="48" cm="1">
        <f t="array" ref="AF19">_xlfn.IFS(YEAR(AF$2)&lt;YEAR($I19),0,YEAR(AF$2)=YEAR($I19),ROUND(((AF$2-$I19+1)/365)*$D19,2),AND(YEAR(AF$2)&gt;YEAR($I19),YEAR(AF$2)-YEAR($I19)&lt;20),$D19,YEAR(AF$2)-YEAR($I19)=20,ROUND((DATE(YEAR($I19),12,31)-$I19+1)/365*$D19,2),YEAR(AF$2)-YEAR($I19)&gt;20,0)</f>
        <v>300</v>
      </c>
      <c r="AG19" s="48" cm="1">
        <f t="array" ref="AG19">_xlfn.IFS(YEAR(AG$2)&lt;YEAR($I19),0,YEAR(AG$2)=YEAR($I19),ROUND(((AG$2-$I19+1)/365)*$D19,2),AND(YEAR(AG$2)&gt;YEAR($I19),YEAR(AG$2)-YEAR($I19)&lt;20),$D19,YEAR(AG$2)-YEAR($I19)=20,ROUND((DATE(YEAR($I19),12,31)-$I19+1)/365*$D19,2),YEAR(AG$2)-YEAR($I19)&gt;20,0)</f>
        <v>184.93</v>
      </c>
      <c r="AH19" s="48" cm="1">
        <f t="array" ref="AH19">_xlfn.IFS(YEAR(AH$2)&lt;YEAR($I19),0,YEAR(AH$2)=YEAR($I19),ROUND(((AH$2-$I19+1)/365)*$D19,2),AND(YEAR(AH$2)&gt;YEAR($I19),YEAR(AH$2)-YEAR($I19)&lt;20),$D19,YEAR(AH$2)-YEAR($I19)=20,ROUND((DATE(YEAR($I19),12,31)-$I19+1)/365*$D19,2),YEAR(AH$2)-YEAR($I19)&gt;20,0)</f>
        <v>0</v>
      </c>
      <c r="AI19" s="48" cm="1">
        <f t="array" ref="AI19">_xlfn.IFS(YEAR(AI$2)&lt;YEAR($I19),0,YEAR(AI$2)=YEAR($I19),ROUND(((AI$2-$I19+1)/365)*$D19,2),AND(YEAR(AI$2)&gt;YEAR($I19),YEAR(AI$2)-YEAR($I19)&lt;20),$D19,YEAR(AI$2)-YEAR($I19)=20,ROUND((DATE(YEAR($I19),12,31)-$I19+1)/365*$D19,2),YEAR(AI$2)-YEAR($I19)&gt;20,0)</f>
        <v>0</v>
      </c>
      <c r="AJ19" s="48" cm="1">
        <f t="array" ref="AJ19">_xlfn.IFS(YEAR(AJ$2)&lt;YEAR($I19),0,YEAR(AJ$2)=YEAR($I19),ROUND(((AJ$2-$I19+1)/365)*$D19,2),AND(YEAR(AJ$2)&gt;YEAR($I19),YEAR(AJ$2)-YEAR($I19)&lt;20),$D19,YEAR(AJ$2)-YEAR($I19)=20,ROUND((DATE(YEAR($I19),12,31)-$I19+1)/365*$D19,2),YEAR(AJ$2)-YEAR($I19)&gt;20,0)</f>
        <v>0</v>
      </c>
      <c r="AK19" s="48" cm="1">
        <f t="array" ref="AK19">_xlfn.IFS(YEAR(AK$2)&lt;YEAR($I19),0,YEAR(AK$2)=YEAR($I19),ROUND(((AK$2-$I19+1)/365)*$D19,2),AND(YEAR(AK$2)&gt;YEAR($I19),YEAR(AK$2)-YEAR($I19)&lt;20),$D19,YEAR(AK$2)-YEAR($I19)=20,ROUND((DATE(YEAR($I19),12,31)-$I19+1)/365*$D19,2),YEAR(AK$2)-YEAR($I19)&gt;20,0)</f>
        <v>0</v>
      </c>
      <c r="AL19" s="48" cm="1">
        <f t="array" ref="AL19">_xlfn.IFS(YEAR(AL$2)&lt;YEAR($I19),0,YEAR(AL$2)=YEAR($I19),ROUND(((AL$2-$I19+1)/365)*$D19,2),AND(YEAR(AL$2)&gt;YEAR($I19),YEAR(AL$2)-YEAR($I19)&lt;20),$D19,YEAR(AL$2)-YEAR($I19)=20,ROUND((DATE(YEAR($I19),12,31)-$I19+1)/365*$D19,2),YEAR(AL$2)-YEAR($I19)&gt;20,0)</f>
        <v>0</v>
      </c>
      <c r="AM19" s="48" cm="1">
        <f t="array" ref="AM19">_xlfn.IFS(YEAR(AM$2)&lt;YEAR($I19),0,YEAR(AM$2)=YEAR($I19),ROUND(((AM$2-$I19+1)/365)*$D19,2),AND(YEAR(AM$2)&gt;YEAR($I19),YEAR(AM$2)-YEAR($I19)&lt;20),$D19,YEAR(AM$2)-YEAR($I19)=20,ROUND((DATE(YEAR($I19),12,31)-$I19+1)/365*$D19,2),YEAR(AM$2)-YEAR($I19)&gt;20,0)</f>
        <v>0</v>
      </c>
      <c r="AO19" s="48"/>
      <c r="AP19" s="48" t="str">
        <v>Carve Out</v>
      </c>
      <c r="AQ19" s="48" t="str">
        <v>Non-Carve Out</v>
      </c>
      <c r="AR19" s="48" t="str">
        <v>Carve Out</v>
      </c>
      <c r="AS19" s="48" t="str">
        <v>Non-Carve Out</v>
      </c>
      <c r="AT19" s="48" t="str">
        <v>Non-Carve Out</v>
      </c>
      <c r="AU19" s="48" t="str">
        <v>Carve Out</v>
      </c>
      <c r="AV19" s="48" t="str">
        <v>Non-Carve Out</v>
      </c>
      <c r="AW19" s="48" t="str">
        <v>Carve Out</v>
      </c>
      <c r="AX19" s="48" t="str">
        <v>Non-Carve Out</v>
      </c>
      <c r="AY19" s="48" t="str">
        <v>Non-Carve Out</v>
      </c>
      <c r="BA19" s="48" t="s">
        <v>127</v>
      </c>
      <c r="BB19" s="48" t="s">
        <v>128</v>
      </c>
    </row>
    <row r="20" spans="1:54">
      <c r="A20" s="155" t="str" cm="1">
        <f t="array" ref="A20">_xlfn.IFS(LEFT(C20,3)="PGE","PGE",LEFT(C20,2)="PP","PAC",TRUE,"IP")</f>
        <v>PAC</v>
      </c>
      <c r="B20" s="155" t="str">
        <f>IF(ISNA(MATCH(C20,'Monthly Report July 2025'!E:E,0)),"Missing","Present")</f>
        <v>Present</v>
      </c>
      <c r="C20" s="155" t="s">
        <v>129</v>
      </c>
      <c r="D20" s="176" cm="1">
        <f t="array" ref="D20">INDEX('Monthly Report July 2025'!L:L,MATCH(C20,'Monthly Report July 2025'!E:E,0),0)</f>
        <v>360</v>
      </c>
      <c r="E20" s="176" t="str" cm="1">
        <f t="array" ref="E20">IF(INDEX('PA Fees by Project'!K:K,MATCH(C20,'PA Fees by Project'!E:E,0),0)="No","Non-Carve Out", "Carve Out")</f>
        <v>Carve Out</v>
      </c>
      <c r="F20" s="176" cm="1">
        <f t="array" ref="F20">INDEX('PA Fees by Project'!J:J,MATCH(C20,'PA Fees by Project'!E:E,0),0)</f>
        <v>1</v>
      </c>
      <c r="G20" s="155" t="str" cm="1">
        <f t="array" ref="G20">INDEX('PA Fees by Project'!G:G,MATCH(C20,'PA Fees by Project'!E:E,0),0)</f>
        <v>Operational</v>
      </c>
      <c r="H20" s="175" cm="1">
        <f t="array" ref="H20">INDEX('PA Fees by Project'!Q:Q,MATCH(C20,'PA Fees by Project'!E:E,0),0)</f>
        <v>44743</v>
      </c>
      <c r="I20" s="156" cm="1">
        <f t="array" ref="I20">_xlfn.IFS(G20="Operational",H20,G20="Certified",EDATE(INDEX('PA Fees by Project'!R:R,MATCH(C20,'PA Fees by Project'!E:E,0),0),6),TRUE,EDATE(INDEX('PA Fees by Project'!O:O,MATCH(C20,'PA Fees by Project'!E:E,0),0),6))</f>
        <v>44743</v>
      </c>
      <c r="J20" s="48" cm="1">
        <f t="array" ref="J20">_xlfn.IFS(YEAR(J$2)&lt;YEAR($I20),0,YEAR(J$2)=YEAR($I20),ROUND(((J$2-$I20+1)/365)*$D20,2),AND(YEAR(J$2)&gt;YEAR($I20),YEAR(J$2)-YEAR($I20)&lt;20),$D20,YEAR(J$2)-YEAR($I20)=20,ROUND((DATE(YEAR($I20),12,31)-$I20+1)/365*$D20,2),YEAR(J$2)-YEAR($I20)&gt;20,0)</f>
        <v>0</v>
      </c>
      <c r="K20" s="48" cm="1">
        <f t="array" ref="K20">_xlfn.IFS(YEAR(K$2)&lt;YEAR($I20),0,YEAR(K$2)=YEAR($I20),ROUND(((K$2-$I20+1)/365)*$D20,2),AND(YEAR(K$2)&gt;YEAR($I20),YEAR(K$2)-YEAR($I20)&lt;20),$D20,YEAR(K$2)-YEAR($I20)=20,ROUND((DATE(YEAR($I20),12,31)-$I20+1)/365*$D20,2),YEAR(K$2)-YEAR($I20)&gt;20,0)</f>
        <v>181.48</v>
      </c>
      <c r="L20" s="48" cm="1">
        <f t="array" ref="L20">_xlfn.IFS(YEAR(L$2)&lt;YEAR($I20),0,YEAR(L$2)=YEAR($I20),ROUND(((L$2-$I20+1)/365)*$D20,2),AND(YEAR(L$2)&gt;YEAR($I20),YEAR(L$2)-YEAR($I20)&lt;20),$D20,YEAR(L$2)-YEAR($I20)=20,ROUND((DATE(YEAR($I20),12,31)-$I20+1)/365*$D20,2),YEAR(L$2)-YEAR($I20)&gt;20,0)</f>
        <v>360</v>
      </c>
      <c r="M20" s="48" cm="1">
        <f t="array" ref="M20">_xlfn.IFS(YEAR(M$2)&lt;YEAR($I20),0,YEAR(M$2)=YEAR($I20),ROUND(((M$2-$I20+1)/365)*$D20,2),AND(YEAR(M$2)&gt;YEAR($I20),YEAR(M$2)-YEAR($I20)&lt;20),$D20,YEAR(M$2)-YEAR($I20)=20,ROUND((DATE(YEAR($I20),12,31)-$I20+1)/365*$D20,2),YEAR(M$2)-YEAR($I20)&gt;20,0)</f>
        <v>360</v>
      </c>
      <c r="N20" s="48" cm="1">
        <f t="array" ref="N20">_xlfn.IFS(YEAR(N$2)&lt;YEAR($I20),0,YEAR(N$2)=YEAR($I20),ROUND(((N$2-$I20+1)/365)*$D20,2),AND(YEAR(N$2)&gt;YEAR($I20),YEAR(N$2)-YEAR($I20)&lt;20),$D20,YEAR(N$2)-YEAR($I20)=20,ROUND((DATE(YEAR($I20),12,31)-$I20+1)/365*$D20,2),YEAR(N$2)-YEAR($I20)&gt;20,0)</f>
        <v>360</v>
      </c>
      <c r="O20" s="48" cm="1">
        <f t="array" ref="O20">_xlfn.IFS(YEAR(O$2)&lt;YEAR($I20),0,YEAR(O$2)=YEAR($I20),ROUND(((O$2-$I20+1)/365)*$D20,2),AND(YEAR(O$2)&gt;YEAR($I20),YEAR(O$2)-YEAR($I20)&lt;20),$D20,YEAR(O$2)-YEAR($I20)=20,ROUND((DATE(YEAR($I20),12,31)-$I20+1)/365*$D20,2),YEAR(O$2)-YEAR($I20)&gt;20,0)</f>
        <v>360</v>
      </c>
      <c r="P20" s="48" cm="1">
        <f t="array" ref="P20">_xlfn.IFS(YEAR(P$2)&lt;YEAR($I20),0,YEAR(P$2)=YEAR($I20),ROUND(((P$2-$I20+1)/365)*$D20,2),AND(YEAR(P$2)&gt;YEAR($I20),YEAR(P$2)-YEAR($I20)&lt;20),$D20,YEAR(P$2)-YEAR($I20)=20,ROUND((DATE(YEAR($I20),12,31)-$I20+1)/365*$D20,2),YEAR(P$2)-YEAR($I20)&gt;20,0)</f>
        <v>360</v>
      </c>
      <c r="Q20" s="48" cm="1">
        <f t="array" ref="Q20">_xlfn.IFS(YEAR(Q$2)&lt;YEAR($I20),0,YEAR(Q$2)=YEAR($I20),ROUND(((Q$2-$I20+1)/365)*$D20,2),AND(YEAR(Q$2)&gt;YEAR($I20),YEAR(Q$2)-YEAR($I20)&lt;20),$D20,YEAR(Q$2)-YEAR($I20)=20,ROUND((DATE(YEAR($I20),12,31)-$I20+1)/365*$D20,2),YEAR(Q$2)-YEAR($I20)&gt;20,0)</f>
        <v>360</v>
      </c>
      <c r="R20" s="48" cm="1">
        <f t="array" ref="R20">_xlfn.IFS(YEAR(R$2)&lt;YEAR($I20),0,YEAR(R$2)=YEAR($I20),ROUND(((R$2-$I20+1)/365)*$D20,2),AND(YEAR(R$2)&gt;YEAR($I20),YEAR(R$2)-YEAR($I20)&lt;20),$D20,YEAR(R$2)-YEAR($I20)=20,ROUND((DATE(YEAR($I20),12,31)-$I20+1)/365*$D20,2),YEAR(R$2)-YEAR($I20)&gt;20,0)</f>
        <v>360</v>
      </c>
      <c r="S20" s="48" cm="1">
        <f t="array" ref="S20">_xlfn.IFS(YEAR(S$2)&lt;YEAR($I20),0,YEAR(S$2)=YEAR($I20),ROUND(((S$2-$I20+1)/365)*$D20,2),AND(YEAR(S$2)&gt;YEAR($I20),YEAR(S$2)-YEAR($I20)&lt;20),$D20,YEAR(S$2)-YEAR($I20)=20,ROUND((DATE(YEAR($I20),12,31)-$I20+1)/365*$D20,2),YEAR(S$2)-YEAR($I20)&gt;20,0)</f>
        <v>360</v>
      </c>
      <c r="T20" s="48" cm="1">
        <f t="array" ref="T20">_xlfn.IFS(YEAR(T$2)&lt;YEAR($I20),0,YEAR(T$2)=YEAR($I20),ROUND(((T$2-$I20+1)/365)*$D20,2),AND(YEAR(T$2)&gt;YEAR($I20),YEAR(T$2)-YEAR($I20)&lt;20),$D20,YEAR(T$2)-YEAR($I20)=20,ROUND((DATE(YEAR($I20),12,31)-$I20+1)/365*$D20,2),YEAR(T$2)-YEAR($I20)&gt;20,0)</f>
        <v>360</v>
      </c>
      <c r="U20" s="48" cm="1">
        <f t="array" ref="U20">_xlfn.IFS(YEAR(U$2)&lt;YEAR($I20),0,YEAR(U$2)=YEAR($I20),ROUND(((U$2-$I20+1)/365)*$D20,2),AND(YEAR(U$2)&gt;YEAR($I20),YEAR(U$2)-YEAR($I20)&lt;20),$D20,YEAR(U$2)-YEAR($I20)=20,ROUND((DATE(YEAR($I20),12,31)-$I20+1)/365*$D20,2),YEAR(U$2)-YEAR($I20)&gt;20,0)</f>
        <v>360</v>
      </c>
      <c r="V20" s="48" cm="1">
        <f t="array" ref="V20">_xlfn.IFS(YEAR(V$2)&lt;YEAR($I20),0,YEAR(V$2)=YEAR($I20),ROUND(((V$2-$I20+1)/365)*$D20,2),AND(YEAR(V$2)&gt;YEAR($I20),YEAR(V$2)-YEAR($I20)&lt;20),$D20,YEAR(V$2)-YEAR($I20)=20,ROUND((DATE(YEAR($I20),12,31)-$I20+1)/365*$D20,2),YEAR(V$2)-YEAR($I20)&gt;20,0)</f>
        <v>360</v>
      </c>
      <c r="W20" s="48" cm="1">
        <f t="array" ref="W20">_xlfn.IFS(YEAR(W$2)&lt;YEAR($I20),0,YEAR(W$2)=YEAR($I20),ROUND(((W$2-$I20+1)/365)*$D20,2),AND(YEAR(W$2)&gt;YEAR($I20),YEAR(W$2)-YEAR($I20)&lt;20),$D20,YEAR(W$2)-YEAR($I20)=20,ROUND((DATE(YEAR($I20),12,31)-$I20+1)/365*$D20,2),YEAR(W$2)-YEAR($I20)&gt;20,0)</f>
        <v>360</v>
      </c>
      <c r="X20" s="48" cm="1">
        <f t="array" ref="X20">_xlfn.IFS(YEAR(X$2)&lt;YEAR($I20),0,YEAR(X$2)=YEAR($I20),ROUND(((X$2-$I20+1)/365)*$D20,2),AND(YEAR(X$2)&gt;YEAR($I20),YEAR(X$2)-YEAR($I20)&lt;20),$D20,YEAR(X$2)-YEAR($I20)=20,ROUND((DATE(YEAR($I20),12,31)-$I20+1)/365*$D20,2),YEAR(X$2)-YEAR($I20)&gt;20,0)</f>
        <v>360</v>
      </c>
      <c r="Y20" s="48" cm="1">
        <f t="array" ref="Y20">_xlfn.IFS(YEAR(Y$2)&lt;YEAR($I20),0,YEAR(Y$2)=YEAR($I20),ROUND(((Y$2-$I20+1)/365)*$D20,2),AND(YEAR(Y$2)&gt;YEAR($I20),YEAR(Y$2)-YEAR($I20)&lt;20),$D20,YEAR(Y$2)-YEAR($I20)=20,ROUND((DATE(YEAR($I20),12,31)-$I20+1)/365*$D20,2),YEAR(Y$2)-YEAR($I20)&gt;20,0)</f>
        <v>360</v>
      </c>
      <c r="Z20" s="48" cm="1">
        <f t="array" ref="Z20">_xlfn.IFS(YEAR(Z$2)&lt;YEAR($I20),0,YEAR(Z$2)=YEAR($I20),ROUND(((Z$2-$I20+1)/365)*$D20,2),AND(YEAR(Z$2)&gt;YEAR($I20),YEAR(Z$2)-YEAR($I20)&lt;20),$D20,YEAR(Z$2)-YEAR($I20)=20,ROUND((DATE(YEAR($I20),12,31)-$I20+1)/365*$D20,2),YEAR(Z$2)-YEAR($I20)&gt;20,0)</f>
        <v>360</v>
      </c>
      <c r="AA20" s="48" cm="1">
        <f t="array" ref="AA20">_xlfn.IFS(YEAR(AA$2)&lt;YEAR($I20),0,YEAR(AA$2)=YEAR($I20),ROUND(((AA$2-$I20+1)/365)*$D20,2),AND(YEAR(AA$2)&gt;YEAR($I20),YEAR(AA$2)-YEAR($I20)&lt;20),$D20,YEAR(AA$2)-YEAR($I20)=20,ROUND((DATE(YEAR($I20),12,31)-$I20+1)/365*$D20,2),YEAR(AA$2)-YEAR($I20)&gt;20,0)</f>
        <v>360</v>
      </c>
      <c r="AB20" s="48" cm="1">
        <f t="array" ref="AB20">_xlfn.IFS(YEAR(AB$2)&lt;YEAR($I20),0,YEAR(AB$2)=YEAR($I20),ROUND(((AB$2-$I20+1)/365)*$D20,2),AND(YEAR(AB$2)&gt;YEAR($I20),YEAR(AB$2)-YEAR($I20)&lt;20),$D20,YEAR(AB$2)-YEAR($I20)=20,ROUND((DATE(YEAR($I20),12,31)-$I20+1)/365*$D20,2),YEAR(AB$2)-YEAR($I20)&gt;20,0)</f>
        <v>360</v>
      </c>
      <c r="AC20" s="48" cm="1">
        <f t="array" ref="AC20">_xlfn.IFS(YEAR(AC$2)&lt;YEAR($I20),0,YEAR(AC$2)=YEAR($I20),ROUND(((AC$2-$I20+1)/365)*$D20,2),AND(YEAR(AC$2)&gt;YEAR($I20),YEAR(AC$2)-YEAR($I20)&lt;20),$D20,YEAR(AC$2)-YEAR($I20)=20,ROUND((DATE(YEAR($I20),12,31)-$I20+1)/365*$D20,2),YEAR(AC$2)-YEAR($I20)&gt;20,0)</f>
        <v>360</v>
      </c>
      <c r="AD20" s="48" cm="1">
        <f t="array" ref="AD20">_xlfn.IFS(YEAR(AD$2)&lt;YEAR($I20),0,YEAR(AD$2)=YEAR($I20),ROUND(((AD$2-$I20+1)/365)*$D20,2),AND(YEAR(AD$2)&gt;YEAR($I20),YEAR(AD$2)-YEAR($I20)&lt;20),$D20,YEAR(AD$2)-YEAR($I20)=20,ROUND((DATE(YEAR($I20),12,31)-$I20+1)/365*$D20,2),YEAR(AD$2)-YEAR($I20)&gt;20,0)</f>
        <v>360</v>
      </c>
      <c r="AE20" s="48" cm="1">
        <f t="array" ref="AE20">_xlfn.IFS(YEAR(AE$2)&lt;YEAR($I20),0,YEAR(AE$2)=YEAR($I20),ROUND(((AE$2-$I20+1)/365)*$D20,2),AND(YEAR(AE$2)&gt;YEAR($I20),YEAR(AE$2)-YEAR($I20)&lt;20),$D20,YEAR(AE$2)-YEAR($I20)=20,ROUND((DATE(YEAR($I20),12,31)-$I20+1)/365*$D20,2),YEAR(AE$2)-YEAR($I20)&gt;20,0)</f>
        <v>181.48</v>
      </c>
      <c r="AF20" s="48" cm="1">
        <f t="array" ref="AF20">_xlfn.IFS(YEAR(AF$2)&lt;YEAR($I20),0,YEAR(AF$2)=YEAR($I20),ROUND(((AF$2-$I20+1)/365)*$D20,2),AND(YEAR(AF$2)&gt;YEAR($I20),YEAR(AF$2)-YEAR($I20)&lt;20),$D20,YEAR(AF$2)-YEAR($I20)=20,ROUND((DATE(YEAR($I20),12,31)-$I20+1)/365*$D20,2),YEAR(AF$2)-YEAR($I20)&gt;20,0)</f>
        <v>0</v>
      </c>
      <c r="AG20" s="48" cm="1">
        <f t="array" ref="AG20">_xlfn.IFS(YEAR(AG$2)&lt;YEAR($I20),0,YEAR(AG$2)=YEAR($I20),ROUND(((AG$2-$I20+1)/365)*$D20,2),AND(YEAR(AG$2)&gt;YEAR($I20),YEAR(AG$2)-YEAR($I20)&lt;20),$D20,YEAR(AG$2)-YEAR($I20)=20,ROUND((DATE(YEAR($I20),12,31)-$I20+1)/365*$D20,2),YEAR(AG$2)-YEAR($I20)&gt;20,0)</f>
        <v>0</v>
      </c>
      <c r="AH20" s="48" cm="1">
        <f t="array" ref="AH20">_xlfn.IFS(YEAR(AH$2)&lt;YEAR($I20),0,YEAR(AH$2)=YEAR($I20),ROUND(((AH$2-$I20+1)/365)*$D20,2),AND(YEAR(AH$2)&gt;YEAR($I20),YEAR(AH$2)-YEAR($I20)&lt;20),$D20,YEAR(AH$2)-YEAR($I20)=20,ROUND((DATE(YEAR($I20),12,31)-$I20+1)/365*$D20,2),YEAR(AH$2)-YEAR($I20)&gt;20,0)</f>
        <v>0</v>
      </c>
      <c r="AI20" s="48" cm="1">
        <f t="array" ref="AI20">_xlfn.IFS(YEAR(AI$2)&lt;YEAR($I20),0,YEAR(AI$2)=YEAR($I20),ROUND(((AI$2-$I20+1)/365)*$D20,2),AND(YEAR(AI$2)&gt;YEAR($I20),YEAR(AI$2)-YEAR($I20)&lt;20),$D20,YEAR(AI$2)-YEAR($I20)=20,ROUND((DATE(YEAR($I20),12,31)-$I20+1)/365*$D20,2),YEAR(AI$2)-YEAR($I20)&gt;20,0)</f>
        <v>0</v>
      </c>
      <c r="AJ20" s="48" cm="1">
        <f t="array" ref="AJ20">_xlfn.IFS(YEAR(AJ$2)&lt;YEAR($I20),0,YEAR(AJ$2)=YEAR($I20),ROUND(((AJ$2-$I20+1)/365)*$D20,2),AND(YEAR(AJ$2)&gt;YEAR($I20),YEAR(AJ$2)-YEAR($I20)&lt;20),$D20,YEAR(AJ$2)-YEAR($I20)=20,ROUND((DATE(YEAR($I20),12,31)-$I20+1)/365*$D20,2),YEAR(AJ$2)-YEAR($I20)&gt;20,0)</f>
        <v>0</v>
      </c>
      <c r="AK20" s="48" cm="1">
        <f t="array" ref="AK20">_xlfn.IFS(YEAR(AK$2)&lt;YEAR($I20),0,YEAR(AK$2)=YEAR($I20),ROUND(((AK$2-$I20+1)/365)*$D20,2),AND(YEAR(AK$2)&gt;YEAR($I20),YEAR(AK$2)-YEAR($I20)&lt;20),$D20,YEAR(AK$2)-YEAR($I20)=20,ROUND((DATE(YEAR($I20),12,31)-$I20+1)/365*$D20,2),YEAR(AK$2)-YEAR($I20)&gt;20,0)</f>
        <v>0</v>
      </c>
      <c r="AL20" s="48" cm="1">
        <f t="array" ref="AL20">_xlfn.IFS(YEAR(AL$2)&lt;YEAR($I20),0,YEAR(AL$2)=YEAR($I20),ROUND(((AL$2-$I20+1)/365)*$D20,2),AND(YEAR(AL$2)&gt;YEAR($I20),YEAR(AL$2)-YEAR($I20)&lt;20),$D20,YEAR(AL$2)-YEAR($I20)=20,ROUND((DATE(YEAR($I20),12,31)-$I20+1)/365*$D20,2),YEAR(AL$2)-YEAR($I20)&gt;20,0)</f>
        <v>0</v>
      </c>
      <c r="AM20" s="48" cm="1">
        <f t="array" ref="AM20">_xlfn.IFS(YEAR(AM$2)&lt;YEAR($I20),0,YEAR(AM$2)=YEAR($I20),ROUND(((AM$2-$I20+1)/365)*$D20,2),AND(YEAR(AM$2)&gt;YEAR($I20),YEAR(AM$2)-YEAR($I20)&lt;20),$D20,YEAR(AM$2)-YEAR($I20)=20,ROUND((DATE(YEAR($I20),12,31)-$I20+1)/365*$D20,2),YEAR(AM$2)-YEAR($I20)&gt;20,0)</f>
        <v>0</v>
      </c>
      <c r="AO20" s="48">
        <v>2021</v>
      </c>
      <c r="AP20" s="48">
        <v>0</v>
      </c>
      <c r="AQ20" s="48">
        <v>5.95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BA20" s="48">
        <f>SUM(AP20:AY20)</f>
        <v>5.95</v>
      </c>
      <c r="BB20" s="48"/>
    </row>
    <row r="21" spans="1:54">
      <c r="A21" s="155" t="str" cm="1">
        <f t="array" ref="A21">_xlfn.IFS(LEFT(C21,3)="PGE","PGE",LEFT(C21,2)="PP","PAC",TRUE,"IP")</f>
        <v>PAC</v>
      </c>
      <c r="B21" s="155" t="str">
        <f>IF(ISNA(MATCH(C21,'Monthly Report July 2025'!E:E,0)),"Missing","Present")</f>
        <v>Present</v>
      </c>
      <c r="C21" s="155" t="s">
        <v>130</v>
      </c>
      <c r="D21" s="176" cm="1">
        <f t="array" ref="D21">INDEX('Monthly Report July 2025'!L:L,MATCH(C21,'Monthly Report July 2025'!E:E,0),0)</f>
        <v>165</v>
      </c>
      <c r="E21" s="176" t="str" cm="1">
        <f t="array" ref="E21">IF(INDEX('PA Fees by Project'!K:K,MATCH(C21,'PA Fees by Project'!E:E,0),0)="No","Non-Carve Out", "Carve Out")</f>
        <v>Carve Out</v>
      </c>
      <c r="F21" s="176" cm="1">
        <f t="array" ref="F21">INDEX('PA Fees by Project'!J:J,MATCH(C21,'PA Fees by Project'!E:E,0),0)</f>
        <v>1</v>
      </c>
      <c r="G21" s="155" t="str" cm="1">
        <f t="array" ref="G21">INDEX('PA Fees by Project'!G:G,MATCH(C21,'PA Fees by Project'!E:E,0),0)</f>
        <v>Operational</v>
      </c>
      <c r="H21" s="175" cm="1">
        <f t="array" ref="H21">INDEX('PA Fees by Project'!Q:Q,MATCH(C21,'PA Fees by Project'!E:E,0),0)</f>
        <v>45113</v>
      </c>
      <c r="I21" s="156" cm="1">
        <f t="array" ref="I21">_xlfn.IFS(G21="Operational",H21,G21="Certified",EDATE(INDEX('PA Fees by Project'!R:R,MATCH(C21,'PA Fees by Project'!E:E,0),0),6),TRUE,EDATE(INDEX('PA Fees by Project'!O:O,MATCH(C21,'PA Fees by Project'!E:E,0),0),6))</f>
        <v>45113</v>
      </c>
      <c r="J21" s="48" cm="1">
        <f t="array" ref="J21">_xlfn.IFS(YEAR(J$2)&lt;YEAR($I21),0,YEAR(J$2)=YEAR($I21),ROUND(((J$2-$I21+1)/365)*$D21,2),AND(YEAR(J$2)&gt;YEAR($I21),YEAR(J$2)-YEAR($I21)&lt;20),$D21,YEAR(J$2)-YEAR($I21)=20,ROUND((DATE(YEAR($I21),12,31)-$I21+1)/365*$D21,2),YEAR(J$2)-YEAR($I21)&gt;20,0)</f>
        <v>0</v>
      </c>
      <c r="K21" s="48" cm="1">
        <f t="array" ref="K21">_xlfn.IFS(YEAR(K$2)&lt;YEAR($I21),0,YEAR(K$2)=YEAR($I21),ROUND(((K$2-$I21+1)/365)*$D21,2),AND(YEAR(K$2)&gt;YEAR($I21),YEAR(K$2)-YEAR($I21)&lt;20),$D21,YEAR(K$2)-YEAR($I21)=20,ROUND((DATE(YEAR($I21),12,31)-$I21+1)/365*$D21,2),YEAR(K$2)-YEAR($I21)&gt;20,0)</f>
        <v>0</v>
      </c>
      <c r="L21" s="48" cm="1">
        <f t="array" ref="L21">_xlfn.IFS(YEAR(L$2)&lt;YEAR($I21),0,YEAR(L$2)=YEAR($I21),ROUND(((L$2-$I21+1)/365)*$D21,2),AND(YEAR(L$2)&gt;YEAR($I21),YEAR(L$2)-YEAR($I21)&lt;20),$D21,YEAR(L$2)-YEAR($I21)=20,ROUND((DATE(YEAR($I21),12,31)-$I21+1)/365*$D21,2),YEAR(L$2)-YEAR($I21)&gt;20,0)</f>
        <v>80.92</v>
      </c>
      <c r="M21" s="48" cm="1">
        <f t="array" ref="M21">_xlfn.IFS(YEAR(M$2)&lt;YEAR($I21),0,YEAR(M$2)=YEAR($I21),ROUND(((M$2-$I21+1)/365)*$D21,2),AND(YEAR(M$2)&gt;YEAR($I21),YEAR(M$2)-YEAR($I21)&lt;20),$D21,YEAR(M$2)-YEAR($I21)=20,ROUND((DATE(YEAR($I21),12,31)-$I21+1)/365*$D21,2),YEAR(M$2)-YEAR($I21)&gt;20,0)</f>
        <v>165</v>
      </c>
      <c r="N21" s="48" cm="1">
        <f t="array" ref="N21">_xlfn.IFS(YEAR(N$2)&lt;YEAR($I21),0,YEAR(N$2)=YEAR($I21),ROUND(((N$2-$I21+1)/365)*$D21,2),AND(YEAR(N$2)&gt;YEAR($I21),YEAR(N$2)-YEAR($I21)&lt;20),$D21,YEAR(N$2)-YEAR($I21)=20,ROUND((DATE(YEAR($I21),12,31)-$I21+1)/365*$D21,2),YEAR(N$2)-YEAR($I21)&gt;20,0)</f>
        <v>165</v>
      </c>
      <c r="O21" s="48" cm="1">
        <f t="array" ref="O21">_xlfn.IFS(YEAR(O$2)&lt;YEAR($I21),0,YEAR(O$2)=YEAR($I21),ROUND(((O$2-$I21+1)/365)*$D21,2),AND(YEAR(O$2)&gt;YEAR($I21),YEAR(O$2)-YEAR($I21)&lt;20),$D21,YEAR(O$2)-YEAR($I21)=20,ROUND((DATE(YEAR($I21),12,31)-$I21+1)/365*$D21,2),YEAR(O$2)-YEAR($I21)&gt;20,0)</f>
        <v>165</v>
      </c>
      <c r="P21" s="48" cm="1">
        <f t="array" ref="P21">_xlfn.IFS(YEAR(P$2)&lt;YEAR($I21),0,YEAR(P$2)=YEAR($I21),ROUND(((P$2-$I21+1)/365)*$D21,2),AND(YEAR(P$2)&gt;YEAR($I21),YEAR(P$2)-YEAR($I21)&lt;20),$D21,YEAR(P$2)-YEAR($I21)=20,ROUND((DATE(YEAR($I21),12,31)-$I21+1)/365*$D21,2),YEAR(P$2)-YEAR($I21)&gt;20,0)</f>
        <v>165</v>
      </c>
      <c r="Q21" s="48" cm="1">
        <f t="array" ref="Q21">_xlfn.IFS(YEAR(Q$2)&lt;YEAR($I21),0,YEAR(Q$2)=YEAR($I21),ROUND(((Q$2-$I21+1)/365)*$D21,2),AND(YEAR(Q$2)&gt;YEAR($I21),YEAR(Q$2)-YEAR($I21)&lt;20),$D21,YEAR(Q$2)-YEAR($I21)=20,ROUND((DATE(YEAR($I21),12,31)-$I21+1)/365*$D21,2),YEAR(Q$2)-YEAR($I21)&gt;20,0)</f>
        <v>165</v>
      </c>
      <c r="R21" s="48" cm="1">
        <f t="array" ref="R21">_xlfn.IFS(YEAR(R$2)&lt;YEAR($I21),0,YEAR(R$2)=YEAR($I21),ROUND(((R$2-$I21+1)/365)*$D21,2),AND(YEAR(R$2)&gt;YEAR($I21),YEAR(R$2)-YEAR($I21)&lt;20),$D21,YEAR(R$2)-YEAR($I21)=20,ROUND((DATE(YEAR($I21),12,31)-$I21+1)/365*$D21,2),YEAR(R$2)-YEAR($I21)&gt;20,0)</f>
        <v>165</v>
      </c>
      <c r="S21" s="48" cm="1">
        <f t="array" ref="S21">_xlfn.IFS(YEAR(S$2)&lt;YEAR($I21),0,YEAR(S$2)=YEAR($I21),ROUND(((S$2-$I21+1)/365)*$D21,2),AND(YEAR(S$2)&gt;YEAR($I21),YEAR(S$2)-YEAR($I21)&lt;20),$D21,YEAR(S$2)-YEAR($I21)=20,ROUND((DATE(YEAR($I21),12,31)-$I21+1)/365*$D21,2),YEAR(S$2)-YEAR($I21)&gt;20,0)</f>
        <v>165</v>
      </c>
      <c r="T21" s="48" cm="1">
        <f t="array" ref="T21">_xlfn.IFS(YEAR(T$2)&lt;YEAR($I21),0,YEAR(T$2)=YEAR($I21),ROUND(((T$2-$I21+1)/365)*$D21,2),AND(YEAR(T$2)&gt;YEAR($I21),YEAR(T$2)-YEAR($I21)&lt;20),$D21,YEAR(T$2)-YEAR($I21)=20,ROUND((DATE(YEAR($I21),12,31)-$I21+1)/365*$D21,2),YEAR(T$2)-YEAR($I21)&gt;20,0)</f>
        <v>165</v>
      </c>
      <c r="U21" s="48" cm="1">
        <f t="array" ref="U21">_xlfn.IFS(YEAR(U$2)&lt;YEAR($I21),0,YEAR(U$2)=YEAR($I21),ROUND(((U$2-$I21+1)/365)*$D21,2),AND(YEAR(U$2)&gt;YEAR($I21),YEAR(U$2)-YEAR($I21)&lt;20),$D21,YEAR(U$2)-YEAR($I21)=20,ROUND((DATE(YEAR($I21),12,31)-$I21+1)/365*$D21,2),YEAR(U$2)-YEAR($I21)&gt;20,0)</f>
        <v>165</v>
      </c>
      <c r="V21" s="48" cm="1">
        <f t="array" ref="V21">_xlfn.IFS(YEAR(V$2)&lt;YEAR($I21),0,YEAR(V$2)=YEAR($I21),ROUND(((V$2-$I21+1)/365)*$D21,2),AND(YEAR(V$2)&gt;YEAR($I21),YEAR(V$2)-YEAR($I21)&lt;20),$D21,YEAR(V$2)-YEAR($I21)=20,ROUND((DATE(YEAR($I21),12,31)-$I21+1)/365*$D21,2),YEAR(V$2)-YEAR($I21)&gt;20,0)</f>
        <v>165</v>
      </c>
      <c r="W21" s="48" cm="1">
        <f t="array" ref="W21">_xlfn.IFS(YEAR(W$2)&lt;YEAR($I21),0,YEAR(W$2)=YEAR($I21),ROUND(((W$2-$I21+1)/365)*$D21,2),AND(YEAR(W$2)&gt;YEAR($I21),YEAR(W$2)-YEAR($I21)&lt;20),$D21,YEAR(W$2)-YEAR($I21)=20,ROUND((DATE(YEAR($I21),12,31)-$I21+1)/365*$D21,2),YEAR(W$2)-YEAR($I21)&gt;20,0)</f>
        <v>165</v>
      </c>
      <c r="X21" s="48" cm="1">
        <f t="array" ref="X21">_xlfn.IFS(YEAR(X$2)&lt;YEAR($I21),0,YEAR(X$2)=YEAR($I21),ROUND(((X$2-$I21+1)/365)*$D21,2),AND(YEAR(X$2)&gt;YEAR($I21),YEAR(X$2)-YEAR($I21)&lt;20),$D21,YEAR(X$2)-YEAR($I21)=20,ROUND((DATE(YEAR($I21),12,31)-$I21+1)/365*$D21,2),YEAR(X$2)-YEAR($I21)&gt;20,0)</f>
        <v>165</v>
      </c>
      <c r="Y21" s="48" cm="1">
        <f t="array" ref="Y21">_xlfn.IFS(YEAR(Y$2)&lt;YEAR($I21),0,YEAR(Y$2)=YEAR($I21),ROUND(((Y$2-$I21+1)/365)*$D21,2),AND(YEAR(Y$2)&gt;YEAR($I21),YEAR(Y$2)-YEAR($I21)&lt;20),$D21,YEAR(Y$2)-YEAR($I21)=20,ROUND((DATE(YEAR($I21),12,31)-$I21+1)/365*$D21,2),YEAR(Y$2)-YEAR($I21)&gt;20,0)</f>
        <v>165</v>
      </c>
      <c r="Z21" s="48" cm="1">
        <f t="array" ref="Z21">_xlfn.IFS(YEAR(Z$2)&lt;YEAR($I21),0,YEAR(Z$2)=YEAR($I21),ROUND(((Z$2-$I21+1)/365)*$D21,2),AND(YEAR(Z$2)&gt;YEAR($I21),YEAR(Z$2)-YEAR($I21)&lt;20),$D21,YEAR(Z$2)-YEAR($I21)=20,ROUND((DATE(YEAR($I21),12,31)-$I21+1)/365*$D21,2),YEAR(Z$2)-YEAR($I21)&gt;20,0)</f>
        <v>165</v>
      </c>
      <c r="AA21" s="48" cm="1">
        <f t="array" ref="AA21">_xlfn.IFS(YEAR(AA$2)&lt;YEAR($I21),0,YEAR(AA$2)=YEAR($I21),ROUND(((AA$2-$I21+1)/365)*$D21,2),AND(YEAR(AA$2)&gt;YEAR($I21),YEAR(AA$2)-YEAR($I21)&lt;20),$D21,YEAR(AA$2)-YEAR($I21)=20,ROUND((DATE(YEAR($I21),12,31)-$I21+1)/365*$D21,2),YEAR(AA$2)-YEAR($I21)&gt;20,0)</f>
        <v>165</v>
      </c>
      <c r="AB21" s="48" cm="1">
        <f t="array" ref="AB21">_xlfn.IFS(YEAR(AB$2)&lt;YEAR($I21),0,YEAR(AB$2)=YEAR($I21),ROUND(((AB$2-$I21+1)/365)*$D21,2),AND(YEAR(AB$2)&gt;YEAR($I21),YEAR(AB$2)-YEAR($I21)&lt;20),$D21,YEAR(AB$2)-YEAR($I21)=20,ROUND((DATE(YEAR($I21),12,31)-$I21+1)/365*$D21,2),YEAR(AB$2)-YEAR($I21)&gt;20,0)</f>
        <v>165</v>
      </c>
      <c r="AC21" s="48" cm="1">
        <f t="array" ref="AC21">_xlfn.IFS(YEAR(AC$2)&lt;YEAR($I21),0,YEAR(AC$2)=YEAR($I21),ROUND(((AC$2-$I21+1)/365)*$D21,2),AND(YEAR(AC$2)&gt;YEAR($I21),YEAR(AC$2)-YEAR($I21)&lt;20),$D21,YEAR(AC$2)-YEAR($I21)=20,ROUND((DATE(YEAR($I21),12,31)-$I21+1)/365*$D21,2),YEAR(AC$2)-YEAR($I21)&gt;20,0)</f>
        <v>165</v>
      </c>
      <c r="AD21" s="48" cm="1">
        <f t="array" ref="AD21">_xlfn.IFS(YEAR(AD$2)&lt;YEAR($I21),0,YEAR(AD$2)=YEAR($I21),ROUND(((AD$2-$I21+1)/365)*$D21,2),AND(YEAR(AD$2)&gt;YEAR($I21),YEAR(AD$2)-YEAR($I21)&lt;20),$D21,YEAR(AD$2)-YEAR($I21)=20,ROUND((DATE(YEAR($I21),12,31)-$I21+1)/365*$D21,2),YEAR(AD$2)-YEAR($I21)&gt;20,0)</f>
        <v>165</v>
      </c>
      <c r="AE21" s="48" cm="1">
        <f t="array" ref="AE21">_xlfn.IFS(YEAR(AE$2)&lt;YEAR($I21),0,YEAR(AE$2)=YEAR($I21),ROUND(((AE$2-$I21+1)/365)*$D21,2),AND(YEAR(AE$2)&gt;YEAR($I21),YEAR(AE$2)-YEAR($I21)&lt;20),$D21,YEAR(AE$2)-YEAR($I21)=20,ROUND((DATE(YEAR($I21),12,31)-$I21+1)/365*$D21,2),YEAR(AE$2)-YEAR($I21)&gt;20,0)</f>
        <v>165</v>
      </c>
      <c r="AF21" s="48" cm="1">
        <f t="array" ref="AF21">_xlfn.IFS(YEAR(AF$2)&lt;YEAR($I21),0,YEAR(AF$2)=YEAR($I21),ROUND(((AF$2-$I21+1)/365)*$D21,2),AND(YEAR(AF$2)&gt;YEAR($I21),YEAR(AF$2)-YEAR($I21)&lt;20),$D21,YEAR(AF$2)-YEAR($I21)=20,ROUND((DATE(YEAR($I21),12,31)-$I21+1)/365*$D21,2),YEAR(AF$2)-YEAR($I21)&gt;20,0)</f>
        <v>80.92</v>
      </c>
      <c r="AG21" s="48" cm="1">
        <f t="array" ref="AG21">_xlfn.IFS(YEAR(AG$2)&lt;YEAR($I21),0,YEAR(AG$2)=YEAR($I21),ROUND(((AG$2-$I21+1)/365)*$D21,2),AND(YEAR(AG$2)&gt;YEAR($I21),YEAR(AG$2)-YEAR($I21)&lt;20),$D21,YEAR(AG$2)-YEAR($I21)=20,ROUND((DATE(YEAR($I21),12,31)-$I21+1)/365*$D21,2),YEAR(AG$2)-YEAR($I21)&gt;20,0)</f>
        <v>0</v>
      </c>
      <c r="AH21" s="48" cm="1">
        <f t="array" ref="AH21">_xlfn.IFS(YEAR(AH$2)&lt;YEAR($I21),0,YEAR(AH$2)=YEAR($I21),ROUND(((AH$2-$I21+1)/365)*$D21,2),AND(YEAR(AH$2)&gt;YEAR($I21),YEAR(AH$2)-YEAR($I21)&lt;20),$D21,YEAR(AH$2)-YEAR($I21)=20,ROUND((DATE(YEAR($I21),12,31)-$I21+1)/365*$D21,2),YEAR(AH$2)-YEAR($I21)&gt;20,0)</f>
        <v>0</v>
      </c>
      <c r="AI21" s="48" cm="1">
        <f t="array" ref="AI21">_xlfn.IFS(YEAR(AI$2)&lt;YEAR($I21),0,YEAR(AI$2)=YEAR($I21),ROUND(((AI$2-$I21+1)/365)*$D21,2),AND(YEAR(AI$2)&gt;YEAR($I21),YEAR(AI$2)-YEAR($I21)&lt;20),$D21,YEAR(AI$2)-YEAR($I21)=20,ROUND((DATE(YEAR($I21),12,31)-$I21+1)/365*$D21,2),YEAR(AI$2)-YEAR($I21)&gt;20,0)</f>
        <v>0</v>
      </c>
      <c r="AJ21" s="48" cm="1">
        <f t="array" ref="AJ21">_xlfn.IFS(YEAR(AJ$2)&lt;YEAR($I21),0,YEAR(AJ$2)=YEAR($I21),ROUND(((AJ$2-$I21+1)/365)*$D21,2),AND(YEAR(AJ$2)&gt;YEAR($I21),YEAR(AJ$2)-YEAR($I21)&lt;20),$D21,YEAR(AJ$2)-YEAR($I21)=20,ROUND((DATE(YEAR($I21),12,31)-$I21+1)/365*$D21,2),YEAR(AJ$2)-YEAR($I21)&gt;20,0)</f>
        <v>0</v>
      </c>
      <c r="AK21" s="48" cm="1">
        <f t="array" ref="AK21">_xlfn.IFS(YEAR(AK$2)&lt;YEAR($I21),0,YEAR(AK$2)=YEAR($I21),ROUND(((AK$2-$I21+1)/365)*$D21,2),AND(YEAR(AK$2)&gt;YEAR($I21),YEAR(AK$2)-YEAR($I21)&lt;20),$D21,YEAR(AK$2)-YEAR($I21)=20,ROUND((DATE(YEAR($I21),12,31)-$I21+1)/365*$D21,2),YEAR(AK$2)-YEAR($I21)&gt;20,0)</f>
        <v>0</v>
      </c>
      <c r="AL21" s="48" cm="1">
        <f t="array" ref="AL21">_xlfn.IFS(YEAR(AL$2)&lt;YEAR($I21),0,YEAR(AL$2)=YEAR($I21),ROUND(((AL$2-$I21+1)/365)*$D21,2),AND(YEAR(AL$2)&gt;YEAR($I21),YEAR(AL$2)-YEAR($I21)&lt;20),$D21,YEAR(AL$2)-YEAR($I21)=20,ROUND((DATE(YEAR($I21),12,31)-$I21+1)/365*$D21,2),YEAR(AL$2)-YEAR($I21)&gt;20,0)</f>
        <v>0</v>
      </c>
      <c r="AM21" s="48" cm="1">
        <f t="array" ref="AM21">_xlfn.IFS(YEAR(AM$2)&lt;YEAR($I21),0,YEAR(AM$2)=YEAR($I21),ROUND(((AM$2-$I21+1)/365)*$D21,2),AND(YEAR(AM$2)&gt;YEAR($I21),YEAR(AM$2)-YEAR($I21)&lt;20),$D21,YEAR(AM$2)-YEAR($I21)=20,ROUND((DATE(YEAR($I21),12,31)-$I21+1)/365*$D21,2),YEAR(AM$2)-YEAR($I21)&gt;20,0)</f>
        <v>0</v>
      </c>
      <c r="AO21" s="48">
        <v>2022</v>
      </c>
      <c r="AP21" s="48">
        <v>0.02</v>
      </c>
      <c r="AQ21" s="48">
        <v>9.8699999999999992</v>
      </c>
      <c r="AR21" s="48">
        <v>0.28999999999999998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BA21" s="48">
        <f>SUM(AP21:AY21)</f>
        <v>10.179999999999998</v>
      </c>
      <c r="BB21" s="48">
        <f>BA21-BA20</f>
        <v>4.2299999999999978</v>
      </c>
    </row>
    <row r="22" spans="1:54">
      <c r="A22" s="155" t="str" cm="1">
        <f t="array" ref="A22">_xlfn.IFS(LEFT(C22,3)="PGE","PGE",LEFT(C22,2)="PP","PAC",TRUE,"IP")</f>
        <v>PGE</v>
      </c>
      <c r="B22" s="155" t="str">
        <f>IF(ISNA(MATCH(C22,'Monthly Report July 2025'!E:E,0)),"Missing","Present")</f>
        <v>Present</v>
      </c>
      <c r="C22" s="155" t="s">
        <v>131</v>
      </c>
      <c r="D22" s="176" cm="1">
        <f t="array" ref="D22">INDEX('Monthly Report July 2025'!L:L,MATCH(C22,'Monthly Report July 2025'!E:E,0),0)</f>
        <v>2502</v>
      </c>
      <c r="E22" s="176" t="str" cm="1">
        <f t="array" ref="E22">IF(INDEX('PA Fees by Project'!K:K,MATCH(C22,'PA Fees by Project'!E:E,0),0)="No","Non-Carve Out", "Carve Out")</f>
        <v>Non-Carve Out</v>
      </c>
      <c r="F22" s="176" cm="1">
        <f t="array" ref="F22">INDEX('PA Fees by Project'!J:J,MATCH(C22,'PA Fees by Project'!E:E,0),0)</f>
        <v>1</v>
      </c>
      <c r="G22" s="155" t="str" cm="1">
        <f t="array" ref="G22">INDEX('PA Fees by Project'!G:G,MATCH(C22,'PA Fees by Project'!E:E,0),0)</f>
        <v>Operational</v>
      </c>
      <c r="H22" s="175" cm="1">
        <f t="array" ref="H22">INDEX('PA Fees by Project'!Q:Q,MATCH(C22,'PA Fees by Project'!E:E,0),0)</f>
        <v>44291</v>
      </c>
      <c r="I22" s="156" cm="1">
        <f t="array" ref="I22">_xlfn.IFS(G22="Operational",H22,G22="Certified",EDATE(INDEX('PA Fees by Project'!R:R,MATCH(C22,'PA Fees by Project'!E:E,0),0),6),TRUE,EDATE(INDEX('PA Fees by Project'!O:O,MATCH(C22,'PA Fees by Project'!E:E,0),0),6))</f>
        <v>44291</v>
      </c>
      <c r="J22" s="48" cm="1">
        <f t="array" ref="J22">_xlfn.IFS(YEAR(J$2)&lt;YEAR($I22),0,YEAR(J$2)=YEAR($I22),ROUND(((J$2-$I22+1)/365)*$D22,2),AND(YEAR(J$2)&gt;YEAR($I22),YEAR(J$2)-YEAR($I22)&lt;20),$D22,YEAR(J$2)-YEAR($I22)=20,ROUND((DATE(YEAR($I22),12,31)-$I22+1)/365*$D22,2),YEAR(J$2)-YEAR($I22)&gt;20,0)</f>
        <v>1857.65</v>
      </c>
      <c r="K22" s="48" cm="1">
        <f t="array" ref="K22">_xlfn.IFS(YEAR(K$2)&lt;YEAR($I22),0,YEAR(K$2)=YEAR($I22),ROUND(((K$2-$I22+1)/365)*$D22,2),AND(YEAR(K$2)&gt;YEAR($I22),YEAR(K$2)-YEAR($I22)&lt;20),$D22,YEAR(K$2)-YEAR($I22)=20,ROUND((DATE(YEAR($I22),12,31)-$I22+1)/365*$D22,2),YEAR(K$2)-YEAR($I22)&gt;20,0)</f>
        <v>2502</v>
      </c>
      <c r="L22" s="48" cm="1">
        <f t="array" ref="L22">_xlfn.IFS(YEAR(L$2)&lt;YEAR($I22),0,YEAR(L$2)=YEAR($I22),ROUND(((L$2-$I22+1)/365)*$D22,2),AND(YEAR(L$2)&gt;YEAR($I22),YEAR(L$2)-YEAR($I22)&lt;20),$D22,YEAR(L$2)-YEAR($I22)=20,ROUND((DATE(YEAR($I22),12,31)-$I22+1)/365*$D22,2),YEAR(L$2)-YEAR($I22)&gt;20,0)</f>
        <v>2502</v>
      </c>
      <c r="M22" s="48" cm="1">
        <f t="array" ref="M22">_xlfn.IFS(YEAR(M$2)&lt;YEAR($I22),0,YEAR(M$2)=YEAR($I22),ROUND(((M$2-$I22+1)/365)*$D22,2),AND(YEAR(M$2)&gt;YEAR($I22),YEAR(M$2)-YEAR($I22)&lt;20),$D22,YEAR(M$2)-YEAR($I22)=20,ROUND((DATE(YEAR($I22),12,31)-$I22+1)/365*$D22,2),YEAR(M$2)-YEAR($I22)&gt;20,0)</f>
        <v>2502</v>
      </c>
      <c r="N22" s="48" cm="1">
        <f t="array" ref="N22">_xlfn.IFS(YEAR(N$2)&lt;YEAR($I22),0,YEAR(N$2)=YEAR($I22),ROUND(((N$2-$I22+1)/365)*$D22,2),AND(YEAR(N$2)&gt;YEAR($I22),YEAR(N$2)-YEAR($I22)&lt;20),$D22,YEAR(N$2)-YEAR($I22)=20,ROUND((DATE(YEAR($I22),12,31)-$I22+1)/365*$D22,2),YEAR(N$2)-YEAR($I22)&gt;20,0)</f>
        <v>2502</v>
      </c>
      <c r="O22" s="48" cm="1">
        <f t="array" ref="O22">_xlfn.IFS(YEAR(O$2)&lt;YEAR($I22),0,YEAR(O$2)=YEAR($I22),ROUND(((O$2-$I22+1)/365)*$D22,2),AND(YEAR(O$2)&gt;YEAR($I22),YEAR(O$2)-YEAR($I22)&lt;20),$D22,YEAR(O$2)-YEAR($I22)=20,ROUND((DATE(YEAR($I22),12,31)-$I22+1)/365*$D22,2),YEAR(O$2)-YEAR($I22)&gt;20,0)</f>
        <v>2502</v>
      </c>
      <c r="P22" s="48" cm="1">
        <f t="array" ref="P22">_xlfn.IFS(YEAR(P$2)&lt;YEAR($I22),0,YEAR(P$2)=YEAR($I22),ROUND(((P$2-$I22+1)/365)*$D22,2),AND(YEAR(P$2)&gt;YEAR($I22),YEAR(P$2)-YEAR($I22)&lt;20),$D22,YEAR(P$2)-YEAR($I22)=20,ROUND((DATE(YEAR($I22),12,31)-$I22+1)/365*$D22,2),YEAR(P$2)-YEAR($I22)&gt;20,0)</f>
        <v>2502</v>
      </c>
      <c r="Q22" s="48" cm="1">
        <f t="array" ref="Q22">_xlfn.IFS(YEAR(Q$2)&lt;YEAR($I22),0,YEAR(Q$2)=YEAR($I22),ROUND(((Q$2-$I22+1)/365)*$D22,2),AND(YEAR(Q$2)&gt;YEAR($I22),YEAR(Q$2)-YEAR($I22)&lt;20),$D22,YEAR(Q$2)-YEAR($I22)=20,ROUND((DATE(YEAR($I22),12,31)-$I22+1)/365*$D22,2),YEAR(Q$2)-YEAR($I22)&gt;20,0)</f>
        <v>2502</v>
      </c>
      <c r="R22" s="48" cm="1">
        <f t="array" ref="R22">_xlfn.IFS(YEAR(R$2)&lt;YEAR($I22),0,YEAR(R$2)=YEAR($I22),ROUND(((R$2-$I22+1)/365)*$D22,2),AND(YEAR(R$2)&gt;YEAR($I22),YEAR(R$2)-YEAR($I22)&lt;20),$D22,YEAR(R$2)-YEAR($I22)=20,ROUND((DATE(YEAR($I22),12,31)-$I22+1)/365*$D22,2),YEAR(R$2)-YEAR($I22)&gt;20,0)</f>
        <v>2502</v>
      </c>
      <c r="S22" s="48" cm="1">
        <f t="array" ref="S22">_xlfn.IFS(YEAR(S$2)&lt;YEAR($I22),0,YEAR(S$2)=YEAR($I22),ROUND(((S$2-$I22+1)/365)*$D22,2),AND(YEAR(S$2)&gt;YEAR($I22),YEAR(S$2)-YEAR($I22)&lt;20),$D22,YEAR(S$2)-YEAR($I22)=20,ROUND((DATE(YEAR($I22),12,31)-$I22+1)/365*$D22,2),YEAR(S$2)-YEAR($I22)&gt;20,0)</f>
        <v>2502</v>
      </c>
      <c r="T22" s="48" cm="1">
        <f t="array" ref="T22">_xlfn.IFS(YEAR(T$2)&lt;YEAR($I22),0,YEAR(T$2)=YEAR($I22),ROUND(((T$2-$I22+1)/365)*$D22,2),AND(YEAR(T$2)&gt;YEAR($I22),YEAR(T$2)-YEAR($I22)&lt;20),$D22,YEAR(T$2)-YEAR($I22)=20,ROUND((DATE(YEAR($I22),12,31)-$I22+1)/365*$D22,2),YEAR(T$2)-YEAR($I22)&gt;20,0)</f>
        <v>2502</v>
      </c>
      <c r="U22" s="48" cm="1">
        <f t="array" ref="U22">_xlfn.IFS(YEAR(U$2)&lt;YEAR($I22),0,YEAR(U$2)=YEAR($I22),ROUND(((U$2-$I22+1)/365)*$D22,2),AND(YEAR(U$2)&gt;YEAR($I22),YEAR(U$2)-YEAR($I22)&lt;20),$D22,YEAR(U$2)-YEAR($I22)=20,ROUND((DATE(YEAR($I22),12,31)-$I22+1)/365*$D22,2),YEAR(U$2)-YEAR($I22)&gt;20,0)</f>
        <v>2502</v>
      </c>
      <c r="V22" s="48" cm="1">
        <f t="array" ref="V22">_xlfn.IFS(YEAR(V$2)&lt;YEAR($I22),0,YEAR(V$2)=YEAR($I22),ROUND(((V$2-$I22+1)/365)*$D22,2),AND(YEAR(V$2)&gt;YEAR($I22),YEAR(V$2)-YEAR($I22)&lt;20),$D22,YEAR(V$2)-YEAR($I22)=20,ROUND((DATE(YEAR($I22),12,31)-$I22+1)/365*$D22,2),YEAR(V$2)-YEAR($I22)&gt;20,0)</f>
        <v>2502</v>
      </c>
      <c r="W22" s="48" cm="1">
        <f t="array" ref="W22">_xlfn.IFS(YEAR(W$2)&lt;YEAR($I22),0,YEAR(W$2)=YEAR($I22),ROUND(((W$2-$I22+1)/365)*$D22,2),AND(YEAR(W$2)&gt;YEAR($I22),YEAR(W$2)-YEAR($I22)&lt;20),$D22,YEAR(W$2)-YEAR($I22)=20,ROUND((DATE(YEAR($I22),12,31)-$I22+1)/365*$D22,2),YEAR(W$2)-YEAR($I22)&gt;20,0)</f>
        <v>2502</v>
      </c>
      <c r="X22" s="48" cm="1">
        <f t="array" ref="X22">_xlfn.IFS(YEAR(X$2)&lt;YEAR($I22),0,YEAR(X$2)=YEAR($I22),ROUND(((X$2-$I22+1)/365)*$D22,2),AND(YEAR(X$2)&gt;YEAR($I22),YEAR(X$2)-YEAR($I22)&lt;20),$D22,YEAR(X$2)-YEAR($I22)=20,ROUND((DATE(YEAR($I22),12,31)-$I22+1)/365*$D22,2),YEAR(X$2)-YEAR($I22)&gt;20,0)</f>
        <v>2502</v>
      </c>
      <c r="Y22" s="48" cm="1">
        <f t="array" ref="Y22">_xlfn.IFS(YEAR(Y$2)&lt;YEAR($I22),0,YEAR(Y$2)=YEAR($I22),ROUND(((Y$2-$I22+1)/365)*$D22,2),AND(YEAR(Y$2)&gt;YEAR($I22),YEAR(Y$2)-YEAR($I22)&lt;20),$D22,YEAR(Y$2)-YEAR($I22)=20,ROUND((DATE(YEAR($I22),12,31)-$I22+1)/365*$D22,2),YEAR(Y$2)-YEAR($I22)&gt;20,0)</f>
        <v>2502</v>
      </c>
      <c r="Z22" s="48" cm="1">
        <f t="array" ref="Z22">_xlfn.IFS(YEAR(Z$2)&lt;YEAR($I22),0,YEAR(Z$2)=YEAR($I22),ROUND(((Z$2-$I22+1)/365)*$D22,2),AND(YEAR(Z$2)&gt;YEAR($I22),YEAR(Z$2)-YEAR($I22)&lt;20),$D22,YEAR(Z$2)-YEAR($I22)=20,ROUND((DATE(YEAR($I22),12,31)-$I22+1)/365*$D22,2),YEAR(Z$2)-YEAR($I22)&gt;20,0)</f>
        <v>2502</v>
      </c>
      <c r="AA22" s="48" cm="1">
        <f t="array" ref="AA22">_xlfn.IFS(YEAR(AA$2)&lt;YEAR($I22),0,YEAR(AA$2)=YEAR($I22),ROUND(((AA$2-$I22+1)/365)*$D22,2),AND(YEAR(AA$2)&gt;YEAR($I22),YEAR(AA$2)-YEAR($I22)&lt;20),$D22,YEAR(AA$2)-YEAR($I22)=20,ROUND((DATE(YEAR($I22),12,31)-$I22+1)/365*$D22,2),YEAR(AA$2)-YEAR($I22)&gt;20,0)</f>
        <v>2502</v>
      </c>
      <c r="AB22" s="48" cm="1">
        <f t="array" ref="AB22">_xlfn.IFS(YEAR(AB$2)&lt;YEAR($I22),0,YEAR(AB$2)=YEAR($I22),ROUND(((AB$2-$I22+1)/365)*$D22,2),AND(YEAR(AB$2)&gt;YEAR($I22),YEAR(AB$2)-YEAR($I22)&lt;20),$D22,YEAR(AB$2)-YEAR($I22)=20,ROUND((DATE(YEAR($I22),12,31)-$I22+1)/365*$D22,2),YEAR(AB$2)-YEAR($I22)&gt;20,0)</f>
        <v>2502</v>
      </c>
      <c r="AC22" s="48" cm="1">
        <f t="array" ref="AC22">_xlfn.IFS(YEAR(AC$2)&lt;YEAR($I22),0,YEAR(AC$2)=YEAR($I22),ROUND(((AC$2-$I22+1)/365)*$D22,2),AND(YEAR(AC$2)&gt;YEAR($I22),YEAR(AC$2)-YEAR($I22)&lt;20),$D22,YEAR(AC$2)-YEAR($I22)=20,ROUND((DATE(YEAR($I22),12,31)-$I22+1)/365*$D22,2),YEAR(AC$2)-YEAR($I22)&gt;20,0)</f>
        <v>2502</v>
      </c>
      <c r="AD22" s="48" cm="1">
        <f t="array" ref="AD22">_xlfn.IFS(YEAR(AD$2)&lt;YEAR($I22),0,YEAR(AD$2)=YEAR($I22),ROUND(((AD$2-$I22+1)/365)*$D22,2),AND(YEAR(AD$2)&gt;YEAR($I22),YEAR(AD$2)-YEAR($I22)&lt;20),$D22,YEAR(AD$2)-YEAR($I22)=20,ROUND((DATE(YEAR($I22),12,31)-$I22+1)/365*$D22,2),YEAR(AD$2)-YEAR($I22)&gt;20,0)</f>
        <v>1857.65</v>
      </c>
      <c r="AE22" s="48" cm="1">
        <f t="array" ref="AE22">_xlfn.IFS(YEAR(AE$2)&lt;YEAR($I22),0,YEAR(AE$2)=YEAR($I22),ROUND(((AE$2-$I22+1)/365)*$D22,2),AND(YEAR(AE$2)&gt;YEAR($I22),YEAR(AE$2)-YEAR($I22)&lt;20),$D22,YEAR(AE$2)-YEAR($I22)=20,ROUND((DATE(YEAR($I22),12,31)-$I22+1)/365*$D22,2),YEAR(AE$2)-YEAR($I22)&gt;20,0)</f>
        <v>0</v>
      </c>
      <c r="AF22" s="48" cm="1">
        <f t="array" ref="AF22">_xlfn.IFS(YEAR(AF$2)&lt;YEAR($I22),0,YEAR(AF$2)=YEAR($I22),ROUND(((AF$2-$I22+1)/365)*$D22,2),AND(YEAR(AF$2)&gt;YEAR($I22),YEAR(AF$2)-YEAR($I22)&lt;20),$D22,YEAR(AF$2)-YEAR($I22)=20,ROUND((DATE(YEAR($I22),12,31)-$I22+1)/365*$D22,2),YEAR(AF$2)-YEAR($I22)&gt;20,0)</f>
        <v>0</v>
      </c>
      <c r="AG22" s="48" cm="1">
        <f t="array" ref="AG22">_xlfn.IFS(YEAR(AG$2)&lt;YEAR($I22),0,YEAR(AG$2)=YEAR($I22),ROUND(((AG$2-$I22+1)/365)*$D22,2),AND(YEAR(AG$2)&gt;YEAR($I22),YEAR(AG$2)-YEAR($I22)&lt;20),$D22,YEAR(AG$2)-YEAR($I22)=20,ROUND((DATE(YEAR($I22),12,31)-$I22+1)/365*$D22,2),YEAR(AG$2)-YEAR($I22)&gt;20,0)</f>
        <v>0</v>
      </c>
      <c r="AH22" s="48" cm="1">
        <f t="array" ref="AH22">_xlfn.IFS(YEAR(AH$2)&lt;YEAR($I22),0,YEAR(AH$2)=YEAR($I22),ROUND(((AH$2-$I22+1)/365)*$D22,2),AND(YEAR(AH$2)&gt;YEAR($I22),YEAR(AH$2)-YEAR($I22)&lt;20),$D22,YEAR(AH$2)-YEAR($I22)=20,ROUND((DATE(YEAR($I22),12,31)-$I22+1)/365*$D22,2),YEAR(AH$2)-YEAR($I22)&gt;20,0)</f>
        <v>0</v>
      </c>
      <c r="AI22" s="48" cm="1">
        <f t="array" ref="AI22">_xlfn.IFS(YEAR(AI$2)&lt;YEAR($I22),0,YEAR(AI$2)=YEAR($I22),ROUND(((AI$2-$I22+1)/365)*$D22,2),AND(YEAR(AI$2)&gt;YEAR($I22),YEAR(AI$2)-YEAR($I22)&lt;20),$D22,YEAR(AI$2)-YEAR($I22)=20,ROUND((DATE(YEAR($I22),12,31)-$I22+1)/365*$D22,2),YEAR(AI$2)-YEAR($I22)&gt;20,0)</f>
        <v>0</v>
      </c>
      <c r="AJ22" s="48" cm="1">
        <f t="array" ref="AJ22">_xlfn.IFS(YEAR(AJ$2)&lt;YEAR($I22),0,YEAR(AJ$2)=YEAR($I22),ROUND(((AJ$2-$I22+1)/365)*$D22,2),AND(YEAR(AJ$2)&gt;YEAR($I22),YEAR(AJ$2)-YEAR($I22)&lt;20),$D22,YEAR(AJ$2)-YEAR($I22)=20,ROUND((DATE(YEAR($I22),12,31)-$I22+1)/365*$D22,2),YEAR(AJ$2)-YEAR($I22)&gt;20,0)</f>
        <v>0</v>
      </c>
      <c r="AK22" s="48" cm="1">
        <f t="array" ref="AK22">_xlfn.IFS(YEAR(AK$2)&lt;YEAR($I22),0,YEAR(AK$2)=YEAR($I22),ROUND(((AK$2-$I22+1)/365)*$D22,2),AND(YEAR(AK$2)&gt;YEAR($I22),YEAR(AK$2)-YEAR($I22)&lt;20),$D22,YEAR(AK$2)-YEAR($I22)=20,ROUND((DATE(YEAR($I22),12,31)-$I22+1)/365*$D22,2),YEAR(AK$2)-YEAR($I22)&gt;20,0)</f>
        <v>0</v>
      </c>
      <c r="AL22" s="48" cm="1">
        <f t="array" ref="AL22">_xlfn.IFS(YEAR(AL$2)&lt;YEAR($I22),0,YEAR(AL$2)=YEAR($I22),ROUND(((AL$2-$I22+1)/365)*$D22,2),AND(YEAR(AL$2)&gt;YEAR($I22),YEAR(AL$2)-YEAR($I22)&lt;20),$D22,YEAR(AL$2)-YEAR($I22)=20,ROUND((DATE(YEAR($I22),12,31)-$I22+1)/365*$D22,2),YEAR(AL$2)-YEAR($I22)&gt;20,0)</f>
        <v>0</v>
      </c>
      <c r="AM22" s="48" cm="1">
        <f t="array" ref="AM22">_xlfn.IFS(YEAR(AM$2)&lt;YEAR($I22),0,YEAR(AM$2)=YEAR($I22),ROUND(((AM$2-$I22+1)/365)*$D22,2),AND(YEAR(AM$2)&gt;YEAR($I22),YEAR(AM$2)-YEAR($I22)&lt;20),$D22,YEAR(AM$2)-YEAR($I22)=20,ROUND((DATE(YEAR($I22),12,31)-$I22+1)/365*$D22,2),YEAR(AM$2)-YEAR($I22)&gt;20,0)</f>
        <v>0</v>
      </c>
      <c r="AO22" s="48">
        <v>2023</v>
      </c>
      <c r="AP22" s="48">
        <v>0.04</v>
      </c>
      <c r="AQ22" s="48">
        <v>24.65</v>
      </c>
      <c r="AR22" s="48">
        <v>0.8</v>
      </c>
      <c r="AS22" s="48">
        <v>0.37</v>
      </c>
      <c r="AT22" s="48">
        <v>0</v>
      </c>
      <c r="AU22" s="48">
        <v>0</v>
      </c>
      <c r="AV22" s="48">
        <v>1.83</v>
      </c>
      <c r="AW22" s="48">
        <v>0</v>
      </c>
      <c r="AX22" s="48">
        <v>0.24</v>
      </c>
      <c r="AY22" s="48">
        <v>0</v>
      </c>
      <c r="BA22" s="48">
        <f t="shared" ref="BA22:BA49" si="1">SUM(AP22:AY22)</f>
        <v>27.929999999999996</v>
      </c>
      <c r="BB22" s="48">
        <f>BA22-BA21</f>
        <v>17.75</v>
      </c>
    </row>
    <row r="23" spans="1:54">
      <c r="A23" s="155" t="str" cm="1">
        <f t="array" ref="A23">_xlfn.IFS(LEFT(C23,3)="PGE","PGE",LEFT(C23,2)="PP","PAC",TRUE,"IP")</f>
        <v>PAC</v>
      </c>
      <c r="B23" s="155" t="str">
        <f>IF(ISNA(MATCH(C23,'Monthly Report July 2025'!E:E,0)),"Missing","Present")</f>
        <v>Present</v>
      </c>
      <c r="C23" s="155" t="s">
        <v>132</v>
      </c>
      <c r="D23" s="176" cm="1">
        <f t="array" ref="D23">INDEX('Monthly Report July 2025'!L:L,MATCH(C23,'Monthly Report July 2025'!E:E,0),0)</f>
        <v>882</v>
      </c>
      <c r="E23" s="176" t="str" cm="1">
        <f t="array" ref="E23">IF(INDEX('PA Fees by Project'!K:K,MATCH(C23,'PA Fees by Project'!E:E,0),0)="No","Non-Carve Out", "Carve Out")</f>
        <v>Non-Carve Out</v>
      </c>
      <c r="F23" s="176" cm="1">
        <f t="array" ref="F23">INDEX('PA Fees by Project'!J:J,MATCH(C23,'PA Fees by Project'!E:E,0),0)</f>
        <v>1</v>
      </c>
      <c r="G23" s="155" t="str" cm="1">
        <f t="array" ref="G23">INDEX('PA Fees by Project'!G:G,MATCH(C23,'PA Fees by Project'!E:E,0),0)</f>
        <v>Operational</v>
      </c>
      <c r="H23" s="175" cm="1">
        <f t="array" ref="H23">INDEX('PA Fees by Project'!Q:Q,MATCH(C23,'PA Fees by Project'!E:E,0),0)</f>
        <v>45139</v>
      </c>
      <c r="I23" s="156" cm="1">
        <f t="array" ref="I23">_xlfn.IFS(G23="Operational",H23,G23="Certified",EDATE(INDEX('PA Fees by Project'!R:R,MATCH(C23,'PA Fees by Project'!E:E,0),0),6),TRUE,EDATE(INDEX('PA Fees by Project'!O:O,MATCH(C23,'PA Fees by Project'!E:E,0),0),6))</f>
        <v>45139</v>
      </c>
      <c r="J23" s="48" cm="1">
        <f t="array" ref="J23">_xlfn.IFS(YEAR(J$2)&lt;YEAR($I23),0,YEAR(J$2)=YEAR($I23),ROUND(((J$2-$I23+1)/365)*$D23,2),AND(YEAR(J$2)&gt;YEAR($I23),YEAR(J$2)-YEAR($I23)&lt;20),$D23,YEAR(J$2)-YEAR($I23)=20,ROUND((DATE(YEAR($I23),12,31)-$I23+1)/365*$D23,2),YEAR(J$2)-YEAR($I23)&gt;20,0)</f>
        <v>0</v>
      </c>
      <c r="K23" s="48" cm="1">
        <f t="array" ref="K23">_xlfn.IFS(YEAR(K$2)&lt;YEAR($I23),0,YEAR(K$2)=YEAR($I23),ROUND(((K$2-$I23+1)/365)*$D23,2),AND(YEAR(K$2)&gt;YEAR($I23),YEAR(K$2)-YEAR($I23)&lt;20),$D23,YEAR(K$2)-YEAR($I23)=20,ROUND((DATE(YEAR($I23),12,31)-$I23+1)/365*$D23,2),YEAR(K$2)-YEAR($I23)&gt;20,0)</f>
        <v>0</v>
      </c>
      <c r="L23" s="48" cm="1">
        <f t="array" ref="L23">_xlfn.IFS(YEAR(L$2)&lt;YEAR($I23),0,YEAR(L$2)=YEAR($I23),ROUND(((L$2-$I23+1)/365)*$D23,2),AND(YEAR(L$2)&gt;YEAR($I23),YEAR(L$2)-YEAR($I23)&lt;20),$D23,YEAR(L$2)-YEAR($I23)=20,ROUND((DATE(YEAR($I23),12,31)-$I23+1)/365*$D23,2),YEAR(L$2)-YEAR($I23)&gt;20,0)</f>
        <v>369.72</v>
      </c>
      <c r="M23" s="48" cm="1">
        <f t="array" ref="M23">_xlfn.IFS(YEAR(M$2)&lt;YEAR($I23),0,YEAR(M$2)=YEAR($I23),ROUND(((M$2-$I23+1)/365)*$D23,2),AND(YEAR(M$2)&gt;YEAR($I23),YEAR(M$2)-YEAR($I23)&lt;20),$D23,YEAR(M$2)-YEAR($I23)=20,ROUND((DATE(YEAR($I23),12,31)-$I23+1)/365*$D23,2),YEAR(M$2)-YEAR($I23)&gt;20,0)</f>
        <v>882</v>
      </c>
      <c r="N23" s="48" cm="1">
        <f t="array" ref="N23">_xlfn.IFS(YEAR(N$2)&lt;YEAR($I23),0,YEAR(N$2)=YEAR($I23),ROUND(((N$2-$I23+1)/365)*$D23,2),AND(YEAR(N$2)&gt;YEAR($I23),YEAR(N$2)-YEAR($I23)&lt;20),$D23,YEAR(N$2)-YEAR($I23)=20,ROUND((DATE(YEAR($I23),12,31)-$I23+1)/365*$D23,2),YEAR(N$2)-YEAR($I23)&gt;20,0)</f>
        <v>882</v>
      </c>
      <c r="O23" s="48" cm="1">
        <f t="array" ref="O23">_xlfn.IFS(YEAR(O$2)&lt;YEAR($I23),0,YEAR(O$2)=YEAR($I23),ROUND(((O$2-$I23+1)/365)*$D23,2),AND(YEAR(O$2)&gt;YEAR($I23),YEAR(O$2)-YEAR($I23)&lt;20),$D23,YEAR(O$2)-YEAR($I23)=20,ROUND((DATE(YEAR($I23),12,31)-$I23+1)/365*$D23,2),YEAR(O$2)-YEAR($I23)&gt;20,0)</f>
        <v>882</v>
      </c>
      <c r="P23" s="48" cm="1">
        <f t="array" ref="P23">_xlfn.IFS(YEAR(P$2)&lt;YEAR($I23),0,YEAR(P$2)=YEAR($I23),ROUND(((P$2-$I23+1)/365)*$D23,2),AND(YEAR(P$2)&gt;YEAR($I23),YEAR(P$2)-YEAR($I23)&lt;20),$D23,YEAR(P$2)-YEAR($I23)=20,ROUND((DATE(YEAR($I23),12,31)-$I23+1)/365*$D23,2),YEAR(P$2)-YEAR($I23)&gt;20,0)</f>
        <v>882</v>
      </c>
      <c r="Q23" s="48" cm="1">
        <f t="array" ref="Q23">_xlfn.IFS(YEAR(Q$2)&lt;YEAR($I23),0,YEAR(Q$2)=YEAR($I23),ROUND(((Q$2-$I23+1)/365)*$D23,2),AND(YEAR(Q$2)&gt;YEAR($I23),YEAR(Q$2)-YEAR($I23)&lt;20),$D23,YEAR(Q$2)-YEAR($I23)=20,ROUND((DATE(YEAR($I23),12,31)-$I23+1)/365*$D23,2),YEAR(Q$2)-YEAR($I23)&gt;20,0)</f>
        <v>882</v>
      </c>
      <c r="R23" s="48" cm="1">
        <f t="array" ref="R23">_xlfn.IFS(YEAR(R$2)&lt;YEAR($I23),0,YEAR(R$2)=YEAR($I23),ROUND(((R$2-$I23+1)/365)*$D23,2),AND(YEAR(R$2)&gt;YEAR($I23),YEAR(R$2)-YEAR($I23)&lt;20),$D23,YEAR(R$2)-YEAR($I23)=20,ROUND((DATE(YEAR($I23),12,31)-$I23+1)/365*$D23,2),YEAR(R$2)-YEAR($I23)&gt;20,0)</f>
        <v>882</v>
      </c>
      <c r="S23" s="48" cm="1">
        <f t="array" ref="S23">_xlfn.IFS(YEAR(S$2)&lt;YEAR($I23),0,YEAR(S$2)=YEAR($I23),ROUND(((S$2-$I23+1)/365)*$D23,2),AND(YEAR(S$2)&gt;YEAR($I23),YEAR(S$2)-YEAR($I23)&lt;20),$D23,YEAR(S$2)-YEAR($I23)=20,ROUND((DATE(YEAR($I23),12,31)-$I23+1)/365*$D23,2),YEAR(S$2)-YEAR($I23)&gt;20,0)</f>
        <v>882</v>
      </c>
      <c r="T23" s="48" cm="1">
        <f t="array" ref="T23">_xlfn.IFS(YEAR(T$2)&lt;YEAR($I23),0,YEAR(T$2)=YEAR($I23),ROUND(((T$2-$I23+1)/365)*$D23,2),AND(YEAR(T$2)&gt;YEAR($I23),YEAR(T$2)-YEAR($I23)&lt;20),$D23,YEAR(T$2)-YEAR($I23)=20,ROUND((DATE(YEAR($I23),12,31)-$I23+1)/365*$D23,2),YEAR(T$2)-YEAR($I23)&gt;20,0)</f>
        <v>882</v>
      </c>
      <c r="U23" s="48" cm="1">
        <f t="array" ref="U23">_xlfn.IFS(YEAR(U$2)&lt;YEAR($I23),0,YEAR(U$2)=YEAR($I23),ROUND(((U$2-$I23+1)/365)*$D23,2),AND(YEAR(U$2)&gt;YEAR($I23),YEAR(U$2)-YEAR($I23)&lt;20),$D23,YEAR(U$2)-YEAR($I23)=20,ROUND((DATE(YEAR($I23),12,31)-$I23+1)/365*$D23,2),YEAR(U$2)-YEAR($I23)&gt;20,0)</f>
        <v>882</v>
      </c>
      <c r="V23" s="48" cm="1">
        <f t="array" ref="V23">_xlfn.IFS(YEAR(V$2)&lt;YEAR($I23),0,YEAR(V$2)=YEAR($I23),ROUND(((V$2-$I23+1)/365)*$D23,2),AND(YEAR(V$2)&gt;YEAR($I23),YEAR(V$2)-YEAR($I23)&lt;20),$D23,YEAR(V$2)-YEAR($I23)=20,ROUND((DATE(YEAR($I23),12,31)-$I23+1)/365*$D23,2),YEAR(V$2)-YEAR($I23)&gt;20,0)</f>
        <v>882</v>
      </c>
      <c r="W23" s="48" cm="1">
        <f t="array" ref="W23">_xlfn.IFS(YEAR(W$2)&lt;YEAR($I23),0,YEAR(W$2)=YEAR($I23),ROUND(((W$2-$I23+1)/365)*$D23,2),AND(YEAR(W$2)&gt;YEAR($I23),YEAR(W$2)-YEAR($I23)&lt;20),$D23,YEAR(W$2)-YEAR($I23)=20,ROUND((DATE(YEAR($I23),12,31)-$I23+1)/365*$D23,2),YEAR(W$2)-YEAR($I23)&gt;20,0)</f>
        <v>882</v>
      </c>
      <c r="X23" s="48" cm="1">
        <f t="array" ref="X23">_xlfn.IFS(YEAR(X$2)&lt;YEAR($I23),0,YEAR(X$2)=YEAR($I23),ROUND(((X$2-$I23+1)/365)*$D23,2),AND(YEAR(X$2)&gt;YEAR($I23),YEAR(X$2)-YEAR($I23)&lt;20),$D23,YEAR(X$2)-YEAR($I23)=20,ROUND((DATE(YEAR($I23),12,31)-$I23+1)/365*$D23,2),YEAR(X$2)-YEAR($I23)&gt;20,0)</f>
        <v>882</v>
      </c>
      <c r="Y23" s="48" cm="1">
        <f t="array" ref="Y23">_xlfn.IFS(YEAR(Y$2)&lt;YEAR($I23),0,YEAR(Y$2)=YEAR($I23),ROUND(((Y$2-$I23+1)/365)*$D23,2),AND(YEAR(Y$2)&gt;YEAR($I23),YEAR(Y$2)-YEAR($I23)&lt;20),$D23,YEAR(Y$2)-YEAR($I23)=20,ROUND((DATE(YEAR($I23),12,31)-$I23+1)/365*$D23,2),YEAR(Y$2)-YEAR($I23)&gt;20,0)</f>
        <v>882</v>
      </c>
      <c r="Z23" s="48" cm="1">
        <f t="array" ref="Z23">_xlfn.IFS(YEAR(Z$2)&lt;YEAR($I23),0,YEAR(Z$2)=YEAR($I23),ROUND(((Z$2-$I23+1)/365)*$D23,2),AND(YEAR(Z$2)&gt;YEAR($I23),YEAR(Z$2)-YEAR($I23)&lt;20),$D23,YEAR(Z$2)-YEAR($I23)=20,ROUND((DATE(YEAR($I23),12,31)-$I23+1)/365*$D23,2),YEAR(Z$2)-YEAR($I23)&gt;20,0)</f>
        <v>882</v>
      </c>
      <c r="AA23" s="48" cm="1">
        <f t="array" ref="AA23">_xlfn.IFS(YEAR(AA$2)&lt;YEAR($I23),0,YEAR(AA$2)=YEAR($I23),ROUND(((AA$2-$I23+1)/365)*$D23,2),AND(YEAR(AA$2)&gt;YEAR($I23),YEAR(AA$2)-YEAR($I23)&lt;20),$D23,YEAR(AA$2)-YEAR($I23)=20,ROUND((DATE(YEAR($I23),12,31)-$I23+1)/365*$D23,2),YEAR(AA$2)-YEAR($I23)&gt;20,0)</f>
        <v>882</v>
      </c>
      <c r="AB23" s="48" cm="1">
        <f t="array" ref="AB23">_xlfn.IFS(YEAR(AB$2)&lt;YEAR($I23),0,YEAR(AB$2)=YEAR($I23),ROUND(((AB$2-$I23+1)/365)*$D23,2),AND(YEAR(AB$2)&gt;YEAR($I23),YEAR(AB$2)-YEAR($I23)&lt;20),$D23,YEAR(AB$2)-YEAR($I23)=20,ROUND((DATE(YEAR($I23),12,31)-$I23+1)/365*$D23,2),YEAR(AB$2)-YEAR($I23)&gt;20,0)</f>
        <v>882</v>
      </c>
      <c r="AC23" s="48" cm="1">
        <f t="array" ref="AC23">_xlfn.IFS(YEAR(AC$2)&lt;YEAR($I23),0,YEAR(AC$2)=YEAR($I23),ROUND(((AC$2-$I23+1)/365)*$D23,2),AND(YEAR(AC$2)&gt;YEAR($I23),YEAR(AC$2)-YEAR($I23)&lt;20),$D23,YEAR(AC$2)-YEAR($I23)=20,ROUND((DATE(YEAR($I23),12,31)-$I23+1)/365*$D23,2),YEAR(AC$2)-YEAR($I23)&gt;20,0)</f>
        <v>882</v>
      </c>
      <c r="AD23" s="48" cm="1">
        <f t="array" ref="AD23">_xlfn.IFS(YEAR(AD$2)&lt;YEAR($I23),0,YEAR(AD$2)=YEAR($I23),ROUND(((AD$2-$I23+1)/365)*$D23,2),AND(YEAR(AD$2)&gt;YEAR($I23),YEAR(AD$2)-YEAR($I23)&lt;20),$D23,YEAR(AD$2)-YEAR($I23)=20,ROUND((DATE(YEAR($I23),12,31)-$I23+1)/365*$D23,2),YEAR(AD$2)-YEAR($I23)&gt;20,0)</f>
        <v>882</v>
      </c>
      <c r="AE23" s="48" cm="1">
        <f t="array" ref="AE23">_xlfn.IFS(YEAR(AE$2)&lt;YEAR($I23),0,YEAR(AE$2)=YEAR($I23),ROUND(((AE$2-$I23+1)/365)*$D23,2),AND(YEAR(AE$2)&gt;YEAR($I23),YEAR(AE$2)-YEAR($I23)&lt;20),$D23,YEAR(AE$2)-YEAR($I23)=20,ROUND((DATE(YEAR($I23),12,31)-$I23+1)/365*$D23,2),YEAR(AE$2)-YEAR($I23)&gt;20,0)</f>
        <v>882</v>
      </c>
      <c r="AF23" s="48" cm="1">
        <f t="array" ref="AF23">_xlfn.IFS(YEAR(AF$2)&lt;YEAR($I23),0,YEAR(AF$2)=YEAR($I23),ROUND(((AF$2-$I23+1)/365)*$D23,2),AND(YEAR(AF$2)&gt;YEAR($I23),YEAR(AF$2)-YEAR($I23)&lt;20),$D23,YEAR(AF$2)-YEAR($I23)=20,ROUND((DATE(YEAR($I23),12,31)-$I23+1)/365*$D23,2),YEAR(AF$2)-YEAR($I23)&gt;20,0)</f>
        <v>369.72</v>
      </c>
      <c r="AG23" s="48" cm="1">
        <f t="array" ref="AG23">_xlfn.IFS(YEAR(AG$2)&lt;YEAR($I23),0,YEAR(AG$2)=YEAR($I23),ROUND(((AG$2-$I23+1)/365)*$D23,2),AND(YEAR(AG$2)&gt;YEAR($I23),YEAR(AG$2)-YEAR($I23)&lt;20),$D23,YEAR(AG$2)-YEAR($I23)=20,ROUND((DATE(YEAR($I23),12,31)-$I23+1)/365*$D23,2),YEAR(AG$2)-YEAR($I23)&gt;20,0)</f>
        <v>0</v>
      </c>
      <c r="AH23" s="48" cm="1">
        <f t="array" ref="AH23">_xlfn.IFS(YEAR(AH$2)&lt;YEAR($I23),0,YEAR(AH$2)=YEAR($I23),ROUND(((AH$2-$I23+1)/365)*$D23,2),AND(YEAR(AH$2)&gt;YEAR($I23),YEAR(AH$2)-YEAR($I23)&lt;20),$D23,YEAR(AH$2)-YEAR($I23)=20,ROUND((DATE(YEAR($I23),12,31)-$I23+1)/365*$D23,2),YEAR(AH$2)-YEAR($I23)&gt;20,0)</f>
        <v>0</v>
      </c>
      <c r="AI23" s="48" cm="1">
        <f t="array" ref="AI23">_xlfn.IFS(YEAR(AI$2)&lt;YEAR($I23),0,YEAR(AI$2)=YEAR($I23),ROUND(((AI$2-$I23+1)/365)*$D23,2),AND(YEAR(AI$2)&gt;YEAR($I23),YEAR(AI$2)-YEAR($I23)&lt;20),$D23,YEAR(AI$2)-YEAR($I23)=20,ROUND((DATE(YEAR($I23),12,31)-$I23+1)/365*$D23,2),YEAR(AI$2)-YEAR($I23)&gt;20,0)</f>
        <v>0</v>
      </c>
      <c r="AJ23" s="48" cm="1">
        <f t="array" ref="AJ23">_xlfn.IFS(YEAR(AJ$2)&lt;YEAR($I23),0,YEAR(AJ$2)=YEAR($I23),ROUND(((AJ$2-$I23+1)/365)*$D23,2),AND(YEAR(AJ$2)&gt;YEAR($I23),YEAR(AJ$2)-YEAR($I23)&lt;20),$D23,YEAR(AJ$2)-YEAR($I23)=20,ROUND((DATE(YEAR($I23),12,31)-$I23+1)/365*$D23,2),YEAR(AJ$2)-YEAR($I23)&gt;20,0)</f>
        <v>0</v>
      </c>
      <c r="AK23" s="48" cm="1">
        <f t="array" ref="AK23">_xlfn.IFS(YEAR(AK$2)&lt;YEAR($I23),0,YEAR(AK$2)=YEAR($I23),ROUND(((AK$2-$I23+1)/365)*$D23,2),AND(YEAR(AK$2)&gt;YEAR($I23),YEAR(AK$2)-YEAR($I23)&lt;20),$D23,YEAR(AK$2)-YEAR($I23)=20,ROUND((DATE(YEAR($I23),12,31)-$I23+1)/365*$D23,2),YEAR(AK$2)-YEAR($I23)&gt;20,0)</f>
        <v>0</v>
      </c>
      <c r="AL23" s="48" cm="1">
        <f t="array" ref="AL23">_xlfn.IFS(YEAR(AL$2)&lt;YEAR($I23),0,YEAR(AL$2)=YEAR($I23),ROUND(((AL$2-$I23+1)/365)*$D23,2),AND(YEAR(AL$2)&gt;YEAR($I23),YEAR(AL$2)-YEAR($I23)&lt;20),$D23,YEAR(AL$2)-YEAR($I23)=20,ROUND((DATE(YEAR($I23),12,31)-$I23+1)/365*$D23,2),YEAR(AL$2)-YEAR($I23)&gt;20,0)</f>
        <v>0</v>
      </c>
      <c r="AM23" s="48" cm="1">
        <f t="array" ref="AM23">_xlfn.IFS(YEAR(AM$2)&lt;YEAR($I23),0,YEAR(AM$2)=YEAR($I23),ROUND(((AM$2-$I23+1)/365)*$D23,2),AND(YEAR(AM$2)&gt;YEAR($I23),YEAR(AM$2)-YEAR($I23)&lt;20),$D23,YEAR(AM$2)-YEAR($I23)=20,ROUND((DATE(YEAR($I23),12,31)-$I23+1)/365*$D23,2),YEAR(AM$2)-YEAR($I23)&gt;20,0)</f>
        <v>0</v>
      </c>
      <c r="AO23" s="48">
        <v>2024</v>
      </c>
      <c r="AP23" s="48">
        <v>0.04</v>
      </c>
      <c r="AQ23" s="48">
        <v>25.3</v>
      </c>
      <c r="AR23" s="48">
        <v>1.01</v>
      </c>
      <c r="AS23" s="48">
        <v>2.78</v>
      </c>
      <c r="AT23" s="48">
        <v>1.63</v>
      </c>
      <c r="AU23" s="48">
        <v>0.18</v>
      </c>
      <c r="AV23" s="48">
        <v>5.34</v>
      </c>
      <c r="AW23" s="48">
        <v>0</v>
      </c>
      <c r="AX23" s="48">
        <v>2.65</v>
      </c>
      <c r="AY23" s="48">
        <v>0</v>
      </c>
      <c r="BA23" s="48">
        <f t="shared" si="1"/>
        <v>38.93</v>
      </c>
      <c r="BB23" s="48">
        <f t="shared" ref="BB23:BB49" si="2">BA23-BA22</f>
        <v>11.000000000000004</v>
      </c>
    </row>
    <row r="24" spans="1:54">
      <c r="A24" s="155" t="str" cm="1">
        <f t="array" ref="A24">_xlfn.IFS(LEFT(C24,3)="PGE","PGE",LEFT(C24,2)="PP","PAC",TRUE,"IP")</f>
        <v>PAC</v>
      </c>
      <c r="B24" s="155" t="str">
        <f>IF(ISNA(MATCH(C24,'Monthly Report July 2025'!E:E,0)),"Missing","Present")</f>
        <v>Present</v>
      </c>
      <c r="C24" s="155" t="s">
        <v>133</v>
      </c>
      <c r="D24" s="176" cm="1">
        <f t="array" ref="D24">INDEX('Monthly Report July 2025'!L:L,MATCH(C24,'Monthly Report July 2025'!E:E,0),0)</f>
        <v>2250</v>
      </c>
      <c r="E24" s="176" t="str" cm="1">
        <f t="array" ref="E24">IF(INDEX('PA Fees by Project'!K:K,MATCH(C24,'PA Fees by Project'!E:E,0),0)="No","Non-Carve Out", "Carve Out")</f>
        <v>Non-Carve Out</v>
      </c>
      <c r="F24" s="176" cm="1">
        <f t="array" ref="F24">INDEX('PA Fees by Project'!J:J,MATCH(C24,'PA Fees by Project'!E:E,0),0)</f>
        <v>2</v>
      </c>
      <c r="G24" s="155" t="str" cm="1">
        <f t="array" ref="G24">INDEX('PA Fees by Project'!G:G,MATCH(C24,'PA Fees by Project'!E:E,0),0)</f>
        <v>Operational</v>
      </c>
      <c r="H24" s="175" cm="1">
        <f t="array" ref="H24">INDEX('PA Fees by Project'!Q:Q,MATCH(C24,'PA Fees by Project'!E:E,0),0)</f>
        <v>45555</v>
      </c>
      <c r="I24" s="156" cm="1">
        <f t="array" ref="I24">_xlfn.IFS(G24="Operational",H24,G24="Certified",EDATE(INDEX('PA Fees by Project'!R:R,MATCH(C24,'PA Fees by Project'!E:E,0),0),6),TRUE,EDATE(INDEX('PA Fees by Project'!O:O,MATCH(C24,'PA Fees by Project'!E:E,0),0),6))</f>
        <v>45555</v>
      </c>
      <c r="J24" s="48" cm="1">
        <f t="array" ref="J24">_xlfn.IFS(YEAR(J$2)&lt;YEAR($I24),0,YEAR(J$2)=YEAR($I24),ROUND(((J$2-$I24+1)/365)*$D24,2),AND(YEAR(J$2)&gt;YEAR($I24),YEAR(J$2)-YEAR($I24)&lt;20),$D24,YEAR(J$2)-YEAR($I24)=20,ROUND((DATE(YEAR($I24),12,31)-$I24+1)/365*$D24,2),YEAR(J$2)-YEAR($I24)&gt;20,0)</f>
        <v>0</v>
      </c>
      <c r="K24" s="48" cm="1">
        <f t="array" ref="K24">_xlfn.IFS(YEAR(K$2)&lt;YEAR($I24),0,YEAR(K$2)=YEAR($I24),ROUND(((K$2-$I24+1)/365)*$D24,2),AND(YEAR(K$2)&gt;YEAR($I24),YEAR(K$2)-YEAR($I24)&lt;20),$D24,YEAR(K$2)-YEAR($I24)=20,ROUND((DATE(YEAR($I24),12,31)-$I24+1)/365*$D24,2),YEAR(K$2)-YEAR($I24)&gt;20,0)</f>
        <v>0</v>
      </c>
      <c r="L24" s="48" cm="1">
        <f t="array" ref="L24">_xlfn.IFS(YEAR(L$2)&lt;YEAR($I24),0,YEAR(L$2)=YEAR($I24),ROUND(((L$2-$I24+1)/365)*$D24,2),AND(YEAR(L$2)&gt;YEAR($I24),YEAR(L$2)-YEAR($I24)&lt;20),$D24,YEAR(L$2)-YEAR($I24)=20,ROUND((DATE(YEAR($I24),12,31)-$I24+1)/365*$D24,2),YEAR(L$2)-YEAR($I24)&gt;20,0)</f>
        <v>0</v>
      </c>
      <c r="M24" s="48" cm="1">
        <f t="array" ref="M24">_xlfn.IFS(YEAR(M$2)&lt;YEAR($I24),0,YEAR(M$2)=YEAR($I24),ROUND(((M$2-$I24+1)/365)*$D24,2),AND(YEAR(M$2)&gt;YEAR($I24),YEAR(M$2)-YEAR($I24)&lt;20),$D24,YEAR(M$2)-YEAR($I24)=20,ROUND((DATE(YEAR($I24),12,31)-$I24+1)/365*$D24,2),YEAR(M$2)-YEAR($I24)&gt;20,0)</f>
        <v>634.92999999999995</v>
      </c>
      <c r="N24" s="48" cm="1">
        <f t="array" ref="N24">_xlfn.IFS(YEAR(N$2)&lt;YEAR($I24),0,YEAR(N$2)=YEAR($I24),ROUND(((N$2-$I24+1)/365)*$D24,2),AND(YEAR(N$2)&gt;YEAR($I24),YEAR(N$2)-YEAR($I24)&lt;20),$D24,YEAR(N$2)-YEAR($I24)=20,ROUND((DATE(YEAR($I24),12,31)-$I24+1)/365*$D24,2),YEAR(N$2)-YEAR($I24)&gt;20,0)</f>
        <v>2250</v>
      </c>
      <c r="O24" s="48" cm="1">
        <f t="array" ref="O24">_xlfn.IFS(YEAR(O$2)&lt;YEAR($I24),0,YEAR(O$2)=YEAR($I24),ROUND(((O$2-$I24+1)/365)*$D24,2),AND(YEAR(O$2)&gt;YEAR($I24),YEAR(O$2)-YEAR($I24)&lt;20),$D24,YEAR(O$2)-YEAR($I24)=20,ROUND((DATE(YEAR($I24),12,31)-$I24+1)/365*$D24,2),YEAR(O$2)-YEAR($I24)&gt;20,0)</f>
        <v>2250</v>
      </c>
      <c r="P24" s="48" cm="1">
        <f t="array" ref="P24">_xlfn.IFS(YEAR(P$2)&lt;YEAR($I24),0,YEAR(P$2)=YEAR($I24),ROUND(((P$2-$I24+1)/365)*$D24,2),AND(YEAR(P$2)&gt;YEAR($I24),YEAR(P$2)-YEAR($I24)&lt;20),$D24,YEAR(P$2)-YEAR($I24)=20,ROUND((DATE(YEAR($I24),12,31)-$I24+1)/365*$D24,2),YEAR(P$2)-YEAR($I24)&gt;20,0)</f>
        <v>2250</v>
      </c>
      <c r="Q24" s="48" cm="1">
        <f t="array" ref="Q24">_xlfn.IFS(YEAR(Q$2)&lt;YEAR($I24),0,YEAR(Q$2)=YEAR($I24),ROUND(((Q$2-$I24+1)/365)*$D24,2),AND(YEAR(Q$2)&gt;YEAR($I24),YEAR(Q$2)-YEAR($I24)&lt;20),$D24,YEAR(Q$2)-YEAR($I24)=20,ROUND((DATE(YEAR($I24),12,31)-$I24+1)/365*$D24,2),YEAR(Q$2)-YEAR($I24)&gt;20,0)</f>
        <v>2250</v>
      </c>
      <c r="R24" s="48" cm="1">
        <f t="array" ref="R24">_xlfn.IFS(YEAR(R$2)&lt;YEAR($I24),0,YEAR(R$2)=YEAR($I24),ROUND(((R$2-$I24+1)/365)*$D24,2),AND(YEAR(R$2)&gt;YEAR($I24),YEAR(R$2)-YEAR($I24)&lt;20),$D24,YEAR(R$2)-YEAR($I24)=20,ROUND((DATE(YEAR($I24),12,31)-$I24+1)/365*$D24,2),YEAR(R$2)-YEAR($I24)&gt;20,0)</f>
        <v>2250</v>
      </c>
      <c r="S24" s="48" cm="1">
        <f t="array" ref="S24">_xlfn.IFS(YEAR(S$2)&lt;YEAR($I24),0,YEAR(S$2)=YEAR($I24),ROUND(((S$2-$I24+1)/365)*$D24,2),AND(YEAR(S$2)&gt;YEAR($I24),YEAR(S$2)-YEAR($I24)&lt;20),$D24,YEAR(S$2)-YEAR($I24)=20,ROUND((DATE(YEAR($I24),12,31)-$I24+1)/365*$D24,2),YEAR(S$2)-YEAR($I24)&gt;20,0)</f>
        <v>2250</v>
      </c>
      <c r="T24" s="48" cm="1">
        <f t="array" ref="T24">_xlfn.IFS(YEAR(T$2)&lt;YEAR($I24),0,YEAR(T$2)=YEAR($I24),ROUND(((T$2-$I24+1)/365)*$D24,2),AND(YEAR(T$2)&gt;YEAR($I24),YEAR(T$2)-YEAR($I24)&lt;20),$D24,YEAR(T$2)-YEAR($I24)=20,ROUND((DATE(YEAR($I24),12,31)-$I24+1)/365*$D24,2),YEAR(T$2)-YEAR($I24)&gt;20,0)</f>
        <v>2250</v>
      </c>
      <c r="U24" s="48" cm="1">
        <f t="array" ref="U24">_xlfn.IFS(YEAR(U$2)&lt;YEAR($I24),0,YEAR(U$2)=YEAR($I24),ROUND(((U$2-$I24+1)/365)*$D24,2),AND(YEAR(U$2)&gt;YEAR($I24),YEAR(U$2)-YEAR($I24)&lt;20),$D24,YEAR(U$2)-YEAR($I24)=20,ROUND((DATE(YEAR($I24),12,31)-$I24+1)/365*$D24,2),YEAR(U$2)-YEAR($I24)&gt;20,0)</f>
        <v>2250</v>
      </c>
      <c r="V24" s="48" cm="1">
        <f t="array" ref="V24">_xlfn.IFS(YEAR(V$2)&lt;YEAR($I24),0,YEAR(V$2)=YEAR($I24),ROUND(((V$2-$I24+1)/365)*$D24,2),AND(YEAR(V$2)&gt;YEAR($I24),YEAR(V$2)-YEAR($I24)&lt;20),$D24,YEAR(V$2)-YEAR($I24)=20,ROUND((DATE(YEAR($I24),12,31)-$I24+1)/365*$D24,2),YEAR(V$2)-YEAR($I24)&gt;20,0)</f>
        <v>2250</v>
      </c>
      <c r="W24" s="48" cm="1">
        <f t="array" ref="W24">_xlfn.IFS(YEAR(W$2)&lt;YEAR($I24),0,YEAR(W$2)=YEAR($I24),ROUND(((W$2-$I24+1)/365)*$D24,2),AND(YEAR(W$2)&gt;YEAR($I24),YEAR(W$2)-YEAR($I24)&lt;20),$D24,YEAR(W$2)-YEAR($I24)=20,ROUND((DATE(YEAR($I24),12,31)-$I24+1)/365*$D24,2),YEAR(W$2)-YEAR($I24)&gt;20,0)</f>
        <v>2250</v>
      </c>
      <c r="X24" s="48" cm="1">
        <f t="array" ref="X24">_xlfn.IFS(YEAR(X$2)&lt;YEAR($I24),0,YEAR(X$2)=YEAR($I24),ROUND(((X$2-$I24+1)/365)*$D24,2),AND(YEAR(X$2)&gt;YEAR($I24),YEAR(X$2)-YEAR($I24)&lt;20),$D24,YEAR(X$2)-YEAR($I24)=20,ROUND((DATE(YEAR($I24),12,31)-$I24+1)/365*$D24,2),YEAR(X$2)-YEAR($I24)&gt;20,0)</f>
        <v>2250</v>
      </c>
      <c r="Y24" s="48" cm="1">
        <f t="array" ref="Y24">_xlfn.IFS(YEAR(Y$2)&lt;YEAR($I24),0,YEAR(Y$2)=YEAR($I24),ROUND(((Y$2-$I24+1)/365)*$D24,2),AND(YEAR(Y$2)&gt;YEAR($I24),YEAR(Y$2)-YEAR($I24)&lt;20),$D24,YEAR(Y$2)-YEAR($I24)=20,ROUND((DATE(YEAR($I24),12,31)-$I24+1)/365*$D24,2),YEAR(Y$2)-YEAR($I24)&gt;20,0)</f>
        <v>2250</v>
      </c>
      <c r="Z24" s="48" cm="1">
        <f t="array" ref="Z24">_xlfn.IFS(YEAR(Z$2)&lt;YEAR($I24),0,YEAR(Z$2)=YEAR($I24),ROUND(((Z$2-$I24+1)/365)*$D24,2),AND(YEAR(Z$2)&gt;YEAR($I24),YEAR(Z$2)-YEAR($I24)&lt;20),$D24,YEAR(Z$2)-YEAR($I24)=20,ROUND((DATE(YEAR($I24),12,31)-$I24+1)/365*$D24,2),YEAR(Z$2)-YEAR($I24)&gt;20,0)</f>
        <v>2250</v>
      </c>
      <c r="AA24" s="48" cm="1">
        <f t="array" ref="AA24">_xlfn.IFS(YEAR(AA$2)&lt;YEAR($I24),0,YEAR(AA$2)=YEAR($I24),ROUND(((AA$2-$I24+1)/365)*$D24,2),AND(YEAR(AA$2)&gt;YEAR($I24),YEAR(AA$2)-YEAR($I24)&lt;20),$D24,YEAR(AA$2)-YEAR($I24)=20,ROUND((DATE(YEAR($I24),12,31)-$I24+1)/365*$D24,2),YEAR(AA$2)-YEAR($I24)&gt;20,0)</f>
        <v>2250</v>
      </c>
      <c r="AB24" s="48" cm="1">
        <f t="array" ref="AB24">_xlfn.IFS(YEAR(AB$2)&lt;YEAR($I24),0,YEAR(AB$2)=YEAR($I24),ROUND(((AB$2-$I24+1)/365)*$D24,2),AND(YEAR(AB$2)&gt;YEAR($I24),YEAR(AB$2)-YEAR($I24)&lt;20),$D24,YEAR(AB$2)-YEAR($I24)=20,ROUND((DATE(YEAR($I24),12,31)-$I24+1)/365*$D24,2),YEAR(AB$2)-YEAR($I24)&gt;20,0)</f>
        <v>2250</v>
      </c>
      <c r="AC24" s="48" cm="1">
        <f t="array" ref="AC24">_xlfn.IFS(YEAR(AC$2)&lt;YEAR($I24),0,YEAR(AC$2)=YEAR($I24),ROUND(((AC$2-$I24+1)/365)*$D24,2),AND(YEAR(AC$2)&gt;YEAR($I24),YEAR(AC$2)-YEAR($I24)&lt;20),$D24,YEAR(AC$2)-YEAR($I24)=20,ROUND((DATE(YEAR($I24),12,31)-$I24+1)/365*$D24,2),YEAR(AC$2)-YEAR($I24)&gt;20,0)</f>
        <v>2250</v>
      </c>
      <c r="AD24" s="48" cm="1">
        <f t="array" ref="AD24">_xlfn.IFS(YEAR(AD$2)&lt;YEAR($I24),0,YEAR(AD$2)=YEAR($I24),ROUND(((AD$2-$I24+1)/365)*$D24,2),AND(YEAR(AD$2)&gt;YEAR($I24),YEAR(AD$2)-YEAR($I24)&lt;20),$D24,YEAR(AD$2)-YEAR($I24)=20,ROUND((DATE(YEAR($I24),12,31)-$I24+1)/365*$D24,2),YEAR(AD$2)-YEAR($I24)&gt;20,0)</f>
        <v>2250</v>
      </c>
      <c r="AE24" s="48" cm="1">
        <f t="array" ref="AE24">_xlfn.IFS(YEAR(AE$2)&lt;YEAR($I24),0,YEAR(AE$2)=YEAR($I24),ROUND(((AE$2-$I24+1)/365)*$D24,2),AND(YEAR(AE$2)&gt;YEAR($I24),YEAR(AE$2)-YEAR($I24)&lt;20),$D24,YEAR(AE$2)-YEAR($I24)=20,ROUND((DATE(YEAR($I24),12,31)-$I24+1)/365*$D24,2),YEAR(AE$2)-YEAR($I24)&gt;20,0)</f>
        <v>2250</v>
      </c>
      <c r="AF24" s="48" cm="1">
        <f t="array" ref="AF24">_xlfn.IFS(YEAR(AF$2)&lt;YEAR($I24),0,YEAR(AF$2)=YEAR($I24),ROUND(((AF$2-$I24+1)/365)*$D24,2),AND(YEAR(AF$2)&gt;YEAR($I24),YEAR(AF$2)-YEAR($I24)&lt;20),$D24,YEAR(AF$2)-YEAR($I24)=20,ROUND((DATE(YEAR($I24),12,31)-$I24+1)/365*$D24,2),YEAR(AF$2)-YEAR($I24)&gt;20,0)</f>
        <v>2250</v>
      </c>
      <c r="AG24" s="48" cm="1">
        <f t="array" ref="AG24">_xlfn.IFS(YEAR(AG$2)&lt;YEAR($I24),0,YEAR(AG$2)=YEAR($I24),ROUND(((AG$2-$I24+1)/365)*$D24,2),AND(YEAR(AG$2)&gt;YEAR($I24),YEAR(AG$2)-YEAR($I24)&lt;20),$D24,YEAR(AG$2)-YEAR($I24)=20,ROUND((DATE(YEAR($I24),12,31)-$I24+1)/365*$D24,2),YEAR(AG$2)-YEAR($I24)&gt;20,0)</f>
        <v>634.92999999999995</v>
      </c>
      <c r="AH24" s="48" cm="1">
        <f t="array" ref="AH24">_xlfn.IFS(YEAR(AH$2)&lt;YEAR($I24),0,YEAR(AH$2)=YEAR($I24),ROUND(((AH$2-$I24+1)/365)*$D24,2),AND(YEAR(AH$2)&gt;YEAR($I24),YEAR(AH$2)-YEAR($I24)&lt;20),$D24,YEAR(AH$2)-YEAR($I24)=20,ROUND((DATE(YEAR($I24),12,31)-$I24+1)/365*$D24,2),YEAR(AH$2)-YEAR($I24)&gt;20,0)</f>
        <v>0</v>
      </c>
      <c r="AI24" s="48" cm="1">
        <f t="array" ref="AI24">_xlfn.IFS(YEAR(AI$2)&lt;YEAR($I24),0,YEAR(AI$2)=YEAR($I24),ROUND(((AI$2-$I24+1)/365)*$D24,2),AND(YEAR(AI$2)&gt;YEAR($I24),YEAR(AI$2)-YEAR($I24)&lt;20),$D24,YEAR(AI$2)-YEAR($I24)=20,ROUND((DATE(YEAR($I24),12,31)-$I24+1)/365*$D24,2),YEAR(AI$2)-YEAR($I24)&gt;20,0)</f>
        <v>0</v>
      </c>
      <c r="AJ24" s="48" cm="1">
        <f t="array" ref="AJ24">_xlfn.IFS(YEAR(AJ$2)&lt;YEAR($I24),0,YEAR(AJ$2)=YEAR($I24),ROUND(((AJ$2-$I24+1)/365)*$D24,2),AND(YEAR(AJ$2)&gt;YEAR($I24),YEAR(AJ$2)-YEAR($I24)&lt;20),$D24,YEAR(AJ$2)-YEAR($I24)=20,ROUND((DATE(YEAR($I24),12,31)-$I24+1)/365*$D24,2),YEAR(AJ$2)-YEAR($I24)&gt;20,0)</f>
        <v>0</v>
      </c>
      <c r="AK24" s="48" cm="1">
        <f t="array" ref="AK24">_xlfn.IFS(YEAR(AK$2)&lt;YEAR($I24),0,YEAR(AK$2)=YEAR($I24),ROUND(((AK$2-$I24+1)/365)*$D24,2),AND(YEAR(AK$2)&gt;YEAR($I24),YEAR(AK$2)-YEAR($I24)&lt;20),$D24,YEAR(AK$2)-YEAR($I24)=20,ROUND((DATE(YEAR($I24),12,31)-$I24+1)/365*$D24,2),YEAR(AK$2)-YEAR($I24)&gt;20,0)</f>
        <v>0</v>
      </c>
      <c r="AL24" s="48" cm="1">
        <f t="array" ref="AL24">_xlfn.IFS(YEAR(AL$2)&lt;YEAR($I24),0,YEAR(AL$2)=YEAR($I24),ROUND(((AL$2-$I24+1)/365)*$D24,2),AND(YEAR(AL$2)&gt;YEAR($I24),YEAR(AL$2)-YEAR($I24)&lt;20),$D24,YEAR(AL$2)-YEAR($I24)=20,ROUND((DATE(YEAR($I24),12,31)-$I24+1)/365*$D24,2),YEAR(AL$2)-YEAR($I24)&gt;20,0)</f>
        <v>0</v>
      </c>
      <c r="AM24" s="48" cm="1">
        <f t="array" ref="AM24">_xlfn.IFS(YEAR(AM$2)&lt;YEAR($I24),0,YEAR(AM$2)=YEAR($I24),ROUND(((AM$2-$I24+1)/365)*$D24,2),AND(YEAR(AM$2)&gt;YEAR($I24),YEAR(AM$2)-YEAR($I24)&lt;20),$D24,YEAR(AM$2)-YEAR($I24)=20,ROUND((DATE(YEAR($I24),12,31)-$I24+1)/365*$D24,2),YEAR(AM$2)-YEAR($I24)&gt;20,0)</f>
        <v>0</v>
      </c>
      <c r="AO24" s="48">
        <v>2025</v>
      </c>
      <c r="AP24" s="48">
        <v>0.04</v>
      </c>
      <c r="AQ24" s="48">
        <v>32.17</v>
      </c>
      <c r="AR24" s="48">
        <v>2.04</v>
      </c>
      <c r="AS24" s="48">
        <v>11.13</v>
      </c>
      <c r="AT24" s="48">
        <v>2.95</v>
      </c>
      <c r="AU24" s="48">
        <v>0.3</v>
      </c>
      <c r="AV24" s="48">
        <v>22.48</v>
      </c>
      <c r="AW24" s="48">
        <v>0</v>
      </c>
      <c r="AX24" s="48">
        <v>11.36</v>
      </c>
      <c r="AY24" s="48">
        <v>0</v>
      </c>
      <c r="AZ24" s="71"/>
      <c r="BA24" s="48">
        <f t="shared" si="1"/>
        <v>82.47</v>
      </c>
      <c r="BB24" s="48">
        <f t="shared" si="2"/>
        <v>43.54</v>
      </c>
    </row>
    <row r="25" spans="1:54">
      <c r="A25" s="155" t="str" cm="1">
        <f t="array" ref="A25">_xlfn.IFS(LEFT(C25,3)="PGE","PGE",LEFT(C25,2)="PP","PAC",TRUE,"IP")</f>
        <v>PAC</v>
      </c>
      <c r="B25" s="155" t="str">
        <f>IF(ISNA(MATCH(C25,'Monthly Report July 2025'!E:E,0)),"Missing","Present")</f>
        <v>Present</v>
      </c>
      <c r="C25" s="155" t="s">
        <v>134</v>
      </c>
      <c r="D25" s="176" cm="1">
        <f t="array" ref="D25">INDEX('Monthly Report July 2025'!L:L,MATCH(C25,'Monthly Report July 2025'!E:E,0),0)</f>
        <v>1400</v>
      </c>
      <c r="E25" s="176" t="str" cm="1">
        <f t="array" ref="E25">IF(INDEX('PA Fees by Project'!K:K,MATCH(C25,'PA Fees by Project'!E:E,0),0)="No","Non-Carve Out", "Carve Out")</f>
        <v>Non-Carve Out</v>
      </c>
      <c r="F25" s="176" cm="1">
        <f t="array" ref="F25">INDEX('PA Fees by Project'!J:J,MATCH(C25,'PA Fees by Project'!E:E,0),0)</f>
        <v>1</v>
      </c>
      <c r="G25" s="155" t="str" cm="1">
        <f t="array" ref="G25">INDEX('PA Fees by Project'!G:G,MATCH(C25,'PA Fees by Project'!E:E,0),0)</f>
        <v>Operational</v>
      </c>
      <c r="H25" s="175" cm="1">
        <f t="array" ref="H25">INDEX('PA Fees by Project'!Q:Q,MATCH(C25,'PA Fees by Project'!E:E,0),0)</f>
        <v>45678</v>
      </c>
      <c r="I25" s="156" cm="1">
        <f t="array" ref="I25">_xlfn.IFS(G25="Operational",H25,G25="Certified",EDATE(INDEX('PA Fees by Project'!R:R,MATCH(C25,'PA Fees by Project'!E:E,0),0),6),TRUE,EDATE(INDEX('PA Fees by Project'!O:O,MATCH(C25,'PA Fees by Project'!E:E,0),0),6))</f>
        <v>45678</v>
      </c>
      <c r="J25" s="48" cm="1">
        <f t="array" ref="J25">_xlfn.IFS(YEAR(J$2)&lt;YEAR($I25),0,YEAR(J$2)=YEAR($I25),ROUND(((J$2-$I25+1)/365)*$D25,2),AND(YEAR(J$2)&gt;YEAR($I25),YEAR(J$2)-YEAR($I25)&lt;20),$D25,YEAR(J$2)-YEAR($I25)=20,ROUND((DATE(YEAR($I25),12,31)-$I25+1)/365*$D25,2),YEAR(J$2)-YEAR($I25)&gt;20,0)</f>
        <v>0</v>
      </c>
      <c r="K25" s="48" cm="1">
        <f t="array" ref="K25">_xlfn.IFS(YEAR(K$2)&lt;YEAR($I25),0,YEAR(K$2)=YEAR($I25),ROUND(((K$2-$I25+1)/365)*$D25,2),AND(YEAR(K$2)&gt;YEAR($I25),YEAR(K$2)-YEAR($I25)&lt;20),$D25,YEAR(K$2)-YEAR($I25)=20,ROUND((DATE(YEAR($I25),12,31)-$I25+1)/365*$D25,2),YEAR(K$2)-YEAR($I25)&gt;20,0)</f>
        <v>0</v>
      </c>
      <c r="L25" s="48" cm="1">
        <f t="array" ref="L25">_xlfn.IFS(YEAR(L$2)&lt;YEAR($I25),0,YEAR(L$2)=YEAR($I25),ROUND(((L$2-$I25+1)/365)*$D25,2),AND(YEAR(L$2)&gt;YEAR($I25),YEAR(L$2)-YEAR($I25)&lt;20),$D25,YEAR(L$2)-YEAR($I25)=20,ROUND((DATE(YEAR($I25),12,31)-$I25+1)/365*$D25,2),YEAR(L$2)-YEAR($I25)&gt;20,0)</f>
        <v>0</v>
      </c>
      <c r="M25" s="48" cm="1">
        <f t="array" ref="M25">_xlfn.IFS(YEAR(M$2)&lt;YEAR($I25),0,YEAR(M$2)=YEAR($I25),ROUND(((M$2-$I25+1)/365)*$D25,2),AND(YEAR(M$2)&gt;YEAR($I25),YEAR(M$2)-YEAR($I25)&lt;20),$D25,YEAR(M$2)-YEAR($I25)=20,ROUND((DATE(YEAR($I25),12,31)-$I25+1)/365*$D25,2),YEAR(M$2)-YEAR($I25)&gt;20,0)</f>
        <v>0</v>
      </c>
      <c r="N25" s="48" cm="1">
        <f t="array" ref="N25">_xlfn.IFS(YEAR(N$2)&lt;YEAR($I25),0,YEAR(N$2)=YEAR($I25),ROUND(((N$2-$I25+1)/365)*$D25,2),AND(YEAR(N$2)&gt;YEAR($I25),YEAR(N$2)-YEAR($I25)&lt;20),$D25,YEAR(N$2)-YEAR($I25)=20,ROUND((DATE(YEAR($I25),12,31)-$I25+1)/365*$D25,2),YEAR(N$2)-YEAR($I25)&gt;20,0)</f>
        <v>1323.29</v>
      </c>
      <c r="O25" s="48" cm="1">
        <f t="array" ref="O25">_xlfn.IFS(YEAR(O$2)&lt;YEAR($I25),0,YEAR(O$2)=YEAR($I25),ROUND(((O$2-$I25+1)/365)*$D25,2),AND(YEAR(O$2)&gt;YEAR($I25),YEAR(O$2)-YEAR($I25)&lt;20),$D25,YEAR(O$2)-YEAR($I25)=20,ROUND((DATE(YEAR($I25),12,31)-$I25+1)/365*$D25,2),YEAR(O$2)-YEAR($I25)&gt;20,0)</f>
        <v>1400</v>
      </c>
      <c r="P25" s="48" cm="1">
        <f t="array" ref="P25">_xlfn.IFS(YEAR(P$2)&lt;YEAR($I25),0,YEAR(P$2)=YEAR($I25),ROUND(((P$2-$I25+1)/365)*$D25,2),AND(YEAR(P$2)&gt;YEAR($I25),YEAR(P$2)-YEAR($I25)&lt;20),$D25,YEAR(P$2)-YEAR($I25)=20,ROUND((DATE(YEAR($I25),12,31)-$I25+1)/365*$D25,2),YEAR(P$2)-YEAR($I25)&gt;20,0)</f>
        <v>1400</v>
      </c>
      <c r="Q25" s="48" cm="1">
        <f t="array" ref="Q25">_xlfn.IFS(YEAR(Q$2)&lt;YEAR($I25),0,YEAR(Q$2)=YEAR($I25),ROUND(((Q$2-$I25+1)/365)*$D25,2),AND(YEAR(Q$2)&gt;YEAR($I25),YEAR(Q$2)-YEAR($I25)&lt;20),$D25,YEAR(Q$2)-YEAR($I25)=20,ROUND((DATE(YEAR($I25),12,31)-$I25+1)/365*$D25,2),YEAR(Q$2)-YEAR($I25)&gt;20,0)</f>
        <v>1400</v>
      </c>
      <c r="R25" s="48" cm="1">
        <f t="array" ref="R25">_xlfn.IFS(YEAR(R$2)&lt;YEAR($I25),0,YEAR(R$2)=YEAR($I25),ROUND(((R$2-$I25+1)/365)*$D25,2),AND(YEAR(R$2)&gt;YEAR($I25),YEAR(R$2)-YEAR($I25)&lt;20),$D25,YEAR(R$2)-YEAR($I25)=20,ROUND((DATE(YEAR($I25),12,31)-$I25+1)/365*$D25,2),YEAR(R$2)-YEAR($I25)&gt;20,0)</f>
        <v>1400</v>
      </c>
      <c r="S25" s="48" cm="1">
        <f t="array" ref="S25">_xlfn.IFS(YEAR(S$2)&lt;YEAR($I25),0,YEAR(S$2)=YEAR($I25),ROUND(((S$2-$I25+1)/365)*$D25,2),AND(YEAR(S$2)&gt;YEAR($I25),YEAR(S$2)-YEAR($I25)&lt;20),$D25,YEAR(S$2)-YEAR($I25)=20,ROUND((DATE(YEAR($I25),12,31)-$I25+1)/365*$D25,2),YEAR(S$2)-YEAR($I25)&gt;20,0)</f>
        <v>1400</v>
      </c>
      <c r="T25" s="48" cm="1">
        <f t="array" ref="T25">_xlfn.IFS(YEAR(T$2)&lt;YEAR($I25),0,YEAR(T$2)=YEAR($I25),ROUND(((T$2-$I25+1)/365)*$D25,2),AND(YEAR(T$2)&gt;YEAR($I25),YEAR(T$2)-YEAR($I25)&lt;20),$D25,YEAR(T$2)-YEAR($I25)=20,ROUND((DATE(YEAR($I25),12,31)-$I25+1)/365*$D25,2),YEAR(T$2)-YEAR($I25)&gt;20,0)</f>
        <v>1400</v>
      </c>
      <c r="U25" s="48" cm="1">
        <f t="array" ref="U25">_xlfn.IFS(YEAR(U$2)&lt;YEAR($I25),0,YEAR(U$2)=YEAR($I25),ROUND(((U$2-$I25+1)/365)*$D25,2),AND(YEAR(U$2)&gt;YEAR($I25),YEAR(U$2)-YEAR($I25)&lt;20),$D25,YEAR(U$2)-YEAR($I25)=20,ROUND((DATE(YEAR($I25),12,31)-$I25+1)/365*$D25,2),YEAR(U$2)-YEAR($I25)&gt;20,0)</f>
        <v>1400</v>
      </c>
      <c r="V25" s="48" cm="1">
        <f t="array" ref="V25">_xlfn.IFS(YEAR(V$2)&lt;YEAR($I25),0,YEAR(V$2)=YEAR($I25),ROUND(((V$2-$I25+1)/365)*$D25,2),AND(YEAR(V$2)&gt;YEAR($I25),YEAR(V$2)-YEAR($I25)&lt;20),$D25,YEAR(V$2)-YEAR($I25)=20,ROUND((DATE(YEAR($I25),12,31)-$I25+1)/365*$D25,2),YEAR(V$2)-YEAR($I25)&gt;20,0)</f>
        <v>1400</v>
      </c>
      <c r="W25" s="48" cm="1">
        <f t="array" ref="W25">_xlfn.IFS(YEAR(W$2)&lt;YEAR($I25),0,YEAR(W$2)=YEAR($I25),ROUND(((W$2-$I25+1)/365)*$D25,2),AND(YEAR(W$2)&gt;YEAR($I25),YEAR(W$2)-YEAR($I25)&lt;20),$D25,YEAR(W$2)-YEAR($I25)=20,ROUND((DATE(YEAR($I25),12,31)-$I25+1)/365*$D25,2),YEAR(W$2)-YEAR($I25)&gt;20,0)</f>
        <v>1400</v>
      </c>
      <c r="X25" s="48" cm="1">
        <f t="array" ref="X25">_xlfn.IFS(YEAR(X$2)&lt;YEAR($I25),0,YEAR(X$2)=YEAR($I25),ROUND(((X$2-$I25+1)/365)*$D25,2),AND(YEAR(X$2)&gt;YEAR($I25),YEAR(X$2)-YEAR($I25)&lt;20),$D25,YEAR(X$2)-YEAR($I25)=20,ROUND((DATE(YEAR($I25),12,31)-$I25+1)/365*$D25,2),YEAR(X$2)-YEAR($I25)&gt;20,0)</f>
        <v>1400</v>
      </c>
      <c r="Y25" s="48" cm="1">
        <f t="array" ref="Y25">_xlfn.IFS(YEAR(Y$2)&lt;YEAR($I25),0,YEAR(Y$2)=YEAR($I25),ROUND(((Y$2-$I25+1)/365)*$D25,2),AND(YEAR(Y$2)&gt;YEAR($I25),YEAR(Y$2)-YEAR($I25)&lt;20),$D25,YEAR(Y$2)-YEAR($I25)=20,ROUND((DATE(YEAR($I25),12,31)-$I25+1)/365*$D25,2),YEAR(Y$2)-YEAR($I25)&gt;20,0)</f>
        <v>1400</v>
      </c>
      <c r="Z25" s="48" cm="1">
        <f t="array" ref="Z25">_xlfn.IFS(YEAR(Z$2)&lt;YEAR($I25),0,YEAR(Z$2)=YEAR($I25),ROUND(((Z$2-$I25+1)/365)*$D25,2),AND(YEAR(Z$2)&gt;YEAR($I25),YEAR(Z$2)-YEAR($I25)&lt;20),$D25,YEAR(Z$2)-YEAR($I25)=20,ROUND((DATE(YEAR($I25),12,31)-$I25+1)/365*$D25,2),YEAR(Z$2)-YEAR($I25)&gt;20,0)</f>
        <v>1400</v>
      </c>
      <c r="AA25" s="48" cm="1">
        <f t="array" ref="AA25">_xlfn.IFS(YEAR(AA$2)&lt;YEAR($I25),0,YEAR(AA$2)=YEAR($I25),ROUND(((AA$2-$I25+1)/365)*$D25,2),AND(YEAR(AA$2)&gt;YEAR($I25),YEAR(AA$2)-YEAR($I25)&lt;20),$D25,YEAR(AA$2)-YEAR($I25)=20,ROUND((DATE(YEAR($I25),12,31)-$I25+1)/365*$D25,2),YEAR(AA$2)-YEAR($I25)&gt;20,0)</f>
        <v>1400</v>
      </c>
      <c r="AB25" s="48" cm="1">
        <f t="array" ref="AB25">_xlfn.IFS(YEAR(AB$2)&lt;YEAR($I25),0,YEAR(AB$2)=YEAR($I25),ROUND(((AB$2-$I25+1)/365)*$D25,2),AND(YEAR(AB$2)&gt;YEAR($I25),YEAR(AB$2)-YEAR($I25)&lt;20),$D25,YEAR(AB$2)-YEAR($I25)=20,ROUND((DATE(YEAR($I25),12,31)-$I25+1)/365*$D25,2),YEAR(AB$2)-YEAR($I25)&gt;20,0)</f>
        <v>1400</v>
      </c>
      <c r="AC25" s="48" cm="1">
        <f t="array" ref="AC25">_xlfn.IFS(YEAR(AC$2)&lt;YEAR($I25),0,YEAR(AC$2)=YEAR($I25),ROUND(((AC$2-$I25+1)/365)*$D25,2),AND(YEAR(AC$2)&gt;YEAR($I25),YEAR(AC$2)-YEAR($I25)&lt;20),$D25,YEAR(AC$2)-YEAR($I25)=20,ROUND((DATE(YEAR($I25),12,31)-$I25+1)/365*$D25,2),YEAR(AC$2)-YEAR($I25)&gt;20,0)</f>
        <v>1400</v>
      </c>
      <c r="AD25" s="48" cm="1">
        <f t="array" ref="AD25">_xlfn.IFS(YEAR(AD$2)&lt;YEAR($I25),0,YEAR(AD$2)=YEAR($I25),ROUND(((AD$2-$I25+1)/365)*$D25,2),AND(YEAR(AD$2)&gt;YEAR($I25),YEAR(AD$2)-YEAR($I25)&lt;20),$D25,YEAR(AD$2)-YEAR($I25)=20,ROUND((DATE(YEAR($I25),12,31)-$I25+1)/365*$D25,2),YEAR(AD$2)-YEAR($I25)&gt;20,0)</f>
        <v>1400</v>
      </c>
      <c r="AE25" s="48" cm="1">
        <f t="array" ref="AE25">_xlfn.IFS(YEAR(AE$2)&lt;YEAR($I25),0,YEAR(AE$2)=YEAR($I25),ROUND(((AE$2-$I25+1)/365)*$D25,2),AND(YEAR(AE$2)&gt;YEAR($I25),YEAR(AE$2)-YEAR($I25)&lt;20),$D25,YEAR(AE$2)-YEAR($I25)=20,ROUND((DATE(YEAR($I25),12,31)-$I25+1)/365*$D25,2),YEAR(AE$2)-YEAR($I25)&gt;20,0)</f>
        <v>1400</v>
      </c>
      <c r="AF25" s="48" cm="1">
        <f t="array" ref="AF25">_xlfn.IFS(YEAR(AF$2)&lt;YEAR($I25),0,YEAR(AF$2)=YEAR($I25),ROUND(((AF$2-$I25+1)/365)*$D25,2),AND(YEAR(AF$2)&gt;YEAR($I25),YEAR(AF$2)-YEAR($I25)&lt;20),$D25,YEAR(AF$2)-YEAR($I25)=20,ROUND((DATE(YEAR($I25),12,31)-$I25+1)/365*$D25,2),YEAR(AF$2)-YEAR($I25)&gt;20,0)</f>
        <v>1400</v>
      </c>
      <c r="AG25" s="48" cm="1">
        <f t="array" ref="AG25">_xlfn.IFS(YEAR(AG$2)&lt;YEAR($I25),0,YEAR(AG$2)=YEAR($I25),ROUND(((AG$2-$I25+1)/365)*$D25,2),AND(YEAR(AG$2)&gt;YEAR($I25),YEAR(AG$2)-YEAR($I25)&lt;20),$D25,YEAR(AG$2)-YEAR($I25)=20,ROUND((DATE(YEAR($I25),12,31)-$I25+1)/365*$D25,2),YEAR(AG$2)-YEAR($I25)&gt;20,0)</f>
        <v>1400</v>
      </c>
      <c r="AH25" s="48" cm="1">
        <f t="array" ref="AH25">_xlfn.IFS(YEAR(AH$2)&lt;YEAR($I25),0,YEAR(AH$2)=YEAR($I25),ROUND(((AH$2-$I25+1)/365)*$D25,2),AND(YEAR(AH$2)&gt;YEAR($I25),YEAR(AH$2)-YEAR($I25)&lt;20),$D25,YEAR(AH$2)-YEAR($I25)=20,ROUND((DATE(YEAR($I25),12,31)-$I25+1)/365*$D25,2),YEAR(AH$2)-YEAR($I25)&gt;20,0)</f>
        <v>1323.29</v>
      </c>
      <c r="AI25" s="48" cm="1">
        <f t="array" ref="AI25">_xlfn.IFS(YEAR(AI$2)&lt;YEAR($I25),0,YEAR(AI$2)=YEAR($I25),ROUND(((AI$2-$I25+1)/365)*$D25,2),AND(YEAR(AI$2)&gt;YEAR($I25),YEAR(AI$2)-YEAR($I25)&lt;20),$D25,YEAR(AI$2)-YEAR($I25)=20,ROUND((DATE(YEAR($I25),12,31)-$I25+1)/365*$D25,2),YEAR(AI$2)-YEAR($I25)&gt;20,0)</f>
        <v>0</v>
      </c>
      <c r="AJ25" s="48" cm="1">
        <f t="array" ref="AJ25">_xlfn.IFS(YEAR(AJ$2)&lt;YEAR($I25),0,YEAR(AJ$2)=YEAR($I25),ROUND(((AJ$2-$I25+1)/365)*$D25,2),AND(YEAR(AJ$2)&gt;YEAR($I25),YEAR(AJ$2)-YEAR($I25)&lt;20),$D25,YEAR(AJ$2)-YEAR($I25)=20,ROUND((DATE(YEAR($I25),12,31)-$I25+1)/365*$D25,2),YEAR(AJ$2)-YEAR($I25)&gt;20,0)</f>
        <v>0</v>
      </c>
      <c r="AK25" s="48" cm="1">
        <f t="array" ref="AK25">_xlfn.IFS(YEAR(AK$2)&lt;YEAR($I25),0,YEAR(AK$2)=YEAR($I25),ROUND(((AK$2-$I25+1)/365)*$D25,2),AND(YEAR(AK$2)&gt;YEAR($I25),YEAR(AK$2)-YEAR($I25)&lt;20),$D25,YEAR(AK$2)-YEAR($I25)=20,ROUND((DATE(YEAR($I25),12,31)-$I25+1)/365*$D25,2),YEAR(AK$2)-YEAR($I25)&gt;20,0)</f>
        <v>0</v>
      </c>
      <c r="AL25" s="48" cm="1">
        <f t="array" ref="AL25">_xlfn.IFS(YEAR(AL$2)&lt;YEAR($I25),0,YEAR(AL$2)=YEAR($I25),ROUND(((AL$2-$I25+1)/365)*$D25,2),AND(YEAR(AL$2)&gt;YEAR($I25),YEAR(AL$2)-YEAR($I25)&lt;20),$D25,YEAR(AL$2)-YEAR($I25)=20,ROUND((DATE(YEAR($I25),12,31)-$I25+1)/365*$D25,2),YEAR(AL$2)-YEAR($I25)&gt;20,0)</f>
        <v>0</v>
      </c>
      <c r="AM25" s="48" cm="1">
        <f t="array" ref="AM25">_xlfn.IFS(YEAR(AM$2)&lt;YEAR($I25),0,YEAR(AM$2)=YEAR($I25),ROUND(((AM$2-$I25+1)/365)*$D25,2),AND(YEAR(AM$2)&gt;YEAR($I25),YEAR(AM$2)-YEAR($I25)&lt;20),$D25,YEAR(AM$2)-YEAR($I25)=20,ROUND((DATE(YEAR($I25),12,31)-$I25+1)/365*$D25,2),YEAR(AM$2)-YEAR($I25)&gt;20,0)</f>
        <v>0</v>
      </c>
      <c r="AO25" s="48">
        <v>2026</v>
      </c>
      <c r="AP25" s="48">
        <v>0.04</v>
      </c>
      <c r="AQ25" s="48">
        <v>32.17</v>
      </c>
      <c r="AR25" s="48">
        <v>2.37</v>
      </c>
      <c r="AS25" s="48">
        <v>19.14</v>
      </c>
      <c r="AT25" s="48">
        <v>2.95</v>
      </c>
      <c r="AU25" s="48">
        <v>2.14</v>
      </c>
      <c r="AV25" s="48">
        <v>31.05</v>
      </c>
      <c r="AW25" s="48">
        <v>0.46</v>
      </c>
      <c r="AX25" s="48">
        <v>21.44</v>
      </c>
      <c r="AY25" s="48">
        <v>0</v>
      </c>
      <c r="BA25" s="48">
        <f t="shared" si="1"/>
        <v>111.75999999999999</v>
      </c>
      <c r="BB25" s="48">
        <f t="shared" si="2"/>
        <v>29.289999999999992</v>
      </c>
    </row>
    <row r="26" spans="1:54">
      <c r="A26" s="155" t="str" cm="1">
        <f t="array" ref="A26">_xlfn.IFS(LEFT(C26,3)="PGE","PGE",LEFT(C26,2)="PP","PAC",TRUE,"IP")</f>
        <v>PAC</v>
      </c>
      <c r="B26" s="155" t="str">
        <f>IF(ISNA(MATCH(C26,'Monthly Report July 2025'!E:E,0)),"Missing","Present")</f>
        <v>Present</v>
      </c>
      <c r="C26" s="155" t="s">
        <v>135</v>
      </c>
      <c r="D26" s="176" cm="1">
        <f t="array" ref="D26">INDEX('Monthly Report July 2025'!L:L,MATCH(C26,'Monthly Report July 2025'!E:E,0),0)</f>
        <v>978</v>
      </c>
      <c r="E26" s="176" t="str" cm="1">
        <f t="array" ref="E26">IF(INDEX('PA Fees by Project'!K:K,MATCH(C26,'PA Fees by Project'!E:E,0),0)="No","Non-Carve Out", "Carve Out")</f>
        <v>Non-Carve Out</v>
      </c>
      <c r="F26" s="176" cm="1">
        <f t="array" ref="F26">INDEX('PA Fees by Project'!J:J,MATCH(C26,'PA Fees by Project'!E:E,0),0)</f>
        <v>1</v>
      </c>
      <c r="G26" s="155" t="str" cm="1">
        <f t="array" ref="G26">INDEX('PA Fees by Project'!G:G,MATCH(C26,'PA Fees by Project'!E:E,0),0)</f>
        <v>Operational</v>
      </c>
      <c r="H26" s="175" cm="1">
        <f t="array" ref="H26">INDEX('PA Fees by Project'!Q:Q,MATCH(C26,'PA Fees by Project'!E:E,0),0)</f>
        <v>45645</v>
      </c>
      <c r="I26" s="156" cm="1">
        <f t="array" ref="I26">_xlfn.IFS(G26="Operational",H26,G26="Certified",EDATE(INDEX('PA Fees by Project'!R:R,MATCH(C26,'PA Fees by Project'!E:E,0),0),6),TRUE,EDATE(INDEX('PA Fees by Project'!O:O,MATCH(C26,'PA Fees by Project'!E:E,0),0),6))</f>
        <v>45645</v>
      </c>
      <c r="J26" s="48" cm="1">
        <f t="array" ref="J26">_xlfn.IFS(YEAR(J$2)&lt;YEAR($I26),0,YEAR(J$2)=YEAR($I26),ROUND(((J$2-$I26+1)/365)*$D26,2),AND(YEAR(J$2)&gt;YEAR($I26),YEAR(J$2)-YEAR($I26)&lt;20),$D26,YEAR(J$2)-YEAR($I26)=20,ROUND((DATE(YEAR($I26),12,31)-$I26+1)/365*$D26,2),YEAR(J$2)-YEAR($I26)&gt;20,0)</f>
        <v>0</v>
      </c>
      <c r="K26" s="48" cm="1">
        <f t="array" ref="K26">_xlfn.IFS(YEAR(K$2)&lt;YEAR($I26),0,YEAR(K$2)=YEAR($I26),ROUND(((K$2-$I26+1)/365)*$D26,2),AND(YEAR(K$2)&gt;YEAR($I26),YEAR(K$2)-YEAR($I26)&lt;20),$D26,YEAR(K$2)-YEAR($I26)=20,ROUND((DATE(YEAR($I26),12,31)-$I26+1)/365*$D26,2),YEAR(K$2)-YEAR($I26)&gt;20,0)</f>
        <v>0</v>
      </c>
      <c r="L26" s="48" cm="1">
        <f t="array" ref="L26">_xlfn.IFS(YEAR(L$2)&lt;YEAR($I26),0,YEAR(L$2)=YEAR($I26),ROUND(((L$2-$I26+1)/365)*$D26,2),AND(YEAR(L$2)&gt;YEAR($I26),YEAR(L$2)-YEAR($I26)&lt;20),$D26,YEAR(L$2)-YEAR($I26)=20,ROUND((DATE(YEAR($I26),12,31)-$I26+1)/365*$D26,2),YEAR(L$2)-YEAR($I26)&gt;20,0)</f>
        <v>0</v>
      </c>
      <c r="M26" s="48" cm="1">
        <f t="array" ref="M26">_xlfn.IFS(YEAR(M$2)&lt;YEAR($I26),0,YEAR(M$2)=YEAR($I26),ROUND(((M$2-$I26+1)/365)*$D26,2),AND(YEAR(M$2)&gt;YEAR($I26),YEAR(M$2)-YEAR($I26)&lt;20),$D26,YEAR(M$2)-YEAR($I26)=20,ROUND((DATE(YEAR($I26),12,31)-$I26+1)/365*$D26,2),YEAR(M$2)-YEAR($I26)&gt;20,0)</f>
        <v>34.83</v>
      </c>
      <c r="N26" s="48" cm="1">
        <f t="array" ref="N26">_xlfn.IFS(YEAR(N$2)&lt;YEAR($I26),0,YEAR(N$2)=YEAR($I26),ROUND(((N$2-$I26+1)/365)*$D26,2),AND(YEAR(N$2)&gt;YEAR($I26),YEAR(N$2)-YEAR($I26)&lt;20),$D26,YEAR(N$2)-YEAR($I26)=20,ROUND((DATE(YEAR($I26),12,31)-$I26+1)/365*$D26,2),YEAR(N$2)-YEAR($I26)&gt;20,0)</f>
        <v>978</v>
      </c>
      <c r="O26" s="48" cm="1">
        <f t="array" ref="O26">_xlfn.IFS(YEAR(O$2)&lt;YEAR($I26),0,YEAR(O$2)=YEAR($I26),ROUND(((O$2-$I26+1)/365)*$D26,2),AND(YEAR(O$2)&gt;YEAR($I26),YEAR(O$2)-YEAR($I26)&lt;20),$D26,YEAR(O$2)-YEAR($I26)=20,ROUND((DATE(YEAR($I26),12,31)-$I26+1)/365*$D26,2),YEAR(O$2)-YEAR($I26)&gt;20,0)</f>
        <v>978</v>
      </c>
      <c r="P26" s="48" cm="1">
        <f t="array" ref="P26">_xlfn.IFS(YEAR(P$2)&lt;YEAR($I26),0,YEAR(P$2)=YEAR($I26),ROUND(((P$2-$I26+1)/365)*$D26,2),AND(YEAR(P$2)&gt;YEAR($I26),YEAR(P$2)-YEAR($I26)&lt;20),$D26,YEAR(P$2)-YEAR($I26)=20,ROUND((DATE(YEAR($I26),12,31)-$I26+1)/365*$D26,2),YEAR(P$2)-YEAR($I26)&gt;20,0)</f>
        <v>978</v>
      </c>
      <c r="Q26" s="48" cm="1">
        <f t="array" ref="Q26">_xlfn.IFS(YEAR(Q$2)&lt;YEAR($I26),0,YEAR(Q$2)=YEAR($I26),ROUND(((Q$2-$I26+1)/365)*$D26,2),AND(YEAR(Q$2)&gt;YEAR($I26),YEAR(Q$2)-YEAR($I26)&lt;20),$D26,YEAR(Q$2)-YEAR($I26)=20,ROUND((DATE(YEAR($I26),12,31)-$I26+1)/365*$D26,2),YEAR(Q$2)-YEAR($I26)&gt;20,0)</f>
        <v>978</v>
      </c>
      <c r="R26" s="48" cm="1">
        <f t="array" ref="R26">_xlfn.IFS(YEAR(R$2)&lt;YEAR($I26),0,YEAR(R$2)=YEAR($I26),ROUND(((R$2-$I26+1)/365)*$D26,2),AND(YEAR(R$2)&gt;YEAR($I26),YEAR(R$2)-YEAR($I26)&lt;20),$D26,YEAR(R$2)-YEAR($I26)=20,ROUND((DATE(YEAR($I26),12,31)-$I26+1)/365*$D26,2),YEAR(R$2)-YEAR($I26)&gt;20,0)</f>
        <v>978</v>
      </c>
      <c r="S26" s="48" cm="1">
        <f t="array" ref="S26">_xlfn.IFS(YEAR(S$2)&lt;YEAR($I26),0,YEAR(S$2)=YEAR($I26),ROUND(((S$2-$I26+1)/365)*$D26,2),AND(YEAR(S$2)&gt;YEAR($I26),YEAR(S$2)-YEAR($I26)&lt;20),$D26,YEAR(S$2)-YEAR($I26)=20,ROUND((DATE(YEAR($I26),12,31)-$I26+1)/365*$D26,2),YEAR(S$2)-YEAR($I26)&gt;20,0)</f>
        <v>978</v>
      </c>
      <c r="T26" s="48" cm="1">
        <f t="array" ref="T26">_xlfn.IFS(YEAR(T$2)&lt;YEAR($I26),0,YEAR(T$2)=YEAR($I26),ROUND(((T$2-$I26+1)/365)*$D26,2),AND(YEAR(T$2)&gt;YEAR($I26),YEAR(T$2)-YEAR($I26)&lt;20),$D26,YEAR(T$2)-YEAR($I26)=20,ROUND((DATE(YEAR($I26),12,31)-$I26+1)/365*$D26,2),YEAR(T$2)-YEAR($I26)&gt;20,0)</f>
        <v>978</v>
      </c>
      <c r="U26" s="48" cm="1">
        <f t="array" ref="U26">_xlfn.IFS(YEAR(U$2)&lt;YEAR($I26),0,YEAR(U$2)=YEAR($I26),ROUND(((U$2-$I26+1)/365)*$D26,2),AND(YEAR(U$2)&gt;YEAR($I26),YEAR(U$2)-YEAR($I26)&lt;20),$D26,YEAR(U$2)-YEAR($I26)=20,ROUND((DATE(YEAR($I26),12,31)-$I26+1)/365*$D26,2),YEAR(U$2)-YEAR($I26)&gt;20,0)</f>
        <v>978</v>
      </c>
      <c r="V26" s="48" cm="1">
        <f t="array" ref="V26">_xlfn.IFS(YEAR(V$2)&lt;YEAR($I26),0,YEAR(V$2)=YEAR($I26),ROUND(((V$2-$I26+1)/365)*$D26,2),AND(YEAR(V$2)&gt;YEAR($I26),YEAR(V$2)-YEAR($I26)&lt;20),$D26,YEAR(V$2)-YEAR($I26)=20,ROUND((DATE(YEAR($I26),12,31)-$I26+1)/365*$D26,2),YEAR(V$2)-YEAR($I26)&gt;20,0)</f>
        <v>978</v>
      </c>
      <c r="W26" s="48" cm="1">
        <f t="array" ref="W26">_xlfn.IFS(YEAR(W$2)&lt;YEAR($I26),0,YEAR(W$2)=YEAR($I26),ROUND(((W$2-$I26+1)/365)*$D26,2),AND(YEAR(W$2)&gt;YEAR($I26),YEAR(W$2)-YEAR($I26)&lt;20),$D26,YEAR(W$2)-YEAR($I26)=20,ROUND((DATE(YEAR($I26),12,31)-$I26+1)/365*$D26,2),YEAR(W$2)-YEAR($I26)&gt;20,0)</f>
        <v>978</v>
      </c>
      <c r="X26" s="48" cm="1">
        <f t="array" ref="X26">_xlfn.IFS(YEAR(X$2)&lt;YEAR($I26),0,YEAR(X$2)=YEAR($I26),ROUND(((X$2-$I26+1)/365)*$D26,2),AND(YEAR(X$2)&gt;YEAR($I26),YEAR(X$2)-YEAR($I26)&lt;20),$D26,YEAR(X$2)-YEAR($I26)=20,ROUND((DATE(YEAR($I26),12,31)-$I26+1)/365*$D26,2),YEAR(X$2)-YEAR($I26)&gt;20,0)</f>
        <v>978</v>
      </c>
      <c r="Y26" s="48" cm="1">
        <f t="array" ref="Y26">_xlfn.IFS(YEAR(Y$2)&lt;YEAR($I26),0,YEAR(Y$2)=YEAR($I26),ROUND(((Y$2-$I26+1)/365)*$D26,2),AND(YEAR(Y$2)&gt;YEAR($I26),YEAR(Y$2)-YEAR($I26)&lt;20),$D26,YEAR(Y$2)-YEAR($I26)=20,ROUND((DATE(YEAR($I26),12,31)-$I26+1)/365*$D26,2),YEAR(Y$2)-YEAR($I26)&gt;20,0)</f>
        <v>978</v>
      </c>
      <c r="Z26" s="48" cm="1">
        <f t="array" ref="Z26">_xlfn.IFS(YEAR(Z$2)&lt;YEAR($I26),0,YEAR(Z$2)=YEAR($I26),ROUND(((Z$2-$I26+1)/365)*$D26,2),AND(YEAR(Z$2)&gt;YEAR($I26),YEAR(Z$2)-YEAR($I26)&lt;20),$D26,YEAR(Z$2)-YEAR($I26)=20,ROUND((DATE(YEAR($I26),12,31)-$I26+1)/365*$D26,2),YEAR(Z$2)-YEAR($I26)&gt;20,0)</f>
        <v>978</v>
      </c>
      <c r="AA26" s="48" cm="1">
        <f t="array" ref="AA26">_xlfn.IFS(YEAR(AA$2)&lt;YEAR($I26),0,YEAR(AA$2)=YEAR($I26),ROUND(((AA$2-$I26+1)/365)*$D26,2),AND(YEAR(AA$2)&gt;YEAR($I26),YEAR(AA$2)-YEAR($I26)&lt;20),$D26,YEAR(AA$2)-YEAR($I26)=20,ROUND((DATE(YEAR($I26),12,31)-$I26+1)/365*$D26,2),YEAR(AA$2)-YEAR($I26)&gt;20,0)</f>
        <v>978</v>
      </c>
      <c r="AB26" s="48" cm="1">
        <f t="array" ref="AB26">_xlfn.IFS(YEAR(AB$2)&lt;YEAR($I26),0,YEAR(AB$2)=YEAR($I26),ROUND(((AB$2-$I26+1)/365)*$D26,2),AND(YEAR(AB$2)&gt;YEAR($I26),YEAR(AB$2)-YEAR($I26)&lt;20),$D26,YEAR(AB$2)-YEAR($I26)=20,ROUND((DATE(YEAR($I26),12,31)-$I26+1)/365*$D26,2),YEAR(AB$2)-YEAR($I26)&gt;20,0)</f>
        <v>978</v>
      </c>
      <c r="AC26" s="48" cm="1">
        <f t="array" ref="AC26">_xlfn.IFS(YEAR(AC$2)&lt;YEAR($I26),0,YEAR(AC$2)=YEAR($I26),ROUND(((AC$2-$I26+1)/365)*$D26,2),AND(YEAR(AC$2)&gt;YEAR($I26),YEAR(AC$2)-YEAR($I26)&lt;20),$D26,YEAR(AC$2)-YEAR($I26)=20,ROUND((DATE(YEAR($I26),12,31)-$I26+1)/365*$D26,2),YEAR(AC$2)-YEAR($I26)&gt;20,0)</f>
        <v>978</v>
      </c>
      <c r="AD26" s="48" cm="1">
        <f t="array" ref="AD26">_xlfn.IFS(YEAR(AD$2)&lt;YEAR($I26),0,YEAR(AD$2)=YEAR($I26),ROUND(((AD$2-$I26+1)/365)*$D26,2),AND(YEAR(AD$2)&gt;YEAR($I26),YEAR(AD$2)-YEAR($I26)&lt;20),$D26,YEAR(AD$2)-YEAR($I26)=20,ROUND((DATE(YEAR($I26),12,31)-$I26+1)/365*$D26,2),YEAR(AD$2)-YEAR($I26)&gt;20,0)</f>
        <v>978</v>
      </c>
      <c r="AE26" s="48" cm="1">
        <f t="array" ref="AE26">_xlfn.IFS(YEAR(AE$2)&lt;YEAR($I26),0,YEAR(AE$2)=YEAR($I26),ROUND(((AE$2-$I26+1)/365)*$D26,2),AND(YEAR(AE$2)&gt;YEAR($I26),YEAR(AE$2)-YEAR($I26)&lt;20),$D26,YEAR(AE$2)-YEAR($I26)=20,ROUND((DATE(YEAR($I26),12,31)-$I26+1)/365*$D26,2),YEAR(AE$2)-YEAR($I26)&gt;20,0)</f>
        <v>978</v>
      </c>
      <c r="AF26" s="48" cm="1">
        <f t="array" ref="AF26">_xlfn.IFS(YEAR(AF$2)&lt;YEAR($I26),0,YEAR(AF$2)=YEAR($I26),ROUND(((AF$2-$I26+1)/365)*$D26,2),AND(YEAR(AF$2)&gt;YEAR($I26),YEAR(AF$2)-YEAR($I26)&lt;20),$D26,YEAR(AF$2)-YEAR($I26)=20,ROUND((DATE(YEAR($I26),12,31)-$I26+1)/365*$D26,2),YEAR(AF$2)-YEAR($I26)&gt;20,0)</f>
        <v>978</v>
      </c>
      <c r="AG26" s="48" cm="1">
        <f t="array" ref="AG26">_xlfn.IFS(YEAR(AG$2)&lt;YEAR($I26),0,YEAR(AG$2)=YEAR($I26),ROUND(((AG$2-$I26+1)/365)*$D26,2),AND(YEAR(AG$2)&gt;YEAR($I26),YEAR(AG$2)-YEAR($I26)&lt;20),$D26,YEAR(AG$2)-YEAR($I26)=20,ROUND((DATE(YEAR($I26),12,31)-$I26+1)/365*$D26,2),YEAR(AG$2)-YEAR($I26)&gt;20,0)</f>
        <v>34.83</v>
      </c>
      <c r="AH26" s="48" cm="1">
        <f t="array" ref="AH26">_xlfn.IFS(YEAR(AH$2)&lt;YEAR($I26),0,YEAR(AH$2)=YEAR($I26),ROUND(((AH$2-$I26+1)/365)*$D26,2),AND(YEAR(AH$2)&gt;YEAR($I26),YEAR(AH$2)-YEAR($I26)&lt;20),$D26,YEAR(AH$2)-YEAR($I26)=20,ROUND((DATE(YEAR($I26),12,31)-$I26+1)/365*$D26,2),YEAR(AH$2)-YEAR($I26)&gt;20,0)</f>
        <v>0</v>
      </c>
      <c r="AI26" s="48" cm="1">
        <f t="array" ref="AI26">_xlfn.IFS(YEAR(AI$2)&lt;YEAR($I26),0,YEAR(AI$2)=YEAR($I26),ROUND(((AI$2-$I26+1)/365)*$D26,2),AND(YEAR(AI$2)&gt;YEAR($I26),YEAR(AI$2)-YEAR($I26)&lt;20),$D26,YEAR(AI$2)-YEAR($I26)=20,ROUND((DATE(YEAR($I26),12,31)-$I26+1)/365*$D26,2),YEAR(AI$2)-YEAR($I26)&gt;20,0)</f>
        <v>0</v>
      </c>
      <c r="AJ26" s="48" cm="1">
        <f t="array" ref="AJ26">_xlfn.IFS(YEAR(AJ$2)&lt;YEAR($I26),0,YEAR(AJ$2)=YEAR($I26),ROUND(((AJ$2-$I26+1)/365)*$D26,2),AND(YEAR(AJ$2)&gt;YEAR($I26),YEAR(AJ$2)-YEAR($I26)&lt;20),$D26,YEAR(AJ$2)-YEAR($I26)=20,ROUND((DATE(YEAR($I26),12,31)-$I26+1)/365*$D26,2),YEAR(AJ$2)-YEAR($I26)&gt;20,0)</f>
        <v>0</v>
      </c>
      <c r="AK26" s="48" cm="1">
        <f t="array" ref="AK26">_xlfn.IFS(YEAR(AK$2)&lt;YEAR($I26),0,YEAR(AK$2)=YEAR($I26),ROUND(((AK$2-$I26+1)/365)*$D26,2),AND(YEAR(AK$2)&gt;YEAR($I26),YEAR(AK$2)-YEAR($I26)&lt;20),$D26,YEAR(AK$2)-YEAR($I26)=20,ROUND((DATE(YEAR($I26),12,31)-$I26+1)/365*$D26,2),YEAR(AK$2)-YEAR($I26)&gt;20,0)</f>
        <v>0</v>
      </c>
      <c r="AL26" s="48" cm="1">
        <f t="array" ref="AL26">_xlfn.IFS(YEAR(AL$2)&lt;YEAR($I26),0,YEAR(AL$2)=YEAR($I26),ROUND(((AL$2-$I26+1)/365)*$D26,2),AND(YEAR(AL$2)&gt;YEAR($I26),YEAR(AL$2)-YEAR($I26)&lt;20),$D26,YEAR(AL$2)-YEAR($I26)=20,ROUND((DATE(YEAR($I26),12,31)-$I26+1)/365*$D26,2),YEAR(AL$2)-YEAR($I26)&gt;20,0)</f>
        <v>0</v>
      </c>
      <c r="AM26" s="48" cm="1">
        <f t="array" ref="AM26">_xlfn.IFS(YEAR(AM$2)&lt;YEAR($I26),0,YEAR(AM$2)=YEAR($I26),ROUND(((AM$2-$I26+1)/365)*$D26,2),AND(YEAR(AM$2)&gt;YEAR($I26),YEAR(AM$2)-YEAR($I26)&lt;20),$D26,YEAR(AM$2)-YEAR($I26)=20,ROUND((DATE(YEAR($I26),12,31)-$I26+1)/365*$D26,2),YEAR(AM$2)-YEAR($I26)&gt;20,0)</f>
        <v>0</v>
      </c>
      <c r="AO26" s="48">
        <v>2027</v>
      </c>
      <c r="AP26" s="48">
        <v>0.04</v>
      </c>
      <c r="AQ26" s="48">
        <v>32.17</v>
      </c>
      <c r="AR26" s="48">
        <v>2.37</v>
      </c>
      <c r="AS26" s="48">
        <v>19.84</v>
      </c>
      <c r="AT26" s="48">
        <v>2.95</v>
      </c>
      <c r="AU26" s="48">
        <v>10</v>
      </c>
      <c r="AV26" s="48">
        <v>37.28</v>
      </c>
      <c r="AW26" s="48">
        <v>6.83</v>
      </c>
      <c r="AX26" s="48">
        <v>28.12</v>
      </c>
      <c r="AY26" s="48">
        <v>0</v>
      </c>
      <c r="BA26" s="48">
        <f t="shared" si="1"/>
        <v>139.6</v>
      </c>
      <c r="BB26" s="48">
        <f t="shared" si="2"/>
        <v>27.840000000000003</v>
      </c>
    </row>
    <row r="27" spans="1:54">
      <c r="A27" s="155" t="str" cm="1">
        <f t="array" ref="A27">_xlfn.IFS(LEFT(C27,3)="PGE","PGE",LEFT(C27,2)="PP","PAC",TRUE,"IP")</f>
        <v>IP</v>
      </c>
      <c r="B27" s="155" t="str">
        <f>IF(ISNA(MATCH(C27,'Monthly Report July 2025'!E:E,0)),"Missing","Present")</f>
        <v>Present</v>
      </c>
      <c r="C27" s="155" t="s">
        <v>136</v>
      </c>
      <c r="D27" s="176" cm="1">
        <f t="array" ref="D27">INDEX('Monthly Report July 2025'!L:L,MATCH(C27,'Monthly Report July 2025'!E:E,0),0)</f>
        <v>2950</v>
      </c>
      <c r="E27" s="176" t="str" cm="1">
        <f t="array" ref="E27">IF(INDEX('PA Fees by Project'!K:K,MATCH(C27,'PA Fees by Project'!E:E,0),0)="No","Non-Carve Out", "Carve Out")</f>
        <v>Non-Carve Out</v>
      </c>
      <c r="F27" s="176" cm="1">
        <f t="array" ref="F27">INDEX('PA Fees by Project'!J:J,MATCH(C27,'PA Fees by Project'!E:E,0),0)</f>
        <v>1</v>
      </c>
      <c r="G27" s="155" t="str" cm="1">
        <f t="array" ref="G27">INDEX('PA Fees by Project'!G:G,MATCH(C27,'PA Fees by Project'!E:E,0),0)</f>
        <v>Operational</v>
      </c>
      <c r="H27" s="175" cm="1">
        <f t="array" ref="H27">INDEX('PA Fees by Project'!Q:Q,MATCH(C27,'PA Fees by Project'!E:E,0),0)</f>
        <v>45456</v>
      </c>
      <c r="I27" s="156" cm="1">
        <f t="array" ref="I27">_xlfn.IFS(G27="Operational",H27,G27="Certified",EDATE(INDEX('PA Fees by Project'!R:R,MATCH(C27,'PA Fees by Project'!E:E,0),0),6),TRUE,EDATE(INDEX('PA Fees by Project'!O:O,MATCH(C27,'PA Fees by Project'!E:E,0),0),6))</f>
        <v>45456</v>
      </c>
      <c r="J27" s="48" cm="1">
        <f t="array" ref="J27">_xlfn.IFS(YEAR(J$2)&lt;YEAR($I27),0,YEAR(J$2)=YEAR($I27),ROUND(((J$2-$I27+1)/365)*$D27,2),AND(YEAR(J$2)&gt;YEAR($I27),YEAR(J$2)-YEAR($I27)&lt;20),$D27,YEAR(J$2)-YEAR($I27)=20,ROUND((DATE(YEAR($I27),12,31)-$I27+1)/365*$D27,2),YEAR(J$2)-YEAR($I27)&gt;20,0)</f>
        <v>0</v>
      </c>
      <c r="K27" s="48" cm="1">
        <f t="array" ref="K27">_xlfn.IFS(YEAR(K$2)&lt;YEAR($I27),0,YEAR(K$2)=YEAR($I27),ROUND(((K$2-$I27+1)/365)*$D27,2),AND(YEAR(K$2)&gt;YEAR($I27),YEAR(K$2)-YEAR($I27)&lt;20),$D27,YEAR(K$2)-YEAR($I27)=20,ROUND((DATE(YEAR($I27),12,31)-$I27+1)/365*$D27,2),YEAR(K$2)-YEAR($I27)&gt;20,0)</f>
        <v>0</v>
      </c>
      <c r="L27" s="48" cm="1">
        <f t="array" ref="L27">_xlfn.IFS(YEAR(L$2)&lt;YEAR($I27),0,YEAR(L$2)=YEAR($I27),ROUND(((L$2-$I27+1)/365)*$D27,2),AND(YEAR(L$2)&gt;YEAR($I27),YEAR(L$2)-YEAR($I27)&lt;20),$D27,YEAR(L$2)-YEAR($I27)=20,ROUND((DATE(YEAR($I27),12,31)-$I27+1)/365*$D27,2),YEAR(L$2)-YEAR($I27)&gt;20,0)</f>
        <v>0</v>
      </c>
      <c r="M27" s="48" cm="1">
        <f t="array" ref="M27">_xlfn.IFS(YEAR(M$2)&lt;YEAR($I27),0,YEAR(M$2)=YEAR($I27),ROUND(((M$2-$I27+1)/365)*$D27,2),AND(YEAR(M$2)&gt;YEAR($I27),YEAR(M$2)-YEAR($I27)&lt;20),$D27,YEAR(M$2)-YEAR($I27)=20,ROUND((DATE(YEAR($I27),12,31)-$I27+1)/365*$D27,2),YEAR(M$2)-YEAR($I27)&gt;20,0)</f>
        <v>1632.6</v>
      </c>
      <c r="N27" s="48" cm="1">
        <f t="array" ref="N27">_xlfn.IFS(YEAR(N$2)&lt;YEAR($I27),0,YEAR(N$2)=YEAR($I27),ROUND(((N$2-$I27+1)/365)*$D27,2),AND(YEAR(N$2)&gt;YEAR($I27),YEAR(N$2)-YEAR($I27)&lt;20),$D27,YEAR(N$2)-YEAR($I27)=20,ROUND((DATE(YEAR($I27),12,31)-$I27+1)/365*$D27,2),YEAR(N$2)-YEAR($I27)&gt;20,0)</f>
        <v>2950</v>
      </c>
      <c r="O27" s="48" cm="1">
        <f t="array" ref="O27">_xlfn.IFS(YEAR(O$2)&lt;YEAR($I27),0,YEAR(O$2)=YEAR($I27),ROUND(((O$2-$I27+1)/365)*$D27,2),AND(YEAR(O$2)&gt;YEAR($I27),YEAR(O$2)-YEAR($I27)&lt;20),$D27,YEAR(O$2)-YEAR($I27)=20,ROUND((DATE(YEAR($I27),12,31)-$I27+1)/365*$D27,2),YEAR(O$2)-YEAR($I27)&gt;20,0)</f>
        <v>2950</v>
      </c>
      <c r="P27" s="48" cm="1">
        <f t="array" ref="P27">_xlfn.IFS(YEAR(P$2)&lt;YEAR($I27),0,YEAR(P$2)=YEAR($I27),ROUND(((P$2-$I27+1)/365)*$D27,2),AND(YEAR(P$2)&gt;YEAR($I27),YEAR(P$2)-YEAR($I27)&lt;20),$D27,YEAR(P$2)-YEAR($I27)=20,ROUND((DATE(YEAR($I27),12,31)-$I27+1)/365*$D27,2),YEAR(P$2)-YEAR($I27)&gt;20,0)</f>
        <v>2950</v>
      </c>
      <c r="Q27" s="48" cm="1">
        <f t="array" ref="Q27">_xlfn.IFS(YEAR(Q$2)&lt;YEAR($I27),0,YEAR(Q$2)=YEAR($I27),ROUND(((Q$2-$I27+1)/365)*$D27,2),AND(YEAR(Q$2)&gt;YEAR($I27),YEAR(Q$2)-YEAR($I27)&lt;20),$D27,YEAR(Q$2)-YEAR($I27)=20,ROUND((DATE(YEAR($I27),12,31)-$I27+1)/365*$D27,2),YEAR(Q$2)-YEAR($I27)&gt;20,0)</f>
        <v>2950</v>
      </c>
      <c r="R27" s="48" cm="1">
        <f t="array" ref="R27">_xlfn.IFS(YEAR(R$2)&lt;YEAR($I27),0,YEAR(R$2)=YEAR($I27),ROUND(((R$2-$I27+1)/365)*$D27,2),AND(YEAR(R$2)&gt;YEAR($I27),YEAR(R$2)-YEAR($I27)&lt;20),$D27,YEAR(R$2)-YEAR($I27)=20,ROUND((DATE(YEAR($I27),12,31)-$I27+1)/365*$D27,2),YEAR(R$2)-YEAR($I27)&gt;20,0)</f>
        <v>2950</v>
      </c>
      <c r="S27" s="48" cm="1">
        <f t="array" ref="S27">_xlfn.IFS(YEAR(S$2)&lt;YEAR($I27),0,YEAR(S$2)=YEAR($I27),ROUND(((S$2-$I27+1)/365)*$D27,2),AND(YEAR(S$2)&gt;YEAR($I27),YEAR(S$2)-YEAR($I27)&lt;20),$D27,YEAR(S$2)-YEAR($I27)=20,ROUND((DATE(YEAR($I27),12,31)-$I27+1)/365*$D27,2),YEAR(S$2)-YEAR($I27)&gt;20,0)</f>
        <v>2950</v>
      </c>
      <c r="T27" s="48" cm="1">
        <f t="array" ref="T27">_xlfn.IFS(YEAR(T$2)&lt;YEAR($I27),0,YEAR(T$2)=YEAR($I27),ROUND(((T$2-$I27+1)/365)*$D27,2),AND(YEAR(T$2)&gt;YEAR($I27),YEAR(T$2)-YEAR($I27)&lt;20),$D27,YEAR(T$2)-YEAR($I27)=20,ROUND((DATE(YEAR($I27),12,31)-$I27+1)/365*$D27,2),YEAR(T$2)-YEAR($I27)&gt;20,0)</f>
        <v>2950</v>
      </c>
      <c r="U27" s="48" cm="1">
        <f t="array" ref="U27">_xlfn.IFS(YEAR(U$2)&lt;YEAR($I27),0,YEAR(U$2)=YEAR($I27),ROUND(((U$2-$I27+1)/365)*$D27,2),AND(YEAR(U$2)&gt;YEAR($I27),YEAR(U$2)-YEAR($I27)&lt;20),$D27,YEAR(U$2)-YEAR($I27)=20,ROUND((DATE(YEAR($I27),12,31)-$I27+1)/365*$D27,2),YEAR(U$2)-YEAR($I27)&gt;20,0)</f>
        <v>2950</v>
      </c>
      <c r="V27" s="48" cm="1">
        <f t="array" ref="V27">_xlfn.IFS(YEAR(V$2)&lt;YEAR($I27),0,YEAR(V$2)=YEAR($I27),ROUND(((V$2-$I27+1)/365)*$D27,2),AND(YEAR(V$2)&gt;YEAR($I27),YEAR(V$2)-YEAR($I27)&lt;20),$D27,YEAR(V$2)-YEAR($I27)=20,ROUND((DATE(YEAR($I27),12,31)-$I27+1)/365*$D27,2),YEAR(V$2)-YEAR($I27)&gt;20,0)</f>
        <v>2950</v>
      </c>
      <c r="W27" s="48" cm="1">
        <f t="array" ref="W27">_xlfn.IFS(YEAR(W$2)&lt;YEAR($I27),0,YEAR(W$2)=YEAR($I27),ROUND(((W$2-$I27+1)/365)*$D27,2),AND(YEAR(W$2)&gt;YEAR($I27),YEAR(W$2)-YEAR($I27)&lt;20),$D27,YEAR(W$2)-YEAR($I27)=20,ROUND((DATE(YEAR($I27),12,31)-$I27+1)/365*$D27,2),YEAR(W$2)-YEAR($I27)&gt;20,0)</f>
        <v>2950</v>
      </c>
      <c r="X27" s="48" cm="1">
        <f t="array" ref="X27">_xlfn.IFS(YEAR(X$2)&lt;YEAR($I27),0,YEAR(X$2)=YEAR($I27),ROUND(((X$2-$I27+1)/365)*$D27,2),AND(YEAR(X$2)&gt;YEAR($I27),YEAR(X$2)-YEAR($I27)&lt;20),$D27,YEAR(X$2)-YEAR($I27)=20,ROUND((DATE(YEAR($I27),12,31)-$I27+1)/365*$D27,2),YEAR(X$2)-YEAR($I27)&gt;20,0)</f>
        <v>2950</v>
      </c>
      <c r="Y27" s="48" cm="1">
        <f t="array" ref="Y27">_xlfn.IFS(YEAR(Y$2)&lt;YEAR($I27),0,YEAR(Y$2)=YEAR($I27),ROUND(((Y$2-$I27+1)/365)*$D27,2),AND(YEAR(Y$2)&gt;YEAR($I27),YEAR(Y$2)-YEAR($I27)&lt;20),$D27,YEAR(Y$2)-YEAR($I27)=20,ROUND((DATE(YEAR($I27),12,31)-$I27+1)/365*$D27,2),YEAR(Y$2)-YEAR($I27)&gt;20,0)</f>
        <v>2950</v>
      </c>
      <c r="Z27" s="48" cm="1">
        <f t="array" ref="Z27">_xlfn.IFS(YEAR(Z$2)&lt;YEAR($I27),0,YEAR(Z$2)=YEAR($I27),ROUND(((Z$2-$I27+1)/365)*$D27,2),AND(YEAR(Z$2)&gt;YEAR($I27),YEAR(Z$2)-YEAR($I27)&lt;20),$D27,YEAR(Z$2)-YEAR($I27)=20,ROUND((DATE(YEAR($I27),12,31)-$I27+1)/365*$D27,2),YEAR(Z$2)-YEAR($I27)&gt;20,0)</f>
        <v>2950</v>
      </c>
      <c r="AA27" s="48" cm="1">
        <f t="array" ref="AA27">_xlfn.IFS(YEAR(AA$2)&lt;YEAR($I27),0,YEAR(AA$2)=YEAR($I27),ROUND(((AA$2-$I27+1)/365)*$D27,2),AND(YEAR(AA$2)&gt;YEAR($I27),YEAR(AA$2)-YEAR($I27)&lt;20),$D27,YEAR(AA$2)-YEAR($I27)=20,ROUND((DATE(YEAR($I27),12,31)-$I27+1)/365*$D27,2),YEAR(AA$2)-YEAR($I27)&gt;20,0)</f>
        <v>2950</v>
      </c>
      <c r="AB27" s="48" cm="1">
        <f t="array" ref="AB27">_xlfn.IFS(YEAR(AB$2)&lt;YEAR($I27),0,YEAR(AB$2)=YEAR($I27),ROUND(((AB$2-$I27+1)/365)*$D27,2),AND(YEAR(AB$2)&gt;YEAR($I27),YEAR(AB$2)-YEAR($I27)&lt;20),$D27,YEAR(AB$2)-YEAR($I27)=20,ROUND((DATE(YEAR($I27),12,31)-$I27+1)/365*$D27,2),YEAR(AB$2)-YEAR($I27)&gt;20,0)</f>
        <v>2950</v>
      </c>
      <c r="AC27" s="48" cm="1">
        <f t="array" ref="AC27">_xlfn.IFS(YEAR(AC$2)&lt;YEAR($I27),0,YEAR(AC$2)=YEAR($I27),ROUND(((AC$2-$I27+1)/365)*$D27,2),AND(YEAR(AC$2)&gt;YEAR($I27),YEAR(AC$2)-YEAR($I27)&lt;20),$D27,YEAR(AC$2)-YEAR($I27)=20,ROUND((DATE(YEAR($I27),12,31)-$I27+1)/365*$D27,2),YEAR(AC$2)-YEAR($I27)&gt;20,0)</f>
        <v>2950</v>
      </c>
      <c r="AD27" s="48" cm="1">
        <f t="array" ref="AD27">_xlfn.IFS(YEAR(AD$2)&lt;YEAR($I27),0,YEAR(AD$2)=YEAR($I27),ROUND(((AD$2-$I27+1)/365)*$D27,2),AND(YEAR(AD$2)&gt;YEAR($I27),YEAR(AD$2)-YEAR($I27)&lt;20),$D27,YEAR(AD$2)-YEAR($I27)=20,ROUND((DATE(YEAR($I27),12,31)-$I27+1)/365*$D27,2),YEAR(AD$2)-YEAR($I27)&gt;20,0)</f>
        <v>2950</v>
      </c>
      <c r="AE27" s="48" cm="1">
        <f t="array" ref="AE27">_xlfn.IFS(YEAR(AE$2)&lt;YEAR($I27),0,YEAR(AE$2)=YEAR($I27),ROUND(((AE$2-$I27+1)/365)*$D27,2),AND(YEAR(AE$2)&gt;YEAR($I27),YEAR(AE$2)-YEAR($I27)&lt;20),$D27,YEAR(AE$2)-YEAR($I27)=20,ROUND((DATE(YEAR($I27),12,31)-$I27+1)/365*$D27,2),YEAR(AE$2)-YEAR($I27)&gt;20,0)</f>
        <v>2950</v>
      </c>
      <c r="AF27" s="48" cm="1">
        <f t="array" ref="AF27">_xlfn.IFS(YEAR(AF$2)&lt;YEAR($I27),0,YEAR(AF$2)=YEAR($I27),ROUND(((AF$2-$I27+1)/365)*$D27,2),AND(YEAR(AF$2)&gt;YEAR($I27),YEAR(AF$2)-YEAR($I27)&lt;20),$D27,YEAR(AF$2)-YEAR($I27)=20,ROUND((DATE(YEAR($I27),12,31)-$I27+1)/365*$D27,2),YEAR(AF$2)-YEAR($I27)&gt;20,0)</f>
        <v>2950</v>
      </c>
      <c r="AG27" s="48" cm="1">
        <f t="array" ref="AG27">_xlfn.IFS(YEAR(AG$2)&lt;YEAR($I27),0,YEAR(AG$2)=YEAR($I27),ROUND(((AG$2-$I27+1)/365)*$D27,2),AND(YEAR(AG$2)&gt;YEAR($I27),YEAR(AG$2)-YEAR($I27)&lt;20),$D27,YEAR(AG$2)-YEAR($I27)=20,ROUND((DATE(YEAR($I27),12,31)-$I27+1)/365*$D27,2),YEAR(AG$2)-YEAR($I27)&gt;20,0)</f>
        <v>1632.6</v>
      </c>
      <c r="AH27" s="48" cm="1">
        <f t="array" ref="AH27">_xlfn.IFS(YEAR(AH$2)&lt;YEAR($I27),0,YEAR(AH$2)=YEAR($I27),ROUND(((AH$2-$I27+1)/365)*$D27,2),AND(YEAR(AH$2)&gt;YEAR($I27),YEAR(AH$2)-YEAR($I27)&lt;20),$D27,YEAR(AH$2)-YEAR($I27)=20,ROUND((DATE(YEAR($I27),12,31)-$I27+1)/365*$D27,2),YEAR(AH$2)-YEAR($I27)&gt;20,0)</f>
        <v>0</v>
      </c>
      <c r="AI27" s="48" cm="1">
        <f t="array" ref="AI27">_xlfn.IFS(YEAR(AI$2)&lt;YEAR($I27),0,YEAR(AI$2)=YEAR($I27),ROUND(((AI$2-$I27+1)/365)*$D27,2),AND(YEAR(AI$2)&gt;YEAR($I27),YEAR(AI$2)-YEAR($I27)&lt;20),$D27,YEAR(AI$2)-YEAR($I27)=20,ROUND((DATE(YEAR($I27),12,31)-$I27+1)/365*$D27,2),YEAR(AI$2)-YEAR($I27)&gt;20,0)</f>
        <v>0</v>
      </c>
      <c r="AJ27" s="48" cm="1">
        <f t="array" ref="AJ27">_xlfn.IFS(YEAR(AJ$2)&lt;YEAR($I27),0,YEAR(AJ$2)=YEAR($I27),ROUND(((AJ$2-$I27+1)/365)*$D27,2),AND(YEAR(AJ$2)&gt;YEAR($I27),YEAR(AJ$2)-YEAR($I27)&lt;20),$D27,YEAR(AJ$2)-YEAR($I27)=20,ROUND((DATE(YEAR($I27),12,31)-$I27+1)/365*$D27,2),YEAR(AJ$2)-YEAR($I27)&gt;20,0)</f>
        <v>0</v>
      </c>
      <c r="AK27" s="48" cm="1">
        <f t="array" ref="AK27">_xlfn.IFS(YEAR(AK$2)&lt;YEAR($I27),0,YEAR(AK$2)=YEAR($I27),ROUND(((AK$2-$I27+1)/365)*$D27,2),AND(YEAR(AK$2)&gt;YEAR($I27),YEAR(AK$2)-YEAR($I27)&lt;20),$D27,YEAR(AK$2)-YEAR($I27)=20,ROUND((DATE(YEAR($I27),12,31)-$I27+1)/365*$D27,2),YEAR(AK$2)-YEAR($I27)&gt;20,0)</f>
        <v>0</v>
      </c>
      <c r="AL27" s="48" cm="1">
        <f t="array" ref="AL27">_xlfn.IFS(YEAR(AL$2)&lt;YEAR($I27),0,YEAR(AL$2)=YEAR($I27),ROUND(((AL$2-$I27+1)/365)*$D27,2),AND(YEAR(AL$2)&gt;YEAR($I27),YEAR(AL$2)-YEAR($I27)&lt;20),$D27,YEAR(AL$2)-YEAR($I27)=20,ROUND((DATE(YEAR($I27),12,31)-$I27+1)/365*$D27,2),YEAR(AL$2)-YEAR($I27)&gt;20,0)</f>
        <v>0</v>
      </c>
      <c r="AM27" s="48" cm="1">
        <f t="array" ref="AM27">_xlfn.IFS(YEAR(AM$2)&lt;YEAR($I27),0,YEAR(AM$2)=YEAR($I27),ROUND(((AM$2-$I27+1)/365)*$D27,2),AND(YEAR(AM$2)&gt;YEAR($I27),YEAR(AM$2)-YEAR($I27)&lt;20),$D27,YEAR(AM$2)-YEAR($I27)=20,ROUND((DATE(YEAR($I27),12,31)-$I27+1)/365*$D27,2),YEAR(AM$2)-YEAR($I27)&gt;20,0)</f>
        <v>0</v>
      </c>
      <c r="AO27" s="48">
        <v>2028</v>
      </c>
      <c r="AP27" s="48">
        <v>0.04</v>
      </c>
      <c r="AQ27" s="48">
        <v>32.17</v>
      </c>
      <c r="AR27" s="48">
        <v>2.37</v>
      </c>
      <c r="AS27" s="48">
        <v>19.84</v>
      </c>
      <c r="AT27" s="48">
        <v>3.12</v>
      </c>
      <c r="AU27" s="48">
        <v>27.61</v>
      </c>
      <c r="AV27" s="48">
        <v>37.67</v>
      </c>
      <c r="AW27" s="48">
        <v>25.840000000000003</v>
      </c>
      <c r="AX27" s="48">
        <v>28.36</v>
      </c>
      <c r="AY27" s="48">
        <v>0</v>
      </c>
      <c r="BA27" s="48">
        <f t="shared" si="1"/>
        <v>177.02000000000004</v>
      </c>
      <c r="BB27" s="48">
        <f t="shared" si="2"/>
        <v>37.420000000000044</v>
      </c>
    </row>
    <row r="28" spans="1:54">
      <c r="A28" s="155" t="str" cm="1">
        <f t="array" ref="A28">_xlfn.IFS(LEFT(C28,3)="PGE","PGE",LEFT(C28,2)="PP","PAC",TRUE,"IP")</f>
        <v>PGE</v>
      </c>
      <c r="B28" s="155" t="str">
        <f>IF(ISNA(MATCH(C28,'Monthly Report July 2025'!E:E,0)),"Missing","Present")</f>
        <v>Present</v>
      </c>
      <c r="C28" s="155" t="s">
        <v>137</v>
      </c>
      <c r="D28" s="176" cm="1">
        <f t="array" ref="D28">INDEX('Monthly Report July 2025'!L:L,MATCH(C28,'Monthly Report July 2025'!E:E,0),0)</f>
        <v>1000</v>
      </c>
      <c r="E28" s="176" t="str" cm="1">
        <f t="array" ref="E28">IF(INDEX('PA Fees by Project'!K:K,MATCH(C28,'PA Fees by Project'!E:E,0),0)="No","Non-Carve Out", "Carve Out")</f>
        <v>Non-Carve Out</v>
      </c>
      <c r="F28" s="176" cm="1">
        <f t="array" ref="F28">INDEX('PA Fees by Project'!J:J,MATCH(C28,'PA Fees by Project'!E:E,0),0)</f>
        <v>2</v>
      </c>
      <c r="G28" s="155" t="str" cm="1">
        <f t="array" ref="G28">INDEX('PA Fees by Project'!G:G,MATCH(C28,'PA Fees by Project'!E:E,0),0)</f>
        <v>Pre-Certified</v>
      </c>
      <c r="H28" s="175" t="str" cm="1">
        <f t="array" ref="H28">INDEX('PA Fees by Project'!Q:Q,MATCH(C28,'PA Fees by Project'!E:E,0),0)</f>
        <v/>
      </c>
      <c r="I28" s="156" cm="1">
        <f t="array" ref="I28">_xlfn.IFS(G28="Operational",H28,G28="Certified",EDATE(INDEX('PA Fees by Project'!R:R,MATCH(C28,'PA Fees by Project'!E:E,0),0),6),TRUE,EDATE(INDEX('PA Fees by Project'!O:O,MATCH(C28,'PA Fees by Project'!E:E,0),0),6))</f>
        <v>46524</v>
      </c>
      <c r="J28" s="48" cm="1">
        <f t="array" ref="J28">_xlfn.IFS(YEAR(J$2)&lt;YEAR($I28),0,YEAR(J$2)=YEAR($I28),ROUND(((J$2-$I28+1)/365)*$D28,2),AND(YEAR(J$2)&gt;YEAR($I28),YEAR(J$2)-YEAR($I28)&lt;20),$D28,YEAR(J$2)-YEAR($I28)=20,ROUND((DATE(YEAR($I28),12,31)-$I28+1)/365*$D28,2),YEAR(J$2)-YEAR($I28)&gt;20,0)</f>
        <v>0</v>
      </c>
      <c r="K28" s="48" cm="1">
        <f t="array" ref="K28">_xlfn.IFS(YEAR(K$2)&lt;YEAR($I28),0,YEAR(K$2)=YEAR($I28),ROUND(((K$2-$I28+1)/365)*$D28,2),AND(YEAR(K$2)&gt;YEAR($I28),YEAR(K$2)-YEAR($I28)&lt;20),$D28,YEAR(K$2)-YEAR($I28)=20,ROUND((DATE(YEAR($I28),12,31)-$I28+1)/365*$D28,2),YEAR(K$2)-YEAR($I28)&gt;20,0)</f>
        <v>0</v>
      </c>
      <c r="L28" s="48" cm="1">
        <f t="array" ref="L28">_xlfn.IFS(YEAR(L$2)&lt;YEAR($I28),0,YEAR(L$2)=YEAR($I28),ROUND(((L$2-$I28+1)/365)*$D28,2),AND(YEAR(L$2)&gt;YEAR($I28),YEAR(L$2)-YEAR($I28)&lt;20),$D28,YEAR(L$2)-YEAR($I28)=20,ROUND((DATE(YEAR($I28),12,31)-$I28+1)/365*$D28,2),YEAR(L$2)-YEAR($I28)&gt;20,0)</f>
        <v>0</v>
      </c>
      <c r="M28" s="48" cm="1">
        <f t="array" ref="M28">_xlfn.IFS(YEAR(M$2)&lt;YEAR($I28),0,YEAR(M$2)=YEAR($I28),ROUND(((M$2-$I28+1)/365)*$D28,2),AND(YEAR(M$2)&gt;YEAR($I28),YEAR(M$2)-YEAR($I28)&lt;20),$D28,YEAR(M$2)-YEAR($I28)=20,ROUND((DATE(YEAR($I28),12,31)-$I28+1)/365*$D28,2),YEAR(M$2)-YEAR($I28)&gt;20,0)</f>
        <v>0</v>
      </c>
      <c r="N28" s="48" cm="1">
        <f t="array" ref="N28">_xlfn.IFS(YEAR(N$2)&lt;YEAR($I28),0,YEAR(N$2)=YEAR($I28),ROUND(((N$2-$I28+1)/365)*$D28,2),AND(YEAR(N$2)&gt;YEAR($I28),YEAR(N$2)-YEAR($I28)&lt;20),$D28,YEAR(N$2)-YEAR($I28)=20,ROUND((DATE(YEAR($I28),12,31)-$I28+1)/365*$D28,2),YEAR(N$2)-YEAR($I28)&gt;20,0)</f>
        <v>0</v>
      </c>
      <c r="O28" s="48" cm="1">
        <f t="array" ref="O28">_xlfn.IFS(YEAR(O$2)&lt;YEAR($I28),0,YEAR(O$2)=YEAR($I28),ROUND(((O$2-$I28+1)/365)*$D28,2),AND(YEAR(O$2)&gt;YEAR($I28),YEAR(O$2)-YEAR($I28)&lt;20),$D28,YEAR(O$2)-YEAR($I28)=20,ROUND((DATE(YEAR($I28),12,31)-$I28+1)/365*$D28,2),YEAR(O$2)-YEAR($I28)&gt;20,0)</f>
        <v>0</v>
      </c>
      <c r="P28" s="48" cm="1">
        <f t="array" ref="P28">_xlfn.IFS(YEAR(P$2)&lt;YEAR($I28),0,YEAR(P$2)=YEAR($I28),ROUND(((P$2-$I28+1)/365)*$D28,2),AND(YEAR(P$2)&gt;YEAR($I28),YEAR(P$2)-YEAR($I28)&lt;20),$D28,YEAR(P$2)-YEAR($I28)=20,ROUND((DATE(YEAR($I28),12,31)-$I28+1)/365*$D28,2),YEAR(P$2)-YEAR($I28)&gt;20,0)</f>
        <v>627.4</v>
      </c>
      <c r="Q28" s="48" cm="1">
        <f t="array" ref="Q28">_xlfn.IFS(YEAR(Q$2)&lt;YEAR($I28),0,YEAR(Q$2)=YEAR($I28),ROUND(((Q$2-$I28+1)/365)*$D28,2),AND(YEAR(Q$2)&gt;YEAR($I28),YEAR(Q$2)-YEAR($I28)&lt;20),$D28,YEAR(Q$2)-YEAR($I28)=20,ROUND((DATE(YEAR($I28),12,31)-$I28+1)/365*$D28,2),YEAR(Q$2)-YEAR($I28)&gt;20,0)</f>
        <v>1000</v>
      </c>
      <c r="R28" s="48" cm="1">
        <f t="array" ref="R28">_xlfn.IFS(YEAR(R$2)&lt;YEAR($I28),0,YEAR(R$2)=YEAR($I28),ROUND(((R$2-$I28+1)/365)*$D28,2),AND(YEAR(R$2)&gt;YEAR($I28),YEAR(R$2)-YEAR($I28)&lt;20),$D28,YEAR(R$2)-YEAR($I28)=20,ROUND((DATE(YEAR($I28),12,31)-$I28+1)/365*$D28,2),YEAR(R$2)-YEAR($I28)&gt;20,0)</f>
        <v>1000</v>
      </c>
      <c r="S28" s="48" cm="1">
        <f t="array" ref="S28">_xlfn.IFS(YEAR(S$2)&lt;YEAR($I28),0,YEAR(S$2)=YEAR($I28),ROUND(((S$2-$I28+1)/365)*$D28,2),AND(YEAR(S$2)&gt;YEAR($I28),YEAR(S$2)-YEAR($I28)&lt;20),$D28,YEAR(S$2)-YEAR($I28)=20,ROUND((DATE(YEAR($I28),12,31)-$I28+1)/365*$D28,2),YEAR(S$2)-YEAR($I28)&gt;20,0)</f>
        <v>1000</v>
      </c>
      <c r="T28" s="48" cm="1">
        <f t="array" ref="T28">_xlfn.IFS(YEAR(T$2)&lt;YEAR($I28),0,YEAR(T$2)=YEAR($I28),ROUND(((T$2-$I28+1)/365)*$D28,2),AND(YEAR(T$2)&gt;YEAR($I28),YEAR(T$2)-YEAR($I28)&lt;20),$D28,YEAR(T$2)-YEAR($I28)=20,ROUND((DATE(YEAR($I28),12,31)-$I28+1)/365*$D28,2),YEAR(T$2)-YEAR($I28)&gt;20,0)</f>
        <v>1000</v>
      </c>
      <c r="U28" s="48" cm="1">
        <f t="array" ref="U28">_xlfn.IFS(YEAR(U$2)&lt;YEAR($I28),0,YEAR(U$2)=YEAR($I28),ROUND(((U$2-$I28+1)/365)*$D28,2),AND(YEAR(U$2)&gt;YEAR($I28),YEAR(U$2)-YEAR($I28)&lt;20),$D28,YEAR(U$2)-YEAR($I28)=20,ROUND((DATE(YEAR($I28),12,31)-$I28+1)/365*$D28,2),YEAR(U$2)-YEAR($I28)&gt;20,0)</f>
        <v>1000</v>
      </c>
      <c r="V28" s="48" cm="1">
        <f t="array" ref="V28">_xlfn.IFS(YEAR(V$2)&lt;YEAR($I28),0,YEAR(V$2)=YEAR($I28),ROUND(((V$2-$I28+1)/365)*$D28,2),AND(YEAR(V$2)&gt;YEAR($I28),YEAR(V$2)-YEAR($I28)&lt;20),$D28,YEAR(V$2)-YEAR($I28)=20,ROUND((DATE(YEAR($I28),12,31)-$I28+1)/365*$D28,2),YEAR(V$2)-YEAR($I28)&gt;20,0)</f>
        <v>1000</v>
      </c>
      <c r="W28" s="48" cm="1">
        <f t="array" ref="W28">_xlfn.IFS(YEAR(W$2)&lt;YEAR($I28),0,YEAR(W$2)=YEAR($I28),ROUND(((W$2-$I28+1)/365)*$D28,2),AND(YEAR(W$2)&gt;YEAR($I28),YEAR(W$2)-YEAR($I28)&lt;20),$D28,YEAR(W$2)-YEAR($I28)=20,ROUND((DATE(YEAR($I28),12,31)-$I28+1)/365*$D28,2),YEAR(W$2)-YEAR($I28)&gt;20,0)</f>
        <v>1000</v>
      </c>
      <c r="X28" s="48" cm="1">
        <f t="array" ref="X28">_xlfn.IFS(YEAR(X$2)&lt;YEAR($I28),0,YEAR(X$2)=YEAR($I28),ROUND(((X$2-$I28+1)/365)*$D28,2),AND(YEAR(X$2)&gt;YEAR($I28),YEAR(X$2)-YEAR($I28)&lt;20),$D28,YEAR(X$2)-YEAR($I28)=20,ROUND((DATE(YEAR($I28),12,31)-$I28+1)/365*$D28,2),YEAR(X$2)-YEAR($I28)&gt;20,0)</f>
        <v>1000</v>
      </c>
      <c r="Y28" s="48" cm="1">
        <f t="array" ref="Y28">_xlfn.IFS(YEAR(Y$2)&lt;YEAR($I28),0,YEAR(Y$2)=YEAR($I28),ROUND(((Y$2-$I28+1)/365)*$D28,2),AND(YEAR(Y$2)&gt;YEAR($I28),YEAR(Y$2)-YEAR($I28)&lt;20),$D28,YEAR(Y$2)-YEAR($I28)=20,ROUND((DATE(YEAR($I28),12,31)-$I28+1)/365*$D28,2),YEAR(Y$2)-YEAR($I28)&gt;20,0)</f>
        <v>1000</v>
      </c>
      <c r="Z28" s="48" cm="1">
        <f t="array" ref="Z28">_xlfn.IFS(YEAR(Z$2)&lt;YEAR($I28),0,YEAR(Z$2)=YEAR($I28),ROUND(((Z$2-$I28+1)/365)*$D28,2),AND(YEAR(Z$2)&gt;YEAR($I28),YEAR(Z$2)-YEAR($I28)&lt;20),$D28,YEAR(Z$2)-YEAR($I28)=20,ROUND((DATE(YEAR($I28),12,31)-$I28+1)/365*$D28,2),YEAR(Z$2)-YEAR($I28)&gt;20,0)</f>
        <v>1000</v>
      </c>
      <c r="AA28" s="48" cm="1">
        <f t="array" ref="AA28">_xlfn.IFS(YEAR(AA$2)&lt;YEAR($I28),0,YEAR(AA$2)=YEAR($I28),ROUND(((AA$2-$I28+1)/365)*$D28,2),AND(YEAR(AA$2)&gt;YEAR($I28),YEAR(AA$2)-YEAR($I28)&lt;20),$D28,YEAR(AA$2)-YEAR($I28)=20,ROUND((DATE(YEAR($I28),12,31)-$I28+1)/365*$D28,2),YEAR(AA$2)-YEAR($I28)&gt;20,0)</f>
        <v>1000</v>
      </c>
      <c r="AB28" s="48" cm="1">
        <f t="array" ref="AB28">_xlfn.IFS(YEAR(AB$2)&lt;YEAR($I28),0,YEAR(AB$2)=YEAR($I28),ROUND(((AB$2-$I28+1)/365)*$D28,2),AND(YEAR(AB$2)&gt;YEAR($I28),YEAR(AB$2)-YEAR($I28)&lt;20),$D28,YEAR(AB$2)-YEAR($I28)=20,ROUND((DATE(YEAR($I28),12,31)-$I28+1)/365*$D28,2),YEAR(AB$2)-YEAR($I28)&gt;20,0)</f>
        <v>1000</v>
      </c>
      <c r="AC28" s="48" cm="1">
        <f t="array" ref="AC28">_xlfn.IFS(YEAR(AC$2)&lt;YEAR($I28),0,YEAR(AC$2)=YEAR($I28),ROUND(((AC$2-$I28+1)/365)*$D28,2),AND(YEAR(AC$2)&gt;YEAR($I28),YEAR(AC$2)-YEAR($I28)&lt;20),$D28,YEAR(AC$2)-YEAR($I28)=20,ROUND((DATE(YEAR($I28),12,31)-$I28+1)/365*$D28,2),YEAR(AC$2)-YEAR($I28)&gt;20,0)</f>
        <v>1000</v>
      </c>
      <c r="AD28" s="48" cm="1">
        <f t="array" ref="AD28">_xlfn.IFS(YEAR(AD$2)&lt;YEAR($I28),0,YEAR(AD$2)=YEAR($I28),ROUND(((AD$2-$I28+1)/365)*$D28,2),AND(YEAR(AD$2)&gt;YEAR($I28),YEAR(AD$2)-YEAR($I28)&lt;20),$D28,YEAR(AD$2)-YEAR($I28)=20,ROUND((DATE(YEAR($I28),12,31)-$I28+1)/365*$D28,2),YEAR(AD$2)-YEAR($I28)&gt;20,0)</f>
        <v>1000</v>
      </c>
      <c r="AE28" s="48" cm="1">
        <f t="array" ref="AE28">_xlfn.IFS(YEAR(AE$2)&lt;YEAR($I28),0,YEAR(AE$2)=YEAR($I28),ROUND(((AE$2-$I28+1)/365)*$D28,2),AND(YEAR(AE$2)&gt;YEAR($I28),YEAR(AE$2)-YEAR($I28)&lt;20),$D28,YEAR(AE$2)-YEAR($I28)=20,ROUND((DATE(YEAR($I28),12,31)-$I28+1)/365*$D28,2),YEAR(AE$2)-YEAR($I28)&gt;20,0)</f>
        <v>1000</v>
      </c>
      <c r="AF28" s="48" cm="1">
        <f t="array" ref="AF28">_xlfn.IFS(YEAR(AF$2)&lt;YEAR($I28),0,YEAR(AF$2)=YEAR($I28),ROUND(((AF$2-$I28+1)/365)*$D28,2),AND(YEAR(AF$2)&gt;YEAR($I28),YEAR(AF$2)-YEAR($I28)&lt;20),$D28,YEAR(AF$2)-YEAR($I28)=20,ROUND((DATE(YEAR($I28),12,31)-$I28+1)/365*$D28,2),YEAR(AF$2)-YEAR($I28)&gt;20,0)</f>
        <v>1000</v>
      </c>
      <c r="AG28" s="48" cm="1">
        <f t="array" ref="AG28">_xlfn.IFS(YEAR(AG$2)&lt;YEAR($I28),0,YEAR(AG$2)=YEAR($I28),ROUND(((AG$2-$I28+1)/365)*$D28,2),AND(YEAR(AG$2)&gt;YEAR($I28),YEAR(AG$2)-YEAR($I28)&lt;20),$D28,YEAR(AG$2)-YEAR($I28)=20,ROUND((DATE(YEAR($I28),12,31)-$I28+1)/365*$D28,2),YEAR(AG$2)-YEAR($I28)&gt;20,0)</f>
        <v>1000</v>
      </c>
      <c r="AH28" s="48" cm="1">
        <f t="array" ref="AH28">_xlfn.IFS(YEAR(AH$2)&lt;YEAR($I28),0,YEAR(AH$2)=YEAR($I28),ROUND(((AH$2-$I28+1)/365)*$D28,2),AND(YEAR(AH$2)&gt;YEAR($I28),YEAR(AH$2)-YEAR($I28)&lt;20),$D28,YEAR(AH$2)-YEAR($I28)=20,ROUND((DATE(YEAR($I28),12,31)-$I28+1)/365*$D28,2),YEAR(AH$2)-YEAR($I28)&gt;20,0)</f>
        <v>1000</v>
      </c>
      <c r="AI28" s="48" cm="1">
        <f t="array" ref="AI28">_xlfn.IFS(YEAR(AI$2)&lt;YEAR($I28),0,YEAR(AI$2)=YEAR($I28),ROUND(((AI$2-$I28+1)/365)*$D28,2),AND(YEAR(AI$2)&gt;YEAR($I28),YEAR(AI$2)-YEAR($I28)&lt;20),$D28,YEAR(AI$2)-YEAR($I28)=20,ROUND((DATE(YEAR($I28),12,31)-$I28+1)/365*$D28,2),YEAR(AI$2)-YEAR($I28)&gt;20,0)</f>
        <v>1000</v>
      </c>
      <c r="AJ28" s="48" cm="1">
        <f t="array" ref="AJ28">_xlfn.IFS(YEAR(AJ$2)&lt;YEAR($I28),0,YEAR(AJ$2)=YEAR($I28),ROUND(((AJ$2-$I28+1)/365)*$D28,2),AND(YEAR(AJ$2)&gt;YEAR($I28),YEAR(AJ$2)-YEAR($I28)&lt;20),$D28,YEAR(AJ$2)-YEAR($I28)=20,ROUND((DATE(YEAR($I28),12,31)-$I28+1)/365*$D28,2),YEAR(AJ$2)-YEAR($I28)&gt;20,0)</f>
        <v>627.4</v>
      </c>
      <c r="AK28" s="48" cm="1">
        <f t="array" ref="AK28">_xlfn.IFS(YEAR(AK$2)&lt;YEAR($I28),0,YEAR(AK$2)=YEAR($I28),ROUND(((AK$2-$I28+1)/365)*$D28,2),AND(YEAR(AK$2)&gt;YEAR($I28),YEAR(AK$2)-YEAR($I28)&lt;20),$D28,YEAR(AK$2)-YEAR($I28)=20,ROUND((DATE(YEAR($I28),12,31)-$I28+1)/365*$D28,2),YEAR(AK$2)-YEAR($I28)&gt;20,0)</f>
        <v>0</v>
      </c>
      <c r="AL28" s="48" cm="1">
        <f t="array" ref="AL28">_xlfn.IFS(YEAR(AL$2)&lt;YEAR($I28),0,YEAR(AL$2)=YEAR($I28),ROUND(((AL$2-$I28+1)/365)*$D28,2),AND(YEAR(AL$2)&gt;YEAR($I28),YEAR(AL$2)-YEAR($I28)&lt;20),$D28,YEAR(AL$2)-YEAR($I28)=20,ROUND((DATE(YEAR($I28),12,31)-$I28+1)/365*$D28,2),YEAR(AL$2)-YEAR($I28)&gt;20,0)</f>
        <v>0</v>
      </c>
      <c r="AM28" s="48" cm="1">
        <f t="array" ref="AM28">_xlfn.IFS(YEAR(AM$2)&lt;YEAR($I28),0,YEAR(AM$2)=YEAR($I28),ROUND(((AM$2-$I28+1)/365)*$D28,2),AND(YEAR(AM$2)&gt;YEAR($I28),YEAR(AM$2)-YEAR($I28)&lt;20),$D28,YEAR(AM$2)-YEAR($I28)=20,ROUND((DATE(YEAR($I28),12,31)-$I28+1)/365*$D28,2),YEAR(AM$2)-YEAR($I28)&gt;20,0)</f>
        <v>0</v>
      </c>
      <c r="AO28" s="48">
        <v>2029</v>
      </c>
      <c r="AP28" s="48">
        <v>0.04</v>
      </c>
      <c r="AQ28" s="48">
        <v>32.17</v>
      </c>
      <c r="AR28" s="48">
        <v>2.37</v>
      </c>
      <c r="AS28" s="48">
        <v>19.84</v>
      </c>
      <c r="AT28" s="48">
        <v>3.2800000000000002</v>
      </c>
      <c r="AU28" s="48">
        <v>43.25</v>
      </c>
      <c r="AV28" s="48">
        <v>37.69</v>
      </c>
      <c r="AW28" s="48">
        <v>43.78</v>
      </c>
      <c r="AX28" s="48">
        <v>28.61</v>
      </c>
      <c r="AY28" s="48">
        <v>0</v>
      </c>
      <c r="BA28" s="48">
        <f t="shared" si="1"/>
        <v>211.02999999999997</v>
      </c>
      <c r="BB28" s="48">
        <f t="shared" si="2"/>
        <v>34.009999999999934</v>
      </c>
    </row>
    <row r="29" spans="1:54">
      <c r="A29" s="155" t="str" cm="1">
        <f t="array" ref="A29">_xlfn.IFS(LEFT(C29,3)="PGE","PGE",LEFT(C29,2)="PP","PAC",TRUE,"IP")</f>
        <v>PAC</v>
      </c>
      <c r="B29" s="155" t="str">
        <f>IF(ISNA(MATCH(C29,'Monthly Report July 2025'!E:E,0)),"Missing","Present")</f>
        <v>Present</v>
      </c>
      <c r="C29" s="155" t="s">
        <v>138</v>
      </c>
      <c r="D29" s="176" cm="1">
        <f t="array" ref="D29">INDEX('Monthly Report July 2025'!L:L,MATCH(C29,'Monthly Report July 2025'!E:E,0),0)</f>
        <v>2990</v>
      </c>
      <c r="E29" s="176" t="str" cm="1">
        <f t="array" ref="E29">IF(INDEX('PA Fees by Project'!K:K,MATCH(C29,'PA Fees by Project'!E:E,0),0)="No","Non-Carve Out", "Carve Out")</f>
        <v>Non-Carve Out</v>
      </c>
      <c r="F29" s="176" cm="1">
        <f t="array" ref="F29">INDEX('PA Fees by Project'!J:J,MATCH(C29,'PA Fees by Project'!E:E,0),0)</f>
        <v>2</v>
      </c>
      <c r="G29" s="155" t="str" cm="1">
        <f t="array" ref="G29">INDEX('PA Fees by Project'!G:G,MATCH(C29,'PA Fees by Project'!E:E,0),0)</f>
        <v>Pre-Certified</v>
      </c>
      <c r="H29" s="175" t="str" cm="1">
        <f t="array" ref="H29">INDEX('PA Fees by Project'!Q:Q,MATCH(C29,'PA Fees by Project'!E:E,0),0)</f>
        <v/>
      </c>
      <c r="I29" s="156" cm="1">
        <f t="array" ref="I29">_xlfn.IFS(G29="Operational",H29,G29="Certified",EDATE(INDEX('PA Fees by Project'!R:R,MATCH(C29,'PA Fees by Project'!E:E,0),0),6),TRUE,EDATE(INDEX('PA Fees by Project'!O:O,MATCH(C29,'PA Fees by Project'!E:E,0),0),6))</f>
        <v>46111</v>
      </c>
      <c r="J29" s="48" cm="1">
        <f t="array" ref="J29">_xlfn.IFS(YEAR(J$2)&lt;YEAR($I29),0,YEAR(J$2)=YEAR($I29),ROUND(((J$2-$I29+1)/365)*$D29,2),AND(YEAR(J$2)&gt;YEAR($I29),YEAR(J$2)-YEAR($I29)&lt;20),$D29,YEAR(J$2)-YEAR($I29)=20,ROUND((DATE(YEAR($I29),12,31)-$I29+1)/365*$D29,2),YEAR(J$2)-YEAR($I29)&gt;20,0)</f>
        <v>0</v>
      </c>
      <c r="K29" s="48" cm="1">
        <f t="array" ref="K29">_xlfn.IFS(YEAR(K$2)&lt;YEAR($I29),0,YEAR(K$2)=YEAR($I29),ROUND(((K$2-$I29+1)/365)*$D29,2),AND(YEAR(K$2)&gt;YEAR($I29),YEAR(K$2)-YEAR($I29)&lt;20),$D29,YEAR(K$2)-YEAR($I29)=20,ROUND((DATE(YEAR($I29),12,31)-$I29+1)/365*$D29,2),YEAR(K$2)-YEAR($I29)&gt;20,0)</f>
        <v>0</v>
      </c>
      <c r="L29" s="48" cm="1">
        <f t="array" ref="L29">_xlfn.IFS(YEAR(L$2)&lt;YEAR($I29),0,YEAR(L$2)=YEAR($I29),ROUND(((L$2-$I29+1)/365)*$D29,2),AND(YEAR(L$2)&gt;YEAR($I29),YEAR(L$2)-YEAR($I29)&lt;20),$D29,YEAR(L$2)-YEAR($I29)=20,ROUND((DATE(YEAR($I29),12,31)-$I29+1)/365*$D29,2),YEAR(L$2)-YEAR($I29)&gt;20,0)</f>
        <v>0</v>
      </c>
      <c r="M29" s="48" cm="1">
        <f t="array" ref="M29">_xlfn.IFS(YEAR(M$2)&lt;YEAR($I29),0,YEAR(M$2)=YEAR($I29),ROUND(((M$2-$I29+1)/365)*$D29,2),AND(YEAR(M$2)&gt;YEAR($I29),YEAR(M$2)-YEAR($I29)&lt;20),$D29,YEAR(M$2)-YEAR($I29)=20,ROUND((DATE(YEAR($I29),12,31)-$I29+1)/365*$D29,2),YEAR(M$2)-YEAR($I29)&gt;20,0)</f>
        <v>0</v>
      </c>
      <c r="N29" s="48" cm="1">
        <f t="array" ref="N29">_xlfn.IFS(YEAR(N$2)&lt;YEAR($I29),0,YEAR(N$2)=YEAR($I29),ROUND(((N$2-$I29+1)/365)*$D29,2),AND(YEAR(N$2)&gt;YEAR($I29),YEAR(N$2)-YEAR($I29)&lt;20),$D29,YEAR(N$2)-YEAR($I29)=20,ROUND((DATE(YEAR($I29),12,31)-$I29+1)/365*$D29,2),YEAR(N$2)-YEAR($I29)&gt;20,0)</f>
        <v>0</v>
      </c>
      <c r="O29" s="48" cm="1">
        <f t="array" ref="O29">_xlfn.IFS(YEAR(O$2)&lt;YEAR($I29),0,YEAR(O$2)=YEAR($I29),ROUND(((O$2-$I29+1)/365)*$D29,2),AND(YEAR(O$2)&gt;YEAR($I29),YEAR(O$2)-YEAR($I29)&lt;20),$D29,YEAR(O$2)-YEAR($I29)=20,ROUND((DATE(YEAR($I29),12,31)-$I29+1)/365*$D29,2),YEAR(O$2)-YEAR($I29)&gt;20,0)</f>
        <v>2269.12</v>
      </c>
      <c r="P29" s="48" cm="1">
        <f t="array" ref="P29">_xlfn.IFS(YEAR(P$2)&lt;YEAR($I29),0,YEAR(P$2)=YEAR($I29),ROUND(((P$2-$I29+1)/365)*$D29,2),AND(YEAR(P$2)&gt;YEAR($I29),YEAR(P$2)-YEAR($I29)&lt;20),$D29,YEAR(P$2)-YEAR($I29)=20,ROUND((DATE(YEAR($I29),12,31)-$I29+1)/365*$D29,2),YEAR(P$2)-YEAR($I29)&gt;20,0)</f>
        <v>2990</v>
      </c>
      <c r="Q29" s="48" cm="1">
        <f t="array" ref="Q29">_xlfn.IFS(YEAR(Q$2)&lt;YEAR($I29),0,YEAR(Q$2)=YEAR($I29),ROUND(((Q$2-$I29+1)/365)*$D29,2),AND(YEAR(Q$2)&gt;YEAR($I29),YEAR(Q$2)-YEAR($I29)&lt;20),$D29,YEAR(Q$2)-YEAR($I29)=20,ROUND((DATE(YEAR($I29),12,31)-$I29+1)/365*$D29,2),YEAR(Q$2)-YEAR($I29)&gt;20,0)</f>
        <v>2990</v>
      </c>
      <c r="R29" s="48" cm="1">
        <f t="array" ref="R29">_xlfn.IFS(YEAR(R$2)&lt;YEAR($I29),0,YEAR(R$2)=YEAR($I29),ROUND(((R$2-$I29+1)/365)*$D29,2),AND(YEAR(R$2)&gt;YEAR($I29),YEAR(R$2)-YEAR($I29)&lt;20),$D29,YEAR(R$2)-YEAR($I29)=20,ROUND((DATE(YEAR($I29),12,31)-$I29+1)/365*$D29,2),YEAR(R$2)-YEAR($I29)&gt;20,0)</f>
        <v>2990</v>
      </c>
      <c r="S29" s="48" cm="1">
        <f t="array" ref="S29">_xlfn.IFS(YEAR(S$2)&lt;YEAR($I29),0,YEAR(S$2)=YEAR($I29),ROUND(((S$2-$I29+1)/365)*$D29,2),AND(YEAR(S$2)&gt;YEAR($I29),YEAR(S$2)-YEAR($I29)&lt;20),$D29,YEAR(S$2)-YEAR($I29)=20,ROUND((DATE(YEAR($I29),12,31)-$I29+1)/365*$D29,2),YEAR(S$2)-YEAR($I29)&gt;20,0)</f>
        <v>2990</v>
      </c>
      <c r="T29" s="48" cm="1">
        <f t="array" ref="T29">_xlfn.IFS(YEAR(T$2)&lt;YEAR($I29),0,YEAR(T$2)=YEAR($I29),ROUND(((T$2-$I29+1)/365)*$D29,2),AND(YEAR(T$2)&gt;YEAR($I29),YEAR(T$2)-YEAR($I29)&lt;20),$D29,YEAR(T$2)-YEAR($I29)=20,ROUND((DATE(YEAR($I29),12,31)-$I29+1)/365*$D29,2),YEAR(T$2)-YEAR($I29)&gt;20,0)</f>
        <v>2990</v>
      </c>
      <c r="U29" s="48" cm="1">
        <f t="array" ref="U29">_xlfn.IFS(YEAR(U$2)&lt;YEAR($I29),0,YEAR(U$2)=YEAR($I29),ROUND(((U$2-$I29+1)/365)*$D29,2),AND(YEAR(U$2)&gt;YEAR($I29),YEAR(U$2)-YEAR($I29)&lt;20),$D29,YEAR(U$2)-YEAR($I29)=20,ROUND((DATE(YEAR($I29),12,31)-$I29+1)/365*$D29,2),YEAR(U$2)-YEAR($I29)&gt;20,0)</f>
        <v>2990</v>
      </c>
      <c r="V29" s="48" cm="1">
        <f t="array" ref="V29">_xlfn.IFS(YEAR(V$2)&lt;YEAR($I29),0,YEAR(V$2)=YEAR($I29),ROUND(((V$2-$I29+1)/365)*$D29,2),AND(YEAR(V$2)&gt;YEAR($I29),YEAR(V$2)-YEAR($I29)&lt;20),$D29,YEAR(V$2)-YEAR($I29)=20,ROUND((DATE(YEAR($I29),12,31)-$I29+1)/365*$D29,2),YEAR(V$2)-YEAR($I29)&gt;20,0)</f>
        <v>2990</v>
      </c>
      <c r="W29" s="48" cm="1">
        <f t="array" ref="W29">_xlfn.IFS(YEAR(W$2)&lt;YEAR($I29),0,YEAR(W$2)=YEAR($I29),ROUND(((W$2-$I29+1)/365)*$D29,2),AND(YEAR(W$2)&gt;YEAR($I29),YEAR(W$2)-YEAR($I29)&lt;20),$D29,YEAR(W$2)-YEAR($I29)=20,ROUND((DATE(YEAR($I29),12,31)-$I29+1)/365*$D29,2),YEAR(W$2)-YEAR($I29)&gt;20,0)</f>
        <v>2990</v>
      </c>
      <c r="X29" s="48" cm="1">
        <f t="array" ref="X29">_xlfn.IFS(YEAR(X$2)&lt;YEAR($I29),0,YEAR(X$2)=YEAR($I29),ROUND(((X$2-$I29+1)/365)*$D29,2),AND(YEAR(X$2)&gt;YEAR($I29),YEAR(X$2)-YEAR($I29)&lt;20),$D29,YEAR(X$2)-YEAR($I29)=20,ROUND((DATE(YEAR($I29),12,31)-$I29+1)/365*$D29,2),YEAR(X$2)-YEAR($I29)&gt;20,0)</f>
        <v>2990</v>
      </c>
      <c r="Y29" s="48" cm="1">
        <f t="array" ref="Y29">_xlfn.IFS(YEAR(Y$2)&lt;YEAR($I29),0,YEAR(Y$2)=YEAR($I29),ROUND(((Y$2-$I29+1)/365)*$D29,2),AND(YEAR(Y$2)&gt;YEAR($I29),YEAR(Y$2)-YEAR($I29)&lt;20),$D29,YEAR(Y$2)-YEAR($I29)=20,ROUND((DATE(YEAR($I29),12,31)-$I29+1)/365*$D29,2),YEAR(Y$2)-YEAR($I29)&gt;20,0)</f>
        <v>2990</v>
      </c>
      <c r="Z29" s="48" cm="1">
        <f t="array" ref="Z29">_xlfn.IFS(YEAR(Z$2)&lt;YEAR($I29),0,YEAR(Z$2)=YEAR($I29),ROUND(((Z$2-$I29+1)/365)*$D29,2),AND(YEAR(Z$2)&gt;YEAR($I29),YEAR(Z$2)-YEAR($I29)&lt;20),$D29,YEAR(Z$2)-YEAR($I29)=20,ROUND((DATE(YEAR($I29),12,31)-$I29+1)/365*$D29,2),YEAR(Z$2)-YEAR($I29)&gt;20,0)</f>
        <v>2990</v>
      </c>
      <c r="AA29" s="48" cm="1">
        <f t="array" ref="AA29">_xlfn.IFS(YEAR(AA$2)&lt;YEAR($I29),0,YEAR(AA$2)=YEAR($I29),ROUND(((AA$2-$I29+1)/365)*$D29,2),AND(YEAR(AA$2)&gt;YEAR($I29),YEAR(AA$2)-YEAR($I29)&lt;20),$D29,YEAR(AA$2)-YEAR($I29)=20,ROUND((DATE(YEAR($I29),12,31)-$I29+1)/365*$D29,2),YEAR(AA$2)-YEAR($I29)&gt;20,0)</f>
        <v>2990</v>
      </c>
      <c r="AB29" s="48" cm="1">
        <f t="array" ref="AB29">_xlfn.IFS(YEAR(AB$2)&lt;YEAR($I29),0,YEAR(AB$2)=YEAR($I29),ROUND(((AB$2-$I29+1)/365)*$D29,2),AND(YEAR(AB$2)&gt;YEAR($I29),YEAR(AB$2)-YEAR($I29)&lt;20),$D29,YEAR(AB$2)-YEAR($I29)=20,ROUND((DATE(YEAR($I29),12,31)-$I29+1)/365*$D29,2),YEAR(AB$2)-YEAR($I29)&gt;20,0)</f>
        <v>2990</v>
      </c>
      <c r="AC29" s="48" cm="1">
        <f t="array" ref="AC29">_xlfn.IFS(YEAR(AC$2)&lt;YEAR($I29),0,YEAR(AC$2)=YEAR($I29),ROUND(((AC$2-$I29+1)/365)*$D29,2),AND(YEAR(AC$2)&gt;YEAR($I29),YEAR(AC$2)-YEAR($I29)&lt;20),$D29,YEAR(AC$2)-YEAR($I29)=20,ROUND((DATE(YEAR($I29),12,31)-$I29+1)/365*$D29,2),YEAR(AC$2)-YEAR($I29)&gt;20,0)</f>
        <v>2990</v>
      </c>
      <c r="AD29" s="48" cm="1">
        <f t="array" ref="AD29">_xlfn.IFS(YEAR(AD$2)&lt;YEAR($I29),0,YEAR(AD$2)=YEAR($I29),ROUND(((AD$2-$I29+1)/365)*$D29,2),AND(YEAR(AD$2)&gt;YEAR($I29),YEAR(AD$2)-YEAR($I29)&lt;20),$D29,YEAR(AD$2)-YEAR($I29)=20,ROUND((DATE(YEAR($I29),12,31)-$I29+1)/365*$D29,2),YEAR(AD$2)-YEAR($I29)&gt;20,0)</f>
        <v>2990</v>
      </c>
      <c r="AE29" s="48" cm="1">
        <f t="array" ref="AE29">_xlfn.IFS(YEAR(AE$2)&lt;YEAR($I29),0,YEAR(AE$2)=YEAR($I29),ROUND(((AE$2-$I29+1)/365)*$D29,2),AND(YEAR(AE$2)&gt;YEAR($I29),YEAR(AE$2)-YEAR($I29)&lt;20),$D29,YEAR(AE$2)-YEAR($I29)=20,ROUND((DATE(YEAR($I29),12,31)-$I29+1)/365*$D29,2),YEAR(AE$2)-YEAR($I29)&gt;20,0)</f>
        <v>2990</v>
      </c>
      <c r="AF29" s="48" cm="1">
        <f t="array" ref="AF29">_xlfn.IFS(YEAR(AF$2)&lt;YEAR($I29),0,YEAR(AF$2)=YEAR($I29),ROUND(((AF$2-$I29+1)/365)*$D29,2),AND(YEAR(AF$2)&gt;YEAR($I29),YEAR(AF$2)-YEAR($I29)&lt;20),$D29,YEAR(AF$2)-YEAR($I29)=20,ROUND((DATE(YEAR($I29),12,31)-$I29+1)/365*$D29,2),YEAR(AF$2)-YEAR($I29)&gt;20,0)</f>
        <v>2990</v>
      </c>
      <c r="AG29" s="48" cm="1">
        <f t="array" ref="AG29">_xlfn.IFS(YEAR(AG$2)&lt;YEAR($I29),0,YEAR(AG$2)=YEAR($I29),ROUND(((AG$2-$I29+1)/365)*$D29,2),AND(YEAR(AG$2)&gt;YEAR($I29),YEAR(AG$2)-YEAR($I29)&lt;20),$D29,YEAR(AG$2)-YEAR($I29)=20,ROUND((DATE(YEAR($I29),12,31)-$I29+1)/365*$D29,2),YEAR(AG$2)-YEAR($I29)&gt;20,0)</f>
        <v>2990</v>
      </c>
      <c r="AH29" s="48" cm="1">
        <f t="array" ref="AH29">_xlfn.IFS(YEAR(AH$2)&lt;YEAR($I29),0,YEAR(AH$2)=YEAR($I29),ROUND(((AH$2-$I29+1)/365)*$D29,2),AND(YEAR(AH$2)&gt;YEAR($I29),YEAR(AH$2)-YEAR($I29)&lt;20),$D29,YEAR(AH$2)-YEAR($I29)=20,ROUND((DATE(YEAR($I29),12,31)-$I29+1)/365*$D29,2),YEAR(AH$2)-YEAR($I29)&gt;20,0)</f>
        <v>2990</v>
      </c>
      <c r="AI29" s="48" cm="1">
        <f t="array" ref="AI29">_xlfn.IFS(YEAR(AI$2)&lt;YEAR($I29),0,YEAR(AI$2)=YEAR($I29),ROUND(((AI$2-$I29+1)/365)*$D29,2),AND(YEAR(AI$2)&gt;YEAR($I29),YEAR(AI$2)-YEAR($I29)&lt;20),$D29,YEAR(AI$2)-YEAR($I29)=20,ROUND((DATE(YEAR($I29),12,31)-$I29+1)/365*$D29,2),YEAR(AI$2)-YEAR($I29)&gt;20,0)</f>
        <v>2269.12</v>
      </c>
      <c r="AJ29" s="48" cm="1">
        <f t="array" ref="AJ29">_xlfn.IFS(YEAR(AJ$2)&lt;YEAR($I29),0,YEAR(AJ$2)=YEAR($I29),ROUND(((AJ$2-$I29+1)/365)*$D29,2),AND(YEAR(AJ$2)&gt;YEAR($I29),YEAR(AJ$2)-YEAR($I29)&lt;20),$D29,YEAR(AJ$2)-YEAR($I29)=20,ROUND((DATE(YEAR($I29),12,31)-$I29+1)/365*$D29,2),YEAR(AJ$2)-YEAR($I29)&gt;20,0)</f>
        <v>0</v>
      </c>
      <c r="AK29" s="48" cm="1">
        <f t="array" ref="AK29">_xlfn.IFS(YEAR(AK$2)&lt;YEAR($I29),0,YEAR(AK$2)=YEAR($I29),ROUND(((AK$2-$I29+1)/365)*$D29,2),AND(YEAR(AK$2)&gt;YEAR($I29),YEAR(AK$2)-YEAR($I29)&lt;20),$D29,YEAR(AK$2)-YEAR($I29)=20,ROUND((DATE(YEAR($I29),12,31)-$I29+1)/365*$D29,2),YEAR(AK$2)-YEAR($I29)&gt;20,0)</f>
        <v>0</v>
      </c>
      <c r="AL29" s="48" cm="1">
        <f t="array" ref="AL29">_xlfn.IFS(YEAR(AL$2)&lt;YEAR($I29),0,YEAR(AL$2)=YEAR($I29),ROUND(((AL$2-$I29+1)/365)*$D29,2),AND(YEAR(AL$2)&gt;YEAR($I29),YEAR(AL$2)-YEAR($I29)&lt;20),$D29,YEAR(AL$2)-YEAR($I29)=20,ROUND((DATE(YEAR($I29),12,31)-$I29+1)/365*$D29,2),YEAR(AL$2)-YEAR($I29)&gt;20,0)</f>
        <v>0</v>
      </c>
      <c r="AM29" s="48" cm="1">
        <f t="array" ref="AM29">_xlfn.IFS(YEAR(AM$2)&lt;YEAR($I29),0,YEAR(AM$2)=YEAR($I29),ROUND(((AM$2-$I29+1)/365)*$D29,2),AND(YEAR(AM$2)&gt;YEAR($I29),YEAR(AM$2)-YEAR($I29)&lt;20),$D29,YEAR(AM$2)-YEAR($I29)=20,ROUND((DATE(YEAR($I29),12,31)-$I29+1)/365*$D29,2),YEAR(AM$2)-YEAR($I29)&gt;20,0)</f>
        <v>0</v>
      </c>
      <c r="AO29" s="48">
        <v>2030</v>
      </c>
      <c r="AP29" s="48">
        <v>0.04</v>
      </c>
      <c r="AQ29" s="48">
        <v>32.17</v>
      </c>
      <c r="AR29" s="48">
        <v>2.37</v>
      </c>
      <c r="AS29" s="48">
        <v>19.84</v>
      </c>
      <c r="AT29" s="48">
        <v>3.2800000000000002</v>
      </c>
      <c r="AU29" s="48">
        <v>43.25</v>
      </c>
      <c r="AV29" s="48">
        <v>37.69</v>
      </c>
      <c r="AW29" s="48">
        <v>43.78</v>
      </c>
      <c r="AX29" s="48">
        <v>28.61</v>
      </c>
      <c r="AY29" s="48">
        <v>0</v>
      </c>
      <c r="BA29" s="48">
        <f t="shared" si="1"/>
        <v>211.02999999999997</v>
      </c>
      <c r="BB29" s="48">
        <f t="shared" si="2"/>
        <v>0</v>
      </c>
    </row>
    <row r="30" spans="1:54">
      <c r="A30" s="155" t="str" cm="1">
        <f t="array" ref="A30">_xlfn.IFS(LEFT(C30,3)="PGE","PGE",LEFT(C30,2)="PP","PAC",TRUE,"IP")</f>
        <v>PAC</v>
      </c>
      <c r="B30" s="155" t="str">
        <f>IF(ISNA(MATCH(C30,'Monthly Report July 2025'!E:E,0)),"Missing","Present")</f>
        <v>Present</v>
      </c>
      <c r="C30" s="155" t="s">
        <v>139</v>
      </c>
      <c r="D30" s="176" cm="1">
        <f t="array" ref="D30">INDEX('Monthly Report July 2025'!L:L,MATCH(C30,'Monthly Report July 2025'!E:E,0),0)</f>
        <v>1980</v>
      </c>
      <c r="E30" s="176" t="str" cm="1">
        <f t="array" ref="E30">IF(INDEX('PA Fees by Project'!K:K,MATCH(C30,'PA Fees by Project'!E:E,0),0)="No","Non-Carve Out", "Carve Out")</f>
        <v>Non-Carve Out</v>
      </c>
      <c r="F30" s="176" cm="1">
        <f t="array" ref="F30">INDEX('PA Fees by Project'!J:J,MATCH(C30,'PA Fees by Project'!E:E,0),0)</f>
        <v>1</v>
      </c>
      <c r="G30" s="155" t="str" cm="1">
        <f t="array" ref="G30">INDEX('PA Fees by Project'!G:G,MATCH(C30,'PA Fees by Project'!E:E,0),0)</f>
        <v>Certified</v>
      </c>
      <c r="H30" s="175" t="str" cm="1">
        <f t="array" ref="H30">INDEX('PA Fees by Project'!Q:Q,MATCH(C30,'PA Fees by Project'!E:E,0),0)</f>
        <v/>
      </c>
      <c r="I30" s="156" cm="1">
        <f t="array" ref="I30">_xlfn.IFS(G30="Operational",H30,G30="Certified",EDATE(INDEX('PA Fees by Project'!R:R,MATCH(C30,'PA Fees by Project'!E:E,0),0),6),TRUE,EDATE(INDEX('PA Fees by Project'!O:O,MATCH(C30,'PA Fees by Project'!E:E,0),0),6))</f>
        <v>45959</v>
      </c>
      <c r="J30" s="48" cm="1">
        <f t="array" ref="J30">_xlfn.IFS(YEAR(J$2)&lt;YEAR($I30),0,YEAR(J$2)=YEAR($I30),ROUND(((J$2-$I30+1)/365)*$D30,2),AND(YEAR(J$2)&gt;YEAR($I30),YEAR(J$2)-YEAR($I30)&lt;20),$D30,YEAR(J$2)-YEAR($I30)=20,ROUND((DATE(YEAR($I30),12,31)-$I30+1)/365*$D30,2),YEAR(J$2)-YEAR($I30)&gt;20,0)</f>
        <v>0</v>
      </c>
      <c r="K30" s="48" cm="1">
        <f t="array" ref="K30">_xlfn.IFS(YEAR(K$2)&lt;YEAR($I30),0,YEAR(K$2)=YEAR($I30),ROUND(((K$2-$I30+1)/365)*$D30,2),AND(YEAR(K$2)&gt;YEAR($I30),YEAR(K$2)-YEAR($I30)&lt;20),$D30,YEAR(K$2)-YEAR($I30)=20,ROUND((DATE(YEAR($I30),12,31)-$I30+1)/365*$D30,2),YEAR(K$2)-YEAR($I30)&gt;20,0)</f>
        <v>0</v>
      </c>
      <c r="L30" s="48" cm="1">
        <f t="array" ref="L30">_xlfn.IFS(YEAR(L$2)&lt;YEAR($I30),0,YEAR(L$2)=YEAR($I30),ROUND(((L$2-$I30+1)/365)*$D30,2),AND(YEAR(L$2)&gt;YEAR($I30),YEAR(L$2)-YEAR($I30)&lt;20),$D30,YEAR(L$2)-YEAR($I30)=20,ROUND((DATE(YEAR($I30),12,31)-$I30+1)/365*$D30,2),YEAR(L$2)-YEAR($I30)&gt;20,0)</f>
        <v>0</v>
      </c>
      <c r="M30" s="48" cm="1">
        <f t="array" ref="M30">_xlfn.IFS(YEAR(M$2)&lt;YEAR($I30),0,YEAR(M$2)=YEAR($I30),ROUND(((M$2-$I30+1)/365)*$D30,2),AND(YEAR(M$2)&gt;YEAR($I30),YEAR(M$2)-YEAR($I30)&lt;20),$D30,YEAR(M$2)-YEAR($I30)=20,ROUND((DATE(YEAR($I30),12,31)-$I30+1)/365*$D30,2),YEAR(M$2)-YEAR($I30)&gt;20,0)</f>
        <v>0</v>
      </c>
      <c r="N30" s="48" cm="1">
        <f t="array" ref="N30">_xlfn.IFS(YEAR(N$2)&lt;YEAR($I30),0,YEAR(N$2)=YEAR($I30),ROUND(((N$2-$I30+1)/365)*$D30,2),AND(YEAR(N$2)&gt;YEAR($I30),YEAR(N$2)-YEAR($I30)&lt;20),$D30,YEAR(N$2)-YEAR($I30)=20,ROUND((DATE(YEAR($I30),12,31)-$I30+1)/365*$D30,2),YEAR(N$2)-YEAR($I30)&gt;20,0)</f>
        <v>347.18</v>
      </c>
      <c r="O30" s="48" cm="1">
        <f t="array" ref="O30">_xlfn.IFS(YEAR(O$2)&lt;YEAR($I30),0,YEAR(O$2)=YEAR($I30),ROUND(((O$2-$I30+1)/365)*$D30,2),AND(YEAR(O$2)&gt;YEAR($I30),YEAR(O$2)-YEAR($I30)&lt;20),$D30,YEAR(O$2)-YEAR($I30)=20,ROUND((DATE(YEAR($I30),12,31)-$I30+1)/365*$D30,2),YEAR(O$2)-YEAR($I30)&gt;20,0)</f>
        <v>1980</v>
      </c>
      <c r="P30" s="48" cm="1">
        <f t="array" ref="P30">_xlfn.IFS(YEAR(P$2)&lt;YEAR($I30),0,YEAR(P$2)=YEAR($I30),ROUND(((P$2-$I30+1)/365)*$D30,2),AND(YEAR(P$2)&gt;YEAR($I30),YEAR(P$2)-YEAR($I30)&lt;20),$D30,YEAR(P$2)-YEAR($I30)=20,ROUND((DATE(YEAR($I30),12,31)-$I30+1)/365*$D30,2),YEAR(P$2)-YEAR($I30)&gt;20,0)</f>
        <v>1980</v>
      </c>
      <c r="Q30" s="48" cm="1">
        <f t="array" ref="Q30">_xlfn.IFS(YEAR(Q$2)&lt;YEAR($I30),0,YEAR(Q$2)=YEAR($I30),ROUND(((Q$2-$I30+1)/365)*$D30,2),AND(YEAR(Q$2)&gt;YEAR($I30),YEAR(Q$2)-YEAR($I30)&lt;20),$D30,YEAR(Q$2)-YEAR($I30)=20,ROUND((DATE(YEAR($I30),12,31)-$I30+1)/365*$D30,2),YEAR(Q$2)-YEAR($I30)&gt;20,0)</f>
        <v>1980</v>
      </c>
      <c r="R30" s="48" cm="1">
        <f t="array" ref="R30">_xlfn.IFS(YEAR(R$2)&lt;YEAR($I30),0,YEAR(R$2)=YEAR($I30),ROUND(((R$2-$I30+1)/365)*$D30,2),AND(YEAR(R$2)&gt;YEAR($I30),YEAR(R$2)-YEAR($I30)&lt;20),$D30,YEAR(R$2)-YEAR($I30)=20,ROUND((DATE(YEAR($I30),12,31)-$I30+1)/365*$D30,2),YEAR(R$2)-YEAR($I30)&gt;20,0)</f>
        <v>1980</v>
      </c>
      <c r="S30" s="48" cm="1">
        <f t="array" ref="S30">_xlfn.IFS(YEAR(S$2)&lt;YEAR($I30),0,YEAR(S$2)=YEAR($I30),ROUND(((S$2-$I30+1)/365)*$D30,2),AND(YEAR(S$2)&gt;YEAR($I30),YEAR(S$2)-YEAR($I30)&lt;20),$D30,YEAR(S$2)-YEAR($I30)=20,ROUND((DATE(YEAR($I30),12,31)-$I30+1)/365*$D30,2),YEAR(S$2)-YEAR($I30)&gt;20,0)</f>
        <v>1980</v>
      </c>
      <c r="T30" s="48" cm="1">
        <f t="array" ref="T30">_xlfn.IFS(YEAR(T$2)&lt;YEAR($I30),0,YEAR(T$2)=YEAR($I30),ROUND(((T$2-$I30+1)/365)*$D30,2),AND(YEAR(T$2)&gt;YEAR($I30),YEAR(T$2)-YEAR($I30)&lt;20),$D30,YEAR(T$2)-YEAR($I30)=20,ROUND((DATE(YEAR($I30),12,31)-$I30+1)/365*$D30,2),YEAR(T$2)-YEAR($I30)&gt;20,0)</f>
        <v>1980</v>
      </c>
      <c r="U30" s="48" cm="1">
        <f t="array" ref="U30">_xlfn.IFS(YEAR(U$2)&lt;YEAR($I30),0,YEAR(U$2)=YEAR($I30),ROUND(((U$2-$I30+1)/365)*$D30,2),AND(YEAR(U$2)&gt;YEAR($I30),YEAR(U$2)-YEAR($I30)&lt;20),$D30,YEAR(U$2)-YEAR($I30)=20,ROUND((DATE(YEAR($I30),12,31)-$I30+1)/365*$D30,2),YEAR(U$2)-YEAR($I30)&gt;20,0)</f>
        <v>1980</v>
      </c>
      <c r="V30" s="48" cm="1">
        <f t="array" ref="V30">_xlfn.IFS(YEAR(V$2)&lt;YEAR($I30),0,YEAR(V$2)=YEAR($I30),ROUND(((V$2-$I30+1)/365)*$D30,2),AND(YEAR(V$2)&gt;YEAR($I30),YEAR(V$2)-YEAR($I30)&lt;20),$D30,YEAR(V$2)-YEAR($I30)=20,ROUND((DATE(YEAR($I30),12,31)-$I30+1)/365*$D30,2),YEAR(V$2)-YEAR($I30)&gt;20,0)</f>
        <v>1980</v>
      </c>
      <c r="W30" s="48" cm="1">
        <f t="array" ref="W30">_xlfn.IFS(YEAR(W$2)&lt;YEAR($I30),0,YEAR(W$2)=YEAR($I30),ROUND(((W$2-$I30+1)/365)*$D30,2),AND(YEAR(W$2)&gt;YEAR($I30),YEAR(W$2)-YEAR($I30)&lt;20),$D30,YEAR(W$2)-YEAR($I30)=20,ROUND((DATE(YEAR($I30),12,31)-$I30+1)/365*$D30,2),YEAR(W$2)-YEAR($I30)&gt;20,0)</f>
        <v>1980</v>
      </c>
      <c r="X30" s="48" cm="1">
        <f t="array" ref="X30">_xlfn.IFS(YEAR(X$2)&lt;YEAR($I30),0,YEAR(X$2)=YEAR($I30),ROUND(((X$2-$I30+1)/365)*$D30,2),AND(YEAR(X$2)&gt;YEAR($I30),YEAR(X$2)-YEAR($I30)&lt;20),$D30,YEAR(X$2)-YEAR($I30)=20,ROUND((DATE(YEAR($I30),12,31)-$I30+1)/365*$D30,2),YEAR(X$2)-YEAR($I30)&gt;20,0)</f>
        <v>1980</v>
      </c>
      <c r="Y30" s="48" cm="1">
        <f t="array" ref="Y30">_xlfn.IFS(YEAR(Y$2)&lt;YEAR($I30),0,YEAR(Y$2)=YEAR($I30),ROUND(((Y$2-$I30+1)/365)*$D30,2),AND(YEAR(Y$2)&gt;YEAR($I30),YEAR(Y$2)-YEAR($I30)&lt;20),$D30,YEAR(Y$2)-YEAR($I30)=20,ROUND((DATE(YEAR($I30),12,31)-$I30+1)/365*$D30,2),YEAR(Y$2)-YEAR($I30)&gt;20,0)</f>
        <v>1980</v>
      </c>
      <c r="Z30" s="48" cm="1">
        <f t="array" ref="Z30">_xlfn.IFS(YEAR(Z$2)&lt;YEAR($I30),0,YEAR(Z$2)=YEAR($I30),ROUND(((Z$2-$I30+1)/365)*$D30,2),AND(YEAR(Z$2)&gt;YEAR($I30),YEAR(Z$2)-YEAR($I30)&lt;20),$D30,YEAR(Z$2)-YEAR($I30)=20,ROUND((DATE(YEAR($I30),12,31)-$I30+1)/365*$D30,2),YEAR(Z$2)-YEAR($I30)&gt;20,0)</f>
        <v>1980</v>
      </c>
      <c r="AA30" s="48" cm="1">
        <f t="array" ref="AA30">_xlfn.IFS(YEAR(AA$2)&lt;YEAR($I30),0,YEAR(AA$2)=YEAR($I30),ROUND(((AA$2-$I30+1)/365)*$D30,2),AND(YEAR(AA$2)&gt;YEAR($I30),YEAR(AA$2)-YEAR($I30)&lt;20),$D30,YEAR(AA$2)-YEAR($I30)=20,ROUND((DATE(YEAR($I30),12,31)-$I30+1)/365*$D30,2),YEAR(AA$2)-YEAR($I30)&gt;20,0)</f>
        <v>1980</v>
      </c>
      <c r="AB30" s="48" cm="1">
        <f t="array" ref="AB30">_xlfn.IFS(YEAR(AB$2)&lt;YEAR($I30),0,YEAR(AB$2)=YEAR($I30),ROUND(((AB$2-$I30+1)/365)*$D30,2),AND(YEAR(AB$2)&gt;YEAR($I30),YEAR(AB$2)-YEAR($I30)&lt;20),$D30,YEAR(AB$2)-YEAR($I30)=20,ROUND((DATE(YEAR($I30),12,31)-$I30+1)/365*$D30,2),YEAR(AB$2)-YEAR($I30)&gt;20,0)</f>
        <v>1980</v>
      </c>
      <c r="AC30" s="48" cm="1">
        <f t="array" ref="AC30">_xlfn.IFS(YEAR(AC$2)&lt;YEAR($I30),0,YEAR(AC$2)=YEAR($I30),ROUND(((AC$2-$I30+1)/365)*$D30,2),AND(YEAR(AC$2)&gt;YEAR($I30),YEAR(AC$2)-YEAR($I30)&lt;20),$D30,YEAR(AC$2)-YEAR($I30)=20,ROUND((DATE(YEAR($I30),12,31)-$I30+1)/365*$D30,2),YEAR(AC$2)-YEAR($I30)&gt;20,0)</f>
        <v>1980</v>
      </c>
      <c r="AD30" s="48" cm="1">
        <f t="array" ref="AD30">_xlfn.IFS(YEAR(AD$2)&lt;YEAR($I30),0,YEAR(AD$2)=YEAR($I30),ROUND(((AD$2-$I30+1)/365)*$D30,2),AND(YEAR(AD$2)&gt;YEAR($I30),YEAR(AD$2)-YEAR($I30)&lt;20),$D30,YEAR(AD$2)-YEAR($I30)=20,ROUND((DATE(YEAR($I30),12,31)-$I30+1)/365*$D30,2),YEAR(AD$2)-YEAR($I30)&gt;20,0)</f>
        <v>1980</v>
      </c>
      <c r="AE30" s="48" cm="1">
        <f t="array" ref="AE30">_xlfn.IFS(YEAR(AE$2)&lt;YEAR($I30),0,YEAR(AE$2)=YEAR($I30),ROUND(((AE$2-$I30+1)/365)*$D30,2),AND(YEAR(AE$2)&gt;YEAR($I30),YEAR(AE$2)-YEAR($I30)&lt;20),$D30,YEAR(AE$2)-YEAR($I30)=20,ROUND((DATE(YEAR($I30),12,31)-$I30+1)/365*$D30,2),YEAR(AE$2)-YEAR($I30)&gt;20,0)</f>
        <v>1980</v>
      </c>
      <c r="AF30" s="48" cm="1">
        <f t="array" ref="AF30">_xlfn.IFS(YEAR(AF$2)&lt;YEAR($I30),0,YEAR(AF$2)=YEAR($I30),ROUND(((AF$2-$I30+1)/365)*$D30,2),AND(YEAR(AF$2)&gt;YEAR($I30),YEAR(AF$2)-YEAR($I30)&lt;20),$D30,YEAR(AF$2)-YEAR($I30)=20,ROUND((DATE(YEAR($I30),12,31)-$I30+1)/365*$D30,2),YEAR(AF$2)-YEAR($I30)&gt;20,0)</f>
        <v>1980</v>
      </c>
      <c r="AG30" s="48" cm="1">
        <f t="array" ref="AG30">_xlfn.IFS(YEAR(AG$2)&lt;YEAR($I30),0,YEAR(AG$2)=YEAR($I30),ROUND(((AG$2-$I30+1)/365)*$D30,2),AND(YEAR(AG$2)&gt;YEAR($I30),YEAR(AG$2)-YEAR($I30)&lt;20),$D30,YEAR(AG$2)-YEAR($I30)=20,ROUND((DATE(YEAR($I30),12,31)-$I30+1)/365*$D30,2),YEAR(AG$2)-YEAR($I30)&gt;20,0)</f>
        <v>1980</v>
      </c>
      <c r="AH30" s="48" cm="1">
        <f t="array" ref="AH30">_xlfn.IFS(YEAR(AH$2)&lt;YEAR($I30),0,YEAR(AH$2)=YEAR($I30),ROUND(((AH$2-$I30+1)/365)*$D30,2),AND(YEAR(AH$2)&gt;YEAR($I30),YEAR(AH$2)-YEAR($I30)&lt;20),$D30,YEAR(AH$2)-YEAR($I30)=20,ROUND((DATE(YEAR($I30),12,31)-$I30+1)/365*$D30,2),YEAR(AH$2)-YEAR($I30)&gt;20,0)</f>
        <v>347.18</v>
      </c>
      <c r="AI30" s="48" cm="1">
        <f t="array" ref="AI30">_xlfn.IFS(YEAR(AI$2)&lt;YEAR($I30),0,YEAR(AI$2)=YEAR($I30),ROUND(((AI$2-$I30+1)/365)*$D30,2),AND(YEAR(AI$2)&gt;YEAR($I30),YEAR(AI$2)-YEAR($I30)&lt;20),$D30,YEAR(AI$2)-YEAR($I30)=20,ROUND((DATE(YEAR($I30),12,31)-$I30+1)/365*$D30,2),YEAR(AI$2)-YEAR($I30)&gt;20,0)</f>
        <v>0</v>
      </c>
      <c r="AJ30" s="48" cm="1">
        <f t="array" ref="AJ30">_xlfn.IFS(YEAR(AJ$2)&lt;YEAR($I30),0,YEAR(AJ$2)=YEAR($I30),ROUND(((AJ$2-$I30+1)/365)*$D30,2),AND(YEAR(AJ$2)&gt;YEAR($I30),YEAR(AJ$2)-YEAR($I30)&lt;20),$D30,YEAR(AJ$2)-YEAR($I30)=20,ROUND((DATE(YEAR($I30),12,31)-$I30+1)/365*$D30,2),YEAR(AJ$2)-YEAR($I30)&gt;20,0)</f>
        <v>0</v>
      </c>
      <c r="AK30" s="48" cm="1">
        <f t="array" ref="AK30">_xlfn.IFS(YEAR(AK$2)&lt;YEAR($I30),0,YEAR(AK$2)=YEAR($I30),ROUND(((AK$2-$I30+1)/365)*$D30,2),AND(YEAR(AK$2)&gt;YEAR($I30),YEAR(AK$2)-YEAR($I30)&lt;20),$D30,YEAR(AK$2)-YEAR($I30)=20,ROUND((DATE(YEAR($I30),12,31)-$I30+1)/365*$D30,2),YEAR(AK$2)-YEAR($I30)&gt;20,0)</f>
        <v>0</v>
      </c>
      <c r="AL30" s="48" cm="1">
        <f t="array" ref="AL30">_xlfn.IFS(YEAR(AL$2)&lt;YEAR($I30),0,YEAR(AL$2)=YEAR($I30),ROUND(((AL$2-$I30+1)/365)*$D30,2),AND(YEAR(AL$2)&gt;YEAR($I30),YEAR(AL$2)-YEAR($I30)&lt;20),$D30,YEAR(AL$2)-YEAR($I30)=20,ROUND((DATE(YEAR($I30),12,31)-$I30+1)/365*$D30,2),YEAR(AL$2)-YEAR($I30)&gt;20,0)</f>
        <v>0</v>
      </c>
      <c r="AM30" s="48" cm="1">
        <f t="array" ref="AM30">_xlfn.IFS(YEAR(AM$2)&lt;YEAR($I30),0,YEAR(AM$2)=YEAR($I30),ROUND(((AM$2-$I30+1)/365)*$D30,2),AND(YEAR(AM$2)&gt;YEAR($I30),YEAR(AM$2)-YEAR($I30)&lt;20),$D30,YEAR(AM$2)-YEAR($I30)=20,ROUND((DATE(YEAR($I30),12,31)-$I30+1)/365*$D30,2),YEAR(AM$2)-YEAR($I30)&gt;20,0)</f>
        <v>0</v>
      </c>
      <c r="AO30" s="48">
        <v>2031</v>
      </c>
      <c r="AP30" s="48">
        <v>0.04</v>
      </c>
      <c r="AQ30" s="48">
        <v>32.17</v>
      </c>
      <c r="AR30" s="48">
        <v>2.37</v>
      </c>
      <c r="AS30" s="48">
        <v>19.84</v>
      </c>
      <c r="AT30" s="48">
        <v>3.2800000000000002</v>
      </c>
      <c r="AU30" s="48">
        <v>43.25</v>
      </c>
      <c r="AV30" s="48">
        <v>37.69</v>
      </c>
      <c r="AW30" s="48">
        <v>43.78</v>
      </c>
      <c r="AX30" s="48">
        <v>28.61</v>
      </c>
      <c r="AY30" s="48">
        <v>0</v>
      </c>
      <c r="BA30" s="48">
        <f t="shared" si="1"/>
        <v>211.02999999999997</v>
      </c>
      <c r="BB30" s="48">
        <f t="shared" si="2"/>
        <v>0</v>
      </c>
    </row>
    <row r="31" spans="1:54">
      <c r="A31" s="155" t="str" cm="1">
        <f t="array" ref="A31">_xlfn.IFS(LEFT(C31,3)="PGE","PGE",LEFT(C31,2)="PP","PAC",TRUE,"IP")</f>
        <v>PAC</v>
      </c>
      <c r="B31" s="155" t="str">
        <f>IF(ISNA(MATCH(C31,'Monthly Report July 2025'!E:E,0)),"Missing","Present")</f>
        <v>Present</v>
      </c>
      <c r="C31" s="155" t="s">
        <v>140</v>
      </c>
      <c r="D31" s="176" cm="1">
        <f t="array" ref="D31">INDEX('Monthly Report July 2025'!L:L,MATCH(C31,'Monthly Report July 2025'!E:E,0),0)</f>
        <v>2990</v>
      </c>
      <c r="E31" s="176" t="str" cm="1">
        <f t="array" ref="E31">IF(INDEX('PA Fees by Project'!K:K,MATCH(C31,'PA Fees by Project'!E:E,0),0)="No","Non-Carve Out", "Carve Out")</f>
        <v>Non-Carve Out</v>
      </c>
      <c r="F31" s="176" cm="1">
        <f t="array" ref="F31">INDEX('PA Fees by Project'!J:J,MATCH(C31,'PA Fees by Project'!E:E,0),0)</f>
        <v>1</v>
      </c>
      <c r="G31" s="155" t="str" cm="1">
        <f t="array" ref="G31">INDEX('PA Fees by Project'!G:G,MATCH(C31,'PA Fees by Project'!E:E,0),0)</f>
        <v>Certified</v>
      </c>
      <c r="H31" s="175" t="str" cm="1">
        <f t="array" ref="H31">INDEX('PA Fees by Project'!Q:Q,MATCH(C31,'PA Fees by Project'!E:E,0),0)</f>
        <v/>
      </c>
      <c r="I31" s="156" cm="1">
        <f t="array" ref="I31">_xlfn.IFS(G31="Operational",H31,G31="Certified",EDATE(INDEX('PA Fees by Project'!R:R,MATCH(C31,'PA Fees by Project'!E:E,0),0),6),TRUE,EDATE(INDEX('PA Fees by Project'!O:O,MATCH(C31,'PA Fees by Project'!E:E,0),0),6))</f>
        <v>45959</v>
      </c>
      <c r="J31" s="48" cm="1">
        <f t="array" ref="J31">_xlfn.IFS(YEAR(J$2)&lt;YEAR($I31),0,YEAR(J$2)=YEAR($I31),ROUND(((J$2-$I31+1)/365)*$D31,2),AND(YEAR(J$2)&gt;YEAR($I31),YEAR(J$2)-YEAR($I31)&lt;20),$D31,YEAR(J$2)-YEAR($I31)=20,ROUND((DATE(YEAR($I31),12,31)-$I31+1)/365*$D31,2),YEAR(J$2)-YEAR($I31)&gt;20,0)</f>
        <v>0</v>
      </c>
      <c r="K31" s="48" cm="1">
        <f t="array" ref="K31">_xlfn.IFS(YEAR(K$2)&lt;YEAR($I31),0,YEAR(K$2)=YEAR($I31),ROUND(((K$2-$I31+1)/365)*$D31,2),AND(YEAR(K$2)&gt;YEAR($I31),YEAR(K$2)-YEAR($I31)&lt;20),$D31,YEAR(K$2)-YEAR($I31)=20,ROUND((DATE(YEAR($I31),12,31)-$I31+1)/365*$D31,2),YEAR(K$2)-YEAR($I31)&gt;20,0)</f>
        <v>0</v>
      </c>
      <c r="L31" s="48" cm="1">
        <f t="array" ref="L31">_xlfn.IFS(YEAR(L$2)&lt;YEAR($I31),0,YEAR(L$2)=YEAR($I31),ROUND(((L$2-$I31+1)/365)*$D31,2),AND(YEAR(L$2)&gt;YEAR($I31),YEAR(L$2)-YEAR($I31)&lt;20),$D31,YEAR(L$2)-YEAR($I31)=20,ROUND((DATE(YEAR($I31),12,31)-$I31+1)/365*$D31,2),YEAR(L$2)-YEAR($I31)&gt;20,0)</f>
        <v>0</v>
      </c>
      <c r="M31" s="48" cm="1">
        <f t="array" ref="M31">_xlfn.IFS(YEAR(M$2)&lt;YEAR($I31),0,YEAR(M$2)=YEAR($I31),ROUND(((M$2-$I31+1)/365)*$D31,2),AND(YEAR(M$2)&gt;YEAR($I31),YEAR(M$2)-YEAR($I31)&lt;20),$D31,YEAR(M$2)-YEAR($I31)=20,ROUND((DATE(YEAR($I31),12,31)-$I31+1)/365*$D31,2),YEAR(M$2)-YEAR($I31)&gt;20,0)</f>
        <v>0</v>
      </c>
      <c r="N31" s="48" cm="1">
        <f t="array" ref="N31">_xlfn.IFS(YEAR(N$2)&lt;YEAR($I31),0,YEAR(N$2)=YEAR($I31),ROUND(((N$2-$I31+1)/365)*$D31,2),AND(YEAR(N$2)&gt;YEAR($I31),YEAR(N$2)-YEAR($I31)&lt;20),$D31,YEAR(N$2)-YEAR($I31)=20,ROUND((DATE(YEAR($I31),12,31)-$I31+1)/365*$D31,2),YEAR(N$2)-YEAR($I31)&gt;20,0)</f>
        <v>524.27</v>
      </c>
      <c r="O31" s="48" cm="1">
        <f t="array" ref="O31">_xlfn.IFS(YEAR(O$2)&lt;YEAR($I31),0,YEAR(O$2)=YEAR($I31),ROUND(((O$2-$I31+1)/365)*$D31,2),AND(YEAR(O$2)&gt;YEAR($I31),YEAR(O$2)-YEAR($I31)&lt;20),$D31,YEAR(O$2)-YEAR($I31)=20,ROUND((DATE(YEAR($I31),12,31)-$I31+1)/365*$D31,2),YEAR(O$2)-YEAR($I31)&gt;20,0)</f>
        <v>2990</v>
      </c>
      <c r="P31" s="48" cm="1">
        <f t="array" ref="P31">_xlfn.IFS(YEAR(P$2)&lt;YEAR($I31),0,YEAR(P$2)=YEAR($I31),ROUND(((P$2-$I31+1)/365)*$D31,2),AND(YEAR(P$2)&gt;YEAR($I31),YEAR(P$2)-YEAR($I31)&lt;20),$D31,YEAR(P$2)-YEAR($I31)=20,ROUND((DATE(YEAR($I31),12,31)-$I31+1)/365*$D31,2),YEAR(P$2)-YEAR($I31)&gt;20,0)</f>
        <v>2990</v>
      </c>
      <c r="Q31" s="48" cm="1">
        <f t="array" ref="Q31">_xlfn.IFS(YEAR(Q$2)&lt;YEAR($I31),0,YEAR(Q$2)=YEAR($I31),ROUND(((Q$2-$I31+1)/365)*$D31,2),AND(YEAR(Q$2)&gt;YEAR($I31),YEAR(Q$2)-YEAR($I31)&lt;20),$D31,YEAR(Q$2)-YEAR($I31)=20,ROUND((DATE(YEAR($I31),12,31)-$I31+1)/365*$D31,2),YEAR(Q$2)-YEAR($I31)&gt;20,0)</f>
        <v>2990</v>
      </c>
      <c r="R31" s="48" cm="1">
        <f t="array" ref="R31">_xlfn.IFS(YEAR(R$2)&lt;YEAR($I31),0,YEAR(R$2)=YEAR($I31),ROUND(((R$2-$I31+1)/365)*$D31,2),AND(YEAR(R$2)&gt;YEAR($I31),YEAR(R$2)-YEAR($I31)&lt;20),$D31,YEAR(R$2)-YEAR($I31)=20,ROUND((DATE(YEAR($I31),12,31)-$I31+1)/365*$D31,2),YEAR(R$2)-YEAR($I31)&gt;20,0)</f>
        <v>2990</v>
      </c>
      <c r="S31" s="48" cm="1">
        <f t="array" ref="S31">_xlfn.IFS(YEAR(S$2)&lt;YEAR($I31),0,YEAR(S$2)=YEAR($I31),ROUND(((S$2-$I31+1)/365)*$D31,2),AND(YEAR(S$2)&gt;YEAR($I31),YEAR(S$2)-YEAR($I31)&lt;20),$D31,YEAR(S$2)-YEAR($I31)=20,ROUND((DATE(YEAR($I31),12,31)-$I31+1)/365*$D31,2),YEAR(S$2)-YEAR($I31)&gt;20,0)</f>
        <v>2990</v>
      </c>
      <c r="T31" s="48" cm="1">
        <f t="array" ref="T31">_xlfn.IFS(YEAR(T$2)&lt;YEAR($I31),0,YEAR(T$2)=YEAR($I31),ROUND(((T$2-$I31+1)/365)*$D31,2),AND(YEAR(T$2)&gt;YEAR($I31),YEAR(T$2)-YEAR($I31)&lt;20),$D31,YEAR(T$2)-YEAR($I31)=20,ROUND((DATE(YEAR($I31),12,31)-$I31+1)/365*$D31,2),YEAR(T$2)-YEAR($I31)&gt;20,0)</f>
        <v>2990</v>
      </c>
      <c r="U31" s="48" cm="1">
        <f t="array" ref="U31">_xlfn.IFS(YEAR(U$2)&lt;YEAR($I31),0,YEAR(U$2)=YEAR($I31),ROUND(((U$2-$I31+1)/365)*$D31,2),AND(YEAR(U$2)&gt;YEAR($I31),YEAR(U$2)-YEAR($I31)&lt;20),$D31,YEAR(U$2)-YEAR($I31)=20,ROUND((DATE(YEAR($I31),12,31)-$I31+1)/365*$D31,2),YEAR(U$2)-YEAR($I31)&gt;20,0)</f>
        <v>2990</v>
      </c>
      <c r="V31" s="48" cm="1">
        <f t="array" ref="V31">_xlfn.IFS(YEAR(V$2)&lt;YEAR($I31),0,YEAR(V$2)=YEAR($I31),ROUND(((V$2-$I31+1)/365)*$D31,2),AND(YEAR(V$2)&gt;YEAR($I31),YEAR(V$2)-YEAR($I31)&lt;20),$D31,YEAR(V$2)-YEAR($I31)=20,ROUND((DATE(YEAR($I31),12,31)-$I31+1)/365*$D31,2),YEAR(V$2)-YEAR($I31)&gt;20,0)</f>
        <v>2990</v>
      </c>
      <c r="W31" s="48" cm="1">
        <f t="array" ref="W31">_xlfn.IFS(YEAR(W$2)&lt;YEAR($I31),0,YEAR(W$2)=YEAR($I31),ROUND(((W$2-$I31+1)/365)*$D31,2),AND(YEAR(W$2)&gt;YEAR($I31),YEAR(W$2)-YEAR($I31)&lt;20),$D31,YEAR(W$2)-YEAR($I31)=20,ROUND((DATE(YEAR($I31),12,31)-$I31+1)/365*$D31,2),YEAR(W$2)-YEAR($I31)&gt;20,0)</f>
        <v>2990</v>
      </c>
      <c r="X31" s="48" cm="1">
        <f t="array" ref="X31">_xlfn.IFS(YEAR(X$2)&lt;YEAR($I31),0,YEAR(X$2)=YEAR($I31),ROUND(((X$2-$I31+1)/365)*$D31,2),AND(YEAR(X$2)&gt;YEAR($I31),YEAR(X$2)-YEAR($I31)&lt;20),$D31,YEAR(X$2)-YEAR($I31)=20,ROUND((DATE(YEAR($I31),12,31)-$I31+1)/365*$D31,2),YEAR(X$2)-YEAR($I31)&gt;20,0)</f>
        <v>2990</v>
      </c>
      <c r="Y31" s="48" cm="1">
        <f t="array" ref="Y31">_xlfn.IFS(YEAR(Y$2)&lt;YEAR($I31),0,YEAR(Y$2)=YEAR($I31),ROUND(((Y$2-$I31+1)/365)*$D31,2),AND(YEAR(Y$2)&gt;YEAR($I31),YEAR(Y$2)-YEAR($I31)&lt;20),$D31,YEAR(Y$2)-YEAR($I31)=20,ROUND((DATE(YEAR($I31),12,31)-$I31+1)/365*$D31,2),YEAR(Y$2)-YEAR($I31)&gt;20,0)</f>
        <v>2990</v>
      </c>
      <c r="Z31" s="48" cm="1">
        <f t="array" ref="Z31">_xlfn.IFS(YEAR(Z$2)&lt;YEAR($I31),0,YEAR(Z$2)=YEAR($I31),ROUND(((Z$2-$I31+1)/365)*$D31,2),AND(YEAR(Z$2)&gt;YEAR($I31),YEAR(Z$2)-YEAR($I31)&lt;20),$D31,YEAR(Z$2)-YEAR($I31)=20,ROUND((DATE(YEAR($I31),12,31)-$I31+1)/365*$D31,2),YEAR(Z$2)-YEAR($I31)&gt;20,0)</f>
        <v>2990</v>
      </c>
      <c r="AA31" s="48" cm="1">
        <f t="array" ref="AA31">_xlfn.IFS(YEAR(AA$2)&lt;YEAR($I31),0,YEAR(AA$2)=YEAR($I31),ROUND(((AA$2-$I31+1)/365)*$D31,2),AND(YEAR(AA$2)&gt;YEAR($I31),YEAR(AA$2)-YEAR($I31)&lt;20),$D31,YEAR(AA$2)-YEAR($I31)=20,ROUND((DATE(YEAR($I31),12,31)-$I31+1)/365*$D31,2),YEAR(AA$2)-YEAR($I31)&gt;20,0)</f>
        <v>2990</v>
      </c>
      <c r="AB31" s="48" cm="1">
        <f t="array" ref="AB31">_xlfn.IFS(YEAR(AB$2)&lt;YEAR($I31),0,YEAR(AB$2)=YEAR($I31),ROUND(((AB$2-$I31+1)/365)*$D31,2),AND(YEAR(AB$2)&gt;YEAR($I31),YEAR(AB$2)-YEAR($I31)&lt;20),$D31,YEAR(AB$2)-YEAR($I31)=20,ROUND((DATE(YEAR($I31),12,31)-$I31+1)/365*$D31,2),YEAR(AB$2)-YEAR($I31)&gt;20,0)</f>
        <v>2990</v>
      </c>
      <c r="AC31" s="48" cm="1">
        <f t="array" ref="AC31">_xlfn.IFS(YEAR(AC$2)&lt;YEAR($I31),0,YEAR(AC$2)=YEAR($I31),ROUND(((AC$2-$I31+1)/365)*$D31,2),AND(YEAR(AC$2)&gt;YEAR($I31),YEAR(AC$2)-YEAR($I31)&lt;20),$D31,YEAR(AC$2)-YEAR($I31)=20,ROUND((DATE(YEAR($I31),12,31)-$I31+1)/365*$D31,2),YEAR(AC$2)-YEAR($I31)&gt;20,0)</f>
        <v>2990</v>
      </c>
      <c r="AD31" s="48" cm="1">
        <f t="array" ref="AD31">_xlfn.IFS(YEAR(AD$2)&lt;YEAR($I31),0,YEAR(AD$2)=YEAR($I31),ROUND(((AD$2-$I31+1)/365)*$D31,2),AND(YEAR(AD$2)&gt;YEAR($I31),YEAR(AD$2)-YEAR($I31)&lt;20),$D31,YEAR(AD$2)-YEAR($I31)=20,ROUND((DATE(YEAR($I31),12,31)-$I31+1)/365*$D31,2),YEAR(AD$2)-YEAR($I31)&gt;20,0)</f>
        <v>2990</v>
      </c>
      <c r="AE31" s="48" cm="1">
        <f t="array" ref="AE31">_xlfn.IFS(YEAR(AE$2)&lt;YEAR($I31),0,YEAR(AE$2)=YEAR($I31),ROUND(((AE$2-$I31+1)/365)*$D31,2),AND(YEAR(AE$2)&gt;YEAR($I31),YEAR(AE$2)-YEAR($I31)&lt;20),$D31,YEAR(AE$2)-YEAR($I31)=20,ROUND((DATE(YEAR($I31),12,31)-$I31+1)/365*$D31,2),YEAR(AE$2)-YEAR($I31)&gt;20,0)</f>
        <v>2990</v>
      </c>
      <c r="AF31" s="48" cm="1">
        <f t="array" ref="AF31">_xlfn.IFS(YEAR(AF$2)&lt;YEAR($I31),0,YEAR(AF$2)=YEAR($I31),ROUND(((AF$2-$I31+1)/365)*$D31,2),AND(YEAR(AF$2)&gt;YEAR($I31),YEAR(AF$2)-YEAR($I31)&lt;20),$D31,YEAR(AF$2)-YEAR($I31)=20,ROUND((DATE(YEAR($I31),12,31)-$I31+1)/365*$D31,2),YEAR(AF$2)-YEAR($I31)&gt;20,0)</f>
        <v>2990</v>
      </c>
      <c r="AG31" s="48" cm="1">
        <f t="array" ref="AG31">_xlfn.IFS(YEAR(AG$2)&lt;YEAR($I31),0,YEAR(AG$2)=YEAR($I31),ROUND(((AG$2-$I31+1)/365)*$D31,2),AND(YEAR(AG$2)&gt;YEAR($I31),YEAR(AG$2)-YEAR($I31)&lt;20),$D31,YEAR(AG$2)-YEAR($I31)=20,ROUND((DATE(YEAR($I31),12,31)-$I31+1)/365*$D31,2),YEAR(AG$2)-YEAR($I31)&gt;20,0)</f>
        <v>2990</v>
      </c>
      <c r="AH31" s="48" cm="1">
        <f t="array" ref="AH31">_xlfn.IFS(YEAR(AH$2)&lt;YEAR($I31),0,YEAR(AH$2)=YEAR($I31),ROUND(((AH$2-$I31+1)/365)*$D31,2),AND(YEAR(AH$2)&gt;YEAR($I31),YEAR(AH$2)-YEAR($I31)&lt;20),$D31,YEAR(AH$2)-YEAR($I31)=20,ROUND((DATE(YEAR($I31),12,31)-$I31+1)/365*$D31,2),YEAR(AH$2)-YEAR($I31)&gt;20,0)</f>
        <v>524.27</v>
      </c>
      <c r="AI31" s="48" cm="1">
        <f t="array" ref="AI31">_xlfn.IFS(YEAR(AI$2)&lt;YEAR($I31),0,YEAR(AI$2)=YEAR($I31),ROUND(((AI$2-$I31+1)/365)*$D31,2),AND(YEAR(AI$2)&gt;YEAR($I31),YEAR(AI$2)-YEAR($I31)&lt;20),$D31,YEAR(AI$2)-YEAR($I31)=20,ROUND((DATE(YEAR($I31),12,31)-$I31+1)/365*$D31,2),YEAR(AI$2)-YEAR($I31)&gt;20,0)</f>
        <v>0</v>
      </c>
      <c r="AJ31" s="48" cm="1">
        <f t="array" ref="AJ31">_xlfn.IFS(YEAR(AJ$2)&lt;YEAR($I31),0,YEAR(AJ$2)=YEAR($I31),ROUND(((AJ$2-$I31+1)/365)*$D31,2),AND(YEAR(AJ$2)&gt;YEAR($I31),YEAR(AJ$2)-YEAR($I31)&lt;20),$D31,YEAR(AJ$2)-YEAR($I31)=20,ROUND((DATE(YEAR($I31),12,31)-$I31+1)/365*$D31,2),YEAR(AJ$2)-YEAR($I31)&gt;20,0)</f>
        <v>0</v>
      </c>
      <c r="AK31" s="48" cm="1">
        <f t="array" ref="AK31">_xlfn.IFS(YEAR(AK$2)&lt;YEAR($I31),0,YEAR(AK$2)=YEAR($I31),ROUND(((AK$2-$I31+1)/365)*$D31,2),AND(YEAR(AK$2)&gt;YEAR($I31),YEAR(AK$2)-YEAR($I31)&lt;20),$D31,YEAR(AK$2)-YEAR($I31)=20,ROUND((DATE(YEAR($I31),12,31)-$I31+1)/365*$D31,2),YEAR(AK$2)-YEAR($I31)&gt;20,0)</f>
        <v>0</v>
      </c>
      <c r="AL31" s="48" cm="1">
        <f t="array" ref="AL31">_xlfn.IFS(YEAR(AL$2)&lt;YEAR($I31),0,YEAR(AL$2)=YEAR($I31),ROUND(((AL$2-$I31+1)/365)*$D31,2),AND(YEAR(AL$2)&gt;YEAR($I31),YEAR(AL$2)-YEAR($I31)&lt;20),$D31,YEAR(AL$2)-YEAR($I31)=20,ROUND((DATE(YEAR($I31),12,31)-$I31+1)/365*$D31,2),YEAR(AL$2)-YEAR($I31)&gt;20,0)</f>
        <v>0</v>
      </c>
      <c r="AM31" s="48" cm="1">
        <f t="array" ref="AM31">_xlfn.IFS(YEAR(AM$2)&lt;YEAR($I31),0,YEAR(AM$2)=YEAR($I31),ROUND(((AM$2-$I31+1)/365)*$D31,2),AND(YEAR(AM$2)&gt;YEAR($I31),YEAR(AM$2)-YEAR($I31)&lt;20),$D31,YEAR(AM$2)-YEAR($I31)=20,ROUND((DATE(YEAR($I31),12,31)-$I31+1)/365*$D31,2),YEAR(AM$2)-YEAR($I31)&gt;20,0)</f>
        <v>0</v>
      </c>
      <c r="AO31" s="48">
        <v>2032</v>
      </c>
      <c r="AP31" s="48">
        <v>0.04</v>
      </c>
      <c r="AQ31" s="48">
        <v>32.17</v>
      </c>
      <c r="AR31" s="48">
        <v>2.37</v>
      </c>
      <c r="AS31" s="48">
        <v>19.84</v>
      </c>
      <c r="AT31" s="48">
        <v>3.2800000000000002</v>
      </c>
      <c r="AU31" s="48">
        <v>43.25</v>
      </c>
      <c r="AV31" s="48">
        <v>37.69</v>
      </c>
      <c r="AW31" s="48">
        <v>43.78</v>
      </c>
      <c r="AX31" s="48">
        <v>28.61</v>
      </c>
      <c r="AY31" s="48">
        <v>0</v>
      </c>
      <c r="BA31" s="48">
        <f t="shared" si="1"/>
        <v>211.02999999999997</v>
      </c>
      <c r="BB31" s="48">
        <f t="shared" si="2"/>
        <v>0</v>
      </c>
    </row>
    <row r="32" spans="1:54">
      <c r="A32" s="155" t="str" cm="1">
        <f t="array" ref="A32">_xlfn.IFS(LEFT(C32,3)="PGE","PGE",LEFT(C32,2)="PP","PAC",TRUE,"IP")</f>
        <v>PAC</v>
      </c>
      <c r="B32" s="155" t="str">
        <f>IF(ISNA(MATCH(C32,'Monthly Report July 2025'!E:E,0)),"Missing","Present")</f>
        <v>Present</v>
      </c>
      <c r="C32" s="155" t="s">
        <v>141</v>
      </c>
      <c r="D32" s="176" cm="1">
        <f t="array" ref="D32">INDEX('Monthly Report July 2025'!L:L,MATCH(C32,'Monthly Report July 2025'!E:E,0),0)</f>
        <v>2400</v>
      </c>
      <c r="E32" s="176" t="str" cm="1">
        <f t="array" ref="E32">IF(INDEX('PA Fees by Project'!K:K,MATCH(C32,'PA Fees by Project'!E:E,0),0)="No","Non-Carve Out", "Carve Out")</f>
        <v>Non-Carve Out</v>
      </c>
      <c r="F32" s="176" cm="1">
        <f t="array" ref="F32">INDEX('PA Fees by Project'!J:J,MATCH(C32,'PA Fees by Project'!E:E,0),0)</f>
        <v>2</v>
      </c>
      <c r="G32" s="155" t="str" cm="1">
        <f t="array" ref="G32">INDEX('PA Fees by Project'!G:G,MATCH(C32,'PA Fees by Project'!E:E,0),0)</f>
        <v>Pre-Certified</v>
      </c>
      <c r="H32" s="175" t="str" cm="1">
        <f t="array" ref="H32">INDEX('PA Fees by Project'!Q:Q,MATCH(C32,'PA Fees by Project'!E:E,0),0)</f>
        <v/>
      </c>
      <c r="I32" s="156" cm="1">
        <f t="array" ref="I32">_xlfn.IFS(G32="Operational",H32,G32="Certified",EDATE(INDEX('PA Fees by Project'!R:R,MATCH(C32,'PA Fees by Project'!E:E,0),0),6),TRUE,EDATE(INDEX('PA Fees by Project'!O:O,MATCH(C32,'PA Fees by Project'!E:E,0),0),6))</f>
        <v>46106</v>
      </c>
      <c r="J32" s="48" cm="1">
        <f t="array" ref="J32">_xlfn.IFS(YEAR(J$2)&lt;YEAR($I32),0,YEAR(J$2)=YEAR($I32),ROUND(((J$2-$I32+1)/365)*$D32,2),AND(YEAR(J$2)&gt;YEAR($I32),YEAR(J$2)-YEAR($I32)&lt;20),$D32,YEAR(J$2)-YEAR($I32)=20,ROUND((DATE(YEAR($I32),12,31)-$I32+1)/365*$D32,2),YEAR(J$2)-YEAR($I32)&gt;20,0)</f>
        <v>0</v>
      </c>
      <c r="K32" s="48" cm="1">
        <f t="array" ref="K32">_xlfn.IFS(YEAR(K$2)&lt;YEAR($I32),0,YEAR(K$2)=YEAR($I32),ROUND(((K$2-$I32+1)/365)*$D32,2),AND(YEAR(K$2)&gt;YEAR($I32),YEAR(K$2)-YEAR($I32)&lt;20),$D32,YEAR(K$2)-YEAR($I32)=20,ROUND((DATE(YEAR($I32),12,31)-$I32+1)/365*$D32,2),YEAR(K$2)-YEAR($I32)&gt;20,0)</f>
        <v>0</v>
      </c>
      <c r="L32" s="48" cm="1">
        <f t="array" ref="L32">_xlfn.IFS(YEAR(L$2)&lt;YEAR($I32),0,YEAR(L$2)=YEAR($I32),ROUND(((L$2-$I32+1)/365)*$D32,2),AND(YEAR(L$2)&gt;YEAR($I32),YEAR(L$2)-YEAR($I32)&lt;20),$D32,YEAR(L$2)-YEAR($I32)=20,ROUND((DATE(YEAR($I32),12,31)-$I32+1)/365*$D32,2),YEAR(L$2)-YEAR($I32)&gt;20,0)</f>
        <v>0</v>
      </c>
      <c r="M32" s="48" cm="1">
        <f t="array" ref="M32">_xlfn.IFS(YEAR(M$2)&lt;YEAR($I32),0,YEAR(M$2)=YEAR($I32),ROUND(((M$2-$I32+1)/365)*$D32,2),AND(YEAR(M$2)&gt;YEAR($I32),YEAR(M$2)-YEAR($I32)&lt;20),$D32,YEAR(M$2)-YEAR($I32)=20,ROUND((DATE(YEAR($I32),12,31)-$I32+1)/365*$D32,2),YEAR(M$2)-YEAR($I32)&gt;20,0)</f>
        <v>0</v>
      </c>
      <c r="N32" s="48" cm="1">
        <f t="array" ref="N32">_xlfn.IFS(YEAR(N$2)&lt;YEAR($I32),0,YEAR(N$2)=YEAR($I32),ROUND(((N$2-$I32+1)/365)*$D32,2),AND(YEAR(N$2)&gt;YEAR($I32),YEAR(N$2)-YEAR($I32)&lt;20),$D32,YEAR(N$2)-YEAR($I32)=20,ROUND((DATE(YEAR($I32),12,31)-$I32+1)/365*$D32,2),YEAR(N$2)-YEAR($I32)&gt;20,0)</f>
        <v>0</v>
      </c>
      <c r="O32" s="48" cm="1">
        <f t="array" ref="O32">_xlfn.IFS(YEAR(O$2)&lt;YEAR($I32),0,YEAR(O$2)=YEAR($I32),ROUND(((O$2-$I32+1)/365)*$D32,2),AND(YEAR(O$2)&gt;YEAR($I32),YEAR(O$2)-YEAR($I32)&lt;20),$D32,YEAR(O$2)-YEAR($I32)=20,ROUND((DATE(YEAR($I32),12,31)-$I32+1)/365*$D32,2),YEAR(O$2)-YEAR($I32)&gt;20,0)</f>
        <v>1854.25</v>
      </c>
      <c r="P32" s="48" cm="1">
        <f t="array" ref="P32">_xlfn.IFS(YEAR(P$2)&lt;YEAR($I32),0,YEAR(P$2)=YEAR($I32),ROUND(((P$2-$I32+1)/365)*$D32,2),AND(YEAR(P$2)&gt;YEAR($I32),YEAR(P$2)-YEAR($I32)&lt;20),$D32,YEAR(P$2)-YEAR($I32)=20,ROUND((DATE(YEAR($I32),12,31)-$I32+1)/365*$D32,2),YEAR(P$2)-YEAR($I32)&gt;20,0)</f>
        <v>2400</v>
      </c>
      <c r="Q32" s="48" cm="1">
        <f t="array" ref="Q32">_xlfn.IFS(YEAR(Q$2)&lt;YEAR($I32),0,YEAR(Q$2)=YEAR($I32),ROUND(((Q$2-$I32+1)/365)*$D32,2),AND(YEAR(Q$2)&gt;YEAR($I32),YEAR(Q$2)-YEAR($I32)&lt;20),$D32,YEAR(Q$2)-YEAR($I32)=20,ROUND((DATE(YEAR($I32),12,31)-$I32+1)/365*$D32,2),YEAR(Q$2)-YEAR($I32)&gt;20,0)</f>
        <v>2400</v>
      </c>
      <c r="R32" s="48" cm="1">
        <f t="array" ref="R32">_xlfn.IFS(YEAR(R$2)&lt;YEAR($I32),0,YEAR(R$2)=YEAR($I32),ROUND(((R$2-$I32+1)/365)*$D32,2),AND(YEAR(R$2)&gt;YEAR($I32),YEAR(R$2)-YEAR($I32)&lt;20),$D32,YEAR(R$2)-YEAR($I32)=20,ROUND((DATE(YEAR($I32),12,31)-$I32+1)/365*$D32,2),YEAR(R$2)-YEAR($I32)&gt;20,0)</f>
        <v>2400</v>
      </c>
      <c r="S32" s="48" cm="1">
        <f t="array" ref="S32">_xlfn.IFS(YEAR(S$2)&lt;YEAR($I32),0,YEAR(S$2)=YEAR($I32),ROUND(((S$2-$I32+1)/365)*$D32,2),AND(YEAR(S$2)&gt;YEAR($I32),YEAR(S$2)-YEAR($I32)&lt;20),$D32,YEAR(S$2)-YEAR($I32)=20,ROUND((DATE(YEAR($I32),12,31)-$I32+1)/365*$D32,2),YEAR(S$2)-YEAR($I32)&gt;20,0)</f>
        <v>2400</v>
      </c>
      <c r="T32" s="48" cm="1">
        <f t="array" ref="T32">_xlfn.IFS(YEAR(T$2)&lt;YEAR($I32),0,YEAR(T$2)=YEAR($I32),ROUND(((T$2-$I32+1)/365)*$D32,2),AND(YEAR(T$2)&gt;YEAR($I32),YEAR(T$2)-YEAR($I32)&lt;20),$D32,YEAR(T$2)-YEAR($I32)=20,ROUND((DATE(YEAR($I32),12,31)-$I32+1)/365*$D32,2),YEAR(T$2)-YEAR($I32)&gt;20,0)</f>
        <v>2400</v>
      </c>
      <c r="U32" s="48" cm="1">
        <f t="array" ref="U32">_xlfn.IFS(YEAR(U$2)&lt;YEAR($I32),0,YEAR(U$2)=YEAR($I32),ROUND(((U$2-$I32+1)/365)*$D32,2),AND(YEAR(U$2)&gt;YEAR($I32),YEAR(U$2)-YEAR($I32)&lt;20),$D32,YEAR(U$2)-YEAR($I32)=20,ROUND((DATE(YEAR($I32),12,31)-$I32+1)/365*$D32,2),YEAR(U$2)-YEAR($I32)&gt;20,0)</f>
        <v>2400</v>
      </c>
      <c r="V32" s="48" cm="1">
        <f t="array" ref="V32">_xlfn.IFS(YEAR(V$2)&lt;YEAR($I32),0,YEAR(V$2)=YEAR($I32),ROUND(((V$2-$I32+1)/365)*$D32,2),AND(YEAR(V$2)&gt;YEAR($I32),YEAR(V$2)-YEAR($I32)&lt;20),$D32,YEAR(V$2)-YEAR($I32)=20,ROUND((DATE(YEAR($I32),12,31)-$I32+1)/365*$D32,2),YEAR(V$2)-YEAR($I32)&gt;20,0)</f>
        <v>2400</v>
      </c>
      <c r="W32" s="48" cm="1">
        <f t="array" ref="W32">_xlfn.IFS(YEAR(W$2)&lt;YEAR($I32),0,YEAR(W$2)=YEAR($I32),ROUND(((W$2-$I32+1)/365)*$D32,2),AND(YEAR(W$2)&gt;YEAR($I32),YEAR(W$2)-YEAR($I32)&lt;20),$D32,YEAR(W$2)-YEAR($I32)=20,ROUND((DATE(YEAR($I32),12,31)-$I32+1)/365*$D32,2),YEAR(W$2)-YEAR($I32)&gt;20,0)</f>
        <v>2400</v>
      </c>
      <c r="X32" s="48" cm="1">
        <f t="array" ref="X32">_xlfn.IFS(YEAR(X$2)&lt;YEAR($I32),0,YEAR(X$2)=YEAR($I32),ROUND(((X$2-$I32+1)/365)*$D32,2),AND(YEAR(X$2)&gt;YEAR($I32),YEAR(X$2)-YEAR($I32)&lt;20),$D32,YEAR(X$2)-YEAR($I32)=20,ROUND((DATE(YEAR($I32),12,31)-$I32+1)/365*$D32,2),YEAR(X$2)-YEAR($I32)&gt;20,0)</f>
        <v>2400</v>
      </c>
      <c r="Y32" s="48" cm="1">
        <f t="array" ref="Y32">_xlfn.IFS(YEAR(Y$2)&lt;YEAR($I32),0,YEAR(Y$2)=YEAR($I32),ROUND(((Y$2-$I32+1)/365)*$D32,2),AND(YEAR(Y$2)&gt;YEAR($I32),YEAR(Y$2)-YEAR($I32)&lt;20),$D32,YEAR(Y$2)-YEAR($I32)=20,ROUND((DATE(YEAR($I32),12,31)-$I32+1)/365*$D32,2),YEAR(Y$2)-YEAR($I32)&gt;20,0)</f>
        <v>2400</v>
      </c>
      <c r="Z32" s="48" cm="1">
        <f t="array" ref="Z32">_xlfn.IFS(YEAR(Z$2)&lt;YEAR($I32),0,YEAR(Z$2)=YEAR($I32),ROUND(((Z$2-$I32+1)/365)*$D32,2),AND(YEAR(Z$2)&gt;YEAR($I32),YEAR(Z$2)-YEAR($I32)&lt;20),$D32,YEAR(Z$2)-YEAR($I32)=20,ROUND((DATE(YEAR($I32),12,31)-$I32+1)/365*$D32,2),YEAR(Z$2)-YEAR($I32)&gt;20,0)</f>
        <v>2400</v>
      </c>
      <c r="AA32" s="48" cm="1">
        <f t="array" ref="AA32">_xlfn.IFS(YEAR(AA$2)&lt;YEAR($I32),0,YEAR(AA$2)=YEAR($I32),ROUND(((AA$2-$I32+1)/365)*$D32,2),AND(YEAR(AA$2)&gt;YEAR($I32),YEAR(AA$2)-YEAR($I32)&lt;20),$D32,YEAR(AA$2)-YEAR($I32)=20,ROUND((DATE(YEAR($I32),12,31)-$I32+1)/365*$D32,2),YEAR(AA$2)-YEAR($I32)&gt;20,0)</f>
        <v>2400</v>
      </c>
      <c r="AB32" s="48" cm="1">
        <f t="array" ref="AB32">_xlfn.IFS(YEAR(AB$2)&lt;YEAR($I32),0,YEAR(AB$2)=YEAR($I32),ROUND(((AB$2-$I32+1)/365)*$D32,2),AND(YEAR(AB$2)&gt;YEAR($I32),YEAR(AB$2)-YEAR($I32)&lt;20),$D32,YEAR(AB$2)-YEAR($I32)=20,ROUND((DATE(YEAR($I32),12,31)-$I32+1)/365*$D32,2),YEAR(AB$2)-YEAR($I32)&gt;20,0)</f>
        <v>2400</v>
      </c>
      <c r="AC32" s="48" cm="1">
        <f t="array" ref="AC32">_xlfn.IFS(YEAR(AC$2)&lt;YEAR($I32),0,YEAR(AC$2)=YEAR($I32),ROUND(((AC$2-$I32+1)/365)*$D32,2),AND(YEAR(AC$2)&gt;YEAR($I32),YEAR(AC$2)-YEAR($I32)&lt;20),$D32,YEAR(AC$2)-YEAR($I32)=20,ROUND((DATE(YEAR($I32),12,31)-$I32+1)/365*$D32,2),YEAR(AC$2)-YEAR($I32)&gt;20,0)</f>
        <v>2400</v>
      </c>
      <c r="AD32" s="48" cm="1">
        <f t="array" ref="AD32">_xlfn.IFS(YEAR(AD$2)&lt;YEAR($I32),0,YEAR(AD$2)=YEAR($I32),ROUND(((AD$2-$I32+1)/365)*$D32,2),AND(YEAR(AD$2)&gt;YEAR($I32),YEAR(AD$2)-YEAR($I32)&lt;20),$D32,YEAR(AD$2)-YEAR($I32)=20,ROUND((DATE(YEAR($I32),12,31)-$I32+1)/365*$D32,2),YEAR(AD$2)-YEAR($I32)&gt;20,0)</f>
        <v>2400</v>
      </c>
      <c r="AE32" s="48" cm="1">
        <f t="array" ref="AE32">_xlfn.IFS(YEAR(AE$2)&lt;YEAR($I32),0,YEAR(AE$2)=YEAR($I32),ROUND(((AE$2-$I32+1)/365)*$D32,2),AND(YEAR(AE$2)&gt;YEAR($I32),YEAR(AE$2)-YEAR($I32)&lt;20),$D32,YEAR(AE$2)-YEAR($I32)=20,ROUND((DATE(YEAR($I32),12,31)-$I32+1)/365*$D32,2),YEAR(AE$2)-YEAR($I32)&gt;20,0)</f>
        <v>2400</v>
      </c>
      <c r="AF32" s="48" cm="1">
        <f t="array" ref="AF32">_xlfn.IFS(YEAR(AF$2)&lt;YEAR($I32),0,YEAR(AF$2)=YEAR($I32),ROUND(((AF$2-$I32+1)/365)*$D32,2),AND(YEAR(AF$2)&gt;YEAR($I32),YEAR(AF$2)-YEAR($I32)&lt;20),$D32,YEAR(AF$2)-YEAR($I32)=20,ROUND((DATE(YEAR($I32),12,31)-$I32+1)/365*$D32,2),YEAR(AF$2)-YEAR($I32)&gt;20,0)</f>
        <v>2400</v>
      </c>
      <c r="AG32" s="48" cm="1">
        <f t="array" ref="AG32">_xlfn.IFS(YEAR(AG$2)&lt;YEAR($I32),0,YEAR(AG$2)=YEAR($I32),ROUND(((AG$2-$I32+1)/365)*$D32,2),AND(YEAR(AG$2)&gt;YEAR($I32),YEAR(AG$2)-YEAR($I32)&lt;20),$D32,YEAR(AG$2)-YEAR($I32)=20,ROUND((DATE(YEAR($I32),12,31)-$I32+1)/365*$D32,2),YEAR(AG$2)-YEAR($I32)&gt;20,0)</f>
        <v>2400</v>
      </c>
      <c r="AH32" s="48" cm="1">
        <f t="array" ref="AH32">_xlfn.IFS(YEAR(AH$2)&lt;YEAR($I32),0,YEAR(AH$2)=YEAR($I32),ROUND(((AH$2-$I32+1)/365)*$D32,2),AND(YEAR(AH$2)&gt;YEAR($I32),YEAR(AH$2)-YEAR($I32)&lt;20),$D32,YEAR(AH$2)-YEAR($I32)=20,ROUND((DATE(YEAR($I32),12,31)-$I32+1)/365*$D32,2),YEAR(AH$2)-YEAR($I32)&gt;20,0)</f>
        <v>2400</v>
      </c>
      <c r="AI32" s="48" cm="1">
        <f t="array" ref="AI32">_xlfn.IFS(YEAR(AI$2)&lt;YEAR($I32),0,YEAR(AI$2)=YEAR($I32),ROUND(((AI$2-$I32+1)/365)*$D32,2),AND(YEAR(AI$2)&gt;YEAR($I32),YEAR(AI$2)-YEAR($I32)&lt;20),$D32,YEAR(AI$2)-YEAR($I32)=20,ROUND((DATE(YEAR($I32),12,31)-$I32+1)/365*$D32,2),YEAR(AI$2)-YEAR($I32)&gt;20,0)</f>
        <v>1854.25</v>
      </c>
      <c r="AJ32" s="48" cm="1">
        <f t="array" ref="AJ32">_xlfn.IFS(YEAR(AJ$2)&lt;YEAR($I32),0,YEAR(AJ$2)=YEAR($I32),ROUND(((AJ$2-$I32+1)/365)*$D32,2),AND(YEAR(AJ$2)&gt;YEAR($I32),YEAR(AJ$2)-YEAR($I32)&lt;20),$D32,YEAR(AJ$2)-YEAR($I32)=20,ROUND((DATE(YEAR($I32),12,31)-$I32+1)/365*$D32,2),YEAR(AJ$2)-YEAR($I32)&gt;20,0)</f>
        <v>0</v>
      </c>
      <c r="AK32" s="48" cm="1">
        <f t="array" ref="AK32">_xlfn.IFS(YEAR(AK$2)&lt;YEAR($I32),0,YEAR(AK$2)=YEAR($I32),ROUND(((AK$2-$I32+1)/365)*$D32,2),AND(YEAR(AK$2)&gt;YEAR($I32),YEAR(AK$2)-YEAR($I32)&lt;20),$D32,YEAR(AK$2)-YEAR($I32)=20,ROUND((DATE(YEAR($I32),12,31)-$I32+1)/365*$D32,2),YEAR(AK$2)-YEAR($I32)&gt;20,0)</f>
        <v>0</v>
      </c>
      <c r="AL32" s="48" cm="1">
        <f t="array" ref="AL32">_xlfn.IFS(YEAR(AL$2)&lt;YEAR($I32),0,YEAR(AL$2)=YEAR($I32),ROUND(((AL$2-$I32+1)/365)*$D32,2),AND(YEAR(AL$2)&gt;YEAR($I32),YEAR(AL$2)-YEAR($I32)&lt;20),$D32,YEAR(AL$2)-YEAR($I32)=20,ROUND((DATE(YEAR($I32),12,31)-$I32+1)/365*$D32,2),YEAR(AL$2)-YEAR($I32)&gt;20,0)</f>
        <v>0</v>
      </c>
      <c r="AM32" s="48" cm="1">
        <f t="array" ref="AM32">_xlfn.IFS(YEAR(AM$2)&lt;YEAR($I32),0,YEAR(AM$2)=YEAR($I32),ROUND(((AM$2-$I32+1)/365)*$D32,2),AND(YEAR(AM$2)&gt;YEAR($I32),YEAR(AM$2)-YEAR($I32)&lt;20),$D32,YEAR(AM$2)-YEAR($I32)=20,ROUND((DATE(YEAR($I32),12,31)-$I32+1)/365*$D32,2),YEAR(AM$2)-YEAR($I32)&gt;20,0)</f>
        <v>0</v>
      </c>
      <c r="AO32" s="48">
        <v>2033</v>
      </c>
      <c r="AP32" s="48">
        <v>0.04</v>
      </c>
      <c r="AQ32" s="48">
        <v>32.17</v>
      </c>
      <c r="AR32" s="48">
        <v>2.37</v>
      </c>
      <c r="AS32" s="48">
        <v>19.84</v>
      </c>
      <c r="AT32" s="48">
        <v>3.2800000000000002</v>
      </c>
      <c r="AU32" s="48">
        <v>43.25</v>
      </c>
      <c r="AV32" s="48">
        <v>37.69</v>
      </c>
      <c r="AW32" s="48">
        <v>43.78</v>
      </c>
      <c r="AX32" s="48">
        <v>28.61</v>
      </c>
      <c r="AY32" s="48">
        <v>0</v>
      </c>
      <c r="BA32" s="48">
        <f t="shared" si="1"/>
        <v>211.02999999999997</v>
      </c>
      <c r="BB32" s="48">
        <f t="shared" si="2"/>
        <v>0</v>
      </c>
    </row>
    <row r="33" spans="1:54">
      <c r="A33" s="155" t="str" cm="1">
        <f t="array" ref="A33">_xlfn.IFS(LEFT(C33,3)="PGE","PGE",LEFT(C33,2)="PP","PAC",TRUE,"IP")</f>
        <v>PGE</v>
      </c>
      <c r="B33" s="155" t="str">
        <f>IF(ISNA(MATCH(C33,'Monthly Report July 2025'!E:E,0)),"Missing","Present")</f>
        <v>Present</v>
      </c>
      <c r="C33" s="155" t="s">
        <v>142</v>
      </c>
      <c r="D33" s="176" cm="1">
        <f t="array" ref="D33">INDEX('Monthly Report July 2025'!L:L,MATCH(C33,'Monthly Report July 2025'!E:E,0),0)</f>
        <v>2985</v>
      </c>
      <c r="E33" s="176" t="str" cm="1">
        <f t="array" ref="E33">IF(INDEX('PA Fees by Project'!K:K,MATCH(C33,'PA Fees by Project'!E:E,0),0)="No","Non-Carve Out", "Carve Out")</f>
        <v>Non-Carve Out</v>
      </c>
      <c r="F33" s="176" cm="1">
        <f t="array" ref="F33">INDEX('PA Fees by Project'!J:J,MATCH(C33,'PA Fees by Project'!E:E,0),0)</f>
        <v>2</v>
      </c>
      <c r="G33" s="155" t="str" cm="1">
        <f t="array" ref="G33">INDEX('PA Fees by Project'!G:G,MATCH(C33,'PA Fees by Project'!E:E,0),0)</f>
        <v>Pre-Certified</v>
      </c>
      <c r="H33" s="175" t="str" cm="1">
        <f t="array" ref="H33">INDEX('PA Fees by Project'!Q:Q,MATCH(C33,'PA Fees by Project'!E:E,0),0)</f>
        <v/>
      </c>
      <c r="I33" s="156" cm="1">
        <f t="array" ref="I33">_xlfn.IFS(G33="Operational",H33,G33="Certified",EDATE(INDEX('PA Fees by Project'!R:R,MATCH(C33,'PA Fees by Project'!E:E,0),0),6),TRUE,EDATE(INDEX('PA Fees by Project'!O:O,MATCH(C33,'PA Fees by Project'!E:E,0),0),6))</f>
        <v>46196</v>
      </c>
      <c r="J33" s="48" cm="1">
        <f t="array" ref="J33">_xlfn.IFS(YEAR(J$2)&lt;YEAR($I33),0,YEAR(J$2)=YEAR($I33),ROUND(((J$2-$I33+1)/365)*$D33,2),AND(YEAR(J$2)&gt;YEAR($I33),YEAR(J$2)-YEAR($I33)&lt;20),$D33,YEAR(J$2)-YEAR($I33)=20,ROUND((DATE(YEAR($I33),12,31)-$I33+1)/365*$D33,2),YEAR(J$2)-YEAR($I33)&gt;20,0)</f>
        <v>0</v>
      </c>
      <c r="K33" s="48" cm="1">
        <f t="array" ref="K33">_xlfn.IFS(YEAR(K$2)&lt;YEAR($I33),0,YEAR(K$2)=YEAR($I33),ROUND(((K$2-$I33+1)/365)*$D33,2),AND(YEAR(K$2)&gt;YEAR($I33),YEAR(K$2)-YEAR($I33)&lt;20),$D33,YEAR(K$2)-YEAR($I33)=20,ROUND((DATE(YEAR($I33),12,31)-$I33+1)/365*$D33,2),YEAR(K$2)-YEAR($I33)&gt;20,0)</f>
        <v>0</v>
      </c>
      <c r="L33" s="48" cm="1">
        <f t="array" ref="L33">_xlfn.IFS(YEAR(L$2)&lt;YEAR($I33),0,YEAR(L$2)=YEAR($I33),ROUND(((L$2-$I33+1)/365)*$D33,2),AND(YEAR(L$2)&gt;YEAR($I33),YEAR(L$2)-YEAR($I33)&lt;20),$D33,YEAR(L$2)-YEAR($I33)=20,ROUND((DATE(YEAR($I33),12,31)-$I33+1)/365*$D33,2),YEAR(L$2)-YEAR($I33)&gt;20,0)</f>
        <v>0</v>
      </c>
      <c r="M33" s="48" cm="1">
        <f t="array" ref="M33">_xlfn.IFS(YEAR(M$2)&lt;YEAR($I33),0,YEAR(M$2)=YEAR($I33),ROUND(((M$2-$I33+1)/365)*$D33,2),AND(YEAR(M$2)&gt;YEAR($I33),YEAR(M$2)-YEAR($I33)&lt;20),$D33,YEAR(M$2)-YEAR($I33)=20,ROUND((DATE(YEAR($I33),12,31)-$I33+1)/365*$D33,2),YEAR(M$2)-YEAR($I33)&gt;20,0)</f>
        <v>0</v>
      </c>
      <c r="N33" s="48" cm="1">
        <f t="array" ref="N33">_xlfn.IFS(YEAR(N$2)&lt;YEAR($I33),0,YEAR(N$2)=YEAR($I33),ROUND(((N$2-$I33+1)/365)*$D33,2),AND(YEAR(N$2)&gt;YEAR($I33),YEAR(N$2)-YEAR($I33)&lt;20),$D33,YEAR(N$2)-YEAR($I33)=20,ROUND((DATE(YEAR($I33),12,31)-$I33+1)/365*$D33,2),YEAR(N$2)-YEAR($I33)&gt;20,0)</f>
        <v>0</v>
      </c>
      <c r="O33" s="48" cm="1">
        <f t="array" ref="O33">_xlfn.IFS(YEAR(O$2)&lt;YEAR($I33),0,YEAR(O$2)=YEAR($I33),ROUND(((O$2-$I33+1)/365)*$D33,2),AND(YEAR(O$2)&gt;YEAR($I33),YEAR(O$2)-YEAR($I33)&lt;20),$D33,YEAR(O$2)-YEAR($I33)=20,ROUND((DATE(YEAR($I33),12,31)-$I33+1)/365*$D33,2),YEAR(O$2)-YEAR($I33)&gt;20,0)</f>
        <v>1570.19</v>
      </c>
      <c r="P33" s="48" cm="1">
        <f t="array" ref="P33">_xlfn.IFS(YEAR(P$2)&lt;YEAR($I33),0,YEAR(P$2)=YEAR($I33),ROUND(((P$2-$I33+1)/365)*$D33,2),AND(YEAR(P$2)&gt;YEAR($I33),YEAR(P$2)-YEAR($I33)&lt;20),$D33,YEAR(P$2)-YEAR($I33)=20,ROUND((DATE(YEAR($I33),12,31)-$I33+1)/365*$D33,2),YEAR(P$2)-YEAR($I33)&gt;20,0)</f>
        <v>2985</v>
      </c>
      <c r="Q33" s="48" cm="1">
        <f t="array" ref="Q33">_xlfn.IFS(YEAR(Q$2)&lt;YEAR($I33),0,YEAR(Q$2)=YEAR($I33),ROUND(((Q$2-$I33+1)/365)*$D33,2),AND(YEAR(Q$2)&gt;YEAR($I33),YEAR(Q$2)-YEAR($I33)&lt;20),$D33,YEAR(Q$2)-YEAR($I33)=20,ROUND((DATE(YEAR($I33),12,31)-$I33+1)/365*$D33,2),YEAR(Q$2)-YEAR($I33)&gt;20,0)</f>
        <v>2985</v>
      </c>
      <c r="R33" s="48" cm="1">
        <f t="array" ref="R33">_xlfn.IFS(YEAR(R$2)&lt;YEAR($I33),0,YEAR(R$2)=YEAR($I33),ROUND(((R$2-$I33+1)/365)*$D33,2),AND(YEAR(R$2)&gt;YEAR($I33),YEAR(R$2)-YEAR($I33)&lt;20),$D33,YEAR(R$2)-YEAR($I33)=20,ROUND((DATE(YEAR($I33),12,31)-$I33+1)/365*$D33,2),YEAR(R$2)-YEAR($I33)&gt;20,0)</f>
        <v>2985</v>
      </c>
      <c r="S33" s="48" cm="1">
        <f t="array" ref="S33">_xlfn.IFS(YEAR(S$2)&lt;YEAR($I33),0,YEAR(S$2)=YEAR($I33),ROUND(((S$2-$I33+1)/365)*$D33,2),AND(YEAR(S$2)&gt;YEAR($I33),YEAR(S$2)-YEAR($I33)&lt;20),$D33,YEAR(S$2)-YEAR($I33)=20,ROUND((DATE(YEAR($I33),12,31)-$I33+1)/365*$D33,2),YEAR(S$2)-YEAR($I33)&gt;20,0)</f>
        <v>2985</v>
      </c>
      <c r="T33" s="48" cm="1">
        <f t="array" ref="T33">_xlfn.IFS(YEAR(T$2)&lt;YEAR($I33),0,YEAR(T$2)=YEAR($I33),ROUND(((T$2-$I33+1)/365)*$D33,2),AND(YEAR(T$2)&gt;YEAR($I33),YEAR(T$2)-YEAR($I33)&lt;20),$D33,YEAR(T$2)-YEAR($I33)=20,ROUND((DATE(YEAR($I33),12,31)-$I33+1)/365*$D33,2),YEAR(T$2)-YEAR($I33)&gt;20,0)</f>
        <v>2985</v>
      </c>
      <c r="U33" s="48" cm="1">
        <f t="array" ref="U33">_xlfn.IFS(YEAR(U$2)&lt;YEAR($I33),0,YEAR(U$2)=YEAR($I33),ROUND(((U$2-$I33+1)/365)*$D33,2),AND(YEAR(U$2)&gt;YEAR($I33),YEAR(U$2)-YEAR($I33)&lt;20),$D33,YEAR(U$2)-YEAR($I33)=20,ROUND((DATE(YEAR($I33),12,31)-$I33+1)/365*$D33,2),YEAR(U$2)-YEAR($I33)&gt;20,0)</f>
        <v>2985</v>
      </c>
      <c r="V33" s="48" cm="1">
        <f t="array" ref="V33">_xlfn.IFS(YEAR(V$2)&lt;YEAR($I33),0,YEAR(V$2)=YEAR($I33),ROUND(((V$2-$I33+1)/365)*$D33,2),AND(YEAR(V$2)&gt;YEAR($I33),YEAR(V$2)-YEAR($I33)&lt;20),$D33,YEAR(V$2)-YEAR($I33)=20,ROUND((DATE(YEAR($I33),12,31)-$I33+1)/365*$D33,2),YEAR(V$2)-YEAR($I33)&gt;20,0)</f>
        <v>2985</v>
      </c>
      <c r="W33" s="48" cm="1">
        <f t="array" ref="W33">_xlfn.IFS(YEAR(W$2)&lt;YEAR($I33),0,YEAR(W$2)=YEAR($I33),ROUND(((W$2-$I33+1)/365)*$D33,2),AND(YEAR(W$2)&gt;YEAR($I33),YEAR(W$2)-YEAR($I33)&lt;20),$D33,YEAR(W$2)-YEAR($I33)=20,ROUND((DATE(YEAR($I33),12,31)-$I33+1)/365*$D33,2),YEAR(W$2)-YEAR($I33)&gt;20,0)</f>
        <v>2985</v>
      </c>
      <c r="X33" s="48" cm="1">
        <f t="array" ref="X33">_xlfn.IFS(YEAR(X$2)&lt;YEAR($I33),0,YEAR(X$2)=YEAR($I33),ROUND(((X$2-$I33+1)/365)*$D33,2),AND(YEAR(X$2)&gt;YEAR($I33),YEAR(X$2)-YEAR($I33)&lt;20),$D33,YEAR(X$2)-YEAR($I33)=20,ROUND((DATE(YEAR($I33),12,31)-$I33+1)/365*$D33,2),YEAR(X$2)-YEAR($I33)&gt;20,0)</f>
        <v>2985</v>
      </c>
      <c r="Y33" s="48" cm="1">
        <f t="array" ref="Y33">_xlfn.IFS(YEAR(Y$2)&lt;YEAR($I33),0,YEAR(Y$2)=YEAR($I33),ROUND(((Y$2-$I33+1)/365)*$D33,2),AND(YEAR(Y$2)&gt;YEAR($I33),YEAR(Y$2)-YEAR($I33)&lt;20),$D33,YEAR(Y$2)-YEAR($I33)=20,ROUND((DATE(YEAR($I33),12,31)-$I33+1)/365*$D33,2),YEAR(Y$2)-YEAR($I33)&gt;20,0)</f>
        <v>2985</v>
      </c>
      <c r="Z33" s="48" cm="1">
        <f t="array" ref="Z33">_xlfn.IFS(YEAR(Z$2)&lt;YEAR($I33),0,YEAR(Z$2)=YEAR($I33),ROUND(((Z$2-$I33+1)/365)*$D33,2),AND(YEAR(Z$2)&gt;YEAR($I33),YEAR(Z$2)-YEAR($I33)&lt;20),$D33,YEAR(Z$2)-YEAR($I33)=20,ROUND((DATE(YEAR($I33),12,31)-$I33+1)/365*$D33,2),YEAR(Z$2)-YEAR($I33)&gt;20,0)</f>
        <v>2985</v>
      </c>
      <c r="AA33" s="48" cm="1">
        <f t="array" ref="AA33">_xlfn.IFS(YEAR(AA$2)&lt;YEAR($I33),0,YEAR(AA$2)=YEAR($I33),ROUND(((AA$2-$I33+1)/365)*$D33,2),AND(YEAR(AA$2)&gt;YEAR($I33),YEAR(AA$2)-YEAR($I33)&lt;20),$D33,YEAR(AA$2)-YEAR($I33)=20,ROUND((DATE(YEAR($I33),12,31)-$I33+1)/365*$D33,2),YEAR(AA$2)-YEAR($I33)&gt;20,0)</f>
        <v>2985</v>
      </c>
      <c r="AB33" s="48" cm="1">
        <f t="array" ref="AB33">_xlfn.IFS(YEAR(AB$2)&lt;YEAR($I33),0,YEAR(AB$2)=YEAR($I33),ROUND(((AB$2-$I33+1)/365)*$D33,2),AND(YEAR(AB$2)&gt;YEAR($I33),YEAR(AB$2)-YEAR($I33)&lt;20),$D33,YEAR(AB$2)-YEAR($I33)=20,ROUND((DATE(YEAR($I33),12,31)-$I33+1)/365*$D33,2),YEAR(AB$2)-YEAR($I33)&gt;20,0)</f>
        <v>2985</v>
      </c>
      <c r="AC33" s="48" cm="1">
        <f t="array" ref="AC33">_xlfn.IFS(YEAR(AC$2)&lt;YEAR($I33),0,YEAR(AC$2)=YEAR($I33),ROUND(((AC$2-$I33+1)/365)*$D33,2),AND(YEAR(AC$2)&gt;YEAR($I33),YEAR(AC$2)-YEAR($I33)&lt;20),$D33,YEAR(AC$2)-YEAR($I33)=20,ROUND((DATE(YEAR($I33),12,31)-$I33+1)/365*$D33,2),YEAR(AC$2)-YEAR($I33)&gt;20,0)</f>
        <v>2985</v>
      </c>
      <c r="AD33" s="48" cm="1">
        <f t="array" ref="AD33">_xlfn.IFS(YEAR(AD$2)&lt;YEAR($I33),0,YEAR(AD$2)=YEAR($I33),ROUND(((AD$2-$I33+1)/365)*$D33,2),AND(YEAR(AD$2)&gt;YEAR($I33),YEAR(AD$2)-YEAR($I33)&lt;20),$D33,YEAR(AD$2)-YEAR($I33)=20,ROUND((DATE(YEAR($I33),12,31)-$I33+1)/365*$D33,2),YEAR(AD$2)-YEAR($I33)&gt;20,0)</f>
        <v>2985</v>
      </c>
      <c r="AE33" s="48" cm="1">
        <f t="array" ref="AE33">_xlfn.IFS(YEAR(AE$2)&lt;YEAR($I33),0,YEAR(AE$2)=YEAR($I33),ROUND(((AE$2-$I33+1)/365)*$D33,2),AND(YEAR(AE$2)&gt;YEAR($I33),YEAR(AE$2)-YEAR($I33)&lt;20),$D33,YEAR(AE$2)-YEAR($I33)=20,ROUND((DATE(YEAR($I33),12,31)-$I33+1)/365*$D33,2),YEAR(AE$2)-YEAR($I33)&gt;20,0)</f>
        <v>2985</v>
      </c>
      <c r="AF33" s="48" cm="1">
        <f t="array" ref="AF33">_xlfn.IFS(YEAR(AF$2)&lt;YEAR($I33),0,YEAR(AF$2)=YEAR($I33),ROUND(((AF$2-$I33+1)/365)*$D33,2),AND(YEAR(AF$2)&gt;YEAR($I33),YEAR(AF$2)-YEAR($I33)&lt;20),$D33,YEAR(AF$2)-YEAR($I33)=20,ROUND((DATE(YEAR($I33),12,31)-$I33+1)/365*$D33,2),YEAR(AF$2)-YEAR($I33)&gt;20,0)</f>
        <v>2985</v>
      </c>
      <c r="AG33" s="48" cm="1">
        <f t="array" ref="AG33">_xlfn.IFS(YEAR(AG$2)&lt;YEAR($I33),0,YEAR(AG$2)=YEAR($I33),ROUND(((AG$2-$I33+1)/365)*$D33,2),AND(YEAR(AG$2)&gt;YEAR($I33),YEAR(AG$2)-YEAR($I33)&lt;20),$D33,YEAR(AG$2)-YEAR($I33)=20,ROUND((DATE(YEAR($I33),12,31)-$I33+1)/365*$D33,2),YEAR(AG$2)-YEAR($I33)&gt;20,0)</f>
        <v>2985</v>
      </c>
      <c r="AH33" s="48" cm="1">
        <f t="array" ref="AH33">_xlfn.IFS(YEAR(AH$2)&lt;YEAR($I33),0,YEAR(AH$2)=YEAR($I33),ROUND(((AH$2-$I33+1)/365)*$D33,2),AND(YEAR(AH$2)&gt;YEAR($I33),YEAR(AH$2)-YEAR($I33)&lt;20),$D33,YEAR(AH$2)-YEAR($I33)=20,ROUND((DATE(YEAR($I33),12,31)-$I33+1)/365*$D33,2),YEAR(AH$2)-YEAR($I33)&gt;20,0)</f>
        <v>2985</v>
      </c>
      <c r="AI33" s="48" cm="1">
        <f t="array" ref="AI33">_xlfn.IFS(YEAR(AI$2)&lt;YEAR($I33),0,YEAR(AI$2)=YEAR($I33),ROUND(((AI$2-$I33+1)/365)*$D33,2),AND(YEAR(AI$2)&gt;YEAR($I33),YEAR(AI$2)-YEAR($I33)&lt;20),$D33,YEAR(AI$2)-YEAR($I33)=20,ROUND((DATE(YEAR($I33),12,31)-$I33+1)/365*$D33,2),YEAR(AI$2)-YEAR($I33)&gt;20,0)</f>
        <v>1570.19</v>
      </c>
      <c r="AJ33" s="48" cm="1">
        <f t="array" ref="AJ33">_xlfn.IFS(YEAR(AJ$2)&lt;YEAR($I33),0,YEAR(AJ$2)=YEAR($I33),ROUND(((AJ$2-$I33+1)/365)*$D33,2),AND(YEAR(AJ$2)&gt;YEAR($I33),YEAR(AJ$2)-YEAR($I33)&lt;20),$D33,YEAR(AJ$2)-YEAR($I33)=20,ROUND((DATE(YEAR($I33),12,31)-$I33+1)/365*$D33,2),YEAR(AJ$2)-YEAR($I33)&gt;20,0)</f>
        <v>0</v>
      </c>
      <c r="AK33" s="48" cm="1">
        <f t="array" ref="AK33">_xlfn.IFS(YEAR(AK$2)&lt;YEAR($I33),0,YEAR(AK$2)=YEAR($I33),ROUND(((AK$2-$I33+1)/365)*$D33,2),AND(YEAR(AK$2)&gt;YEAR($I33),YEAR(AK$2)-YEAR($I33)&lt;20),$D33,YEAR(AK$2)-YEAR($I33)=20,ROUND((DATE(YEAR($I33),12,31)-$I33+1)/365*$D33,2),YEAR(AK$2)-YEAR($I33)&gt;20,0)</f>
        <v>0</v>
      </c>
      <c r="AL33" s="48" cm="1">
        <f t="array" ref="AL33">_xlfn.IFS(YEAR(AL$2)&lt;YEAR($I33),0,YEAR(AL$2)=YEAR($I33),ROUND(((AL$2-$I33+1)/365)*$D33,2),AND(YEAR(AL$2)&gt;YEAR($I33),YEAR(AL$2)-YEAR($I33)&lt;20),$D33,YEAR(AL$2)-YEAR($I33)=20,ROUND((DATE(YEAR($I33),12,31)-$I33+1)/365*$D33,2),YEAR(AL$2)-YEAR($I33)&gt;20,0)</f>
        <v>0</v>
      </c>
      <c r="AM33" s="48" cm="1">
        <f t="array" ref="AM33">_xlfn.IFS(YEAR(AM$2)&lt;YEAR($I33),0,YEAR(AM$2)=YEAR($I33),ROUND(((AM$2-$I33+1)/365)*$D33,2),AND(YEAR(AM$2)&gt;YEAR($I33),YEAR(AM$2)-YEAR($I33)&lt;20),$D33,YEAR(AM$2)-YEAR($I33)=20,ROUND((DATE(YEAR($I33),12,31)-$I33+1)/365*$D33,2),YEAR(AM$2)-YEAR($I33)&gt;20,0)</f>
        <v>0</v>
      </c>
      <c r="AO33" s="48">
        <v>2034</v>
      </c>
      <c r="AP33" s="48">
        <v>0.04</v>
      </c>
      <c r="AQ33" s="48">
        <v>32.17</v>
      </c>
      <c r="AR33" s="48">
        <v>2.37</v>
      </c>
      <c r="AS33" s="48">
        <v>19.84</v>
      </c>
      <c r="AT33" s="48">
        <v>3.2800000000000002</v>
      </c>
      <c r="AU33" s="48">
        <v>43.25</v>
      </c>
      <c r="AV33" s="48">
        <v>37.69</v>
      </c>
      <c r="AW33" s="48">
        <v>43.78</v>
      </c>
      <c r="AX33" s="48">
        <v>28.61</v>
      </c>
      <c r="AY33" s="48">
        <v>0</v>
      </c>
      <c r="BA33" s="48">
        <f t="shared" si="1"/>
        <v>211.02999999999997</v>
      </c>
      <c r="BB33" s="48">
        <f t="shared" si="2"/>
        <v>0</v>
      </c>
    </row>
    <row r="34" spans="1:54">
      <c r="A34" s="155" t="str" cm="1">
        <f t="array" ref="A34">_xlfn.IFS(LEFT(C34,3)="PGE","PGE",LEFT(C34,2)="PP","PAC",TRUE,"IP")</f>
        <v>PGE</v>
      </c>
      <c r="B34" s="155" t="str">
        <f>IF(ISNA(MATCH(C34,'Monthly Report July 2025'!E:E,0)),"Missing","Present")</f>
        <v>Present</v>
      </c>
      <c r="C34" s="155" t="s">
        <v>143</v>
      </c>
      <c r="D34" s="176" cm="1">
        <f t="array" ref="D34">INDEX('Monthly Report July 2025'!L:L,MATCH(C34,'Monthly Report July 2025'!E:E,0),0)</f>
        <v>2250</v>
      </c>
      <c r="E34" s="176" t="str" cm="1">
        <f t="array" ref="E34">IF(INDEX('PA Fees by Project'!K:K,MATCH(C34,'PA Fees by Project'!E:E,0),0)="No","Non-Carve Out", "Carve Out")</f>
        <v>Non-Carve Out</v>
      </c>
      <c r="F34" s="176" cm="1">
        <f t="array" ref="F34">INDEX('PA Fees by Project'!J:J,MATCH(C34,'PA Fees by Project'!E:E,0),0)</f>
        <v>2</v>
      </c>
      <c r="G34" s="155" t="str" cm="1">
        <f t="array" ref="G34">INDEX('PA Fees by Project'!G:G,MATCH(C34,'PA Fees by Project'!E:E,0),0)</f>
        <v>Pre-Certified</v>
      </c>
      <c r="H34" s="175" t="str" cm="1">
        <f t="array" ref="H34">INDEX('PA Fees by Project'!Q:Q,MATCH(C34,'PA Fees by Project'!E:E,0),0)</f>
        <v/>
      </c>
      <c r="I34" s="156" cm="1">
        <f t="array" ref="I34">_xlfn.IFS(G34="Operational",H34,G34="Certified",EDATE(INDEX('PA Fees by Project'!R:R,MATCH(C34,'PA Fees by Project'!E:E,0),0),6),TRUE,EDATE(INDEX('PA Fees by Project'!O:O,MATCH(C34,'PA Fees by Project'!E:E,0),0),6))</f>
        <v>46185</v>
      </c>
      <c r="J34" s="48" cm="1">
        <f t="array" ref="J34">_xlfn.IFS(YEAR(J$2)&lt;YEAR($I34),0,YEAR(J$2)=YEAR($I34),ROUND(((J$2-$I34+1)/365)*$D34,2),AND(YEAR(J$2)&gt;YEAR($I34),YEAR(J$2)-YEAR($I34)&lt;20),$D34,YEAR(J$2)-YEAR($I34)=20,ROUND((DATE(YEAR($I34),12,31)-$I34+1)/365*$D34,2),YEAR(J$2)-YEAR($I34)&gt;20,0)</f>
        <v>0</v>
      </c>
      <c r="K34" s="48" cm="1">
        <f t="array" ref="K34">_xlfn.IFS(YEAR(K$2)&lt;YEAR($I34),0,YEAR(K$2)=YEAR($I34),ROUND(((K$2-$I34+1)/365)*$D34,2),AND(YEAR(K$2)&gt;YEAR($I34),YEAR(K$2)-YEAR($I34)&lt;20),$D34,YEAR(K$2)-YEAR($I34)=20,ROUND((DATE(YEAR($I34),12,31)-$I34+1)/365*$D34,2),YEAR(K$2)-YEAR($I34)&gt;20,0)</f>
        <v>0</v>
      </c>
      <c r="L34" s="48" cm="1">
        <f t="array" ref="L34">_xlfn.IFS(YEAR(L$2)&lt;YEAR($I34),0,YEAR(L$2)=YEAR($I34),ROUND(((L$2-$I34+1)/365)*$D34,2),AND(YEAR(L$2)&gt;YEAR($I34),YEAR(L$2)-YEAR($I34)&lt;20),$D34,YEAR(L$2)-YEAR($I34)=20,ROUND((DATE(YEAR($I34),12,31)-$I34+1)/365*$D34,2),YEAR(L$2)-YEAR($I34)&gt;20,0)</f>
        <v>0</v>
      </c>
      <c r="M34" s="48" cm="1">
        <f t="array" ref="M34">_xlfn.IFS(YEAR(M$2)&lt;YEAR($I34),0,YEAR(M$2)=YEAR($I34),ROUND(((M$2-$I34+1)/365)*$D34,2),AND(YEAR(M$2)&gt;YEAR($I34),YEAR(M$2)-YEAR($I34)&lt;20),$D34,YEAR(M$2)-YEAR($I34)=20,ROUND((DATE(YEAR($I34),12,31)-$I34+1)/365*$D34,2),YEAR(M$2)-YEAR($I34)&gt;20,0)</f>
        <v>0</v>
      </c>
      <c r="N34" s="48" cm="1">
        <f t="array" ref="N34">_xlfn.IFS(YEAR(N$2)&lt;YEAR($I34),0,YEAR(N$2)=YEAR($I34),ROUND(((N$2-$I34+1)/365)*$D34,2),AND(YEAR(N$2)&gt;YEAR($I34),YEAR(N$2)-YEAR($I34)&lt;20),$D34,YEAR(N$2)-YEAR($I34)=20,ROUND((DATE(YEAR($I34),12,31)-$I34+1)/365*$D34,2),YEAR(N$2)-YEAR($I34)&gt;20,0)</f>
        <v>0</v>
      </c>
      <c r="O34" s="48" cm="1">
        <f t="array" ref="O34">_xlfn.IFS(YEAR(O$2)&lt;YEAR($I34),0,YEAR(O$2)=YEAR($I34),ROUND(((O$2-$I34+1)/365)*$D34,2),AND(YEAR(O$2)&gt;YEAR($I34),YEAR(O$2)-YEAR($I34)&lt;20),$D34,YEAR(O$2)-YEAR($I34)=20,ROUND((DATE(YEAR($I34),12,31)-$I34+1)/365*$D34,2),YEAR(O$2)-YEAR($I34)&gt;20,0)</f>
        <v>1251.3699999999999</v>
      </c>
      <c r="P34" s="48" cm="1">
        <f t="array" ref="P34">_xlfn.IFS(YEAR(P$2)&lt;YEAR($I34),0,YEAR(P$2)=YEAR($I34),ROUND(((P$2-$I34+1)/365)*$D34,2),AND(YEAR(P$2)&gt;YEAR($I34),YEAR(P$2)-YEAR($I34)&lt;20),$D34,YEAR(P$2)-YEAR($I34)=20,ROUND((DATE(YEAR($I34),12,31)-$I34+1)/365*$D34,2),YEAR(P$2)-YEAR($I34)&gt;20,0)</f>
        <v>2250</v>
      </c>
      <c r="Q34" s="48" cm="1">
        <f t="array" ref="Q34">_xlfn.IFS(YEAR(Q$2)&lt;YEAR($I34),0,YEAR(Q$2)=YEAR($I34),ROUND(((Q$2-$I34+1)/365)*$D34,2),AND(YEAR(Q$2)&gt;YEAR($I34),YEAR(Q$2)-YEAR($I34)&lt;20),$D34,YEAR(Q$2)-YEAR($I34)=20,ROUND((DATE(YEAR($I34),12,31)-$I34+1)/365*$D34,2),YEAR(Q$2)-YEAR($I34)&gt;20,0)</f>
        <v>2250</v>
      </c>
      <c r="R34" s="48" cm="1">
        <f t="array" ref="R34">_xlfn.IFS(YEAR(R$2)&lt;YEAR($I34),0,YEAR(R$2)=YEAR($I34),ROUND(((R$2-$I34+1)/365)*$D34,2),AND(YEAR(R$2)&gt;YEAR($I34),YEAR(R$2)-YEAR($I34)&lt;20),$D34,YEAR(R$2)-YEAR($I34)=20,ROUND((DATE(YEAR($I34),12,31)-$I34+1)/365*$D34,2),YEAR(R$2)-YEAR($I34)&gt;20,0)</f>
        <v>2250</v>
      </c>
      <c r="S34" s="48" cm="1">
        <f t="array" ref="S34">_xlfn.IFS(YEAR(S$2)&lt;YEAR($I34),0,YEAR(S$2)=YEAR($I34),ROUND(((S$2-$I34+1)/365)*$D34,2),AND(YEAR(S$2)&gt;YEAR($I34),YEAR(S$2)-YEAR($I34)&lt;20),$D34,YEAR(S$2)-YEAR($I34)=20,ROUND((DATE(YEAR($I34),12,31)-$I34+1)/365*$D34,2),YEAR(S$2)-YEAR($I34)&gt;20,0)</f>
        <v>2250</v>
      </c>
      <c r="T34" s="48" cm="1">
        <f t="array" ref="T34">_xlfn.IFS(YEAR(T$2)&lt;YEAR($I34),0,YEAR(T$2)=YEAR($I34),ROUND(((T$2-$I34+1)/365)*$D34,2),AND(YEAR(T$2)&gt;YEAR($I34),YEAR(T$2)-YEAR($I34)&lt;20),$D34,YEAR(T$2)-YEAR($I34)=20,ROUND((DATE(YEAR($I34),12,31)-$I34+1)/365*$D34,2),YEAR(T$2)-YEAR($I34)&gt;20,0)</f>
        <v>2250</v>
      </c>
      <c r="U34" s="48" cm="1">
        <f t="array" ref="U34">_xlfn.IFS(YEAR(U$2)&lt;YEAR($I34),0,YEAR(U$2)=YEAR($I34),ROUND(((U$2-$I34+1)/365)*$D34,2),AND(YEAR(U$2)&gt;YEAR($I34),YEAR(U$2)-YEAR($I34)&lt;20),$D34,YEAR(U$2)-YEAR($I34)=20,ROUND((DATE(YEAR($I34),12,31)-$I34+1)/365*$D34,2),YEAR(U$2)-YEAR($I34)&gt;20,0)</f>
        <v>2250</v>
      </c>
      <c r="V34" s="48" cm="1">
        <f t="array" ref="V34">_xlfn.IFS(YEAR(V$2)&lt;YEAR($I34),0,YEAR(V$2)=YEAR($I34),ROUND(((V$2-$I34+1)/365)*$D34,2),AND(YEAR(V$2)&gt;YEAR($I34),YEAR(V$2)-YEAR($I34)&lt;20),$D34,YEAR(V$2)-YEAR($I34)=20,ROUND((DATE(YEAR($I34),12,31)-$I34+1)/365*$D34,2),YEAR(V$2)-YEAR($I34)&gt;20,0)</f>
        <v>2250</v>
      </c>
      <c r="W34" s="48" cm="1">
        <f t="array" ref="W34">_xlfn.IFS(YEAR(W$2)&lt;YEAR($I34),0,YEAR(W$2)=YEAR($I34),ROUND(((W$2-$I34+1)/365)*$D34,2),AND(YEAR(W$2)&gt;YEAR($I34),YEAR(W$2)-YEAR($I34)&lt;20),$D34,YEAR(W$2)-YEAR($I34)=20,ROUND((DATE(YEAR($I34),12,31)-$I34+1)/365*$D34,2),YEAR(W$2)-YEAR($I34)&gt;20,0)</f>
        <v>2250</v>
      </c>
      <c r="X34" s="48" cm="1">
        <f t="array" ref="X34">_xlfn.IFS(YEAR(X$2)&lt;YEAR($I34),0,YEAR(X$2)=YEAR($I34),ROUND(((X$2-$I34+1)/365)*$D34,2),AND(YEAR(X$2)&gt;YEAR($I34),YEAR(X$2)-YEAR($I34)&lt;20),$D34,YEAR(X$2)-YEAR($I34)=20,ROUND((DATE(YEAR($I34),12,31)-$I34+1)/365*$D34,2),YEAR(X$2)-YEAR($I34)&gt;20,0)</f>
        <v>2250</v>
      </c>
      <c r="Y34" s="48" cm="1">
        <f t="array" ref="Y34">_xlfn.IFS(YEAR(Y$2)&lt;YEAR($I34),0,YEAR(Y$2)=YEAR($I34),ROUND(((Y$2-$I34+1)/365)*$D34,2),AND(YEAR(Y$2)&gt;YEAR($I34),YEAR(Y$2)-YEAR($I34)&lt;20),$D34,YEAR(Y$2)-YEAR($I34)=20,ROUND((DATE(YEAR($I34),12,31)-$I34+1)/365*$D34,2),YEAR(Y$2)-YEAR($I34)&gt;20,0)</f>
        <v>2250</v>
      </c>
      <c r="Z34" s="48" cm="1">
        <f t="array" ref="Z34">_xlfn.IFS(YEAR(Z$2)&lt;YEAR($I34),0,YEAR(Z$2)=YEAR($I34),ROUND(((Z$2-$I34+1)/365)*$D34,2),AND(YEAR(Z$2)&gt;YEAR($I34),YEAR(Z$2)-YEAR($I34)&lt;20),$D34,YEAR(Z$2)-YEAR($I34)=20,ROUND((DATE(YEAR($I34),12,31)-$I34+1)/365*$D34,2),YEAR(Z$2)-YEAR($I34)&gt;20,0)</f>
        <v>2250</v>
      </c>
      <c r="AA34" s="48" cm="1">
        <f t="array" ref="AA34">_xlfn.IFS(YEAR(AA$2)&lt;YEAR($I34),0,YEAR(AA$2)=YEAR($I34),ROUND(((AA$2-$I34+1)/365)*$D34,2),AND(YEAR(AA$2)&gt;YEAR($I34),YEAR(AA$2)-YEAR($I34)&lt;20),$D34,YEAR(AA$2)-YEAR($I34)=20,ROUND((DATE(YEAR($I34),12,31)-$I34+1)/365*$D34,2),YEAR(AA$2)-YEAR($I34)&gt;20,0)</f>
        <v>2250</v>
      </c>
      <c r="AB34" s="48" cm="1">
        <f t="array" ref="AB34">_xlfn.IFS(YEAR(AB$2)&lt;YEAR($I34),0,YEAR(AB$2)=YEAR($I34),ROUND(((AB$2-$I34+1)/365)*$D34,2),AND(YEAR(AB$2)&gt;YEAR($I34),YEAR(AB$2)-YEAR($I34)&lt;20),$D34,YEAR(AB$2)-YEAR($I34)=20,ROUND((DATE(YEAR($I34),12,31)-$I34+1)/365*$D34,2),YEAR(AB$2)-YEAR($I34)&gt;20,0)</f>
        <v>2250</v>
      </c>
      <c r="AC34" s="48" cm="1">
        <f t="array" ref="AC34">_xlfn.IFS(YEAR(AC$2)&lt;YEAR($I34),0,YEAR(AC$2)=YEAR($I34),ROUND(((AC$2-$I34+1)/365)*$D34,2),AND(YEAR(AC$2)&gt;YEAR($I34),YEAR(AC$2)-YEAR($I34)&lt;20),$D34,YEAR(AC$2)-YEAR($I34)=20,ROUND((DATE(YEAR($I34),12,31)-$I34+1)/365*$D34,2),YEAR(AC$2)-YEAR($I34)&gt;20,0)</f>
        <v>2250</v>
      </c>
      <c r="AD34" s="48" cm="1">
        <f t="array" ref="AD34">_xlfn.IFS(YEAR(AD$2)&lt;YEAR($I34),0,YEAR(AD$2)=YEAR($I34),ROUND(((AD$2-$I34+1)/365)*$D34,2),AND(YEAR(AD$2)&gt;YEAR($I34),YEAR(AD$2)-YEAR($I34)&lt;20),$D34,YEAR(AD$2)-YEAR($I34)=20,ROUND((DATE(YEAR($I34),12,31)-$I34+1)/365*$D34,2),YEAR(AD$2)-YEAR($I34)&gt;20,0)</f>
        <v>2250</v>
      </c>
      <c r="AE34" s="48" cm="1">
        <f t="array" ref="AE34">_xlfn.IFS(YEAR(AE$2)&lt;YEAR($I34),0,YEAR(AE$2)=YEAR($I34),ROUND(((AE$2-$I34+1)/365)*$D34,2),AND(YEAR(AE$2)&gt;YEAR($I34),YEAR(AE$2)-YEAR($I34)&lt;20),$D34,YEAR(AE$2)-YEAR($I34)=20,ROUND((DATE(YEAR($I34),12,31)-$I34+1)/365*$D34,2),YEAR(AE$2)-YEAR($I34)&gt;20,0)</f>
        <v>2250</v>
      </c>
      <c r="AF34" s="48" cm="1">
        <f t="array" ref="AF34">_xlfn.IFS(YEAR(AF$2)&lt;YEAR($I34),0,YEAR(AF$2)=YEAR($I34),ROUND(((AF$2-$I34+1)/365)*$D34,2),AND(YEAR(AF$2)&gt;YEAR($I34),YEAR(AF$2)-YEAR($I34)&lt;20),$D34,YEAR(AF$2)-YEAR($I34)=20,ROUND((DATE(YEAR($I34),12,31)-$I34+1)/365*$D34,2),YEAR(AF$2)-YEAR($I34)&gt;20,0)</f>
        <v>2250</v>
      </c>
      <c r="AG34" s="48" cm="1">
        <f t="array" ref="AG34">_xlfn.IFS(YEAR(AG$2)&lt;YEAR($I34),0,YEAR(AG$2)=YEAR($I34),ROUND(((AG$2-$I34+1)/365)*$D34,2),AND(YEAR(AG$2)&gt;YEAR($I34),YEAR(AG$2)-YEAR($I34)&lt;20),$D34,YEAR(AG$2)-YEAR($I34)=20,ROUND((DATE(YEAR($I34),12,31)-$I34+1)/365*$D34,2),YEAR(AG$2)-YEAR($I34)&gt;20,0)</f>
        <v>2250</v>
      </c>
      <c r="AH34" s="48" cm="1">
        <f t="array" ref="AH34">_xlfn.IFS(YEAR(AH$2)&lt;YEAR($I34),0,YEAR(AH$2)=YEAR($I34),ROUND(((AH$2-$I34+1)/365)*$D34,2),AND(YEAR(AH$2)&gt;YEAR($I34),YEAR(AH$2)-YEAR($I34)&lt;20),$D34,YEAR(AH$2)-YEAR($I34)=20,ROUND((DATE(YEAR($I34),12,31)-$I34+1)/365*$D34,2),YEAR(AH$2)-YEAR($I34)&gt;20,0)</f>
        <v>2250</v>
      </c>
      <c r="AI34" s="48" cm="1">
        <f t="array" ref="AI34">_xlfn.IFS(YEAR(AI$2)&lt;YEAR($I34),0,YEAR(AI$2)=YEAR($I34),ROUND(((AI$2-$I34+1)/365)*$D34,2),AND(YEAR(AI$2)&gt;YEAR($I34),YEAR(AI$2)-YEAR($I34)&lt;20),$D34,YEAR(AI$2)-YEAR($I34)=20,ROUND((DATE(YEAR($I34),12,31)-$I34+1)/365*$D34,2),YEAR(AI$2)-YEAR($I34)&gt;20,0)</f>
        <v>1251.3699999999999</v>
      </c>
      <c r="AJ34" s="48" cm="1">
        <f t="array" ref="AJ34">_xlfn.IFS(YEAR(AJ$2)&lt;YEAR($I34),0,YEAR(AJ$2)=YEAR($I34),ROUND(((AJ$2-$I34+1)/365)*$D34,2),AND(YEAR(AJ$2)&gt;YEAR($I34),YEAR(AJ$2)-YEAR($I34)&lt;20),$D34,YEAR(AJ$2)-YEAR($I34)=20,ROUND((DATE(YEAR($I34),12,31)-$I34+1)/365*$D34,2),YEAR(AJ$2)-YEAR($I34)&gt;20,0)</f>
        <v>0</v>
      </c>
      <c r="AK34" s="48" cm="1">
        <f t="array" ref="AK34">_xlfn.IFS(YEAR(AK$2)&lt;YEAR($I34),0,YEAR(AK$2)=YEAR($I34),ROUND(((AK$2-$I34+1)/365)*$D34,2),AND(YEAR(AK$2)&gt;YEAR($I34),YEAR(AK$2)-YEAR($I34)&lt;20),$D34,YEAR(AK$2)-YEAR($I34)=20,ROUND((DATE(YEAR($I34),12,31)-$I34+1)/365*$D34,2),YEAR(AK$2)-YEAR($I34)&gt;20,0)</f>
        <v>0</v>
      </c>
      <c r="AL34" s="48" cm="1">
        <f t="array" ref="AL34">_xlfn.IFS(YEAR(AL$2)&lt;YEAR($I34),0,YEAR(AL$2)=YEAR($I34),ROUND(((AL$2-$I34+1)/365)*$D34,2),AND(YEAR(AL$2)&gt;YEAR($I34),YEAR(AL$2)-YEAR($I34)&lt;20),$D34,YEAR(AL$2)-YEAR($I34)=20,ROUND((DATE(YEAR($I34),12,31)-$I34+1)/365*$D34,2),YEAR(AL$2)-YEAR($I34)&gt;20,0)</f>
        <v>0</v>
      </c>
      <c r="AM34" s="48" cm="1">
        <f t="array" ref="AM34">_xlfn.IFS(YEAR(AM$2)&lt;YEAR($I34),0,YEAR(AM$2)=YEAR($I34),ROUND(((AM$2-$I34+1)/365)*$D34,2),AND(YEAR(AM$2)&gt;YEAR($I34),YEAR(AM$2)-YEAR($I34)&lt;20),$D34,YEAR(AM$2)-YEAR($I34)=20,ROUND((DATE(YEAR($I34),12,31)-$I34+1)/365*$D34,2),YEAR(AM$2)-YEAR($I34)&gt;20,0)</f>
        <v>0</v>
      </c>
      <c r="AO34" s="48">
        <v>2035</v>
      </c>
      <c r="AP34" s="48">
        <v>0.04</v>
      </c>
      <c r="AQ34" s="48">
        <v>32.17</v>
      </c>
      <c r="AR34" s="48">
        <v>2.37</v>
      </c>
      <c r="AS34" s="48">
        <v>19.84</v>
      </c>
      <c r="AT34" s="48">
        <v>3.2800000000000002</v>
      </c>
      <c r="AU34" s="48">
        <v>43.25</v>
      </c>
      <c r="AV34" s="48">
        <v>37.69</v>
      </c>
      <c r="AW34" s="48">
        <v>43.78</v>
      </c>
      <c r="AX34" s="48">
        <v>28.61</v>
      </c>
      <c r="AY34" s="48">
        <v>0</v>
      </c>
      <c r="BA34" s="48">
        <f t="shared" si="1"/>
        <v>211.02999999999997</v>
      </c>
      <c r="BB34" s="48">
        <f t="shared" si="2"/>
        <v>0</v>
      </c>
    </row>
    <row r="35" spans="1:54">
      <c r="A35" s="155" t="str" cm="1">
        <f t="array" ref="A35">_xlfn.IFS(LEFT(C35,3)="PGE","PGE",LEFT(C35,2)="PP","PAC",TRUE,"IP")</f>
        <v>PGE</v>
      </c>
      <c r="B35" s="155" t="str">
        <f>IF(ISNA(MATCH(C35,'Monthly Report July 2025'!E:E,0)),"Missing","Present")</f>
        <v>Present</v>
      </c>
      <c r="C35" s="155" t="s">
        <v>144</v>
      </c>
      <c r="D35" s="176" cm="1">
        <f t="array" ref="D35">INDEX('Monthly Report July 2025'!L:L,MATCH(C35,'Monthly Report July 2025'!E:E,0),0)</f>
        <v>2500</v>
      </c>
      <c r="E35" s="176" t="str" cm="1">
        <f t="array" ref="E35">IF(INDEX('PA Fees by Project'!K:K,MATCH(C35,'PA Fees by Project'!E:E,0),0)="No","Non-Carve Out", "Carve Out")</f>
        <v>Non-Carve Out</v>
      </c>
      <c r="F35" s="176" cm="1">
        <f t="array" ref="F35">INDEX('PA Fees by Project'!J:J,MATCH(C35,'PA Fees by Project'!E:E,0),0)</f>
        <v>2</v>
      </c>
      <c r="G35" s="155" t="str" cm="1">
        <f t="array" ref="G35">INDEX('PA Fees by Project'!G:G,MATCH(C35,'PA Fees by Project'!E:E,0),0)</f>
        <v>Pre-Certified</v>
      </c>
      <c r="H35" s="175" t="str" cm="1">
        <f t="array" ref="H35">INDEX('PA Fees by Project'!Q:Q,MATCH(C35,'PA Fees by Project'!E:E,0),0)</f>
        <v/>
      </c>
      <c r="I35" s="156" cm="1">
        <f t="array" ref="I35">_xlfn.IFS(G35="Operational",H35,G35="Certified",EDATE(INDEX('PA Fees by Project'!R:R,MATCH(C35,'PA Fees by Project'!E:E,0),0),6),TRUE,EDATE(INDEX('PA Fees by Project'!O:O,MATCH(C35,'PA Fees by Project'!E:E,0),0),6))</f>
        <v>46106</v>
      </c>
      <c r="J35" s="48" cm="1">
        <f t="array" ref="J35">_xlfn.IFS(YEAR(J$2)&lt;YEAR($I35),0,YEAR(J$2)=YEAR($I35),ROUND(((J$2-$I35+1)/365)*$D35,2),AND(YEAR(J$2)&gt;YEAR($I35),YEAR(J$2)-YEAR($I35)&lt;20),$D35,YEAR(J$2)-YEAR($I35)=20,ROUND((DATE(YEAR($I35),12,31)-$I35+1)/365*$D35,2),YEAR(J$2)-YEAR($I35)&gt;20,0)</f>
        <v>0</v>
      </c>
      <c r="K35" s="48" cm="1">
        <f t="array" ref="K35">_xlfn.IFS(YEAR(K$2)&lt;YEAR($I35),0,YEAR(K$2)=YEAR($I35),ROUND(((K$2-$I35+1)/365)*$D35,2),AND(YEAR(K$2)&gt;YEAR($I35),YEAR(K$2)-YEAR($I35)&lt;20),$D35,YEAR(K$2)-YEAR($I35)=20,ROUND((DATE(YEAR($I35),12,31)-$I35+1)/365*$D35,2),YEAR(K$2)-YEAR($I35)&gt;20,0)</f>
        <v>0</v>
      </c>
      <c r="L35" s="48" cm="1">
        <f t="array" ref="L35">_xlfn.IFS(YEAR(L$2)&lt;YEAR($I35),0,YEAR(L$2)=YEAR($I35),ROUND(((L$2-$I35+1)/365)*$D35,2),AND(YEAR(L$2)&gt;YEAR($I35),YEAR(L$2)-YEAR($I35)&lt;20),$D35,YEAR(L$2)-YEAR($I35)=20,ROUND((DATE(YEAR($I35),12,31)-$I35+1)/365*$D35,2),YEAR(L$2)-YEAR($I35)&gt;20,0)</f>
        <v>0</v>
      </c>
      <c r="M35" s="48" cm="1">
        <f t="array" ref="M35">_xlfn.IFS(YEAR(M$2)&lt;YEAR($I35),0,YEAR(M$2)=YEAR($I35),ROUND(((M$2-$I35+1)/365)*$D35,2),AND(YEAR(M$2)&gt;YEAR($I35),YEAR(M$2)-YEAR($I35)&lt;20),$D35,YEAR(M$2)-YEAR($I35)=20,ROUND((DATE(YEAR($I35),12,31)-$I35+1)/365*$D35,2),YEAR(M$2)-YEAR($I35)&gt;20,0)</f>
        <v>0</v>
      </c>
      <c r="N35" s="48" cm="1">
        <f t="array" ref="N35">_xlfn.IFS(YEAR(N$2)&lt;YEAR($I35),0,YEAR(N$2)=YEAR($I35),ROUND(((N$2-$I35+1)/365)*$D35,2),AND(YEAR(N$2)&gt;YEAR($I35),YEAR(N$2)-YEAR($I35)&lt;20),$D35,YEAR(N$2)-YEAR($I35)=20,ROUND((DATE(YEAR($I35),12,31)-$I35+1)/365*$D35,2),YEAR(N$2)-YEAR($I35)&gt;20,0)</f>
        <v>0</v>
      </c>
      <c r="O35" s="48" cm="1">
        <f t="array" ref="O35">_xlfn.IFS(YEAR(O$2)&lt;YEAR($I35),0,YEAR(O$2)=YEAR($I35),ROUND(((O$2-$I35+1)/365)*$D35,2),AND(YEAR(O$2)&gt;YEAR($I35),YEAR(O$2)-YEAR($I35)&lt;20),$D35,YEAR(O$2)-YEAR($I35)=20,ROUND((DATE(YEAR($I35),12,31)-$I35+1)/365*$D35,2),YEAR(O$2)-YEAR($I35)&gt;20,0)</f>
        <v>1931.51</v>
      </c>
      <c r="P35" s="48" cm="1">
        <f t="array" ref="P35">_xlfn.IFS(YEAR(P$2)&lt;YEAR($I35),0,YEAR(P$2)=YEAR($I35),ROUND(((P$2-$I35+1)/365)*$D35,2),AND(YEAR(P$2)&gt;YEAR($I35),YEAR(P$2)-YEAR($I35)&lt;20),$D35,YEAR(P$2)-YEAR($I35)=20,ROUND((DATE(YEAR($I35),12,31)-$I35+1)/365*$D35,2),YEAR(P$2)-YEAR($I35)&gt;20,0)</f>
        <v>2500</v>
      </c>
      <c r="Q35" s="48" cm="1">
        <f t="array" ref="Q35">_xlfn.IFS(YEAR(Q$2)&lt;YEAR($I35),0,YEAR(Q$2)=YEAR($I35),ROUND(((Q$2-$I35+1)/365)*$D35,2),AND(YEAR(Q$2)&gt;YEAR($I35),YEAR(Q$2)-YEAR($I35)&lt;20),$D35,YEAR(Q$2)-YEAR($I35)=20,ROUND((DATE(YEAR($I35),12,31)-$I35+1)/365*$D35,2),YEAR(Q$2)-YEAR($I35)&gt;20,0)</f>
        <v>2500</v>
      </c>
      <c r="R35" s="48" cm="1">
        <f t="array" ref="R35">_xlfn.IFS(YEAR(R$2)&lt;YEAR($I35),0,YEAR(R$2)=YEAR($I35),ROUND(((R$2-$I35+1)/365)*$D35,2),AND(YEAR(R$2)&gt;YEAR($I35),YEAR(R$2)-YEAR($I35)&lt;20),$D35,YEAR(R$2)-YEAR($I35)=20,ROUND((DATE(YEAR($I35),12,31)-$I35+1)/365*$D35,2),YEAR(R$2)-YEAR($I35)&gt;20,0)</f>
        <v>2500</v>
      </c>
      <c r="S35" s="48" cm="1">
        <f t="array" ref="S35">_xlfn.IFS(YEAR(S$2)&lt;YEAR($I35),0,YEAR(S$2)=YEAR($I35),ROUND(((S$2-$I35+1)/365)*$D35,2),AND(YEAR(S$2)&gt;YEAR($I35),YEAR(S$2)-YEAR($I35)&lt;20),$D35,YEAR(S$2)-YEAR($I35)=20,ROUND((DATE(YEAR($I35),12,31)-$I35+1)/365*$D35,2),YEAR(S$2)-YEAR($I35)&gt;20,0)</f>
        <v>2500</v>
      </c>
      <c r="T35" s="48" cm="1">
        <f t="array" ref="T35">_xlfn.IFS(YEAR(T$2)&lt;YEAR($I35),0,YEAR(T$2)=YEAR($I35),ROUND(((T$2-$I35+1)/365)*$D35,2),AND(YEAR(T$2)&gt;YEAR($I35),YEAR(T$2)-YEAR($I35)&lt;20),$D35,YEAR(T$2)-YEAR($I35)=20,ROUND((DATE(YEAR($I35),12,31)-$I35+1)/365*$D35,2),YEAR(T$2)-YEAR($I35)&gt;20,0)</f>
        <v>2500</v>
      </c>
      <c r="U35" s="48" cm="1">
        <f t="array" ref="U35">_xlfn.IFS(YEAR(U$2)&lt;YEAR($I35),0,YEAR(U$2)=YEAR($I35),ROUND(((U$2-$I35+1)/365)*$D35,2),AND(YEAR(U$2)&gt;YEAR($I35),YEAR(U$2)-YEAR($I35)&lt;20),$D35,YEAR(U$2)-YEAR($I35)=20,ROUND((DATE(YEAR($I35),12,31)-$I35+1)/365*$D35,2),YEAR(U$2)-YEAR($I35)&gt;20,0)</f>
        <v>2500</v>
      </c>
      <c r="V35" s="48" cm="1">
        <f t="array" ref="V35">_xlfn.IFS(YEAR(V$2)&lt;YEAR($I35),0,YEAR(V$2)=YEAR($I35),ROUND(((V$2-$I35+1)/365)*$D35,2),AND(YEAR(V$2)&gt;YEAR($I35),YEAR(V$2)-YEAR($I35)&lt;20),$D35,YEAR(V$2)-YEAR($I35)=20,ROUND((DATE(YEAR($I35),12,31)-$I35+1)/365*$D35,2),YEAR(V$2)-YEAR($I35)&gt;20,0)</f>
        <v>2500</v>
      </c>
      <c r="W35" s="48" cm="1">
        <f t="array" ref="W35">_xlfn.IFS(YEAR(W$2)&lt;YEAR($I35),0,YEAR(W$2)=YEAR($I35),ROUND(((W$2-$I35+1)/365)*$D35,2),AND(YEAR(W$2)&gt;YEAR($I35),YEAR(W$2)-YEAR($I35)&lt;20),$D35,YEAR(W$2)-YEAR($I35)=20,ROUND((DATE(YEAR($I35),12,31)-$I35+1)/365*$D35,2),YEAR(W$2)-YEAR($I35)&gt;20,0)</f>
        <v>2500</v>
      </c>
      <c r="X35" s="48" cm="1">
        <f t="array" ref="X35">_xlfn.IFS(YEAR(X$2)&lt;YEAR($I35),0,YEAR(X$2)=YEAR($I35),ROUND(((X$2-$I35+1)/365)*$D35,2),AND(YEAR(X$2)&gt;YEAR($I35),YEAR(X$2)-YEAR($I35)&lt;20),$D35,YEAR(X$2)-YEAR($I35)=20,ROUND((DATE(YEAR($I35),12,31)-$I35+1)/365*$D35,2),YEAR(X$2)-YEAR($I35)&gt;20,0)</f>
        <v>2500</v>
      </c>
      <c r="Y35" s="48" cm="1">
        <f t="array" ref="Y35">_xlfn.IFS(YEAR(Y$2)&lt;YEAR($I35),0,YEAR(Y$2)=YEAR($I35),ROUND(((Y$2-$I35+1)/365)*$D35,2),AND(YEAR(Y$2)&gt;YEAR($I35),YEAR(Y$2)-YEAR($I35)&lt;20),$D35,YEAR(Y$2)-YEAR($I35)=20,ROUND((DATE(YEAR($I35),12,31)-$I35+1)/365*$D35,2),YEAR(Y$2)-YEAR($I35)&gt;20,0)</f>
        <v>2500</v>
      </c>
      <c r="Z35" s="48" cm="1">
        <f t="array" ref="Z35">_xlfn.IFS(YEAR(Z$2)&lt;YEAR($I35),0,YEAR(Z$2)=YEAR($I35),ROUND(((Z$2-$I35+1)/365)*$D35,2),AND(YEAR(Z$2)&gt;YEAR($I35),YEAR(Z$2)-YEAR($I35)&lt;20),$D35,YEAR(Z$2)-YEAR($I35)=20,ROUND((DATE(YEAR($I35),12,31)-$I35+1)/365*$D35,2),YEAR(Z$2)-YEAR($I35)&gt;20,0)</f>
        <v>2500</v>
      </c>
      <c r="AA35" s="48" cm="1">
        <f t="array" ref="AA35">_xlfn.IFS(YEAR(AA$2)&lt;YEAR($I35),0,YEAR(AA$2)=YEAR($I35),ROUND(((AA$2-$I35+1)/365)*$D35,2),AND(YEAR(AA$2)&gt;YEAR($I35),YEAR(AA$2)-YEAR($I35)&lt;20),$D35,YEAR(AA$2)-YEAR($I35)=20,ROUND((DATE(YEAR($I35),12,31)-$I35+1)/365*$D35,2),YEAR(AA$2)-YEAR($I35)&gt;20,0)</f>
        <v>2500</v>
      </c>
      <c r="AB35" s="48" cm="1">
        <f t="array" ref="AB35">_xlfn.IFS(YEAR(AB$2)&lt;YEAR($I35),0,YEAR(AB$2)=YEAR($I35),ROUND(((AB$2-$I35+1)/365)*$D35,2),AND(YEAR(AB$2)&gt;YEAR($I35),YEAR(AB$2)-YEAR($I35)&lt;20),$D35,YEAR(AB$2)-YEAR($I35)=20,ROUND((DATE(YEAR($I35),12,31)-$I35+1)/365*$D35,2),YEAR(AB$2)-YEAR($I35)&gt;20,0)</f>
        <v>2500</v>
      </c>
      <c r="AC35" s="48" cm="1">
        <f t="array" ref="AC35">_xlfn.IFS(YEAR(AC$2)&lt;YEAR($I35),0,YEAR(AC$2)=YEAR($I35),ROUND(((AC$2-$I35+1)/365)*$D35,2),AND(YEAR(AC$2)&gt;YEAR($I35),YEAR(AC$2)-YEAR($I35)&lt;20),$D35,YEAR(AC$2)-YEAR($I35)=20,ROUND((DATE(YEAR($I35),12,31)-$I35+1)/365*$D35,2),YEAR(AC$2)-YEAR($I35)&gt;20,0)</f>
        <v>2500</v>
      </c>
      <c r="AD35" s="48" cm="1">
        <f t="array" ref="AD35">_xlfn.IFS(YEAR(AD$2)&lt;YEAR($I35),0,YEAR(AD$2)=YEAR($I35),ROUND(((AD$2-$I35+1)/365)*$D35,2),AND(YEAR(AD$2)&gt;YEAR($I35),YEAR(AD$2)-YEAR($I35)&lt;20),$D35,YEAR(AD$2)-YEAR($I35)=20,ROUND((DATE(YEAR($I35),12,31)-$I35+1)/365*$D35,2),YEAR(AD$2)-YEAR($I35)&gt;20,0)</f>
        <v>2500</v>
      </c>
      <c r="AE35" s="48" cm="1">
        <f t="array" ref="AE35">_xlfn.IFS(YEAR(AE$2)&lt;YEAR($I35),0,YEAR(AE$2)=YEAR($I35),ROUND(((AE$2-$I35+1)/365)*$D35,2),AND(YEAR(AE$2)&gt;YEAR($I35),YEAR(AE$2)-YEAR($I35)&lt;20),$D35,YEAR(AE$2)-YEAR($I35)=20,ROUND((DATE(YEAR($I35),12,31)-$I35+1)/365*$D35,2),YEAR(AE$2)-YEAR($I35)&gt;20,0)</f>
        <v>2500</v>
      </c>
      <c r="AF35" s="48" cm="1">
        <f t="array" ref="AF35">_xlfn.IFS(YEAR(AF$2)&lt;YEAR($I35),0,YEAR(AF$2)=YEAR($I35),ROUND(((AF$2-$I35+1)/365)*$D35,2),AND(YEAR(AF$2)&gt;YEAR($I35),YEAR(AF$2)-YEAR($I35)&lt;20),$D35,YEAR(AF$2)-YEAR($I35)=20,ROUND((DATE(YEAR($I35),12,31)-$I35+1)/365*$D35,2),YEAR(AF$2)-YEAR($I35)&gt;20,0)</f>
        <v>2500</v>
      </c>
      <c r="AG35" s="48" cm="1">
        <f t="array" ref="AG35">_xlfn.IFS(YEAR(AG$2)&lt;YEAR($I35),0,YEAR(AG$2)=YEAR($I35),ROUND(((AG$2-$I35+1)/365)*$D35,2),AND(YEAR(AG$2)&gt;YEAR($I35),YEAR(AG$2)-YEAR($I35)&lt;20),$D35,YEAR(AG$2)-YEAR($I35)=20,ROUND((DATE(YEAR($I35),12,31)-$I35+1)/365*$D35,2),YEAR(AG$2)-YEAR($I35)&gt;20,0)</f>
        <v>2500</v>
      </c>
      <c r="AH35" s="48" cm="1">
        <f t="array" ref="AH35">_xlfn.IFS(YEAR(AH$2)&lt;YEAR($I35),0,YEAR(AH$2)=YEAR($I35),ROUND(((AH$2-$I35+1)/365)*$D35,2),AND(YEAR(AH$2)&gt;YEAR($I35),YEAR(AH$2)-YEAR($I35)&lt;20),$D35,YEAR(AH$2)-YEAR($I35)=20,ROUND((DATE(YEAR($I35),12,31)-$I35+1)/365*$D35,2),YEAR(AH$2)-YEAR($I35)&gt;20,0)</f>
        <v>2500</v>
      </c>
      <c r="AI35" s="48" cm="1">
        <f t="array" ref="AI35">_xlfn.IFS(YEAR(AI$2)&lt;YEAR($I35),0,YEAR(AI$2)=YEAR($I35),ROUND(((AI$2-$I35+1)/365)*$D35,2),AND(YEAR(AI$2)&gt;YEAR($I35),YEAR(AI$2)-YEAR($I35)&lt;20),$D35,YEAR(AI$2)-YEAR($I35)=20,ROUND((DATE(YEAR($I35),12,31)-$I35+1)/365*$D35,2),YEAR(AI$2)-YEAR($I35)&gt;20,0)</f>
        <v>1931.51</v>
      </c>
      <c r="AJ35" s="48" cm="1">
        <f t="array" ref="AJ35">_xlfn.IFS(YEAR(AJ$2)&lt;YEAR($I35),0,YEAR(AJ$2)=YEAR($I35),ROUND(((AJ$2-$I35+1)/365)*$D35,2),AND(YEAR(AJ$2)&gt;YEAR($I35),YEAR(AJ$2)-YEAR($I35)&lt;20),$D35,YEAR(AJ$2)-YEAR($I35)=20,ROUND((DATE(YEAR($I35),12,31)-$I35+1)/365*$D35,2),YEAR(AJ$2)-YEAR($I35)&gt;20,0)</f>
        <v>0</v>
      </c>
      <c r="AK35" s="48" cm="1">
        <f t="array" ref="AK35">_xlfn.IFS(YEAR(AK$2)&lt;YEAR($I35),0,YEAR(AK$2)=YEAR($I35),ROUND(((AK$2-$I35+1)/365)*$D35,2),AND(YEAR(AK$2)&gt;YEAR($I35),YEAR(AK$2)-YEAR($I35)&lt;20),$D35,YEAR(AK$2)-YEAR($I35)=20,ROUND((DATE(YEAR($I35),12,31)-$I35+1)/365*$D35,2),YEAR(AK$2)-YEAR($I35)&gt;20,0)</f>
        <v>0</v>
      </c>
      <c r="AL35" s="48" cm="1">
        <f t="array" ref="AL35">_xlfn.IFS(YEAR(AL$2)&lt;YEAR($I35),0,YEAR(AL$2)=YEAR($I35),ROUND(((AL$2-$I35+1)/365)*$D35,2),AND(YEAR(AL$2)&gt;YEAR($I35),YEAR(AL$2)-YEAR($I35)&lt;20),$D35,YEAR(AL$2)-YEAR($I35)=20,ROUND((DATE(YEAR($I35),12,31)-$I35+1)/365*$D35,2),YEAR(AL$2)-YEAR($I35)&gt;20,0)</f>
        <v>0</v>
      </c>
      <c r="AM35" s="48" cm="1">
        <f t="array" ref="AM35">_xlfn.IFS(YEAR(AM$2)&lt;YEAR($I35),0,YEAR(AM$2)=YEAR($I35),ROUND(((AM$2-$I35+1)/365)*$D35,2),AND(YEAR(AM$2)&gt;YEAR($I35),YEAR(AM$2)-YEAR($I35)&lt;20),$D35,YEAR(AM$2)-YEAR($I35)=20,ROUND((DATE(YEAR($I35),12,31)-$I35+1)/365*$D35,2),YEAR(AM$2)-YEAR($I35)&gt;20,0)</f>
        <v>0</v>
      </c>
      <c r="AO35" s="48">
        <v>2036</v>
      </c>
      <c r="AP35" s="48">
        <v>0.04</v>
      </c>
      <c r="AQ35" s="48">
        <v>32.17</v>
      </c>
      <c r="AR35" s="48">
        <v>2.37</v>
      </c>
      <c r="AS35" s="48">
        <v>19.84</v>
      </c>
      <c r="AT35" s="48">
        <v>3.2800000000000002</v>
      </c>
      <c r="AU35" s="48">
        <v>43.25</v>
      </c>
      <c r="AV35" s="48">
        <v>37.69</v>
      </c>
      <c r="AW35" s="48">
        <v>43.78</v>
      </c>
      <c r="AX35" s="48">
        <v>28.61</v>
      </c>
      <c r="AY35" s="48">
        <v>0</v>
      </c>
      <c r="BA35" s="48">
        <f t="shared" si="1"/>
        <v>211.02999999999997</v>
      </c>
      <c r="BB35" s="48">
        <f t="shared" si="2"/>
        <v>0</v>
      </c>
    </row>
    <row r="36" spans="1:54">
      <c r="A36" s="155" t="str" cm="1">
        <f t="array" ref="A36">_xlfn.IFS(LEFT(C36,3)="PGE","PGE",LEFT(C36,2)="PP","PAC",TRUE,"IP")</f>
        <v>PGE</v>
      </c>
      <c r="B36" s="155" t="str">
        <f>IF(ISNA(MATCH(C36,'Monthly Report July 2025'!E:E,0)),"Missing","Present")</f>
        <v>Present</v>
      </c>
      <c r="C36" s="155" t="s">
        <v>145</v>
      </c>
      <c r="D36" s="176" cm="1">
        <f t="array" ref="D36">INDEX('Monthly Report July 2025'!L:L,MATCH(C36,'Monthly Report July 2025'!E:E,0),0)</f>
        <v>2500</v>
      </c>
      <c r="E36" s="176" t="str" cm="1">
        <f t="array" ref="E36">IF(INDEX('PA Fees by Project'!K:K,MATCH(C36,'PA Fees by Project'!E:E,0),0)="No","Non-Carve Out", "Carve Out")</f>
        <v>Non-Carve Out</v>
      </c>
      <c r="F36" s="176" cm="1">
        <f t="array" ref="F36">INDEX('PA Fees by Project'!J:J,MATCH(C36,'PA Fees by Project'!E:E,0),0)</f>
        <v>2</v>
      </c>
      <c r="G36" s="155" t="str" cm="1">
        <f t="array" ref="G36">INDEX('PA Fees by Project'!G:G,MATCH(C36,'PA Fees by Project'!E:E,0),0)</f>
        <v>Operational</v>
      </c>
      <c r="H36" s="175" cm="1">
        <f t="array" ref="H36">INDEX('PA Fees by Project'!Q:Q,MATCH(C36,'PA Fees by Project'!E:E,0),0)</f>
        <v>45793</v>
      </c>
      <c r="I36" s="156" cm="1">
        <f t="array" ref="I36">_xlfn.IFS(G36="Operational",H36,G36="Certified",EDATE(INDEX('PA Fees by Project'!R:R,MATCH(C36,'PA Fees by Project'!E:E,0),0),6),TRUE,EDATE(INDEX('PA Fees by Project'!O:O,MATCH(C36,'PA Fees by Project'!E:E,0),0),6))</f>
        <v>45793</v>
      </c>
      <c r="J36" s="48" cm="1">
        <f t="array" ref="J36">_xlfn.IFS(YEAR(J$2)&lt;YEAR($I36),0,YEAR(J$2)=YEAR($I36),ROUND(((J$2-$I36+1)/365)*$D36,2),AND(YEAR(J$2)&gt;YEAR($I36),YEAR(J$2)-YEAR($I36)&lt;20),$D36,YEAR(J$2)-YEAR($I36)=20,ROUND((DATE(YEAR($I36),12,31)-$I36+1)/365*$D36,2),YEAR(J$2)-YEAR($I36)&gt;20,0)</f>
        <v>0</v>
      </c>
      <c r="K36" s="48" cm="1">
        <f t="array" ref="K36">_xlfn.IFS(YEAR(K$2)&lt;YEAR($I36),0,YEAR(K$2)=YEAR($I36),ROUND(((K$2-$I36+1)/365)*$D36,2),AND(YEAR(K$2)&gt;YEAR($I36),YEAR(K$2)-YEAR($I36)&lt;20),$D36,YEAR(K$2)-YEAR($I36)=20,ROUND((DATE(YEAR($I36),12,31)-$I36+1)/365*$D36,2),YEAR(K$2)-YEAR($I36)&gt;20,0)</f>
        <v>0</v>
      </c>
      <c r="L36" s="48" cm="1">
        <f t="array" ref="L36">_xlfn.IFS(YEAR(L$2)&lt;YEAR($I36),0,YEAR(L$2)=YEAR($I36),ROUND(((L$2-$I36+1)/365)*$D36,2),AND(YEAR(L$2)&gt;YEAR($I36),YEAR(L$2)-YEAR($I36)&lt;20),$D36,YEAR(L$2)-YEAR($I36)=20,ROUND((DATE(YEAR($I36),12,31)-$I36+1)/365*$D36,2),YEAR(L$2)-YEAR($I36)&gt;20,0)</f>
        <v>0</v>
      </c>
      <c r="M36" s="48" cm="1">
        <f t="array" ref="M36">_xlfn.IFS(YEAR(M$2)&lt;YEAR($I36),0,YEAR(M$2)=YEAR($I36),ROUND(((M$2-$I36+1)/365)*$D36,2),AND(YEAR(M$2)&gt;YEAR($I36),YEAR(M$2)-YEAR($I36)&lt;20),$D36,YEAR(M$2)-YEAR($I36)=20,ROUND((DATE(YEAR($I36),12,31)-$I36+1)/365*$D36,2),YEAR(M$2)-YEAR($I36)&gt;20,0)</f>
        <v>0</v>
      </c>
      <c r="N36" s="48" cm="1">
        <f t="array" ref="N36">_xlfn.IFS(YEAR(N$2)&lt;YEAR($I36),0,YEAR(N$2)=YEAR($I36),ROUND(((N$2-$I36+1)/365)*$D36,2),AND(YEAR(N$2)&gt;YEAR($I36),YEAR(N$2)-YEAR($I36)&lt;20),$D36,YEAR(N$2)-YEAR($I36)=20,ROUND((DATE(YEAR($I36),12,31)-$I36+1)/365*$D36,2),YEAR(N$2)-YEAR($I36)&gt;20,0)</f>
        <v>1575.34</v>
      </c>
      <c r="O36" s="48" cm="1">
        <f t="array" ref="O36">_xlfn.IFS(YEAR(O$2)&lt;YEAR($I36),0,YEAR(O$2)=YEAR($I36),ROUND(((O$2-$I36+1)/365)*$D36,2),AND(YEAR(O$2)&gt;YEAR($I36),YEAR(O$2)-YEAR($I36)&lt;20),$D36,YEAR(O$2)-YEAR($I36)=20,ROUND((DATE(YEAR($I36),12,31)-$I36+1)/365*$D36,2),YEAR(O$2)-YEAR($I36)&gt;20,0)</f>
        <v>2500</v>
      </c>
      <c r="P36" s="48" cm="1">
        <f t="array" ref="P36">_xlfn.IFS(YEAR(P$2)&lt;YEAR($I36),0,YEAR(P$2)=YEAR($I36),ROUND(((P$2-$I36+1)/365)*$D36,2),AND(YEAR(P$2)&gt;YEAR($I36),YEAR(P$2)-YEAR($I36)&lt;20),$D36,YEAR(P$2)-YEAR($I36)=20,ROUND((DATE(YEAR($I36),12,31)-$I36+1)/365*$D36,2),YEAR(P$2)-YEAR($I36)&gt;20,0)</f>
        <v>2500</v>
      </c>
      <c r="Q36" s="48" cm="1">
        <f t="array" ref="Q36">_xlfn.IFS(YEAR(Q$2)&lt;YEAR($I36),0,YEAR(Q$2)=YEAR($I36),ROUND(((Q$2-$I36+1)/365)*$D36,2),AND(YEAR(Q$2)&gt;YEAR($I36),YEAR(Q$2)-YEAR($I36)&lt;20),$D36,YEAR(Q$2)-YEAR($I36)=20,ROUND((DATE(YEAR($I36),12,31)-$I36+1)/365*$D36,2),YEAR(Q$2)-YEAR($I36)&gt;20,0)</f>
        <v>2500</v>
      </c>
      <c r="R36" s="48" cm="1">
        <f t="array" ref="R36">_xlfn.IFS(YEAR(R$2)&lt;YEAR($I36),0,YEAR(R$2)=YEAR($I36),ROUND(((R$2-$I36+1)/365)*$D36,2),AND(YEAR(R$2)&gt;YEAR($I36),YEAR(R$2)-YEAR($I36)&lt;20),$D36,YEAR(R$2)-YEAR($I36)=20,ROUND((DATE(YEAR($I36),12,31)-$I36+1)/365*$D36,2),YEAR(R$2)-YEAR($I36)&gt;20,0)</f>
        <v>2500</v>
      </c>
      <c r="S36" s="48" cm="1">
        <f t="array" ref="S36">_xlfn.IFS(YEAR(S$2)&lt;YEAR($I36),0,YEAR(S$2)=YEAR($I36),ROUND(((S$2-$I36+1)/365)*$D36,2),AND(YEAR(S$2)&gt;YEAR($I36),YEAR(S$2)-YEAR($I36)&lt;20),$D36,YEAR(S$2)-YEAR($I36)=20,ROUND((DATE(YEAR($I36),12,31)-$I36+1)/365*$D36,2),YEAR(S$2)-YEAR($I36)&gt;20,0)</f>
        <v>2500</v>
      </c>
      <c r="T36" s="48" cm="1">
        <f t="array" ref="T36">_xlfn.IFS(YEAR(T$2)&lt;YEAR($I36),0,YEAR(T$2)=YEAR($I36),ROUND(((T$2-$I36+1)/365)*$D36,2),AND(YEAR(T$2)&gt;YEAR($I36),YEAR(T$2)-YEAR($I36)&lt;20),$D36,YEAR(T$2)-YEAR($I36)=20,ROUND((DATE(YEAR($I36),12,31)-$I36+1)/365*$D36,2),YEAR(T$2)-YEAR($I36)&gt;20,0)</f>
        <v>2500</v>
      </c>
      <c r="U36" s="48" cm="1">
        <f t="array" ref="U36">_xlfn.IFS(YEAR(U$2)&lt;YEAR($I36),0,YEAR(U$2)=YEAR($I36),ROUND(((U$2-$I36+1)/365)*$D36,2),AND(YEAR(U$2)&gt;YEAR($I36),YEAR(U$2)-YEAR($I36)&lt;20),$D36,YEAR(U$2)-YEAR($I36)=20,ROUND((DATE(YEAR($I36),12,31)-$I36+1)/365*$D36,2),YEAR(U$2)-YEAR($I36)&gt;20,0)</f>
        <v>2500</v>
      </c>
      <c r="V36" s="48" cm="1">
        <f t="array" ref="V36">_xlfn.IFS(YEAR(V$2)&lt;YEAR($I36),0,YEAR(V$2)=YEAR($I36),ROUND(((V$2-$I36+1)/365)*$D36,2),AND(YEAR(V$2)&gt;YEAR($I36),YEAR(V$2)-YEAR($I36)&lt;20),$D36,YEAR(V$2)-YEAR($I36)=20,ROUND((DATE(YEAR($I36),12,31)-$I36+1)/365*$D36,2),YEAR(V$2)-YEAR($I36)&gt;20,0)</f>
        <v>2500</v>
      </c>
      <c r="W36" s="48" cm="1">
        <f t="array" ref="W36">_xlfn.IFS(YEAR(W$2)&lt;YEAR($I36),0,YEAR(W$2)=YEAR($I36),ROUND(((W$2-$I36+1)/365)*$D36,2),AND(YEAR(W$2)&gt;YEAR($I36),YEAR(W$2)-YEAR($I36)&lt;20),$D36,YEAR(W$2)-YEAR($I36)=20,ROUND((DATE(YEAR($I36),12,31)-$I36+1)/365*$D36,2),YEAR(W$2)-YEAR($I36)&gt;20,0)</f>
        <v>2500</v>
      </c>
      <c r="X36" s="48" cm="1">
        <f t="array" ref="X36">_xlfn.IFS(YEAR(X$2)&lt;YEAR($I36),0,YEAR(X$2)=YEAR($I36),ROUND(((X$2-$I36+1)/365)*$D36,2),AND(YEAR(X$2)&gt;YEAR($I36),YEAR(X$2)-YEAR($I36)&lt;20),$D36,YEAR(X$2)-YEAR($I36)=20,ROUND((DATE(YEAR($I36),12,31)-$I36+1)/365*$D36,2),YEAR(X$2)-YEAR($I36)&gt;20,0)</f>
        <v>2500</v>
      </c>
      <c r="Y36" s="48" cm="1">
        <f t="array" ref="Y36">_xlfn.IFS(YEAR(Y$2)&lt;YEAR($I36),0,YEAR(Y$2)=YEAR($I36),ROUND(((Y$2-$I36+1)/365)*$D36,2),AND(YEAR(Y$2)&gt;YEAR($I36),YEAR(Y$2)-YEAR($I36)&lt;20),$D36,YEAR(Y$2)-YEAR($I36)=20,ROUND((DATE(YEAR($I36),12,31)-$I36+1)/365*$D36,2),YEAR(Y$2)-YEAR($I36)&gt;20,0)</f>
        <v>2500</v>
      </c>
      <c r="Z36" s="48" cm="1">
        <f t="array" ref="Z36">_xlfn.IFS(YEAR(Z$2)&lt;YEAR($I36),0,YEAR(Z$2)=YEAR($I36),ROUND(((Z$2-$I36+1)/365)*$D36,2),AND(YEAR(Z$2)&gt;YEAR($I36),YEAR(Z$2)-YEAR($I36)&lt;20),$D36,YEAR(Z$2)-YEAR($I36)=20,ROUND((DATE(YEAR($I36),12,31)-$I36+1)/365*$D36,2),YEAR(Z$2)-YEAR($I36)&gt;20,0)</f>
        <v>2500</v>
      </c>
      <c r="AA36" s="48" cm="1">
        <f t="array" ref="AA36">_xlfn.IFS(YEAR(AA$2)&lt;YEAR($I36),0,YEAR(AA$2)=YEAR($I36),ROUND(((AA$2-$I36+1)/365)*$D36,2),AND(YEAR(AA$2)&gt;YEAR($I36),YEAR(AA$2)-YEAR($I36)&lt;20),$D36,YEAR(AA$2)-YEAR($I36)=20,ROUND((DATE(YEAR($I36),12,31)-$I36+1)/365*$D36,2),YEAR(AA$2)-YEAR($I36)&gt;20,0)</f>
        <v>2500</v>
      </c>
      <c r="AB36" s="48" cm="1">
        <f t="array" ref="AB36">_xlfn.IFS(YEAR(AB$2)&lt;YEAR($I36),0,YEAR(AB$2)=YEAR($I36),ROUND(((AB$2-$I36+1)/365)*$D36,2),AND(YEAR(AB$2)&gt;YEAR($I36),YEAR(AB$2)-YEAR($I36)&lt;20),$D36,YEAR(AB$2)-YEAR($I36)=20,ROUND((DATE(YEAR($I36),12,31)-$I36+1)/365*$D36,2),YEAR(AB$2)-YEAR($I36)&gt;20,0)</f>
        <v>2500</v>
      </c>
      <c r="AC36" s="48" cm="1">
        <f t="array" ref="AC36">_xlfn.IFS(YEAR(AC$2)&lt;YEAR($I36),0,YEAR(AC$2)=YEAR($I36),ROUND(((AC$2-$I36+1)/365)*$D36,2),AND(YEAR(AC$2)&gt;YEAR($I36),YEAR(AC$2)-YEAR($I36)&lt;20),$D36,YEAR(AC$2)-YEAR($I36)=20,ROUND((DATE(YEAR($I36),12,31)-$I36+1)/365*$D36,2),YEAR(AC$2)-YEAR($I36)&gt;20,0)</f>
        <v>2500</v>
      </c>
      <c r="AD36" s="48" cm="1">
        <f t="array" ref="AD36">_xlfn.IFS(YEAR(AD$2)&lt;YEAR($I36),0,YEAR(AD$2)=YEAR($I36),ROUND(((AD$2-$I36+1)/365)*$D36,2),AND(YEAR(AD$2)&gt;YEAR($I36),YEAR(AD$2)-YEAR($I36)&lt;20),$D36,YEAR(AD$2)-YEAR($I36)=20,ROUND((DATE(YEAR($I36),12,31)-$I36+1)/365*$D36,2),YEAR(AD$2)-YEAR($I36)&gt;20,0)</f>
        <v>2500</v>
      </c>
      <c r="AE36" s="48" cm="1">
        <f t="array" ref="AE36">_xlfn.IFS(YEAR(AE$2)&lt;YEAR($I36),0,YEAR(AE$2)=YEAR($I36),ROUND(((AE$2-$I36+1)/365)*$D36,2),AND(YEAR(AE$2)&gt;YEAR($I36),YEAR(AE$2)-YEAR($I36)&lt;20),$D36,YEAR(AE$2)-YEAR($I36)=20,ROUND((DATE(YEAR($I36),12,31)-$I36+1)/365*$D36,2),YEAR(AE$2)-YEAR($I36)&gt;20,0)</f>
        <v>2500</v>
      </c>
      <c r="AF36" s="48" cm="1">
        <f t="array" ref="AF36">_xlfn.IFS(YEAR(AF$2)&lt;YEAR($I36),0,YEAR(AF$2)=YEAR($I36),ROUND(((AF$2-$I36+1)/365)*$D36,2),AND(YEAR(AF$2)&gt;YEAR($I36),YEAR(AF$2)-YEAR($I36)&lt;20),$D36,YEAR(AF$2)-YEAR($I36)=20,ROUND((DATE(YEAR($I36),12,31)-$I36+1)/365*$D36,2),YEAR(AF$2)-YEAR($I36)&gt;20,0)</f>
        <v>2500</v>
      </c>
      <c r="AG36" s="48" cm="1">
        <f t="array" ref="AG36">_xlfn.IFS(YEAR(AG$2)&lt;YEAR($I36),0,YEAR(AG$2)=YEAR($I36),ROUND(((AG$2-$I36+1)/365)*$D36,2),AND(YEAR(AG$2)&gt;YEAR($I36),YEAR(AG$2)-YEAR($I36)&lt;20),$D36,YEAR(AG$2)-YEAR($I36)=20,ROUND((DATE(YEAR($I36),12,31)-$I36+1)/365*$D36,2),YEAR(AG$2)-YEAR($I36)&gt;20,0)</f>
        <v>2500</v>
      </c>
      <c r="AH36" s="48" cm="1">
        <f t="array" ref="AH36">_xlfn.IFS(YEAR(AH$2)&lt;YEAR($I36),0,YEAR(AH$2)=YEAR($I36),ROUND(((AH$2-$I36+1)/365)*$D36,2),AND(YEAR(AH$2)&gt;YEAR($I36),YEAR(AH$2)-YEAR($I36)&lt;20),$D36,YEAR(AH$2)-YEAR($I36)=20,ROUND((DATE(YEAR($I36),12,31)-$I36+1)/365*$D36,2),YEAR(AH$2)-YEAR($I36)&gt;20,0)</f>
        <v>1575.34</v>
      </c>
      <c r="AI36" s="48" cm="1">
        <f t="array" ref="AI36">_xlfn.IFS(YEAR(AI$2)&lt;YEAR($I36),0,YEAR(AI$2)=YEAR($I36),ROUND(((AI$2-$I36+1)/365)*$D36,2),AND(YEAR(AI$2)&gt;YEAR($I36),YEAR(AI$2)-YEAR($I36)&lt;20),$D36,YEAR(AI$2)-YEAR($I36)=20,ROUND((DATE(YEAR($I36),12,31)-$I36+1)/365*$D36,2),YEAR(AI$2)-YEAR($I36)&gt;20,0)</f>
        <v>0</v>
      </c>
      <c r="AJ36" s="48" cm="1">
        <f t="array" ref="AJ36">_xlfn.IFS(YEAR(AJ$2)&lt;YEAR($I36),0,YEAR(AJ$2)=YEAR($I36),ROUND(((AJ$2-$I36+1)/365)*$D36,2),AND(YEAR(AJ$2)&gt;YEAR($I36),YEAR(AJ$2)-YEAR($I36)&lt;20),$D36,YEAR(AJ$2)-YEAR($I36)=20,ROUND((DATE(YEAR($I36),12,31)-$I36+1)/365*$D36,2),YEAR(AJ$2)-YEAR($I36)&gt;20,0)</f>
        <v>0</v>
      </c>
      <c r="AK36" s="48" cm="1">
        <f t="array" ref="AK36">_xlfn.IFS(YEAR(AK$2)&lt;YEAR($I36),0,YEAR(AK$2)=YEAR($I36),ROUND(((AK$2-$I36+1)/365)*$D36,2),AND(YEAR(AK$2)&gt;YEAR($I36),YEAR(AK$2)-YEAR($I36)&lt;20),$D36,YEAR(AK$2)-YEAR($I36)=20,ROUND((DATE(YEAR($I36),12,31)-$I36+1)/365*$D36,2),YEAR(AK$2)-YEAR($I36)&gt;20,0)</f>
        <v>0</v>
      </c>
      <c r="AL36" s="48" cm="1">
        <f t="array" ref="AL36">_xlfn.IFS(YEAR(AL$2)&lt;YEAR($I36),0,YEAR(AL$2)=YEAR($I36),ROUND(((AL$2-$I36+1)/365)*$D36,2),AND(YEAR(AL$2)&gt;YEAR($I36),YEAR(AL$2)-YEAR($I36)&lt;20),$D36,YEAR(AL$2)-YEAR($I36)=20,ROUND((DATE(YEAR($I36),12,31)-$I36+1)/365*$D36,2),YEAR(AL$2)-YEAR($I36)&gt;20,0)</f>
        <v>0</v>
      </c>
      <c r="AM36" s="48" cm="1">
        <f t="array" ref="AM36">_xlfn.IFS(YEAR(AM$2)&lt;YEAR($I36),0,YEAR(AM$2)=YEAR($I36),ROUND(((AM$2-$I36+1)/365)*$D36,2),AND(YEAR(AM$2)&gt;YEAR($I36),YEAR(AM$2)-YEAR($I36)&lt;20),$D36,YEAR(AM$2)-YEAR($I36)=20,ROUND((DATE(YEAR($I36),12,31)-$I36+1)/365*$D36,2),YEAR(AM$2)-YEAR($I36)&gt;20,0)</f>
        <v>0</v>
      </c>
      <c r="AO36" s="48">
        <v>2037</v>
      </c>
      <c r="AP36" s="48">
        <v>0.04</v>
      </c>
      <c r="AQ36" s="48">
        <v>32.17</v>
      </c>
      <c r="AR36" s="48">
        <v>2.37</v>
      </c>
      <c r="AS36" s="48">
        <v>19.84</v>
      </c>
      <c r="AT36" s="48">
        <v>3.2800000000000002</v>
      </c>
      <c r="AU36" s="48">
        <v>43.25</v>
      </c>
      <c r="AV36" s="48">
        <v>37.69</v>
      </c>
      <c r="AW36" s="48">
        <v>43.78</v>
      </c>
      <c r="AX36" s="48">
        <v>28.61</v>
      </c>
      <c r="AY36" s="48">
        <v>0</v>
      </c>
      <c r="BA36" s="48">
        <f t="shared" si="1"/>
        <v>211.02999999999997</v>
      </c>
      <c r="BB36" s="48">
        <f t="shared" si="2"/>
        <v>0</v>
      </c>
    </row>
    <row r="37" spans="1:54">
      <c r="A37" s="155" t="str" cm="1">
        <f t="array" ref="A37">_xlfn.IFS(LEFT(C37,3)="PGE","PGE",LEFT(C37,2)="PP","PAC",TRUE,"IP")</f>
        <v>PAC</v>
      </c>
      <c r="B37" s="155" t="str">
        <f>IF(ISNA(MATCH(C37,'Monthly Report July 2025'!E:E,0)),"Missing","Present")</f>
        <v>Present</v>
      </c>
      <c r="C37" s="155" t="s">
        <v>146</v>
      </c>
      <c r="D37" s="176" cm="1">
        <f t="array" ref="D37">INDEX('Monthly Report July 2025'!L:L,MATCH(C37,'Monthly Report July 2025'!E:E,0),0)</f>
        <v>2250</v>
      </c>
      <c r="E37" s="176" t="str" cm="1">
        <f t="array" ref="E37">IF(INDEX('PA Fees by Project'!K:K,MATCH(C37,'PA Fees by Project'!E:E,0),0)="No","Non-Carve Out", "Carve Out")</f>
        <v>Non-Carve Out</v>
      </c>
      <c r="F37" s="176" cm="1">
        <f t="array" ref="F37">INDEX('PA Fees by Project'!J:J,MATCH(C37,'PA Fees by Project'!E:E,0),0)</f>
        <v>2</v>
      </c>
      <c r="G37" s="155" t="str" cm="1">
        <f t="array" ref="G37">INDEX('PA Fees by Project'!G:G,MATCH(C37,'PA Fees by Project'!E:E,0),0)</f>
        <v>Pre-Certified</v>
      </c>
      <c r="H37" s="175" t="str" cm="1">
        <f t="array" ref="H37">INDEX('PA Fees by Project'!Q:Q,MATCH(C37,'PA Fees by Project'!E:E,0),0)</f>
        <v/>
      </c>
      <c r="I37" s="156" cm="1">
        <f t="array" ref="I37">_xlfn.IFS(G37="Operational",H37,G37="Certified",EDATE(INDEX('PA Fees by Project'!R:R,MATCH(C37,'PA Fees by Project'!E:E,0),0),6),TRUE,EDATE(INDEX('PA Fees by Project'!O:O,MATCH(C37,'PA Fees by Project'!E:E,0),0),6))</f>
        <v>46142</v>
      </c>
      <c r="J37" s="48" cm="1">
        <f t="array" ref="J37">_xlfn.IFS(YEAR(J$2)&lt;YEAR($I37),0,YEAR(J$2)=YEAR($I37),ROUND(((J$2-$I37+1)/365)*$D37,2),AND(YEAR(J$2)&gt;YEAR($I37),YEAR(J$2)-YEAR($I37)&lt;20),$D37,YEAR(J$2)-YEAR($I37)=20,ROUND((DATE(YEAR($I37),12,31)-$I37+1)/365*$D37,2),YEAR(J$2)-YEAR($I37)&gt;20,0)</f>
        <v>0</v>
      </c>
      <c r="K37" s="48" cm="1">
        <f t="array" ref="K37">_xlfn.IFS(YEAR(K$2)&lt;YEAR($I37),0,YEAR(K$2)=YEAR($I37),ROUND(((K$2-$I37+1)/365)*$D37,2),AND(YEAR(K$2)&gt;YEAR($I37),YEAR(K$2)-YEAR($I37)&lt;20),$D37,YEAR(K$2)-YEAR($I37)=20,ROUND((DATE(YEAR($I37),12,31)-$I37+1)/365*$D37,2),YEAR(K$2)-YEAR($I37)&gt;20,0)</f>
        <v>0</v>
      </c>
      <c r="L37" s="48" cm="1">
        <f t="array" ref="L37">_xlfn.IFS(YEAR(L$2)&lt;YEAR($I37),0,YEAR(L$2)=YEAR($I37),ROUND(((L$2-$I37+1)/365)*$D37,2),AND(YEAR(L$2)&gt;YEAR($I37),YEAR(L$2)-YEAR($I37)&lt;20),$D37,YEAR(L$2)-YEAR($I37)=20,ROUND((DATE(YEAR($I37),12,31)-$I37+1)/365*$D37,2),YEAR(L$2)-YEAR($I37)&gt;20,0)</f>
        <v>0</v>
      </c>
      <c r="M37" s="48" cm="1">
        <f t="array" ref="M37">_xlfn.IFS(YEAR(M$2)&lt;YEAR($I37),0,YEAR(M$2)=YEAR($I37),ROUND(((M$2-$I37+1)/365)*$D37,2),AND(YEAR(M$2)&gt;YEAR($I37),YEAR(M$2)-YEAR($I37)&lt;20),$D37,YEAR(M$2)-YEAR($I37)=20,ROUND((DATE(YEAR($I37),12,31)-$I37+1)/365*$D37,2),YEAR(M$2)-YEAR($I37)&gt;20,0)</f>
        <v>0</v>
      </c>
      <c r="N37" s="48" cm="1">
        <f t="array" ref="N37">_xlfn.IFS(YEAR(N$2)&lt;YEAR($I37),0,YEAR(N$2)=YEAR($I37),ROUND(((N$2-$I37+1)/365)*$D37,2),AND(YEAR(N$2)&gt;YEAR($I37),YEAR(N$2)-YEAR($I37)&lt;20),$D37,YEAR(N$2)-YEAR($I37)=20,ROUND((DATE(YEAR($I37),12,31)-$I37+1)/365*$D37,2),YEAR(N$2)-YEAR($I37)&gt;20,0)</f>
        <v>0</v>
      </c>
      <c r="O37" s="48" cm="1">
        <f t="array" ref="O37">_xlfn.IFS(YEAR(O$2)&lt;YEAR($I37),0,YEAR(O$2)=YEAR($I37),ROUND(((O$2-$I37+1)/365)*$D37,2),AND(YEAR(O$2)&gt;YEAR($I37),YEAR(O$2)-YEAR($I37)&lt;20),$D37,YEAR(O$2)-YEAR($I37)=20,ROUND((DATE(YEAR($I37),12,31)-$I37+1)/365*$D37,2),YEAR(O$2)-YEAR($I37)&gt;20,0)</f>
        <v>1516.44</v>
      </c>
      <c r="P37" s="48" cm="1">
        <f t="array" ref="P37">_xlfn.IFS(YEAR(P$2)&lt;YEAR($I37),0,YEAR(P$2)=YEAR($I37),ROUND(((P$2-$I37+1)/365)*$D37,2),AND(YEAR(P$2)&gt;YEAR($I37),YEAR(P$2)-YEAR($I37)&lt;20),$D37,YEAR(P$2)-YEAR($I37)=20,ROUND((DATE(YEAR($I37),12,31)-$I37+1)/365*$D37,2),YEAR(P$2)-YEAR($I37)&gt;20,0)</f>
        <v>2250</v>
      </c>
      <c r="Q37" s="48" cm="1">
        <f t="array" ref="Q37">_xlfn.IFS(YEAR(Q$2)&lt;YEAR($I37),0,YEAR(Q$2)=YEAR($I37),ROUND(((Q$2-$I37+1)/365)*$D37,2),AND(YEAR(Q$2)&gt;YEAR($I37),YEAR(Q$2)-YEAR($I37)&lt;20),$D37,YEAR(Q$2)-YEAR($I37)=20,ROUND((DATE(YEAR($I37),12,31)-$I37+1)/365*$D37,2),YEAR(Q$2)-YEAR($I37)&gt;20,0)</f>
        <v>2250</v>
      </c>
      <c r="R37" s="48" cm="1">
        <f t="array" ref="R37">_xlfn.IFS(YEAR(R$2)&lt;YEAR($I37),0,YEAR(R$2)=YEAR($I37),ROUND(((R$2-$I37+1)/365)*$D37,2),AND(YEAR(R$2)&gt;YEAR($I37),YEAR(R$2)-YEAR($I37)&lt;20),$D37,YEAR(R$2)-YEAR($I37)=20,ROUND((DATE(YEAR($I37),12,31)-$I37+1)/365*$D37,2),YEAR(R$2)-YEAR($I37)&gt;20,0)</f>
        <v>2250</v>
      </c>
      <c r="S37" s="48" cm="1">
        <f t="array" ref="S37">_xlfn.IFS(YEAR(S$2)&lt;YEAR($I37),0,YEAR(S$2)=YEAR($I37),ROUND(((S$2-$I37+1)/365)*$D37,2),AND(YEAR(S$2)&gt;YEAR($I37),YEAR(S$2)-YEAR($I37)&lt;20),$D37,YEAR(S$2)-YEAR($I37)=20,ROUND((DATE(YEAR($I37),12,31)-$I37+1)/365*$D37,2),YEAR(S$2)-YEAR($I37)&gt;20,0)</f>
        <v>2250</v>
      </c>
      <c r="T37" s="48" cm="1">
        <f t="array" ref="T37">_xlfn.IFS(YEAR(T$2)&lt;YEAR($I37),0,YEAR(T$2)=YEAR($I37),ROUND(((T$2-$I37+1)/365)*$D37,2),AND(YEAR(T$2)&gt;YEAR($I37),YEAR(T$2)-YEAR($I37)&lt;20),$D37,YEAR(T$2)-YEAR($I37)=20,ROUND((DATE(YEAR($I37),12,31)-$I37+1)/365*$D37,2),YEAR(T$2)-YEAR($I37)&gt;20,0)</f>
        <v>2250</v>
      </c>
      <c r="U37" s="48" cm="1">
        <f t="array" ref="U37">_xlfn.IFS(YEAR(U$2)&lt;YEAR($I37),0,YEAR(U$2)=YEAR($I37),ROUND(((U$2-$I37+1)/365)*$D37,2),AND(YEAR(U$2)&gt;YEAR($I37),YEAR(U$2)-YEAR($I37)&lt;20),$D37,YEAR(U$2)-YEAR($I37)=20,ROUND((DATE(YEAR($I37),12,31)-$I37+1)/365*$D37,2),YEAR(U$2)-YEAR($I37)&gt;20,0)</f>
        <v>2250</v>
      </c>
      <c r="V37" s="48" cm="1">
        <f t="array" ref="V37">_xlfn.IFS(YEAR(V$2)&lt;YEAR($I37),0,YEAR(V$2)=YEAR($I37),ROUND(((V$2-$I37+1)/365)*$D37,2),AND(YEAR(V$2)&gt;YEAR($I37),YEAR(V$2)-YEAR($I37)&lt;20),$D37,YEAR(V$2)-YEAR($I37)=20,ROUND((DATE(YEAR($I37),12,31)-$I37+1)/365*$D37,2),YEAR(V$2)-YEAR($I37)&gt;20,0)</f>
        <v>2250</v>
      </c>
      <c r="W37" s="48" cm="1">
        <f t="array" ref="W37">_xlfn.IFS(YEAR(W$2)&lt;YEAR($I37),0,YEAR(W$2)=YEAR($I37),ROUND(((W$2-$I37+1)/365)*$D37,2),AND(YEAR(W$2)&gt;YEAR($I37),YEAR(W$2)-YEAR($I37)&lt;20),$D37,YEAR(W$2)-YEAR($I37)=20,ROUND((DATE(YEAR($I37),12,31)-$I37+1)/365*$D37,2),YEAR(W$2)-YEAR($I37)&gt;20,0)</f>
        <v>2250</v>
      </c>
      <c r="X37" s="48" cm="1">
        <f t="array" ref="X37">_xlfn.IFS(YEAR(X$2)&lt;YEAR($I37),0,YEAR(X$2)=YEAR($I37),ROUND(((X$2-$I37+1)/365)*$D37,2),AND(YEAR(X$2)&gt;YEAR($I37),YEAR(X$2)-YEAR($I37)&lt;20),$D37,YEAR(X$2)-YEAR($I37)=20,ROUND((DATE(YEAR($I37),12,31)-$I37+1)/365*$D37,2),YEAR(X$2)-YEAR($I37)&gt;20,0)</f>
        <v>2250</v>
      </c>
      <c r="Y37" s="48" cm="1">
        <f t="array" ref="Y37">_xlfn.IFS(YEAR(Y$2)&lt;YEAR($I37),0,YEAR(Y$2)=YEAR($I37),ROUND(((Y$2-$I37+1)/365)*$D37,2),AND(YEAR(Y$2)&gt;YEAR($I37),YEAR(Y$2)-YEAR($I37)&lt;20),$D37,YEAR(Y$2)-YEAR($I37)=20,ROUND((DATE(YEAR($I37),12,31)-$I37+1)/365*$D37,2),YEAR(Y$2)-YEAR($I37)&gt;20,0)</f>
        <v>2250</v>
      </c>
      <c r="Z37" s="48" cm="1">
        <f t="array" ref="Z37">_xlfn.IFS(YEAR(Z$2)&lt;YEAR($I37),0,YEAR(Z$2)=YEAR($I37),ROUND(((Z$2-$I37+1)/365)*$D37,2),AND(YEAR(Z$2)&gt;YEAR($I37),YEAR(Z$2)-YEAR($I37)&lt;20),$D37,YEAR(Z$2)-YEAR($I37)=20,ROUND((DATE(YEAR($I37),12,31)-$I37+1)/365*$D37,2),YEAR(Z$2)-YEAR($I37)&gt;20,0)</f>
        <v>2250</v>
      </c>
      <c r="AA37" s="48" cm="1">
        <f t="array" ref="AA37">_xlfn.IFS(YEAR(AA$2)&lt;YEAR($I37),0,YEAR(AA$2)=YEAR($I37),ROUND(((AA$2-$I37+1)/365)*$D37,2),AND(YEAR(AA$2)&gt;YEAR($I37),YEAR(AA$2)-YEAR($I37)&lt;20),$D37,YEAR(AA$2)-YEAR($I37)=20,ROUND((DATE(YEAR($I37),12,31)-$I37+1)/365*$D37,2),YEAR(AA$2)-YEAR($I37)&gt;20,0)</f>
        <v>2250</v>
      </c>
      <c r="AB37" s="48" cm="1">
        <f t="array" ref="AB37">_xlfn.IFS(YEAR(AB$2)&lt;YEAR($I37),0,YEAR(AB$2)=YEAR($I37),ROUND(((AB$2-$I37+1)/365)*$D37,2),AND(YEAR(AB$2)&gt;YEAR($I37),YEAR(AB$2)-YEAR($I37)&lt;20),$D37,YEAR(AB$2)-YEAR($I37)=20,ROUND((DATE(YEAR($I37),12,31)-$I37+1)/365*$D37,2),YEAR(AB$2)-YEAR($I37)&gt;20,0)</f>
        <v>2250</v>
      </c>
      <c r="AC37" s="48" cm="1">
        <f t="array" ref="AC37">_xlfn.IFS(YEAR(AC$2)&lt;YEAR($I37),0,YEAR(AC$2)=YEAR($I37),ROUND(((AC$2-$I37+1)/365)*$D37,2),AND(YEAR(AC$2)&gt;YEAR($I37),YEAR(AC$2)-YEAR($I37)&lt;20),$D37,YEAR(AC$2)-YEAR($I37)=20,ROUND((DATE(YEAR($I37),12,31)-$I37+1)/365*$D37,2),YEAR(AC$2)-YEAR($I37)&gt;20,0)</f>
        <v>2250</v>
      </c>
      <c r="AD37" s="48" cm="1">
        <f t="array" ref="AD37">_xlfn.IFS(YEAR(AD$2)&lt;YEAR($I37),0,YEAR(AD$2)=YEAR($I37),ROUND(((AD$2-$I37+1)/365)*$D37,2),AND(YEAR(AD$2)&gt;YEAR($I37),YEAR(AD$2)-YEAR($I37)&lt;20),$D37,YEAR(AD$2)-YEAR($I37)=20,ROUND((DATE(YEAR($I37),12,31)-$I37+1)/365*$D37,2),YEAR(AD$2)-YEAR($I37)&gt;20,0)</f>
        <v>2250</v>
      </c>
      <c r="AE37" s="48" cm="1">
        <f t="array" ref="AE37">_xlfn.IFS(YEAR(AE$2)&lt;YEAR($I37),0,YEAR(AE$2)=YEAR($I37),ROUND(((AE$2-$I37+1)/365)*$D37,2),AND(YEAR(AE$2)&gt;YEAR($I37),YEAR(AE$2)-YEAR($I37)&lt;20),$D37,YEAR(AE$2)-YEAR($I37)=20,ROUND((DATE(YEAR($I37),12,31)-$I37+1)/365*$D37,2),YEAR(AE$2)-YEAR($I37)&gt;20,0)</f>
        <v>2250</v>
      </c>
      <c r="AF37" s="48" cm="1">
        <f t="array" ref="AF37">_xlfn.IFS(YEAR(AF$2)&lt;YEAR($I37),0,YEAR(AF$2)=YEAR($I37),ROUND(((AF$2-$I37+1)/365)*$D37,2),AND(YEAR(AF$2)&gt;YEAR($I37),YEAR(AF$2)-YEAR($I37)&lt;20),$D37,YEAR(AF$2)-YEAR($I37)=20,ROUND((DATE(YEAR($I37),12,31)-$I37+1)/365*$D37,2),YEAR(AF$2)-YEAR($I37)&gt;20,0)</f>
        <v>2250</v>
      </c>
      <c r="AG37" s="48" cm="1">
        <f t="array" ref="AG37">_xlfn.IFS(YEAR(AG$2)&lt;YEAR($I37),0,YEAR(AG$2)=YEAR($I37),ROUND(((AG$2-$I37+1)/365)*$D37,2),AND(YEAR(AG$2)&gt;YEAR($I37),YEAR(AG$2)-YEAR($I37)&lt;20),$D37,YEAR(AG$2)-YEAR($I37)=20,ROUND((DATE(YEAR($I37),12,31)-$I37+1)/365*$D37,2),YEAR(AG$2)-YEAR($I37)&gt;20,0)</f>
        <v>2250</v>
      </c>
      <c r="AH37" s="48" cm="1">
        <f t="array" ref="AH37">_xlfn.IFS(YEAR(AH$2)&lt;YEAR($I37),0,YEAR(AH$2)=YEAR($I37),ROUND(((AH$2-$I37+1)/365)*$D37,2),AND(YEAR(AH$2)&gt;YEAR($I37),YEAR(AH$2)-YEAR($I37)&lt;20),$D37,YEAR(AH$2)-YEAR($I37)=20,ROUND((DATE(YEAR($I37),12,31)-$I37+1)/365*$D37,2),YEAR(AH$2)-YEAR($I37)&gt;20,0)</f>
        <v>2250</v>
      </c>
      <c r="AI37" s="48" cm="1">
        <f t="array" ref="AI37">_xlfn.IFS(YEAR(AI$2)&lt;YEAR($I37),0,YEAR(AI$2)=YEAR($I37),ROUND(((AI$2-$I37+1)/365)*$D37,2),AND(YEAR(AI$2)&gt;YEAR($I37),YEAR(AI$2)-YEAR($I37)&lt;20),$D37,YEAR(AI$2)-YEAR($I37)=20,ROUND((DATE(YEAR($I37),12,31)-$I37+1)/365*$D37,2),YEAR(AI$2)-YEAR($I37)&gt;20,0)</f>
        <v>1516.44</v>
      </c>
      <c r="AJ37" s="48" cm="1">
        <f t="array" ref="AJ37">_xlfn.IFS(YEAR(AJ$2)&lt;YEAR($I37),0,YEAR(AJ$2)=YEAR($I37),ROUND(((AJ$2-$I37+1)/365)*$D37,2),AND(YEAR(AJ$2)&gt;YEAR($I37),YEAR(AJ$2)-YEAR($I37)&lt;20),$D37,YEAR(AJ$2)-YEAR($I37)=20,ROUND((DATE(YEAR($I37),12,31)-$I37+1)/365*$D37,2),YEAR(AJ$2)-YEAR($I37)&gt;20,0)</f>
        <v>0</v>
      </c>
      <c r="AK37" s="48" cm="1">
        <f t="array" ref="AK37">_xlfn.IFS(YEAR(AK$2)&lt;YEAR($I37),0,YEAR(AK$2)=YEAR($I37),ROUND(((AK$2-$I37+1)/365)*$D37,2),AND(YEAR(AK$2)&gt;YEAR($I37),YEAR(AK$2)-YEAR($I37)&lt;20),$D37,YEAR(AK$2)-YEAR($I37)=20,ROUND((DATE(YEAR($I37),12,31)-$I37+1)/365*$D37,2),YEAR(AK$2)-YEAR($I37)&gt;20,0)</f>
        <v>0</v>
      </c>
      <c r="AL37" s="48" cm="1">
        <f t="array" ref="AL37">_xlfn.IFS(YEAR(AL$2)&lt;YEAR($I37),0,YEAR(AL$2)=YEAR($I37),ROUND(((AL$2-$I37+1)/365)*$D37,2),AND(YEAR(AL$2)&gt;YEAR($I37),YEAR(AL$2)-YEAR($I37)&lt;20),$D37,YEAR(AL$2)-YEAR($I37)=20,ROUND((DATE(YEAR($I37),12,31)-$I37+1)/365*$D37,2),YEAR(AL$2)-YEAR($I37)&gt;20,0)</f>
        <v>0</v>
      </c>
      <c r="AM37" s="48" cm="1">
        <f t="array" ref="AM37">_xlfn.IFS(YEAR(AM$2)&lt;YEAR($I37),0,YEAR(AM$2)=YEAR($I37),ROUND(((AM$2-$I37+1)/365)*$D37,2),AND(YEAR(AM$2)&gt;YEAR($I37),YEAR(AM$2)-YEAR($I37)&lt;20),$D37,YEAR(AM$2)-YEAR($I37)=20,ROUND((DATE(YEAR($I37),12,31)-$I37+1)/365*$D37,2),YEAR(AM$2)-YEAR($I37)&gt;20,0)</f>
        <v>0</v>
      </c>
      <c r="AO37" s="48">
        <v>2038</v>
      </c>
      <c r="AP37" s="48">
        <v>0.04</v>
      </c>
      <c r="AQ37" s="48">
        <v>32.17</v>
      </c>
      <c r="AR37" s="48">
        <v>2.37</v>
      </c>
      <c r="AS37" s="48">
        <v>19.84</v>
      </c>
      <c r="AT37" s="48">
        <v>3.2800000000000002</v>
      </c>
      <c r="AU37" s="48">
        <v>43.25</v>
      </c>
      <c r="AV37" s="48">
        <v>37.69</v>
      </c>
      <c r="AW37" s="48">
        <v>43.78</v>
      </c>
      <c r="AX37" s="48">
        <v>28.61</v>
      </c>
      <c r="AY37" s="48">
        <v>0</v>
      </c>
      <c r="BA37" s="48">
        <f t="shared" si="1"/>
        <v>211.02999999999997</v>
      </c>
      <c r="BB37" s="48">
        <f t="shared" si="2"/>
        <v>0</v>
      </c>
    </row>
    <row r="38" spans="1:54">
      <c r="A38" s="155" t="str" cm="1">
        <f t="array" ref="A38">_xlfn.IFS(LEFT(C38,3)="PGE","PGE",LEFT(C38,2)="PP","PAC",TRUE,"IP")</f>
        <v>PAC</v>
      </c>
      <c r="B38" s="155" t="str">
        <f>IF(ISNA(MATCH(C38,'Monthly Report July 2025'!E:E,0)),"Missing","Present")</f>
        <v>Present</v>
      </c>
      <c r="C38" s="155" t="s">
        <v>147</v>
      </c>
      <c r="D38" s="176" cm="1">
        <f t="array" ref="D38">INDEX('Monthly Report July 2025'!L:L,MATCH(C38,'Monthly Report July 2025'!E:E,0),0)</f>
        <v>1560</v>
      </c>
      <c r="E38" s="176" t="str" cm="1">
        <f t="array" ref="E38">IF(INDEX('PA Fees by Project'!K:K,MATCH(C38,'PA Fees by Project'!E:E,0),0)="No","Non-Carve Out", "Carve Out")</f>
        <v>Non-Carve Out</v>
      </c>
      <c r="F38" s="176" cm="1">
        <f t="array" ref="F38">INDEX('PA Fees by Project'!J:J,MATCH(C38,'PA Fees by Project'!E:E,0),0)</f>
        <v>1</v>
      </c>
      <c r="G38" s="155" t="str" cm="1">
        <f t="array" ref="G38">INDEX('PA Fees by Project'!G:G,MATCH(C38,'PA Fees by Project'!E:E,0),0)</f>
        <v>Pre-Certified</v>
      </c>
      <c r="H38" s="175" t="str" cm="1">
        <f t="array" ref="H38">INDEX('PA Fees by Project'!Q:Q,MATCH(C38,'PA Fees by Project'!E:E,0),0)</f>
        <v/>
      </c>
      <c r="I38" s="156" cm="1">
        <f t="array" ref="I38">_xlfn.IFS(G38="Operational",H38,G38="Certified",EDATE(INDEX('PA Fees by Project'!R:R,MATCH(C38,'PA Fees by Project'!E:E,0),0),6),TRUE,EDATE(INDEX('PA Fees by Project'!O:O,MATCH(C38,'PA Fees by Project'!E:E,0),0),6))</f>
        <v>45794</v>
      </c>
      <c r="J38" s="48" cm="1">
        <f t="array" ref="J38">_xlfn.IFS(YEAR(J$2)&lt;YEAR($I38),0,YEAR(J$2)=YEAR($I38),ROUND(((J$2-$I38+1)/365)*$D38,2),AND(YEAR(J$2)&gt;YEAR($I38),YEAR(J$2)-YEAR($I38)&lt;20),$D38,YEAR(J$2)-YEAR($I38)=20,ROUND((DATE(YEAR($I38),12,31)-$I38+1)/365*$D38,2),YEAR(J$2)-YEAR($I38)&gt;20,0)</f>
        <v>0</v>
      </c>
      <c r="K38" s="48" cm="1">
        <f t="array" ref="K38">_xlfn.IFS(YEAR(K$2)&lt;YEAR($I38),0,YEAR(K$2)=YEAR($I38),ROUND(((K$2-$I38+1)/365)*$D38,2),AND(YEAR(K$2)&gt;YEAR($I38),YEAR(K$2)-YEAR($I38)&lt;20),$D38,YEAR(K$2)-YEAR($I38)=20,ROUND((DATE(YEAR($I38),12,31)-$I38+1)/365*$D38,2),YEAR(K$2)-YEAR($I38)&gt;20,0)</f>
        <v>0</v>
      </c>
      <c r="L38" s="48" cm="1">
        <f t="array" ref="L38">_xlfn.IFS(YEAR(L$2)&lt;YEAR($I38),0,YEAR(L$2)=YEAR($I38),ROUND(((L$2-$I38+1)/365)*$D38,2),AND(YEAR(L$2)&gt;YEAR($I38),YEAR(L$2)-YEAR($I38)&lt;20),$D38,YEAR(L$2)-YEAR($I38)=20,ROUND((DATE(YEAR($I38),12,31)-$I38+1)/365*$D38,2),YEAR(L$2)-YEAR($I38)&gt;20,0)</f>
        <v>0</v>
      </c>
      <c r="M38" s="48" cm="1">
        <f t="array" ref="M38">_xlfn.IFS(YEAR(M$2)&lt;YEAR($I38),0,YEAR(M$2)=YEAR($I38),ROUND(((M$2-$I38+1)/365)*$D38,2),AND(YEAR(M$2)&gt;YEAR($I38),YEAR(M$2)-YEAR($I38)&lt;20),$D38,YEAR(M$2)-YEAR($I38)=20,ROUND((DATE(YEAR($I38),12,31)-$I38+1)/365*$D38,2),YEAR(M$2)-YEAR($I38)&gt;20,0)</f>
        <v>0</v>
      </c>
      <c r="N38" s="48" cm="1">
        <f t="array" ref="N38">_xlfn.IFS(YEAR(N$2)&lt;YEAR($I38),0,YEAR(N$2)=YEAR($I38),ROUND(((N$2-$I38+1)/365)*$D38,2),AND(YEAR(N$2)&gt;YEAR($I38),YEAR(N$2)-YEAR($I38)&lt;20),$D38,YEAR(N$2)-YEAR($I38)=20,ROUND((DATE(YEAR($I38),12,31)-$I38+1)/365*$D38,2),YEAR(N$2)-YEAR($I38)&gt;20,0)</f>
        <v>978.74</v>
      </c>
      <c r="O38" s="48" cm="1">
        <f t="array" ref="O38">_xlfn.IFS(YEAR(O$2)&lt;YEAR($I38),0,YEAR(O$2)=YEAR($I38),ROUND(((O$2-$I38+1)/365)*$D38,2),AND(YEAR(O$2)&gt;YEAR($I38),YEAR(O$2)-YEAR($I38)&lt;20),$D38,YEAR(O$2)-YEAR($I38)=20,ROUND((DATE(YEAR($I38),12,31)-$I38+1)/365*$D38,2),YEAR(O$2)-YEAR($I38)&gt;20,0)</f>
        <v>1560</v>
      </c>
      <c r="P38" s="48" cm="1">
        <f t="array" ref="P38">_xlfn.IFS(YEAR(P$2)&lt;YEAR($I38),0,YEAR(P$2)=YEAR($I38),ROUND(((P$2-$I38+1)/365)*$D38,2),AND(YEAR(P$2)&gt;YEAR($I38),YEAR(P$2)-YEAR($I38)&lt;20),$D38,YEAR(P$2)-YEAR($I38)=20,ROUND((DATE(YEAR($I38),12,31)-$I38+1)/365*$D38,2),YEAR(P$2)-YEAR($I38)&gt;20,0)</f>
        <v>1560</v>
      </c>
      <c r="Q38" s="48" cm="1">
        <f t="array" ref="Q38">_xlfn.IFS(YEAR(Q$2)&lt;YEAR($I38),0,YEAR(Q$2)=YEAR($I38),ROUND(((Q$2-$I38+1)/365)*$D38,2),AND(YEAR(Q$2)&gt;YEAR($I38),YEAR(Q$2)-YEAR($I38)&lt;20),$D38,YEAR(Q$2)-YEAR($I38)=20,ROUND((DATE(YEAR($I38),12,31)-$I38+1)/365*$D38,2),YEAR(Q$2)-YEAR($I38)&gt;20,0)</f>
        <v>1560</v>
      </c>
      <c r="R38" s="48" cm="1">
        <f t="array" ref="R38">_xlfn.IFS(YEAR(R$2)&lt;YEAR($I38),0,YEAR(R$2)=YEAR($I38),ROUND(((R$2-$I38+1)/365)*$D38,2),AND(YEAR(R$2)&gt;YEAR($I38),YEAR(R$2)-YEAR($I38)&lt;20),$D38,YEAR(R$2)-YEAR($I38)=20,ROUND((DATE(YEAR($I38),12,31)-$I38+1)/365*$D38,2),YEAR(R$2)-YEAR($I38)&gt;20,0)</f>
        <v>1560</v>
      </c>
      <c r="S38" s="48" cm="1">
        <f t="array" ref="S38">_xlfn.IFS(YEAR(S$2)&lt;YEAR($I38),0,YEAR(S$2)=YEAR($I38),ROUND(((S$2-$I38+1)/365)*$D38,2),AND(YEAR(S$2)&gt;YEAR($I38),YEAR(S$2)-YEAR($I38)&lt;20),$D38,YEAR(S$2)-YEAR($I38)=20,ROUND((DATE(YEAR($I38),12,31)-$I38+1)/365*$D38,2),YEAR(S$2)-YEAR($I38)&gt;20,0)</f>
        <v>1560</v>
      </c>
      <c r="T38" s="48" cm="1">
        <f t="array" ref="T38">_xlfn.IFS(YEAR(T$2)&lt;YEAR($I38),0,YEAR(T$2)=YEAR($I38),ROUND(((T$2-$I38+1)/365)*$D38,2),AND(YEAR(T$2)&gt;YEAR($I38),YEAR(T$2)-YEAR($I38)&lt;20),$D38,YEAR(T$2)-YEAR($I38)=20,ROUND((DATE(YEAR($I38),12,31)-$I38+1)/365*$D38,2),YEAR(T$2)-YEAR($I38)&gt;20,0)</f>
        <v>1560</v>
      </c>
      <c r="U38" s="48" cm="1">
        <f t="array" ref="U38">_xlfn.IFS(YEAR(U$2)&lt;YEAR($I38),0,YEAR(U$2)=YEAR($I38),ROUND(((U$2-$I38+1)/365)*$D38,2),AND(YEAR(U$2)&gt;YEAR($I38),YEAR(U$2)-YEAR($I38)&lt;20),$D38,YEAR(U$2)-YEAR($I38)=20,ROUND((DATE(YEAR($I38),12,31)-$I38+1)/365*$D38,2),YEAR(U$2)-YEAR($I38)&gt;20,0)</f>
        <v>1560</v>
      </c>
      <c r="V38" s="48" cm="1">
        <f t="array" ref="V38">_xlfn.IFS(YEAR(V$2)&lt;YEAR($I38),0,YEAR(V$2)=YEAR($I38),ROUND(((V$2-$I38+1)/365)*$D38,2),AND(YEAR(V$2)&gt;YEAR($I38),YEAR(V$2)-YEAR($I38)&lt;20),$D38,YEAR(V$2)-YEAR($I38)=20,ROUND((DATE(YEAR($I38),12,31)-$I38+1)/365*$D38,2),YEAR(V$2)-YEAR($I38)&gt;20,0)</f>
        <v>1560</v>
      </c>
      <c r="W38" s="48" cm="1">
        <f t="array" ref="W38">_xlfn.IFS(YEAR(W$2)&lt;YEAR($I38),0,YEAR(W$2)=YEAR($I38),ROUND(((W$2-$I38+1)/365)*$D38,2),AND(YEAR(W$2)&gt;YEAR($I38),YEAR(W$2)-YEAR($I38)&lt;20),$D38,YEAR(W$2)-YEAR($I38)=20,ROUND((DATE(YEAR($I38),12,31)-$I38+1)/365*$D38,2),YEAR(W$2)-YEAR($I38)&gt;20,0)</f>
        <v>1560</v>
      </c>
      <c r="X38" s="48" cm="1">
        <f t="array" ref="X38">_xlfn.IFS(YEAR(X$2)&lt;YEAR($I38),0,YEAR(X$2)=YEAR($I38),ROUND(((X$2-$I38+1)/365)*$D38,2),AND(YEAR(X$2)&gt;YEAR($I38),YEAR(X$2)-YEAR($I38)&lt;20),$D38,YEAR(X$2)-YEAR($I38)=20,ROUND((DATE(YEAR($I38),12,31)-$I38+1)/365*$D38,2),YEAR(X$2)-YEAR($I38)&gt;20,0)</f>
        <v>1560</v>
      </c>
      <c r="Y38" s="48" cm="1">
        <f t="array" ref="Y38">_xlfn.IFS(YEAR(Y$2)&lt;YEAR($I38),0,YEAR(Y$2)=YEAR($I38),ROUND(((Y$2-$I38+1)/365)*$D38,2),AND(YEAR(Y$2)&gt;YEAR($I38),YEAR(Y$2)-YEAR($I38)&lt;20),$D38,YEAR(Y$2)-YEAR($I38)=20,ROUND((DATE(YEAR($I38),12,31)-$I38+1)/365*$D38,2),YEAR(Y$2)-YEAR($I38)&gt;20,0)</f>
        <v>1560</v>
      </c>
      <c r="Z38" s="48" cm="1">
        <f t="array" ref="Z38">_xlfn.IFS(YEAR(Z$2)&lt;YEAR($I38),0,YEAR(Z$2)=YEAR($I38),ROUND(((Z$2-$I38+1)/365)*$D38,2),AND(YEAR(Z$2)&gt;YEAR($I38),YEAR(Z$2)-YEAR($I38)&lt;20),$D38,YEAR(Z$2)-YEAR($I38)=20,ROUND((DATE(YEAR($I38),12,31)-$I38+1)/365*$D38,2),YEAR(Z$2)-YEAR($I38)&gt;20,0)</f>
        <v>1560</v>
      </c>
      <c r="AA38" s="48" cm="1">
        <f t="array" ref="AA38">_xlfn.IFS(YEAR(AA$2)&lt;YEAR($I38),0,YEAR(AA$2)=YEAR($I38),ROUND(((AA$2-$I38+1)/365)*$D38,2),AND(YEAR(AA$2)&gt;YEAR($I38),YEAR(AA$2)-YEAR($I38)&lt;20),$D38,YEAR(AA$2)-YEAR($I38)=20,ROUND((DATE(YEAR($I38),12,31)-$I38+1)/365*$D38,2),YEAR(AA$2)-YEAR($I38)&gt;20,0)</f>
        <v>1560</v>
      </c>
      <c r="AB38" s="48" cm="1">
        <f t="array" ref="AB38">_xlfn.IFS(YEAR(AB$2)&lt;YEAR($I38),0,YEAR(AB$2)=YEAR($I38),ROUND(((AB$2-$I38+1)/365)*$D38,2),AND(YEAR(AB$2)&gt;YEAR($I38),YEAR(AB$2)-YEAR($I38)&lt;20),$D38,YEAR(AB$2)-YEAR($I38)=20,ROUND((DATE(YEAR($I38),12,31)-$I38+1)/365*$D38,2),YEAR(AB$2)-YEAR($I38)&gt;20,0)</f>
        <v>1560</v>
      </c>
      <c r="AC38" s="48" cm="1">
        <f t="array" ref="AC38">_xlfn.IFS(YEAR(AC$2)&lt;YEAR($I38),0,YEAR(AC$2)=YEAR($I38),ROUND(((AC$2-$I38+1)/365)*$D38,2),AND(YEAR(AC$2)&gt;YEAR($I38),YEAR(AC$2)-YEAR($I38)&lt;20),$D38,YEAR(AC$2)-YEAR($I38)=20,ROUND((DATE(YEAR($I38),12,31)-$I38+1)/365*$D38,2),YEAR(AC$2)-YEAR($I38)&gt;20,0)</f>
        <v>1560</v>
      </c>
      <c r="AD38" s="48" cm="1">
        <f t="array" ref="AD38">_xlfn.IFS(YEAR(AD$2)&lt;YEAR($I38),0,YEAR(AD$2)=YEAR($I38),ROUND(((AD$2-$I38+1)/365)*$D38,2),AND(YEAR(AD$2)&gt;YEAR($I38),YEAR(AD$2)-YEAR($I38)&lt;20),$D38,YEAR(AD$2)-YEAR($I38)=20,ROUND((DATE(YEAR($I38),12,31)-$I38+1)/365*$D38,2),YEAR(AD$2)-YEAR($I38)&gt;20,0)</f>
        <v>1560</v>
      </c>
      <c r="AE38" s="48" cm="1">
        <f t="array" ref="AE38">_xlfn.IFS(YEAR(AE$2)&lt;YEAR($I38),0,YEAR(AE$2)=YEAR($I38),ROUND(((AE$2-$I38+1)/365)*$D38,2),AND(YEAR(AE$2)&gt;YEAR($I38),YEAR(AE$2)-YEAR($I38)&lt;20),$D38,YEAR(AE$2)-YEAR($I38)=20,ROUND((DATE(YEAR($I38),12,31)-$I38+1)/365*$D38,2),YEAR(AE$2)-YEAR($I38)&gt;20,0)</f>
        <v>1560</v>
      </c>
      <c r="AF38" s="48" cm="1">
        <f t="array" ref="AF38">_xlfn.IFS(YEAR(AF$2)&lt;YEAR($I38),0,YEAR(AF$2)=YEAR($I38),ROUND(((AF$2-$I38+1)/365)*$D38,2),AND(YEAR(AF$2)&gt;YEAR($I38),YEAR(AF$2)-YEAR($I38)&lt;20),$D38,YEAR(AF$2)-YEAR($I38)=20,ROUND((DATE(YEAR($I38),12,31)-$I38+1)/365*$D38,2),YEAR(AF$2)-YEAR($I38)&gt;20,0)</f>
        <v>1560</v>
      </c>
      <c r="AG38" s="48" cm="1">
        <f t="array" ref="AG38">_xlfn.IFS(YEAR(AG$2)&lt;YEAR($I38),0,YEAR(AG$2)=YEAR($I38),ROUND(((AG$2-$I38+1)/365)*$D38,2),AND(YEAR(AG$2)&gt;YEAR($I38),YEAR(AG$2)-YEAR($I38)&lt;20),$D38,YEAR(AG$2)-YEAR($I38)=20,ROUND((DATE(YEAR($I38),12,31)-$I38+1)/365*$D38,2),YEAR(AG$2)-YEAR($I38)&gt;20,0)</f>
        <v>1560</v>
      </c>
      <c r="AH38" s="48" cm="1">
        <f t="array" ref="AH38">_xlfn.IFS(YEAR(AH$2)&lt;YEAR($I38),0,YEAR(AH$2)=YEAR($I38),ROUND(((AH$2-$I38+1)/365)*$D38,2),AND(YEAR(AH$2)&gt;YEAR($I38),YEAR(AH$2)-YEAR($I38)&lt;20),$D38,YEAR(AH$2)-YEAR($I38)=20,ROUND((DATE(YEAR($I38),12,31)-$I38+1)/365*$D38,2),YEAR(AH$2)-YEAR($I38)&gt;20,0)</f>
        <v>978.74</v>
      </c>
      <c r="AI38" s="48" cm="1">
        <f t="array" ref="AI38">_xlfn.IFS(YEAR(AI$2)&lt;YEAR($I38),0,YEAR(AI$2)=YEAR($I38),ROUND(((AI$2-$I38+1)/365)*$D38,2),AND(YEAR(AI$2)&gt;YEAR($I38),YEAR(AI$2)-YEAR($I38)&lt;20),$D38,YEAR(AI$2)-YEAR($I38)=20,ROUND((DATE(YEAR($I38),12,31)-$I38+1)/365*$D38,2),YEAR(AI$2)-YEAR($I38)&gt;20,0)</f>
        <v>0</v>
      </c>
      <c r="AJ38" s="48" cm="1">
        <f t="array" ref="AJ38">_xlfn.IFS(YEAR(AJ$2)&lt;YEAR($I38),0,YEAR(AJ$2)=YEAR($I38),ROUND(((AJ$2-$I38+1)/365)*$D38,2),AND(YEAR(AJ$2)&gt;YEAR($I38),YEAR(AJ$2)-YEAR($I38)&lt;20),$D38,YEAR(AJ$2)-YEAR($I38)=20,ROUND((DATE(YEAR($I38),12,31)-$I38+1)/365*$D38,2),YEAR(AJ$2)-YEAR($I38)&gt;20,0)</f>
        <v>0</v>
      </c>
      <c r="AK38" s="48" cm="1">
        <f t="array" ref="AK38">_xlfn.IFS(YEAR(AK$2)&lt;YEAR($I38),0,YEAR(AK$2)=YEAR($I38),ROUND(((AK$2-$I38+1)/365)*$D38,2),AND(YEAR(AK$2)&gt;YEAR($I38),YEAR(AK$2)-YEAR($I38)&lt;20),$D38,YEAR(AK$2)-YEAR($I38)=20,ROUND((DATE(YEAR($I38),12,31)-$I38+1)/365*$D38,2),YEAR(AK$2)-YEAR($I38)&gt;20,0)</f>
        <v>0</v>
      </c>
      <c r="AL38" s="48" cm="1">
        <f t="array" ref="AL38">_xlfn.IFS(YEAR(AL$2)&lt;YEAR($I38),0,YEAR(AL$2)=YEAR($I38),ROUND(((AL$2-$I38+1)/365)*$D38,2),AND(YEAR(AL$2)&gt;YEAR($I38),YEAR(AL$2)-YEAR($I38)&lt;20),$D38,YEAR(AL$2)-YEAR($I38)=20,ROUND((DATE(YEAR($I38),12,31)-$I38+1)/365*$D38,2),YEAR(AL$2)-YEAR($I38)&gt;20,0)</f>
        <v>0</v>
      </c>
      <c r="AM38" s="48" cm="1">
        <f t="array" ref="AM38">_xlfn.IFS(YEAR(AM$2)&lt;YEAR($I38),0,YEAR(AM$2)=YEAR($I38),ROUND(((AM$2-$I38+1)/365)*$D38,2),AND(YEAR(AM$2)&gt;YEAR($I38),YEAR(AM$2)-YEAR($I38)&lt;20),$D38,YEAR(AM$2)-YEAR($I38)=20,ROUND((DATE(YEAR($I38),12,31)-$I38+1)/365*$D38,2),YEAR(AM$2)-YEAR($I38)&gt;20,0)</f>
        <v>0</v>
      </c>
      <c r="AO38" s="48">
        <v>2039</v>
      </c>
      <c r="AP38" s="48">
        <v>0.04</v>
      </c>
      <c r="AQ38" s="48">
        <v>32.17</v>
      </c>
      <c r="AR38" s="48">
        <v>2.37</v>
      </c>
      <c r="AS38" s="48">
        <v>19.84</v>
      </c>
      <c r="AT38" s="48">
        <v>3.2800000000000002</v>
      </c>
      <c r="AU38" s="48">
        <v>43.25</v>
      </c>
      <c r="AV38" s="48">
        <v>37.69</v>
      </c>
      <c r="AW38" s="48">
        <v>43.78</v>
      </c>
      <c r="AX38" s="48">
        <v>28.61</v>
      </c>
      <c r="AY38" s="48">
        <v>0</v>
      </c>
      <c r="BA38" s="48">
        <f t="shared" si="1"/>
        <v>211.02999999999997</v>
      </c>
      <c r="BB38" s="48">
        <f t="shared" si="2"/>
        <v>0</v>
      </c>
    </row>
    <row r="39" spans="1:54">
      <c r="A39" s="155" t="str" cm="1">
        <f t="array" ref="A39">_xlfn.IFS(LEFT(C39,3)="PGE","PGE",LEFT(C39,2)="PP","PAC",TRUE,"IP")</f>
        <v>PGE</v>
      </c>
      <c r="B39" s="155" t="str">
        <f>IF(ISNA(MATCH(C39,'Monthly Report July 2025'!E:E,0)),"Missing","Present")</f>
        <v>Present</v>
      </c>
      <c r="C39" s="155" t="s">
        <v>148</v>
      </c>
      <c r="D39" s="176" cm="1">
        <f t="array" ref="D39">INDEX('Monthly Report July 2025'!L:L,MATCH(C39,'Monthly Report July 2025'!E:E,0),0)</f>
        <v>2500</v>
      </c>
      <c r="E39" s="176" t="str" cm="1">
        <f t="array" ref="E39">IF(INDEX('PA Fees by Project'!K:K,MATCH(C39,'PA Fees by Project'!E:E,0),0)="No","Non-Carve Out", "Carve Out")</f>
        <v>Non-Carve Out</v>
      </c>
      <c r="F39" s="176" cm="1">
        <f t="array" ref="F39">INDEX('PA Fees by Project'!J:J,MATCH(C39,'PA Fees by Project'!E:E,0),0)</f>
        <v>2</v>
      </c>
      <c r="G39" s="155" t="str" cm="1">
        <f t="array" ref="G39">INDEX('PA Fees by Project'!G:G,MATCH(C39,'PA Fees by Project'!E:E,0),0)</f>
        <v>Operational</v>
      </c>
      <c r="H39" s="175" cm="1">
        <f t="array" ref="H39">INDEX('PA Fees by Project'!Q:Q,MATCH(C39,'PA Fees by Project'!E:E,0),0)</f>
        <v>45642</v>
      </c>
      <c r="I39" s="156" cm="1">
        <f t="array" ref="I39">_xlfn.IFS(G39="Operational",H39,G39="Certified",EDATE(INDEX('PA Fees by Project'!R:R,MATCH(C39,'PA Fees by Project'!E:E,0),0),6),TRUE,EDATE(INDEX('PA Fees by Project'!O:O,MATCH(C39,'PA Fees by Project'!E:E,0),0),6))</f>
        <v>45642</v>
      </c>
      <c r="J39" s="48" cm="1">
        <f t="array" ref="J39">_xlfn.IFS(YEAR(J$2)&lt;YEAR($I39),0,YEAR(J$2)=YEAR($I39),ROUND(((J$2-$I39+1)/365)*$D39,2),AND(YEAR(J$2)&gt;YEAR($I39),YEAR(J$2)-YEAR($I39)&lt;20),$D39,YEAR(J$2)-YEAR($I39)=20,ROUND((DATE(YEAR($I39),12,31)-$I39+1)/365*$D39,2),YEAR(J$2)-YEAR($I39)&gt;20,0)</f>
        <v>0</v>
      </c>
      <c r="K39" s="48" cm="1">
        <f t="array" ref="K39">_xlfn.IFS(YEAR(K$2)&lt;YEAR($I39),0,YEAR(K$2)=YEAR($I39),ROUND(((K$2-$I39+1)/365)*$D39,2),AND(YEAR(K$2)&gt;YEAR($I39),YEAR(K$2)-YEAR($I39)&lt;20),$D39,YEAR(K$2)-YEAR($I39)=20,ROUND((DATE(YEAR($I39),12,31)-$I39+1)/365*$D39,2),YEAR(K$2)-YEAR($I39)&gt;20,0)</f>
        <v>0</v>
      </c>
      <c r="L39" s="48" cm="1">
        <f t="array" ref="L39">_xlfn.IFS(YEAR(L$2)&lt;YEAR($I39),0,YEAR(L$2)=YEAR($I39),ROUND(((L$2-$I39+1)/365)*$D39,2),AND(YEAR(L$2)&gt;YEAR($I39),YEAR(L$2)-YEAR($I39)&lt;20),$D39,YEAR(L$2)-YEAR($I39)=20,ROUND((DATE(YEAR($I39),12,31)-$I39+1)/365*$D39,2),YEAR(L$2)-YEAR($I39)&gt;20,0)</f>
        <v>0</v>
      </c>
      <c r="M39" s="48" cm="1">
        <f t="array" ref="M39">_xlfn.IFS(YEAR(M$2)&lt;YEAR($I39),0,YEAR(M$2)=YEAR($I39),ROUND(((M$2-$I39+1)/365)*$D39,2),AND(YEAR(M$2)&gt;YEAR($I39),YEAR(M$2)-YEAR($I39)&lt;20),$D39,YEAR(M$2)-YEAR($I39)=20,ROUND((DATE(YEAR($I39),12,31)-$I39+1)/365*$D39,2),YEAR(M$2)-YEAR($I39)&gt;20,0)</f>
        <v>109.59</v>
      </c>
      <c r="N39" s="48" cm="1">
        <f t="array" ref="N39">_xlfn.IFS(YEAR(N$2)&lt;YEAR($I39),0,YEAR(N$2)=YEAR($I39),ROUND(((N$2-$I39+1)/365)*$D39,2),AND(YEAR(N$2)&gt;YEAR($I39),YEAR(N$2)-YEAR($I39)&lt;20),$D39,YEAR(N$2)-YEAR($I39)=20,ROUND((DATE(YEAR($I39),12,31)-$I39+1)/365*$D39,2),YEAR(N$2)-YEAR($I39)&gt;20,0)</f>
        <v>2500</v>
      </c>
      <c r="O39" s="48" cm="1">
        <f t="array" ref="O39">_xlfn.IFS(YEAR(O$2)&lt;YEAR($I39),0,YEAR(O$2)=YEAR($I39),ROUND(((O$2-$I39+1)/365)*$D39,2),AND(YEAR(O$2)&gt;YEAR($I39),YEAR(O$2)-YEAR($I39)&lt;20),$D39,YEAR(O$2)-YEAR($I39)=20,ROUND((DATE(YEAR($I39),12,31)-$I39+1)/365*$D39,2),YEAR(O$2)-YEAR($I39)&gt;20,0)</f>
        <v>2500</v>
      </c>
      <c r="P39" s="48" cm="1">
        <f t="array" ref="P39">_xlfn.IFS(YEAR(P$2)&lt;YEAR($I39),0,YEAR(P$2)=YEAR($I39),ROUND(((P$2-$I39+1)/365)*$D39,2),AND(YEAR(P$2)&gt;YEAR($I39),YEAR(P$2)-YEAR($I39)&lt;20),$D39,YEAR(P$2)-YEAR($I39)=20,ROUND((DATE(YEAR($I39),12,31)-$I39+1)/365*$D39,2),YEAR(P$2)-YEAR($I39)&gt;20,0)</f>
        <v>2500</v>
      </c>
      <c r="Q39" s="48" cm="1">
        <f t="array" ref="Q39">_xlfn.IFS(YEAR(Q$2)&lt;YEAR($I39),0,YEAR(Q$2)=YEAR($I39),ROUND(((Q$2-$I39+1)/365)*$D39,2),AND(YEAR(Q$2)&gt;YEAR($I39),YEAR(Q$2)-YEAR($I39)&lt;20),$D39,YEAR(Q$2)-YEAR($I39)=20,ROUND((DATE(YEAR($I39),12,31)-$I39+1)/365*$D39,2),YEAR(Q$2)-YEAR($I39)&gt;20,0)</f>
        <v>2500</v>
      </c>
      <c r="R39" s="48" cm="1">
        <f t="array" ref="R39">_xlfn.IFS(YEAR(R$2)&lt;YEAR($I39),0,YEAR(R$2)=YEAR($I39),ROUND(((R$2-$I39+1)/365)*$D39,2),AND(YEAR(R$2)&gt;YEAR($I39),YEAR(R$2)-YEAR($I39)&lt;20),$D39,YEAR(R$2)-YEAR($I39)=20,ROUND((DATE(YEAR($I39),12,31)-$I39+1)/365*$D39,2),YEAR(R$2)-YEAR($I39)&gt;20,0)</f>
        <v>2500</v>
      </c>
      <c r="S39" s="48" cm="1">
        <f t="array" ref="S39">_xlfn.IFS(YEAR(S$2)&lt;YEAR($I39),0,YEAR(S$2)=YEAR($I39),ROUND(((S$2-$I39+1)/365)*$D39,2),AND(YEAR(S$2)&gt;YEAR($I39),YEAR(S$2)-YEAR($I39)&lt;20),$D39,YEAR(S$2)-YEAR($I39)=20,ROUND((DATE(YEAR($I39),12,31)-$I39+1)/365*$D39,2),YEAR(S$2)-YEAR($I39)&gt;20,0)</f>
        <v>2500</v>
      </c>
      <c r="T39" s="48" cm="1">
        <f t="array" ref="T39">_xlfn.IFS(YEAR(T$2)&lt;YEAR($I39),0,YEAR(T$2)=YEAR($I39),ROUND(((T$2-$I39+1)/365)*$D39,2),AND(YEAR(T$2)&gt;YEAR($I39),YEAR(T$2)-YEAR($I39)&lt;20),$D39,YEAR(T$2)-YEAR($I39)=20,ROUND((DATE(YEAR($I39),12,31)-$I39+1)/365*$D39,2),YEAR(T$2)-YEAR($I39)&gt;20,0)</f>
        <v>2500</v>
      </c>
      <c r="U39" s="48" cm="1">
        <f t="array" ref="U39">_xlfn.IFS(YEAR(U$2)&lt;YEAR($I39),0,YEAR(U$2)=YEAR($I39),ROUND(((U$2-$I39+1)/365)*$D39,2),AND(YEAR(U$2)&gt;YEAR($I39),YEAR(U$2)-YEAR($I39)&lt;20),$D39,YEAR(U$2)-YEAR($I39)=20,ROUND((DATE(YEAR($I39),12,31)-$I39+1)/365*$D39,2),YEAR(U$2)-YEAR($I39)&gt;20,0)</f>
        <v>2500</v>
      </c>
      <c r="V39" s="48" cm="1">
        <f t="array" ref="V39">_xlfn.IFS(YEAR(V$2)&lt;YEAR($I39),0,YEAR(V$2)=YEAR($I39),ROUND(((V$2-$I39+1)/365)*$D39,2),AND(YEAR(V$2)&gt;YEAR($I39),YEAR(V$2)-YEAR($I39)&lt;20),$D39,YEAR(V$2)-YEAR($I39)=20,ROUND((DATE(YEAR($I39),12,31)-$I39+1)/365*$D39,2),YEAR(V$2)-YEAR($I39)&gt;20,0)</f>
        <v>2500</v>
      </c>
      <c r="W39" s="48" cm="1">
        <f t="array" ref="W39">_xlfn.IFS(YEAR(W$2)&lt;YEAR($I39),0,YEAR(W$2)=YEAR($I39),ROUND(((W$2-$I39+1)/365)*$D39,2),AND(YEAR(W$2)&gt;YEAR($I39),YEAR(W$2)-YEAR($I39)&lt;20),$D39,YEAR(W$2)-YEAR($I39)=20,ROUND((DATE(YEAR($I39),12,31)-$I39+1)/365*$D39,2),YEAR(W$2)-YEAR($I39)&gt;20,0)</f>
        <v>2500</v>
      </c>
      <c r="X39" s="48" cm="1">
        <f t="array" ref="X39">_xlfn.IFS(YEAR(X$2)&lt;YEAR($I39),0,YEAR(X$2)=YEAR($I39),ROUND(((X$2-$I39+1)/365)*$D39,2),AND(YEAR(X$2)&gt;YEAR($I39),YEAR(X$2)-YEAR($I39)&lt;20),$D39,YEAR(X$2)-YEAR($I39)=20,ROUND((DATE(YEAR($I39),12,31)-$I39+1)/365*$D39,2),YEAR(X$2)-YEAR($I39)&gt;20,0)</f>
        <v>2500</v>
      </c>
      <c r="Y39" s="48" cm="1">
        <f t="array" ref="Y39">_xlfn.IFS(YEAR(Y$2)&lt;YEAR($I39),0,YEAR(Y$2)=YEAR($I39),ROUND(((Y$2-$I39+1)/365)*$D39,2),AND(YEAR(Y$2)&gt;YEAR($I39),YEAR(Y$2)-YEAR($I39)&lt;20),$D39,YEAR(Y$2)-YEAR($I39)=20,ROUND((DATE(YEAR($I39),12,31)-$I39+1)/365*$D39,2),YEAR(Y$2)-YEAR($I39)&gt;20,0)</f>
        <v>2500</v>
      </c>
      <c r="Z39" s="48" cm="1">
        <f t="array" ref="Z39">_xlfn.IFS(YEAR(Z$2)&lt;YEAR($I39),0,YEAR(Z$2)=YEAR($I39),ROUND(((Z$2-$I39+1)/365)*$D39,2),AND(YEAR(Z$2)&gt;YEAR($I39),YEAR(Z$2)-YEAR($I39)&lt;20),$D39,YEAR(Z$2)-YEAR($I39)=20,ROUND((DATE(YEAR($I39),12,31)-$I39+1)/365*$D39,2),YEAR(Z$2)-YEAR($I39)&gt;20,0)</f>
        <v>2500</v>
      </c>
      <c r="AA39" s="48" cm="1">
        <f t="array" ref="AA39">_xlfn.IFS(YEAR(AA$2)&lt;YEAR($I39),0,YEAR(AA$2)=YEAR($I39),ROUND(((AA$2-$I39+1)/365)*$D39,2),AND(YEAR(AA$2)&gt;YEAR($I39),YEAR(AA$2)-YEAR($I39)&lt;20),$D39,YEAR(AA$2)-YEAR($I39)=20,ROUND((DATE(YEAR($I39),12,31)-$I39+1)/365*$D39,2),YEAR(AA$2)-YEAR($I39)&gt;20,0)</f>
        <v>2500</v>
      </c>
      <c r="AB39" s="48" cm="1">
        <f t="array" ref="AB39">_xlfn.IFS(YEAR(AB$2)&lt;YEAR($I39),0,YEAR(AB$2)=YEAR($I39),ROUND(((AB$2-$I39+1)/365)*$D39,2),AND(YEAR(AB$2)&gt;YEAR($I39),YEAR(AB$2)-YEAR($I39)&lt;20),$D39,YEAR(AB$2)-YEAR($I39)=20,ROUND((DATE(YEAR($I39),12,31)-$I39+1)/365*$D39,2),YEAR(AB$2)-YEAR($I39)&gt;20,0)</f>
        <v>2500</v>
      </c>
      <c r="AC39" s="48" cm="1">
        <f t="array" ref="AC39">_xlfn.IFS(YEAR(AC$2)&lt;YEAR($I39),0,YEAR(AC$2)=YEAR($I39),ROUND(((AC$2-$I39+1)/365)*$D39,2),AND(YEAR(AC$2)&gt;YEAR($I39),YEAR(AC$2)-YEAR($I39)&lt;20),$D39,YEAR(AC$2)-YEAR($I39)=20,ROUND((DATE(YEAR($I39),12,31)-$I39+1)/365*$D39,2),YEAR(AC$2)-YEAR($I39)&gt;20,0)</f>
        <v>2500</v>
      </c>
      <c r="AD39" s="48" cm="1">
        <f t="array" ref="AD39">_xlfn.IFS(YEAR(AD$2)&lt;YEAR($I39),0,YEAR(AD$2)=YEAR($I39),ROUND(((AD$2-$I39+1)/365)*$D39,2),AND(YEAR(AD$2)&gt;YEAR($I39),YEAR(AD$2)-YEAR($I39)&lt;20),$D39,YEAR(AD$2)-YEAR($I39)=20,ROUND((DATE(YEAR($I39),12,31)-$I39+1)/365*$D39,2),YEAR(AD$2)-YEAR($I39)&gt;20,0)</f>
        <v>2500</v>
      </c>
      <c r="AE39" s="48" cm="1">
        <f t="array" ref="AE39">_xlfn.IFS(YEAR(AE$2)&lt;YEAR($I39),0,YEAR(AE$2)=YEAR($I39),ROUND(((AE$2-$I39+1)/365)*$D39,2),AND(YEAR(AE$2)&gt;YEAR($I39),YEAR(AE$2)-YEAR($I39)&lt;20),$D39,YEAR(AE$2)-YEAR($I39)=20,ROUND((DATE(YEAR($I39),12,31)-$I39+1)/365*$D39,2),YEAR(AE$2)-YEAR($I39)&gt;20,0)</f>
        <v>2500</v>
      </c>
      <c r="AF39" s="48" cm="1">
        <f t="array" ref="AF39">_xlfn.IFS(YEAR(AF$2)&lt;YEAR($I39),0,YEAR(AF$2)=YEAR($I39),ROUND(((AF$2-$I39+1)/365)*$D39,2),AND(YEAR(AF$2)&gt;YEAR($I39),YEAR(AF$2)-YEAR($I39)&lt;20),$D39,YEAR(AF$2)-YEAR($I39)=20,ROUND((DATE(YEAR($I39),12,31)-$I39+1)/365*$D39,2),YEAR(AF$2)-YEAR($I39)&gt;20,0)</f>
        <v>2500</v>
      </c>
      <c r="AG39" s="48" cm="1">
        <f t="array" ref="AG39">_xlfn.IFS(YEAR(AG$2)&lt;YEAR($I39),0,YEAR(AG$2)=YEAR($I39),ROUND(((AG$2-$I39+1)/365)*$D39,2),AND(YEAR(AG$2)&gt;YEAR($I39),YEAR(AG$2)-YEAR($I39)&lt;20),$D39,YEAR(AG$2)-YEAR($I39)=20,ROUND((DATE(YEAR($I39),12,31)-$I39+1)/365*$D39,2),YEAR(AG$2)-YEAR($I39)&gt;20,0)</f>
        <v>109.59</v>
      </c>
      <c r="AH39" s="48" cm="1">
        <f t="array" ref="AH39">_xlfn.IFS(YEAR(AH$2)&lt;YEAR($I39),0,YEAR(AH$2)=YEAR($I39),ROUND(((AH$2-$I39+1)/365)*$D39,2),AND(YEAR(AH$2)&gt;YEAR($I39),YEAR(AH$2)-YEAR($I39)&lt;20),$D39,YEAR(AH$2)-YEAR($I39)=20,ROUND((DATE(YEAR($I39),12,31)-$I39+1)/365*$D39,2),YEAR(AH$2)-YEAR($I39)&gt;20,0)</f>
        <v>0</v>
      </c>
      <c r="AI39" s="48" cm="1">
        <f t="array" ref="AI39">_xlfn.IFS(YEAR(AI$2)&lt;YEAR($I39),0,YEAR(AI$2)=YEAR($I39),ROUND(((AI$2-$I39+1)/365)*$D39,2),AND(YEAR(AI$2)&gt;YEAR($I39),YEAR(AI$2)-YEAR($I39)&lt;20),$D39,YEAR(AI$2)-YEAR($I39)=20,ROUND((DATE(YEAR($I39),12,31)-$I39+1)/365*$D39,2),YEAR(AI$2)-YEAR($I39)&gt;20,0)</f>
        <v>0</v>
      </c>
      <c r="AJ39" s="48" cm="1">
        <f t="array" ref="AJ39">_xlfn.IFS(YEAR(AJ$2)&lt;YEAR($I39),0,YEAR(AJ$2)=YEAR($I39),ROUND(((AJ$2-$I39+1)/365)*$D39,2),AND(YEAR(AJ$2)&gt;YEAR($I39),YEAR(AJ$2)-YEAR($I39)&lt;20),$D39,YEAR(AJ$2)-YEAR($I39)=20,ROUND((DATE(YEAR($I39),12,31)-$I39+1)/365*$D39,2),YEAR(AJ$2)-YEAR($I39)&gt;20,0)</f>
        <v>0</v>
      </c>
      <c r="AK39" s="48" cm="1">
        <f t="array" ref="AK39">_xlfn.IFS(YEAR(AK$2)&lt;YEAR($I39),0,YEAR(AK$2)=YEAR($I39),ROUND(((AK$2-$I39+1)/365)*$D39,2),AND(YEAR(AK$2)&gt;YEAR($I39),YEAR(AK$2)-YEAR($I39)&lt;20),$D39,YEAR(AK$2)-YEAR($I39)=20,ROUND((DATE(YEAR($I39),12,31)-$I39+1)/365*$D39,2),YEAR(AK$2)-YEAR($I39)&gt;20,0)</f>
        <v>0</v>
      </c>
      <c r="AL39" s="48" cm="1">
        <f t="array" ref="AL39">_xlfn.IFS(YEAR(AL$2)&lt;YEAR($I39),0,YEAR(AL$2)=YEAR($I39),ROUND(((AL$2-$I39+1)/365)*$D39,2),AND(YEAR(AL$2)&gt;YEAR($I39),YEAR(AL$2)-YEAR($I39)&lt;20),$D39,YEAR(AL$2)-YEAR($I39)=20,ROUND((DATE(YEAR($I39),12,31)-$I39+1)/365*$D39,2),YEAR(AL$2)-YEAR($I39)&gt;20,0)</f>
        <v>0</v>
      </c>
      <c r="AM39" s="48" cm="1">
        <f t="array" ref="AM39">_xlfn.IFS(YEAR(AM$2)&lt;YEAR($I39),0,YEAR(AM$2)=YEAR($I39),ROUND(((AM$2-$I39+1)/365)*$D39,2),AND(YEAR(AM$2)&gt;YEAR($I39),YEAR(AM$2)-YEAR($I39)&lt;20),$D39,YEAR(AM$2)-YEAR($I39)=20,ROUND((DATE(YEAR($I39),12,31)-$I39+1)/365*$D39,2),YEAR(AM$2)-YEAR($I39)&gt;20,0)</f>
        <v>0</v>
      </c>
      <c r="AO39" s="48">
        <v>2040</v>
      </c>
      <c r="AP39" s="48">
        <v>0.04</v>
      </c>
      <c r="AQ39" s="48">
        <v>32.17</v>
      </c>
      <c r="AR39" s="48">
        <v>2.37</v>
      </c>
      <c r="AS39" s="48">
        <v>19.84</v>
      </c>
      <c r="AT39" s="48">
        <v>3.2800000000000002</v>
      </c>
      <c r="AU39" s="48">
        <v>43.25</v>
      </c>
      <c r="AV39" s="48">
        <v>37.69</v>
      </c>
      <c r="AW39" s="48">
        <v>43.78</v>
      </c>
      <c r="AX39" s="48">
        <v>28.61</v>
      </c>
      <c r="AY39" s="48">
        <v>0</v>
      </c>
      <c r="BA39" s="48">
        <f t="shared" si="1"/>
        <v>211.02999999999997</v>
      </c>
      <c r="BB39" s="48">
        <f t="shared" si="2"/>
        <v>0</v>
      </c>
    </row>
    <row r="40" spans="1:54">
      <c r="A40" s="155" t="str" cm="1">
        <f t="array" ref="A40">_xlfn.IFS(LEFT(C40,3)="PGE","PGE",LEFT(C40,2)="PP","PAC",TRUE,"IP")</f>
        <v>PGE</v>
      </c>
      <c r="B40" s="155" t="str">
        <f>IF(ISNA(MATCH(C40,'Monthly Report July 2025'!E:E,0)),"Missing","Present")</f>
        <v>Present</v>
      </c>
      <c r="C40" s="155" t="s">
        <v>149</v>
      </c>
      <c r="D40" s="176" cm="1">
        <f t="array" ref="D40">INDEX('Monthly Report July 2025'!L:L,MATCH(C40,'Monthly Report July 2025'!E:E,0),0)</f>
        <v>1900</v>
      </c>
      <c r="E40" s="176" t="str" cm="1">
        <f t="array" ref="E40">IF(INDEX('PA Fees by Project'!K:K,MATCH(C40,'PA Fees by Project'!E:E,0),0)="No","Non-Carve Out", "Carve Out")</f>
        <v>Non-Carve Out</v>
      </c>
      <c r="F40" s="176" cm="1">
        <f t="array" ref="F40">INDEX('PA Fees by Project'!J:J,MATCH(C40,'PA Fees by Project'!E:E,0),0)</f>
        <v>2</v>
      </c>
      <c r="G40" s="155" t="str" cm="1">
        <f t="array" ref="G40">INDEX('PA Fees by Project'!G:G,MATCH(C40,'PA Fees by Project'!E:E,0),0)</f>
        <v>Operational</v>
      </c>
      <c r="H40" s="175" cm="1">
        <f t="array" ref="H40">INDEX('PA Fees by Project'!Q:Q,MATCH(C40,'PA Fees by Project'!E:E,0),0)</f>
        <v>45642</v>
      </c>
      <c r="I40" s="156" cm="1">
        <f t="array" ref="I40">_xlfn.IFS(G40="Operational",H40,G40="Certified",EDATE(INDEX('PA Fees by Project'!R:R,MATCH(C40,'PA Fees by Project'!E:E,0),0),6),TRUE,EDATE(INDEX('PA Fees by Project'!O:O,MATCH(C40,'PA Fees by Project'!E:E,0),0),6))</f>
        <v>45642</v>
      </c>
      <c r="J40" s="48" cm="1">
        <f t="array" ref="J40">_xlfn.IFS(YEAR(J$2)&lt;YEAR($I40),0,YEAR(J$2)=YEAR($I40),ROUND(((J$2-$I40+1)/365)*$D40,2),AND(YEAR(J$2)&gt;YEAR($I40),YEAR(J$2)-YEAR($I40)&lt;20),$D40,YEAR(J$2)-YEAR($I40)=20,ROUND((DATE(YEAR($I40),12,31)-$I40+1)/365*$D40,2),YEAR(J$2)-YEAR($I40)&gt;20,0)</f>
        <v>0</v>
      </c>
      <c r="K40" s="48" cm="1">
        <f t="array" ref="K40">_xlfn.IFS(YEAR(K$2)&lt;YEAR($I40),0,YEAR(K$2)=YEAR($I40),ROUND(((K$2-$I40+1)/365)*$D40,2),AND(YEAR(K$2)&gt;YEAR($I40),YEAR(K$2)-YEAR($I40)&lt;20),$D40,YEAR(K$2)-YEAR($I40)=20,ROUND((DATE(YEAR($I40),12,31)-$I40+1)/365*$D40,2),YEAR(K$2)-YEAR($I40)&gt;20,0)</f>
        <v>0</v>
      </c>
      <c r="L40" s="48" cm="1">
        <f t="array" ref="L40">_xlfn.IFS(YEAR(L$2)&lt;YEAR($I40),0,YEAR(L$2)=YEAR($I40),ROUND(((L$2-$I40+1)/365)*$D40,2),AND(YEAR(L$2)&gt;YEAR($I40),YEAR(L$2)-YEAR($I40)&lt;20),$D40,YEAR(L$2)-YEAR($I40)=20,ROUND((DATE(YEAR($I40),12,31)-$I40+1)/365*$D40,2),YEAR(L$2)-YEAR($I40)&gt;20,0)</f>
        <v>0</v>
      </c>
      <c r="M40" s="48" cm="1">
        <f t="array" ref="M40">_xlfn.IFS(YEAR(M$2)&lt;YEAR($I40),0,YEAR(M$2)=YEAR($I40),ROUND(((M$2-$I40+1)/365)*$D40,2),AND(YEAR(M$2)&gt;YEAR($I40),YEAR(M$2)-YEAR($I40)&lt;20),$D40,YEAR(M$2)-YEAR($I40)=20,ROUND((DATE(YEAR($I40),12,31)-$I40+1)/365*$D40,2),YEAR(M$2)-YEAR($I40)&gt;20,0)</f>
        <v>83.29</v>
      </c>
      <c r="N40" s="48" cm="1">
        <f t="array" ref="N40">_xlfn.IFS(YEAR(N$2)&lt;YEAR($I40),0,YEAR(N$2)=YEAR($I40),ROUND(((N$2-$I40+1)/365)*$D40,2),AND(YEAR(N$2)&gt;YEAR($I40),YEAR(N$2)-YEAR($I40)&lt;20),$D40,YEAR(N$2)-YEAR($I40)=20,ROUND((DATE(YEAR($I40),12,31)-$I40+1)/365*$D40,2),YEAR(N$2)-YEAR($I40)&gt;20,0)</f>
        <v>1900</v>
      </c>
      <c r="O40" s="48" cm="1">
        <f t="array" ref="O40">_xlfn.IFS(YEAR(O$2)&lt;YEAR($I40),0,YEAR(O$2)=YEAR($I40),ROUND(((O$2-$I40+1)/365)*$D40,2),AND(YEAR(O$2)&gt;YEAR($I40),YEAR(O$2)-YEAR($I40)&lt;20),$D40,YEAR(O$2)-YEAR($I40)=20,ROUND((DATE(YEAR($I40),12,31)-$I40+1)/365*$D40,2),YEAR(O$2)-YEAR($I40)&gt;20,0)</f>
        <v>1900</v>
      </c>
      <c r="P40" s="48" cm="1">
        <f t="array" ref="P40">_xlfn.IFS(YEAR(P$2)&lt;YEAR($I40),0,YEAR(P$2)=YEAR($I40),ROUND(((P$2-$I40+1)/365)*$D40,2),AND(YEAR(P$2)&gt;YEAR($I40),YEAR(P$2)-YEAR($I40)&lt;20),$D40,YEAR(P$2)-YEAR($I40)=20,ROUND((DATE(YEAR($I40),12,31)-$I40+1)/365*$D40,2),YEAR(P$2)-YEAR($I40)&gt;20,0)</f>
        <v>1900</v>
      </c>
      <c r="Q40" s="48" cm="1">
        <f t="array" ref="Q40">_xlfn.IFS(YEAR(Q$2)&lt;YEAR($I40),0,YEAR(Q$2)=YEAR($I40),ROUND(((Q$2-$I40+1)/365)*$D40,2),AND(YEAR(Q$2)&gt;YEAR($I40),YEAR(Q$2)-YEAR($I40)&lt;20),$D40,YEAR(Q$2)-YEAR($I40)=20,ROUND((DATE(YEAR($I40),12,31)-$I40+1)/365*$D40,2),YEAR(Q$2)-YEAR($I40)&gt;20,0)</f>
        <v>1900</v>
      </c>
      <c r="R40" s="48" cm="1">
        <f t="array" ref="R40">_xlfn.IFS(YEAR(R$2)&lt;YEAR($I40),0,YEAR(R$2)=YEAR($I40),ROUND(((R$2-$I40+1)/365)*$D40,2),AND(YEAR(R$2)&gt;YEAR($I40),YEAR(R$2)-YEAR($I40)&lt;20),$D40,YEAR(R$2)-YEAR($I40)=20,ROUND((DATE(YEAR($I40),12,31)-$I40+1)/365*$D40,2),YEAR(R$2)-YEAR($I40)&gt;20,0)</f>
        <v>1900</v>
      </c>
      <c r="S40" s="48" cm="1">
        <f t="array" ref="S40">_xlfn.IFS(YEAR(S$2)&lt;YEAR($I40),0,YEAR(S$2)=YEAR($I40),ROUND(((S$2-$I40+1)/365)*$D40,2),AND(YEAR(S$2)&gt;YEAR($I40),YEAR(S$2)-YEAR($I40)&lt;20),$D40,YEAR(S$2)-YEAR($I40)=20,ROUND((DATE(YEAR($I40),12,31)-$I40+1)/365*$D40,2),YEAR(S$2)-YEAR($I40)&gt;20,0)</f>
        <v>1900</v>
      </c>
      <c r="T40" s="48" cm="1">
        <f t="array" ref="T40">_xlfn.IFS(YEAR(T$2)&lt;YEAR($I40),0,YEAR(T$2)=YEAR($I40),ROUND(((T$2-$I40+1)/365)*$D40,2),AND(YEAR(T$2)&gt;YEAR($I40),YEAR(T$2)-YEAR($I40)&lt;20),$D40,YEAR(T$2)-YEAR($I40)=20,ROUND((DATE(YEAR($I40),12,31)-$I40+1)/365*$D40,2),YEAR(T$2)-YEAR($I40)&gt;20,0)</f>
        <v>1900</v>
      </c>
      <c r="U40" s="48" cm="1">
        <f t="array" ref="U40">_xlfn.IFS(YEAR(U$2)&lt;YEAR($I40),0,YEAR(U$2)=YEAR($I40),ROUND(((U$2-$I40+1)/365)*$D40,2),AND(YEAR(U$2)&gt;YEAR($I40),YEAR(U$2)-YEAR($I40)&lt;20),$D40,YEAR(U$2)-YEAR($I40)=20,ROUND((DATE(YEAR($I40),12,31)-$I40+1)/365*$D40,2),YEAR(U$2)-YEAR($I40)&gt;20,0)</f>
        <v>1900</v>
      </c>
      <c r="V40" s="48" cm="1">
        <f t="array" ref="V40">_xlfn.IFS(YEAR(V$2)&lt;YEAR($I40),0,YEAR(V$2)=YEAR($I40),ROUND(((V$2-$I40+1)/365)*$D40,2),AND(YEAR(V$2)&gt;YEAR($I40),YEAR(V$2)-YEAR($I40)&lt;20),$D40,YEAR(V$2)-YEAR($I40)=20,ROUND((DATE(YEAR($I40),12,31)-$I40+1)/365*$D40,2),YEAR(V$2)-YEAR($I40)&gt;20,0)</f>
        <v>1900</v>
      </c>
      <c r="W40" s="48" cm="1">
        <f t="array" ref="W40">_xlfn.IFS(YEAR(W$2)&lt;YEAR($I40),0,YEAR(W$2)=YEAR($I40),ROUND(((W$2-$I40+1)/365)*$D40,2),AND(YEAR(W$2)&gt;YEAR($I40),YEAR(W$2)-YEAR($I40)&lt;20),$D40,YEAR(W$2)-YEAR($I40)=20,ROUND((DATE(YEAR($I40),12,31)-$I40+1)/365*$D40,2),YEAR(W$2)-YEAR($I40)&gt;20,0)</f>
        <v>1900</v>
      </c>
      <c r="X40" s="48" cm="1">
        <f t="array" ref="X40">_xlfn.IFS(YEAR(X$2)&lt;YEAR($I40),0,YEAR(X$2)=YEAR($I40),ROUND(((X$2-$I40+1)/365)*$D40,2),AND(YEAR(X$2)&gt;YEAR($I40),YEAR(X$2)-YEAR($I40)&lt;20),$D40,YEAR(X$2)-YEAR($I40)=20,ROUND((DATE(YEAR($I40),12,31)-$I40+1)/365*$D40,2),YEAR(X$2)-YEAR($I40)&gt;20,0)</f>
        <v>1900</v>
      </c>
      <c r="Y40" s="48" cm="1">
        <f t="array" ref="Y40">_xlfn.IFS(YEAR(Y$2)&lt;YEAR($I40),0,YEAR(Y$2)=YEAR($I40),ROUND(((Y$2-$I40+1)/365)*$D40,2),AND(YEAR(Y$2)&gt;YEAR($I40),YEAR(Y$2)-YEAR($I40)&lt;20),$D40,YEAR(Y$2)-YEAR($I40)=20,ROUND((DATE(YEAR($I40),12,31)-$I40+1)/365*$D40,2),YEAR(Y$2)-YEAR($I40)&gt;20,0)</f>
        <v>1900</v>
      </c>
      <c r="Z40" s="48" cm="1">
        <f t="array" ref="Z40">_xlfn.IFS(YEAR(Z$2)&lt;YEAR($I40),0,YEAR(Z$2)=YEAR($I40),ROUND(((Z$2-$I40+1)/365)*$D40,2),AND(YEAR(Z$2)&gt;YEAR($I40),YEAR(Z$2)-YEAR($I40)&lt;20),$D40,YEAR(Z$2)-YEAR($I40)=20,ROUND((DATE(YEAR($I40),12,31)-$I40+1)/365*$D40,2),YEAR(Z$2)-YEAR($I40)&gt;20,0)</f>
        <v>1900</v>
      </c>
      <c r="AA40" s="48" cm="1">
        <f t="array" ref="AA40">_xlfn.IFS(YEAR(AA$2)&lt;YEAR($I40),0,YEAR(AA$2)=YEAR($I40),ROUND(((AA$2-$I40+1)/365)*$D40,2),AND(YEAR(AA$2)&gt;YEAR($I40),YEAR(AA$2)-YEAR($I40)&lt;20),$D40,YEAR(AA$2)-YEAR($I40)=20,ROUND((DATE(YEAR($I40),12,31)-$I40+1)/365*$D40,2),YEAR(AA$2)-YEAR($I40)&gt;20,0)</f>
        <v>1900</v>
      </c>
      <c r="AB40" s="48" cm="1">
        <f t="array" ref="AB40">_xlfn.IFS(YEAR(AB$2)&lt;YEAR($I40),0,YEAR(AB$2)=YEAR($I40),ROUND(((AB$2-$I40+1)/365)*$D40,2),AND(YEAR(AB$2)&gt;YEAR($I40),YEAR(AB$2)-YEAR($I40)&lt;20),$D40,YEAR(AB$2)-YEAR($I40)=20,ROUND((DATE(YEAR($I40),12,31)-$I40+1)/365*$D40,2),YEAR(AB$2)-YEAR($I40)&gt;20,0)</f>
        <v>1900</v>
      </c>
      <c r="AC40" s="48" cm="1">
        <f t="array" ref="AC40">_xlfn.IFS(YEAR(AC$2)&lt;YEAR($I40),0,YEAR(AC$2)=YEAR($I40),ROUND(((AC$2-$I40+1)/365)*$D40,2),AND(YEAR(AC$2)&gt;YEAR($I40),YEAR(AC$2)-YEAR($I40)&lt;20),$D40,YEAR(AC$2)-YEAR($I40)=20,ROUND((DATE(YEAR($I40),12,31)-$I40+1)/365*$D40,2),YEAR(AC$2)-YEAR($I40)&gt;20,0)</f>
        <v>1900</v>
      </c>
      <c r="AD40" s="48" cm="1">
        <f t="array" ref="AD40">_xlfn.IFS(YEAR(AD$2)&lt;YEAR($I40),0,YEAR(AD$2)=YEAR($I40),ROUND(((AD$2-$I40+1)/365)*$D40,2),AND(YEAR(AD$2)&gt;YEAR($I40),YEAR(AD$2)-YEAR($I40)&lt;20),$D40,YEAR(AD$2)-YEAR($I40)=20,ROUND((DATE(YEAR($I40),12,31)-$I40+1)/365*$D40,2),YEAR(AD$2)-YEAR($I40)&gt;20,0)</f>
        <v>1900</v>
      </c>
      <c r="AE40" s="48" cm="1">
        <f t="array" ref="AE40">_xlfn.IFS(YEAR(AE$2)&lt;YEAR($I40),0,YEAR(AE$2)=YEAR($I40),ROUND(((AE$2-$I40+1)/365)*$D40,2),AND(YEAR(AE$2)&gt;YEAR($I40),YEAR(AE$2)-YEAR($I40)&lt;20),$D40,YEAR(AE$2)-YEAR($I40)=20,ROUND((DATE(YEAR($I40),12,31)-$I40+1)/365*$D40,2),YEAR(AE$2)-YEAR($I40)&gt;20,0)</f>
        <v>1900</v>
      </c>
      <c r="AF40" s="48" cm="1">
        <f t="array" ref="AF40">_xlfn.IFS(YEAR(AF$2)&lt;YEAR($I40),0,YEAR(AF$2)=YEAR($I40),ROUND(((AF$2-$I40+1)/365)*$D40,2),AND(YEAR(AF$2)&gt;YEAR($I40),YEAR(AF$2)-YEAR($I40)&lt;20),$D40,YEAR(AF$2)-YEAR($I40)=20,ROUND((DATE(YEAR($I40),12,31)-$I40+1)/365*$D40,2),YEAR(AF$2)-YEAR($I40)&gt;20,0)</f>
        <v>1900</v>
      </c>
      <c r="AG40" s="48" cm="1">
        <f t="array" ref="AG40">_xlfn.IFS(YEAR(AG$2)&lt;YEAR($I40),0,YEAR(AG$2)=YEAR($I40),ROUND(((AG$2-$I40+1)/365)*$D40,2),AND(YEAR(AG$2)&gt;YEAR($I40),YEAR(AG$2)-YEAR($I40)&lt;20),$D40,YEAR(AG$2)-YEAR($I40)=20,ROUND((DATE(YEAR($I40),12,31)-$I40+1)/365*$D40,2),YEAR(AG$2)-YEAR($I40)&gt;20,0)</f>
        <v>83.29</v>
      </c>
      <c r="AH40" s="48" cm="1">
        <f t="array" ref="AH40">_xlfn.IFS(YEAR(AH$2)&lt;YEAR($I40),0,YEAR(AH$2)=YEAR($I40),ROUND(((AH$2-$I40+1)/365)*$D40,2),AND(YEAR(AH$2)&gt;YEAR($I40),YEAR(AH$2)-YEAR($I40)&lt;20),$D40,YEAR(AH$2)-YEAR($I40)=20,ROUND((DATE(YEAR($I40),12,31)-$I40+1)/365*$D40,2),YEAR(AH$2)-YEAR($I40)&gt;20,0)</f>
        <v>0</v>
      </c>
      <c r="AI40" s="48" cm="1">
        <f t="array" ref="AI40">_xlfn.IFS(YEAR(AI$2)&lt;YEAR($I40),0,YEAR(AI$2)=YEAR($I40),ROUND(((AI$2-$I40+1)/365)*$D40,2),AND(YEAR(AI$2)&gt;YEAR($I40),YEAR(AI$2)-YEAR($I40)&lt;20),$D40,YEAR(AI$2)-YEAR($I40)=20,ROUND((DATE(YEAR($I40),12,31)-$I40+1)/365*$D40,2),YEAR(AI$2)-YEAR($I40)&gt;20,0)</f>
        <v>0</v>
      </c>
      <c r="AJ40" s="48" cm="1">
        <f t="array" ref="AJ40">_xlfn.IFS(YEAR(AJ$2)&lt;YEAR($I40),0,YEAR(AJ$2)=YEAR($I40),ROUND(((AJ$2-$I40+1)/365)*$D40,2),AND(YEAR(AJ$2)&gt;YEAR($I40),YEAR(AJ$2)-YEAR($I40)&lt;20),$D40,YEAR(AJ$2)-YEAR($I40)=20,ROUND((DATE(YEAR($I40),12,31)-$I40+1)/365*$D40,2),YEAR(AJ$2)-YEAR($I40)&gt;20,0)</f>
        <v>0</v>
      </c>
      <c r="AK40" s="48" cm="1">
        <f t="array" ref="AK40">_xlfn.IFS(YEAR(AK$2)&lt;YEAR($I40),0,YEAR(AK$2)=YEAR($I40),ROUND(((AK$2-$I40+1)/365)*$D40,2),AND(YEAR(AK$2)&gt;YEAR($I40),YEAR(AK$2)-YEAR($I40)&lt;20),$D40,YEAR(AK$2)-YEAR($I40)=20,ROUND((DATE(YEAR($I40),12,31)-$I40+1)/365*$D40,2),YEAR(AK$2)-YEAR($I40)&gt;20,0)</f>
        <v>0</v>
      </c>
      <c r="AL40" s="48" cm="1">
        <f t="array" ref="AL40">_xlfn.IFS(YEAR(AL$2)&lt;YEAR($I40),0,YEAR(AL$2)=YEAR($I40),ROUND(((AL$2-$I40+1)/365)*$D40,2),AND(YEAR(AL$2)&gt;YEAR($I40),YEAR(AL$2)-YEAR($I40)&lt;20),$D40,YEAR(AL$2)-YEAR($I40)=20,ROUND((DATE(YEAR($I40),12,31)-$I40+1)/365*$D40,2),YEAR(AL$2)-YEAR($I40)&gt;20,0)</f>
        <v>0</v>
      </c>
      <c r="AM40" s="48" cm="1">
        <f t="array" ref="AM40">_xlfn.IFS(YEAR(AM$2)&lt;YEAR($I40),0,YEAR(AM$2)=YEAR($I40),ROUND(((AM$2-$I40+1)/365)*$D40,2),AND(YEAR(AM$2)&gt;YEAR($I40),YEAR(AM$2)-YEAR($I40)&lt;20),$D40,YEAR(AM$2)-YEAR($I40)=20,ROUND((DATE(YEAR($I40),12,31)-$I40+1)/365*$D40,2),YEAR(AM$2)-YEAR($I40)&gt;20,0)</f>
        <v>0</v>
      </c>
      <c r="AO40" s="48">
        <v>2041</v>
      </c>
      <c r="AP40" s="48">
        <v>0.04</v>
      </c>
      <c r="AQ40" s="48">
        <v>29.07</v>
      </c>
      <c r="AR40" s="48">
        <v>2.37</v>
      </c>
      <c r="AS40" s="48">
        <v>19.84</v>
      </c>
      <c r="AT40" s="48">
        <v>3.2800000000000002</v>
      </c>
      <c r="AU40" s="48">
        <v>43.25</v>
      </c>
      <c r="AV40" s="48">
        <v>37.69</v>
      </c>
      <c r="AW40" s="48">
        <v>43.78</v>
      </c>
      <c r="AX40" s="48">
        <v>28.61</v>
      </c>
      <c r="AY40" s="48">
        <v>0</v>
      </c>
      <c r="BA40" s="48">
        <f t="shared" si="1"/>
        <v>207.93</v>
      </c>
      <c r="BB40" s="48">
        <f t="shared" si="2"/>
        <v>-3.0999999999999659</v>
      </c>
    </row>
    <row r="41" spans="1:54">
      <c r="A41" s="155" t="str" cm="1">
        <f t="array" ref="A41">_xlfn.IFS(LEFT(C41,3)="PGE","PGE",LEFT(C41,2)="PP","PAC",TRUE,"IP")</f>
        <v>PGE</v>
      </c>
      <c r="B41" s="155" t="str">
        <f>IF(ISNA(MATCH(C41,'Monthly Report July 2025'!E:E,0)),"Missing","Present")</f>
        <v>Present</v>
      </c>
      <c r="C41" s="155" t="s">
        <v>150</v>
      </c>
      <c r="D41" s="176" cm="1">
        <f t="array" ref="D41">INDEX('Monthly Report July 2025'!L:L,MATCH(C41,'Monthly Report July 2025'!E:E,0),0)</f>
        <v>2000</v>
      </c>
      <c r="E41" s="176" t="str" cm="1">
        <f t="array" ref="E41">IF(INDEX('PA Fees by Project'!K:K,MATCH(C41,'PA Fees by Project'!E:E,0),0)="No","Non-Carve Out", "Carve Out")</f>
        <v>Non-Carve Out</v>
      </c>
      <c r="F41" s="176" cm="1">
        <f t="array" ref="F41">INDEX('PA Fees by Project'!J:J,MATCH(C41,'PA Fees by Project'!E:E,0),0)</f>
        <v>2</v>
      </c>
      <c r="G41" s="155" t="str" cm="1">
        <f t="array" ref="G41">INDEX('PA Fees by Project'!G:G,MATCH(C41,'PA Fees by Project'!E:E,0),0)</f>
        <v>Operational</v>
      </c>
      <c r="H41" s="175" cm="1">
        <f t="array" ref="H41">INDEX('PA Fees by Project'!Q:Q,MATCH(C41,'PA Fees by Project'!E:E,0),0)</f>
        <v>45726</v>
      </c>
      <c r="I41" s="156" cm="1">
        <f t="array" ref="I41">_xlfn.IFS(G41="Operational",H41,G41="Certified",EDATE(INDEX('PA Fees by Project'!R:R,MATCH(C41,'PA Fees by Project'!E:E,0),0),6),TRUE,EDATE(INDEX('PA Fees by Project'!O:O,MATCH(C41,'PA Fees by Project'!E:E,0),0),6))</f>
        <v>45726</v>
      </c>
      <c r="J41" s="48" cm="1">
        <f t="array" ref="J41">_xlfn.IFS(YEAR(J$2)&lt;YEAR($I41),0,YEAR(J$2)=YEAR($I41),ROUND(((J$2-$I41+1)/365)*$D41,2),AND(YEAR(J$2)&gt;YEAR($I41),YEAR(J$2)-YEAR($I41)&lt;20),$D41,YEAR(J$2)-YEAR($I41)=20,ROUND((DATE(YEAR($I41),12,31)-$I41+1)/365*$D41,2),YEAR(J$2)-YEAR($I41)&gt;20,0)</f>
        <v>0</v>
      </c>
      <c r="K41" s="48" cm="1">
        <f t="array" ref="K41">_xlfn.IFS(YEAR(K$2)&lt;YEAR($I41),0,YEAR(K$2)=YEAR($I41),ROUND(((K$2-$I41+1)/365)*$D41,2),AND(YEAR(K$2)&gt;YEAR($I41),YEAR(K$2)-YEAR($I41)&lt;20),$D41,YEAR(K$2)-YEAR($I41)=20,ROUND((DATE(YEAR($I41),12,31)-$I41+1)/365*$D41,2),YEAR(K$2)-YEAR($I41)&gt;20,0)</f>
        <v>0</v>
      </c>
      <c r="L41" s="48" cm="1">
        <f t="array" ref="L41">_xlfn.IFS(YEAR(L$2)&lt;YEAR($I41),0,YEAR(L$2)=YEAR($I41),ROUND(((L$2-$I41+1)/365)*$D41,2),AND(YEAR(L$2)&gt;YEAR($I41),YEAR(L$2)-YEAR($I41)&lt;20),$D41,YEAR(L$2)-YEAR($I41)=20,ROUND((DATE(YEAR($I41),12,31)-$I41+1)/365*$D41,2),YEAR(L$2)-YEAR($I41)&gt;20,0)</f>
        <v>0</v>
      </c>
      <c r="M41" s="48" cm="1">
        <f t="array" ref="M41">_xlfn.IFS(YEAR(M$2)&lt;YEAR($I41),0,YEAR(M$2)=YEAR($I41),ROUND(((M$2-$I41+1)/365)*$D41,2),AND(YEAR(M$2)&gt;YEAR($I41),YEAR(M$2)-YEAR($I41)&lt;20),$D41,YEAR(M$2)-YEAR($I41)=20,ROUND((DATE(YEAR($I41),12,31)-$I41+1)/365*$D41,2),YEAR(M$2)-YEAR($I41)&gt;20,0)</f>
        <v>0</v>
      </c>
      <c r="N41" s="48" cm="1">
        <f t="array" ref="N41">_xlfn.IFS(YEAR(N$2)&lt;YEAR($I41),0,YEAR(N$2)=YEAR($I41),ROUND(((N$2-$I41+1)/365)*$D41,2),AND(YEAR(N$2)&gt;YEAR($I41),YEAR(N$2)-YEAR($I41)&lt;20),$D41,YEAR(N$2)-YEAR($I41)=20,ROUND((DATE(YEAR($I41),12,31)-$I41+1)/365*$D41,2),YEAR(N$2)-YEAR($I41)&gt;20,0)</f>
        <v>1627.4</v>
      </c>
      <c r="O41" s="48" cm="1">
        <f t="array" ref="O41">_xlfn.IFS(YEAR(O$2)&lt;YEAR($I41),0,YEAR(O$2)=YEAR($I41),ROUND(((O$2-$I41+1)/365)*$D41,2),AND(YEAR(O$2)&gt;YEAR($I41),YEAR(O$2)-YEAR($I41)&lt;20),$D41,YEAR(O$2)-YEAR($I41)=20,ROUND((DATE(YEAR($I41),12,31)-$I41+1)/365*$D41,2),YEAR(O$2)-YEAR($I41)&gt;20,0)</f>
        <v>2000</v>
      </c>
      <c r="P41" s="48" cm="1">
        <f t="array" ref="P41">_xlfn.IFS(YEAR(P$2)&lt;YEAR($I41),0,YEAR(P$2)=YEAR($I41),ROUND(((P$2-$I41+1)/365)*$D41,2),AND(YEAR(P$2)&gt;YEAR($I41),YEAR(P$2)-YEAR($I41)&lt;20),$D41,YEAR(P$2)-YEAR($I41)=20,ROUND((DATE(YEAR($I41),12,31)-$I41+1)/365*$D41,2),YEAR(P$2)-YEAR($I41)&gt;20,0)</f>
        <v>2000</v>
      </c>
      <c r="Q41" s="48" cm="1">
        <f t="array" ref="Q41">_xlfn.IFS(YEAR(Q$2)&lt;YEAR($I41),0,YEAR(Q$2)=YEAR($I41),ROUND(((Q$2-$I41+1)/365)*$D41,2),AND(YEAR(Q$2)&gt;YEAR($I41),YEAR(Q$2)-YEAR($I41)&lt;20),$D41,YEAR(Q$2)-YEAR($I41)=20,ROUND((DATE(YEAR($I41),12,31)-$I41+1)/365*$D41,2),YEAR(Q$2)-YEAR($I41)&gt;20,0)</f>
        <v>2000</v>
      </c>
      <c r="R41" s="48" cm="1">
        <f t="array" ref="R41">_xlfn.IFS(YEAR(R$2)&lt;YEAR($I41),0,YEAR(R$2)=YEAR($I41),ROUND(((R$2-$I41+1)/365)*$D41,2),AND(YEAR(R$2)&gt;YEAR($I41),YEAR(R$2)-YEAR($I41)&lt;20),$D41,YEAR(R$2)-YEAR($I41)=20,ROUND((DATE(YEAR($I41),12,31)-$I41+1)/365*$D41,2),YEAR(R$2)-YEAR($I41)&gt;20,0)</f>
        <v>2000</v>
      </c>
      <c r="S41" s="48" cm="1">
        <f t="array" ref="S41">_xlfn.IFS(YEAR(S$2)&lt;YEAR($I41),0,YEAR(S$2)=YEAR($I41),ROUND(((S$2-$I41+1)/365)*$D41,2),AND(YEAR(S$2)&gt;YEAR($I41),YEAR(S$2)-YEAR($I41)&lt;20),$D41,YEAR(S$2)-YEAR($I41)=20,ROUND((DATE(YEAR($I41),12,31)-$I41+1)/365*$D41,2),YEAR(S$2)-YEAR($I41)&gt;20,0)</f>
        <v>2000</v>
      </c>
      <c r="T41" s="48" cm="1">
        <f t="array" ref="T41">_xlfn.IFS(YEAR(T$2)&lt;YEAR($I41),0,YEAR(T$2)=YEAR($I41),ROUND(((T$2-$I41+1)/365)*$D41,2),AND(YEAR(T$2)&gt;YEAR($I41),YEAR(T$2)-YEAR($I41)&lt;20),$D41,YEAR(T$2)-YEAR($I41)=20,ROUND((DATE(YEAR($I41),12,31)-$I41+1)/365*$D41,2),YEAR(T$2)-YEAR($I41)&gt;20,0)</f>
        <v>2000</v>
      </c>
      <c r="U41" s="48" cm="1">
        <f t="array" ref="U41">_xlfn.IFS(YEAR(U$2)&lt;YEAR($I41),0,YEAR(U$2)=YEAR($I41),ROUND(((U$2-$I41+1)/365)*$D41,2),AND(YEAR(U$2)&gt;YEAR($I41),YEAR(U$2)-YEAR($I41)&lt;20),$D41,YEAR(U$2)-YEAR($I41)=20,ROUND((DATE(YEAR($I41),12,31)-$I41+1)/365*$D41,2),YEAR(U$2)-YEAR($I41)&gt;20,0)</f>
        <v>2000</v>
      </c>
      <c r="V41" s="48" cm="1">
        <f t="array" ref="V41">_xlfn.IFS(YEAR(V$2)&lt;YEAR($I41),0,YEAR(V$2)=YEAR($I41),ROUND(((V$2-$I41+1)/365)*$D41,2),AND(YEAR(V$2)&gt;YEAR($I41),YEAR(V$2)-YEAR($I41)&lt;20),$D41,YEAR(V$2)-YEAR($I41)=20,ROUND((DATE(YEAR($I41),12,31)-$I41+1)/365*$D41,2),YEAR(V$2)-YEAR($I41)&gt;20,0)</f>
        <v>2000</v>
      </c>
      <c r="W41" s="48" cm="1">
        <f t="array" ref="W41">_xlfn.IFS(YEAR(W$2)&lt;YEAR($I41),0,YEAR(W$2)=YEAR($I41),ROUND(((W$2-$I41+1)/365)*$D41,2),AND(YEAR(W$2)&gt;YEAR($I41),YEAR(W$2)-YEAR($I41)&lt;20),$D41,YEAR(W$2)-YEAR($I41)=20,ROUND((DATE(YEAR($I41),12,31)-$I41+1)/365*$D41,2),YEAR(W$2)-YEAR($I41)&gt;20,0)</f>
        <v>2000</v>
      </c>
      <c r="X41" s="48" cm="1">
        <f t="array" ref="X41">_xlfn.IFS(YEAR(X$2)&lt;YEAR($I41),0,YEAR(X$2)=YEAR($I41),ROUND(((X$2-$I41+1)/365)*$D41,2),AND(YEAR(X$2)&gt;YEAR($I41),YEAR(X$2)-YEAR($I41)&lt;20),$D41,YEAR(X$2)-YEAR($I41)=20,ROUND((DATE(YEAR($I41),12,31)-$I41+1)/365*$D41,2),YEAR(X$2)-YEAR($I41)&gt;20,0)</f>
        <v>2000</v>
      </c>
      <c r="Y41" s="48" cm="1">
        <f t="array" ref="Y41">_xlfn.IFS(YEAR(Y$2)&lt;YEAR($I41),0,YEAR(Y$2)=YEAR($I41),ROUND(((Y$2-$I41+1)/365)*$D41,2),AND(YEAR(Y$2)&gt;YEAR($I41),YEAR(Y$2)-YEAR($I41)&lt;20),$D41,YEAR(Y$2)-YEAR($I41)=20,ROUND((DATE(YEAR($I41),12,31)-$I41+1)/365*$D41,2),YEAR(Y$2)-YEAR($I41)&gt;20,0)</f>
        <v>2000</v>
      </c>
      <c r="Z41" s="48" cm="1">
        <f t="array" ref="Z41">_xlfn.IFS(YEAR(Z$2)&lt;YEAR($I41),0,YEAR(Z$2)=YEAR($I41),ROUND(((Z$2-$I41+1)/365)*$D41,2),AND(YEAR(Z$2)&gt;YEAR($I41),YEAR(Z$2)-YEAR($I41)&lt;20),$D41,YEAR(Z$2)-YEAR($I41)=20,ROUND((DATE(YEAR($I41),12,31)-$I41+1)/365*$D41,2),YEAR(Z$2)-YEAR($I41)&gt;20,0)</f>
        <v>2000</v>
      </c>
      <c r="AA41" s="48" cm="1">
        <f t="array" ref="AA41">_xlfn.IFS(YEAR(AA$2)&lt;YEAR($I41),0,YEAR(AA$2)=YEAR($I41),ROUND(((AA$2-$I41+1)/365)*$D41,2),AND(YEAR(AA$2)&gt;YEAR($I41),YEAR(AA$2)-YEAR($I41)&lt;20),$D41,YEAR(AA$2)-YEAR($I41)=20,ROUND((DATE(YEAR($I41),12,31)-$I41+1)/365*$D41,2),YEAR(AA$2)-YEAR($I41)&gt;20,0)</f>
        <v>2000</v>
      </c>
      <c r="AB41" s="48" cm="1">
        <f t="array" ref="AB41">_xlfn.IFS(YEAR(AB$2)&lt;YEAR($I41),0,YEAR(AB$2)=YEAR($I41),ROUND(((AB$2-$I41+1)/365)*$D41,2),AND(YEAR(AB$2)&gt;YEAR($I41),YEAR(AB$2)-YEAR($I41)&lt;20),$D41,YEAR(AB$2)-YEAR($I41)=20,ROUND((DATE(YEAR($I41),12,31)-$I41+1)/365*$D41,2),YEAR(AB$2)-YEAR($I41)&gt;20,0)</f>
        <v>2000</v>
      </c>
      <c r="AC41" s="48" cm="1">
        <f t="array" ref="AC41">_xlfn.IFS(YEAR(AC$2)&lt;YEAR($I41),0,YEAR(AC$2)=YEAR($I41),ROUND(((AC$2-$I41+1)/365)*$D41,2),AND(YEAR(AC$2)&gt;YEAR($I41),YEAR(AC$2)-YEAR($I41)&lt;20),$D41,YEAR(AC$2)-YEAR($I41)=20,ROUND((DATE(YEAR($I41),12,31)-$I41+1)/365*$D41,2),YEAR(AC$2)-YEAR($I41)&gt;20,0)</f>
        <v>2000</v>
      </c>
      <c r="AD41" s="48" cm="1">
        <f t="array" ref="AD41">_xlfn.IFS(YEAR(AD$2)&lt;YEAR($I41),0,YEAR(AD$2)=YEAR($I41),ROUND(((AD$2-$I41+1)/365)*$D41,2),AND(YEAR(AD$2)&gt;YEAR($I41),YEAR(AD$2)-YEAR($I41)&lt;20),$D41,YEAR(AD$2)-YEAR($I41)=20,ROUND((DATE(YEAR($I41),12,31)-$I41+1)/365*$D41,2),YEAR(AD$2)-YEAR($I41)&gt;20,0)</f>
        <v>2000</v>
      </c>
      <c r="AE41" s="48" cm="1">
        <f t="array" ref="AE41">_xlfn.IFS(YEAR(AE$2)&lt;YEAR($I41),0,YEAR(AE$2)=YEAR($I41),ROUND(((AE$2-$I41+1)/365)*$D41,2),AND(YEAR(AE$2)&gt;YEAR($I41),YEAR(AE$2)-YEAR($I41)&lt;20),$D41,YEAR(AE$2)-YEAR($I41)=20,ROUND((DATE(YEAR($I41),12,31)-$I41+1)/365*$D41,2),YEAR(AE$2)-YEAR($I41)&gt;20,0)</f>
        <v>2000</v>
      </c>
      <c r="AF41" s="48" cm="1">
        <f t="array" ref="AF41">_xlfn.IFS(YEAR(AF$2)&lt;YEAR($I41),0,YEAR(AF$2)=YEAR($I41),ROUND(((AF$2-$I41+1)/365)*$D41,2),AND(YEAR(AF$2)&gt;YEAR($I41),YEAR(AF$2)-YEAR($I41)&lt;20),$D41,YEAR(AF$2)-YEAR($I41)=20,ROUND((DATE(YEAR($I41),12,31)-$I41+1)/365*$D41,2),YEAR(AF$2)-YEAR($I41)&gt;20,0)</f>
        <v>2000</v>
      </c>
      <c r="AG41" s="48" cm="1">
        <f t="array" ref="AG41">_xlfn.IFS(YEAR(AG$2)&lt;YEAR($I41),0,YEAR(AG$2)=YEAR($I41),ROUND(((AG$2-$I41+1)/365)*$D41,2),AND(YEAR(AG$2)&gt;YEAR($I41),YEAR(AG$2)-YEAR($I41)&lt;20),$D41,YEAR(AG$2)-YEAR($I41)=20,ROUND((DATE(YEAR($I41),12,31)-$I41+1)/365*$D41,2),YEAR(AG$2)-YEAR($I41)&gt;20,0)</f>
        <v>2000</v>
      </c>
      <c r="AH41" s="48" cm="1">
        <f t="array" ref="AH41">_xlfn.IFS(YEAR(AH$2)&lt;YEAR($I41),0,YEAR(AH$2)=YEAR($I41),ROUND(((AH$2-$I41+1)/365)*$D41,2),AND(YEAR(AH$2)&gt;YEAR($I41),YEAR(AH$2)-YEAR($I41)&lt;20),$D41,YEAR(AH$2)-YEAR($I41)=20,ROUND((DATE(YEAR($I41),12,31)-$I41+1)/365*$D41,2),YEAR(AH$2)-YEAR($I41)&gt;20,0)</f>
        <v>1627.4</v>
      </c>
      <c r="AI41" s="48" cm="1">
        <f t="array" ref="AI41">_xlfn.IFS(YEAR(AI$2)&lt;YEAR($I41),0,YEAR(AI$2)=YEAR($I41),ROUND(((AI$2-$I41+1)/365)*$D41,2),AND(YEAR(AI$2)&gt;YEAR($I41),YEAR(AI$2)-YEAR($I41)&lt;20),$D41,YEAR(AI$2)-YEAR($I41)=20,ROUND((DATE(YEAR($I41),12,31)-$I41+1)/365*$D41,2),YEAR(AI$2)-YEAR($I41)&gt;20,0)</f>
        <v>0</v>
      </c>
      <c r="AJ41" s="48" cm="1">
        <f t="array" ref="AJ41">_xlfn.IFS(YEAR(AJ$2)&lt;YEAR($I41),0,YEAR(AJ$2)=YEAR($I41),ROUND(((AJ$2-$I41+1)/365)*$D41,2),AND(YEAR(AJ$2)&gt;YEAR($I41),YEAR(AJ$2)-YEAR($I41)&lt;20),$D41,YEAR(AJ$2)-YEAR($I41)=20,ROUND((DATE(YEAR($I41),12,31)-$I41+1)/365*$D41,2),YEAR(AJ$2)-YEAR($I41)&gt;20,0)</f>
        <v>0</v>
      </c>
      <c r="AK41" s="48" cm="1">
        <f t="array" ref="AK41">_xlfn.IFS(YEAR(AK$2)&lt;YEAR($I41),0,YEAR(AK$2)=YEAR($I41),ROUND(((AK$2-$I41+1)/365)*$D41,2),AND(YEAR(AK$2)&gt;YEAR($I41),YEAR(AK$2)-YEAR($I41)&lt;20),$D41,YEAR(AK$2)-YEAR($I41)=20,ROUND((DATE(YEAR($I41),12,31)-$I41+1)/365*$D41,2),YEAR(AK$2)-YEAR($I41)&gt;20,0)</f>
        <v>0</v>
      </c>
      <c r="AL41" s="48" cm="1">
        <f t="array" ref="AL41">_xlfn.IFS(YEAR(AL$2)&lt;YEAR($I41),0,YEAR(AL$2)=YEAR($I41),ROUND(((AL$2-$I41+1)/365)*$D41,2),AND(YEAR(AL$2)&gt;YEAR($I41),YEAR(AL$2)-YEAR($I41)&lt;20),$D41,YEAR(AL$2)-YEAR($I41)=20,ROUND((DATE(YEAR($I41),12,31)-$I41+1)/365*$D41,2),YEAR(AL$2)-YEAR($I41)&gt;20,0)</f>
        <v>0</v>
      </c>
      <c r="AM41" s="48" cm="1">
        <f t="array" ref="AM41">_xlfn.IFS(YEAR(AM$2)&lt;YEAR($I41),0,YEAR(AM$2)=YEAR($I41),ROUND(((AM$2-$I41+1)/365)*$D41,2),AND(YEAR(AM$2)&gt;YEAR($I41),YEAR(AM$2)-YEAR($I41)&lt;20),$D41,YEAR(AM$2)-YEAR($I41)=20,ROUND((DATE(YEAR($I41),12,31)-$I41+1)/365*$D41,2),YEAR(AM$2)-YEAR($I41)&gt;20,0)</f>
        <v>0</v>
      </c>
      <c r="AO41" s="48">
        <v>2042</v>
      </c>
      <c r="AP41" s="48">
        <v>0.02</v>
      </c>
      <c r="AQ41" s="48">
        <v>8.34</v>
      </c>
      <c r="AR41" s="48">
        <v>2.17</v>
      </c>
      <c r="AS41" s="48">
        <v>19.84</v>
      </c>
      <c r="AT41" s="48">
        <v>3.2800000000000002</v>
      </c>
      <c r="AU41" s="48">
        <v>43.25</v>
      </c>
      <c r="AV41" s="48">
        <v>37.69</v>
      </c>
      <c r="AW41" s="48">
        <v>43.78</v>
      </c>
      <c r="AX41" s="48">
        <v>28.61</v>
      </c>
      <c r="AY41" s="48">
        <v>0</v>
      </c>
      <c r="BA41" s="48">
        <f t="shared" si="1"/>
        <v>186.98000000000002</v>
      </c>
      <c r="BB41" s="48">
        <f t="shared" si="2"/>
        <v>-20.949999999999989</v>
      </c>
    </row>
    <row r="42" spans="1:54">
      <c r="A42" s="155" t="str" cm="1">
        <f t="array" ref="A42">_xlfn.IFS(LEFT(C42,3)="PGE","PGE",LEFT(C42,2)="PP","PAC",TRUE,"IP")</f>
        <v>PAC</v>
      </c>
      <c r="B42" s="155" t="str">
        <f>IF(ISNA(MATCH(C42,'Monthly Report July 2025'!E:E,0)),"Missing","Present")</f>
        <v>Present</v>
      </c>
      <c r="C42" s="155" t="s">
        <v>151</v>
      </c>
      <c r="D42" s="176" cm="1">
        <f t="array" ref="D42">INDEX('Monthly Report July 2025'!L:L,MATCH(C42,'Monthly Report July 2025'!E:E,0),0)</f>
        <v>2990</v>
      </c>
      <c r="E42" s="176" t="str" cm="1">
        <f t="array" ref="E42">IF(INDEX('PA Fees by Project'!K:K,MATCH(C42,'PA Fees by Project'!E:E,0),0)="No","Non-Carve Out", "Carve Out")</f>
        <v>Non-Carve Out</v>
      </c>
      <c r="F42" s="176" cm="1">
        <f t="array" ref="F42">INDEX('PA Fees by Project'!J:J,MATCH(C42,'PA Fees by Project'!E:E,0),0)</f>
        <v>2</v>
      </c>
      <c r="G42" s="155" t="str" cm="1">
        <f t="array" ref="G42">INDEX('PA Fees by Project'!G:G,MATCH(C42,'PA Fees by Project'!E:E,0),0)</f>
        <v>Operational</v>
      </c>
      <c r="H42" s="175" cm="1">
        <f t="array" ref="H42">INDEX('PA Fees by Project'!Q:Q,MATCH(C42,'PA Fees by Project'!E:E,0),0)</f>
        <v>45792</v>
      </c>
      <c r="I42" s="156" cm="1">
        <f t="array" ref="I42">_xlfn.IFS(G42="Operational",H42,G42="Certified",EDATE(INDEX('PA Fees by Project'!R:R,MATCH(C42,'PA Fees by Project'!E:E,0),0),6),TRUE,EDATE(INDEX('PA Fees by Project'!O:O,MATCH(C42,'PA Fees by Project'!E:E,0),0),6))</f>
        <v>45792</v>
      </c>
      <c r="J42" s="48" cm="1">
        <f t="array" ref="J42">_xlfn.IFS(YEAR(J$2)&lt;YEAR($I42),0,YEAR(J$2)=YEAR($I42),ROUND(((J$2-$I42+1)/365)*$D42,2),AND(YEAR(J$2)&gt;YEAR($I42),YEAR(J$2)-YEAR($I42)&lt;20),$D42,YEAR(J$2)-YEAR($I42)=20,ROUND((DATE(YEAR($I42),12,31)-$I42+1)/365*$D42,2),YEAR(J$2)-YEAR($I42)&gt;20,0)</f>
        <v>0</v>
      </c>
      <c r="K42" s="48" cm="1">
        <f t="array" ref="K42">_xlfn.IFS(YEAR(K$2)&lt;YEAR($I42),0,YEAR(K$2)=YEAR($I42),ROUND(((K$2-$I42+1)/365)*$D42,2),AND(YEAR(K$2)&gt;YEAR($I42),YEAR(K$2)-YEAR($I42)&lt;20),$D42,YEAR(K$2)-YEAR($I42)=20,ROUND((DATE(YEAR($I42),12,31)-$I42+1)/365*$D42,2),YEAR(K$2)-YEAR($I42)&gt;20,0)</f>
        <v>0</v>
      </c>
      <c r="L42" s="48" cm="1">
        <f t="array" ref="L42">_xlfn.IFS(YEAR(L$2)&lt;YEAR($I42),0,YEAR(L$2)=YEAR($I42),ROUND(((L$2-$I42+1)/365)*$D42,2),AND(YEAR(L$2)&gt;YEAR($I42),YEAR(L$2)-YEAR($I42)&lt;20),$D42,YEAR(L$2)-YEAR($I42)=20,ROUND((DATE(YEAR($I42),12,31)-$I42+1)/365*$D42,2),YEAR(L$2)-YEAR($I42)&gt;20,0)</f>
        <v>0</v>
      </c>
      <c r="M42" s="48" cm="1">
        <f t="array" ref="M42">_xlfn.IFS(YEAR(M$2)&lt;YEAR($I42),0,YEAR(M$2)=YEAR($I42),ROUND(((M$2-$I42+1)/365)*$D42,2),AND(YEAR(M$2)&gt;YEAR($I42),YEAR(M$2)-YEAR($I42)&lt;20),$D42,YEAR(M$2)-YEAR($I42)=20,ROUND((DATE(YEAR($I42),12,31)-$I42+1)/365*$D42,2),YEAR(M$2)-YEAR($I42)&gt;20,0)</f>
        <v>0</v>
      </c>
      <c r="N42" s="48" cm="1">
        <f t="array" ref="N42">_xlfn.IFS(YEAR(N$2)&lt;YEAR($I42),0,YEAR(N$2)=YEAR($I42),ROUND(((N$2-$I42+1)/365)*$D42,2),AND(YEAR(N$2)&gt;YEAR($I42),YEAR(N$2)-YEAR($I42)&lt;20),$D42,YEAR(N$2)-YEAR($I42)=20,ROUND((DATE(YEAR($I42),12,31)-$I42+1)/365*$D42,2),YEAR(N$2)-YEAR($I42)&gt;20,0)</f>
        <v>1892.3</v>
      </c>
      <c r="O42" s="48" cm="1">
        <f t="array" ref="O42">_xlfn.IFS(YEAR(O$2)&lt;YEAR($I42),0,YEAR(O$2)=YEAR($I42),ROUND(((O$2-$I42+1)/365)*$D42,2),AND(YEAR(O$2)&gt;YEAR($I42),YEAR(O$2)-YEAR($I42)&lt;20),$D42,YEAR(O$2)-YEAR($I42)=20,ROUND((DATE(YEAR($I42),12,31)-$I42+1)/365*$D42,2),YEAR(O$2)-YEAR($I42)&gt;20,0)</f>
        <v>2990</v>
      </c>
      <c r="P42" s="48" cm="1">
        <f t="array" ref="P42">_xlfn.IFS(YEAR(P$2)&lt;YEAR($I42),0,YEAR(P$2)=YEAR($I42),ROUND(((P$2-$I42+1)/365)*$D42,2),AND(YEAR(P$2)&gt;YEAR($I42),YEAR(P$2)-YEAR($I42)&lt;20),$D42,YEAR(P$2)-YEAR($I42)=20,ROUND((DATE(YEAR($I42),12,31)-$I42+1)/365*$D42,2),YEAR(P$2)-YEAR($I42)&gt;20,0)</f>
        <v>2990</v>
      </c>
      <c r="Q42" s="48" cm="1">
        <f t="array" ref="Q42">_xlfn.IFS(YEAR(Q$2)&lt;YEAR($I42),0,YEAR(Q$2)=YEAR($I42),ROUND(((Q$2-$I42+1)/365)*$D42,2),AND(YEAR(Q$2)&gt;YEAR($I42),YEAR(Q$2)-YEAR($I42)&lt;20),$D42,YEAR(Q$2)-YEAR($I42)=20,ROUND((DATE(YEAR($I42),12,31)-$I42+1)/365*$D42,2),YEAR(Q$2)-YEAR($I42)&gt;20,0)</f>
        <v>2990</v>
      </c>
      <c r="R42" s="48" cm="1">
        <f t="array" ref="R42">_xlfn.IFS(YEAR(R$2)&lt;YEAR($I42),0,YEAR(R$2)=YEAR($I42),ROUND(((R$2-$I42+1)/365)*$D42,2),AND(YEAR(R$2)&gt;YEAR($I42),YEAR(R$2)-YEAR($I42)&lt;20),$D42,YEAR(R$2)-YEAR($I42)=20,ROUND((DATE(YEAR($I42),12,31)-$I42+1)/365*$D42,2),YEAR(R$2)-YEAR($I42)&gt;20,0)</f>
        <v>2990</v>
      </c>
      <c r="S42" s="48" cm="1">
        <f t="array" ref="S42">_xlfn.IFS(YEAR(S$2)&lt;YEAR($I42),0,YEAR(S$2)=YEAR($I42),ROUND(((S$2-$I42+1)/365)*$D42,2),AND(YEAR(S$2)&gt;YEAR($I42),YEAR(S$2)-YEAR($I42)&lt;20),$D42,YEAR(S$2)-YEAR($I42)=20,ROUND((DATE(YEAR($I42),12,31)-$I42+1)/365*$D42,2),YEAR(S$2)-YEAR($I42)&gt;20,0)</f>
        <v>2990</v>
      </c>
      <c r="T42" s="48" cm="1">
        <f t="array" ref="T42">_xlfn.IFS(YEAR(T$2)&lt;YEAR($I42),0,YEAR(T$2)=YEAR($I42),ROUND(((T$2-$I42+1)/365)*$D42,2),AND(YEAR(T$2)&gt;YEAR($I42),YEAR(T$2)-YEAR($I42)&lt;20),$D42,YEAR(T$2)-YEAR($I42)=20,ROUND((DATE(YEAR($I42),12,31)-$I42+1)/365*$D42,2),YEAR(T$2)-YEAR($I42)&gt;20,0)</f>
        <v>2990</v>
      </c>
      <c r="U42" s="48" cm="1">
        <f t="array" ref="U42">_xlfn.IFS(YEAR(U$2)&lt;YEAR($I42),0,YEAR(U$2)=YEAR($I42),ROUND(((U$2-$I42+1)/365)*$D42,2),AND(YEAR(U$2)&gt;YEAR($I42),YEAR(U$2)-YEAR($I42)&lt;20),$D42,YEAR(U$2)-YEAR($I42)=20,ROUND((DATE(YEAR($I42),12,31)-$I42+1)/365*$D42,2),YEAR(U$2)-YEAR($I42)&gt;20,0)</f>
        <v>2990</v>
      </c>
      <c r="V42" s="48" cm="1">
        <f t="array" ref="V42">_xlfn.IFS(YEAR(V$2)&lt;YEAR($I42),0,YEAR(V$2)=YEAR($I42),ROUND(((V$2-$I42+1)/365)*$D42,2),AND(YEAR(V$2)&gt;YEAR($I42),YEAR(V$2)-YEAR($I42)&lt;20),$D42,YEAR(V$2)-YEAR($I42)=20,ROUND((DATE(YEAR($I42),12,31)-$I42+1)/365*$D42,2),YEAR(V$2)-YEAR($I42)&gt;20,0)</f>
        <v>2990</v>
      </c>
      <c r="W42" s="48" cm="1">
        <f t="array" ref="W42">_xlfn.IFS(YEAR(W$2)&lt;YEAR($I42),0,YEAR(W$2)=YEAR($I42),ROUND(((W$2-$I42+1)/365)*$D42,2),AND(YEAR(W$2)&gt;YEAR($I42),YEAR(W$2)-YEAR($I42)&lt;20),$D42,YEAR(W$2)-YEAR($I42)=20,ROUND((DATE(YEAR($I42),12,31)-$I42+1)/365*$D42,2),YEAR(W$2)-YEAR($I42)&gt;20,0)</f>
        <v>2990</v>
      </c>
      <c r="X42" s="48" cm="1">
        <f t="array" ref="X42">_xlfn.IFS(YEAR(X$2)&lt;YEAR($I42),0,YEAR(X$2)=YEAR($I42),ROUND(((X$2-$I42+1)/365)*$D42,2),AND(YEAR(X$2)&gt;YEAR($I42),YEAR(X$2)-YEAR($I42)&lt;20),$D42,YEAR(X$2)-YEAR($I42)=20,ROUND((DATE(YEAR($I42),12,31)-$I42+1)/365*$D42,2),YEAR(X$2)-YEAR($I42)&gt;20,0)</f>
        <v>2990</v>
      </c>
      <c r="Y42" s="48" cm="1">
        <f t="array" ref="Y42">_xlfn.IFS(YEAR(Y$2)&lt;YEAR($I42),0,YEAR(Y$2)=YEAR($I42),ROUND(((Y$2-$I42+1)/365)*$D42,2),AND(YEAR(Y$2)&gt;YEAR($I42),YEAR(Y$2)-YEAR($I42)&lt;20),$D42,YEAR(Y$2)-YEAR($I42)=20,ROUND((DATE(YEAR($I42),12,31)-$I42+1)/365*$D42,2),YEAR(Y$2)-YEAR($I42)&gt;20,0)</f>
        <v>2990</v>
      </c>
      <c r="Z42" s="48" cm="1">
        <f t="array" ref="Z42">_xlfn.IFS(YEAR(Z$2)&lt;YEAR($I42),0,YEAR(Z$2)=YEAR($I42),ROUND(((Z$2-$I42+1)/365)*$D42,2),AND(YEAR(Z$2)&gt;YEAR($I42),YEAR(Z$2)-YEAR($I42)&lt;20),$D42,YEAR(Z$2)-YEAR($I42)=20,ROUND((DATE(YEAR($I42),12,31)-$I42+1)/365*$D42,2),YEAR(Z$2)-YEAR($I42)&gt;20,0)</f>
        <v>2990</v>
      </c>
      <c r="AA42" s="48" cm="1">
        <f t="array" ref="AA42">_xlfn.IFS(YEAR(AA$2)&lt;YEAR($I42),0,YEAR(AA$2)=YEAR($I42),ROUND(((AA$2-$I42+1)/365)*$D42,2),AND(YEAR(AA$2)&gt;YEAR($I42),YEAR(AA$2)-YEAR($I42)&lt;20),$D42,YEAR(AA$2)-YEAR($I42)=20,ROUND((DATE(YEAR($I42),12,31)-$I42+1)/365*$D42,2),YEAR(AA$2)-YEAR($I42)&gt;20,0)</f>
        <v>2990</v>
      </c>
      <c r="AB42" s="48" cm="1">
        <f t="array" ref="AB42">_xlfn.IFS(YEAR(AB$2)&lt;YEAR($I42),0,YEAR(AB$2)=YEAR($I42),ROUND(((AB$2-$I42+1)/365)*$D42,2),AND(YEAR(AB$2)&gt;YEAR($I42),YEAR(AB$2)-YEAR($I42)&lt;20),$D42,YEAR(AB$2)-YEAR($I42)=20,ROUND((DATE(YEAR($I42),12,31)-$I42+1)/365*$D42,2),YEAR(AB$2)-YEAR($I42)&gt;20,0)</f>
        <v>2990</v>
      </c>
      <c r="AC42" s="48" cm="1">
        <f t="array" ref="AC42">_xlfn.IFS(YEAR(AC$2)&lt;YEAR($I42),0,YEAR(AC$2)=YEAR($I42),ROUND(((AC$2-$I42+1)/365)*$D42,2),AND(YEAR(AC$2)&gt;YEAR($I42),YEAR(AC$2)-YEAR($I42)&lt;20),$D42,YEAR(AC$2)-YEAR($I42)=20,ROUND((DATE(YEAR($I42),12,31)-$I42+1)/365*$D42,2),YEAR(AC$2)-YEAR($I42)&gt;20,0)</f>
        <v>2990</v>
      </c>
      <c r="AD42" s="48" cm="1">
        <f t="array" ref="AD42">_xlfn.IFS(YEAR(AD$2)&lt;YEAR($I42),0,YEAR(AD$2)=YEAR($I42),ROUND(((AD$2-$I42+1)/365)*$D42,2),AND(YEAR(AD$2)&gt;YEAR($I42),YEAR(AD$2)-YEAR($I42)&lt;20),$D42,YEAR(AD$2)-YEAR($I42)=20,ROUND((DATE(YEAR($I42),12,31)-$I42+1)/365*$D42,2),YEAR(AD$2)-YEAR($I42)&gt;20,0)</f>
        <v>2990</v>
      </c>
      <c r="AE42" s="48" cm="1">
        <f t="array" ref="AE42">_xlfn.IFS(YEAR(AE$2)&lt;YEAR($I42),0,YEAR(AE$2)=YEAR($I42),ROUND(((AE$2-$I42+1)/365)*$D42,2),AND(YEAR(AE$2)&gt;YEAR($I42),YEAR(AE$2)-YEAR($I42)&lt;20),$D42,YEAR(AE$2)-YEAR($I42)=20,ROUND((DATE(YEAR($I42),12,31)-$I42+1)/365*$D42,2),YEAR(AE$2)-YEAR($I42)&gt;20,0)</f>
        <v>2990</v>
      </c>
      <c r="AF42" s="48" cm="1">
        <f t="array" ref="AF42">_xlfn.IFS(YEAR(AF$2)&lt;YEAR($I42),0,YEAR(AF$2)=YEAR($I42),ROUND(((AF$2-$I42+1)/365)*$D42,2),AND(YEAR(AF$2)&gt;YEAR($I42),YEAR(AF$2)-YEAR($I42)&lt;20),$D42,YEAR(AF$2)-YEAR($I42)=20,ROUND((DATE(YEAR($I42),12,31)-$I42+1)/365*$D42,2),YEAR(AF$2)-YEAR($I42)&gt;20,0)</f>
        <v>2990</v>
      </c>
      <c r="AG42" s="48" cm="1">
        <f t="array" ref="AG42">_xlfn.IFS(YEAR(AG$2)&lt;YEAR($I42),0,YEAR(AG$2)=YEAR($I42),ROUND(((AG$2-$I42+1)/365)*$D42,2),AND(YEAR(AG$2)&gt;YEAR($I42),YEAR(AG$2)-YEAR($I42)&lt;20),$D42,YEAR(AG$2)-YEAR($I42)=20,ROUND((DATE(YEAR($I42),12,31)-$I42+1)/365*$D42,2),YEAR(AG$2)-YEAR($I42)&gt;20,0)</f>
        <v>2990</v>
      </c>
      <c r="AH42" s="48" cm="1">
        <f t="array" ref="AH42">_xlfn.IFS(YEAR(AH$2)&lt;YEAR($I42),0,YEAR(AH$2)=YEAR($I42),ROUND(((AH$2-$I42+1)/365)*$D42,2),AND(YEAR(AH$2)&gt;YEAR($I42),YEAR(AH$2)-YEAR($I42)&lt;20),$D42,YEAR(AH$2)-YEAR($I42)=20,ROUND((DATE(YEAR($I42),12,31)-$I42+1)/365*$D42,2),YEAR(AH$2)-YEAR($I42)&gt;20,0)</f>
        <v>1892.3</v>
      </c>
      <c r="AI42" s="48" cm="1">
        <f t="array" ref="AI42">_xlfn.IFS(YEAR(AI$2)&lt;YEAR($I42),0,YEAR(AI$2)=YEAR($I42),ROUND(((AI$2-$I42+1)/365)*$D42,2),AND(YEAR(AI$2)&gt;YEAR($I42),YEAR(AI$2)-YEAR($I42)&lt;20),$D42,YEAR(AI$2)-YEAR($I42)=20,ROUND((DATE(YEAR($I42),12,31)-$I42+1)/365*$D42,2),YEAR(AI$2)-YEAR($I42)&gt;20,0)</f>
        <v>0</v>
      </c>
      <c r="AJ42" s="48" cm="1">
        <f t="array" ref="AJ42">_xlfn.IFS(YEAR(AJ$2)&lt;YEAR($I42),0,YEAR(AJ$2)=YEAR($I42),ROUND(((AJ$2-$I42+1)/365)*$D42,2),AND(YEAR(AJ$2)&gt;YEAR($I42),YEAR(AJ$2)-YEAR($I42)&lt;20),$D42,YEAR(AJ$2)-YEAR($I42)=20,ROUND((DATE(YEAR($I42),12,31)-$I42+1)/365*$D42,2),YEAR(AJ$2)-YEAR($I42)&gt;20,0)</f>
        <v>0</v>
      </c>
      <c r="AK42" s="48" cm="1">
        <f t="array" ref="AK42">_xlfn.IFS(YEAR(AK$2)&lt;YEAR($I42),0,YEAR(AK$2)=YEAR($I42),ROUND(((AK$2-$I42+1)/365)*$D42,2),AND(YEAR(AK$2)&gt;YEAR($I42),YEAR(AK$2)-YEAR($I42)&lt;20),$D42,YEAR(AK$2)-YEAR($I42)=20,ROUND((DATE(YEAR($I42),12,31)-$I42+1)/365*$D42,2),YEAR(AK$2)-YEAR($I42)&gt;20,0)</f>
        <v>0</v>
      </c>
      <c r="AL42" s="48" cm="1">
        <f t="array" ref="AL42">_xlfn.IFS(YEAR(AL$2)&lt;YEAR($I42),0,YEAR(AL$2)=YEAR($I42),ROUND(((AL$2-$I42+1)/365)*$D42,2),AND(YEAR(AL$2)&gt;YEAR($I42),YEAR(AL$2)-YEAR($I42)&lt;20),$D42,YEAR(AL$2)-YEAR($I42)=20,ROUND((DATE(YEAR($I42),12,31)-$I42+1)/365*$D42,2),YEAR(AL$2)-YEAR($I42)&gt;20,0)</f>
        <v>0</v>
      </c>
      <c r="AM42" s="48" cm="1">
        <f t="array" ref="AM42">_xlfn.IFS(YEAR(AM$2)&lt;YEAR($I42),0,YEAR(AM$2)=YEAR($I42),ROUND(((AM$2-$I42+1)/365)*$D42,2),AND(YEAR(AM$2)&gt;YEAR($I42),YEAR(AM$2)-YEAR($I42)&lt;20),$D42,YEAR(AM$2)-YEAR($I42)=20,ROUND((DATE(YEAR($I42),12,31)-$I42+1)/365*$D42,2),YEAR(AM$2)-YEAR($I42)&gt;20,0)</f>
        <v>0</v>
      </c>
      <c r="AO42" s="48">
        <v>2043</v>
      </c>
      <c r="AP42" s="48">
        <v>0</v>
      </c>
      <c r="AQ42" s="48">
        <v>7.52</v>
      </c>
      <c r="AR42" s="48">
        <v>1.67</v>
      </c>
      <c r="AS42" s="48">
        <v>19.329999999999998</v>
      </c>
      <c r="AT42" s="48">
        <v>3.2800000000000002</v>
      </c>
      <c r="AU42" s="48">
        <v>43.25</v>
      </c>
      <c r="AV42" s="48">
        <v>37.519999999999996</v>
      </c>
      <c r="AW42" s="48">
        <v>43.78</v>
      </c>
      <c r="AX42" s="48">
        <v>28.279999999999998</v>
      </c>
      <c r="AY42" s="48">
        <v>0</v>
      </c>
      <c r="BA42" s="48">
        <f t="shared" si="1"/>
        <v>184.63</v>
      </c>
      <c r="BB42" s="48">
        <f t="shared" si="2"/>
        <v>-2.3500000000000227</v>
      </c>
    </row>
    <row r="43" spans="1:54">
      <c r="A43" s="155" t="str" cm="1">
        <f t="array" ref="A43">_xlfn.IFS(LEFT(C43,3)="PGE","PGE",LEFT(C43,2)="PP","PAC",TRUE,"IP")</f>
        <v>PAC</v>
      </c>
      <c r="B43" s="155" t="str">
        <f>IF(ISNA(MATCH(C43,'Monthly Report July 2025'!E:E,0)),"Missing","Present")</f>
        <v>Present</v>
      </c>
      <c r="C43" s="155" t="s">
        <v>152</v>
      </c>
      <c r="D43" s="176" cm="1">
        <f t="array" ref="D43">INDEX('Monthly Report July 2025'!L:L,MATCH(C43,'Monthly Report July 2025'!E:E,0),0)</f>
        <v>1500</v>
      </c>
      <c r="E43" s="176" t="str" cm="1">
        <f t="array" ref="E43">IF(INDEX('PA Fees by Project'!K:K,MATCH(C43,'PA Fees by Project'!E:E,0),0)="No","Non-Carve Out", "Carve Out")</f>
        <v>Non-Carve Out</v>
      </c>
      <c r="F43" s="176" cm="1">
        <f t="array" ref="F43">INDEX('PA Fees by Project'!J:J,MATCH(C43,'PA Fees by Project'!E:E,0),0)</f>
        <v>2</v>
      </c>
      <c r="G43" s="155" t="str" cm="1">
        <f t="array" ref="G43">INDEX('PA Fees by Project'!G:G,MATCH(C43,'PA Fees by Project'!E:E,0),0)</f>
        <v>Pre-Certified</v>
      </c>
      <c r="H43" s="175" t="str" cm="1">
        <f t="array" ref="H43">INDEX('PA Fees by Project'!Q:Q,MATCH(C43,'PA Fees by Project'!E:E,0),0)</f>
        <v/>
      </c>
      <c r="I43" s="156" cm="1">
        <f t="array" ref="I43">_xlfn.IFS(G43="Operational",H43,G43="Certified",EDATE(INDEX('PA Fees by Project'!R:R,MATCH(C43,'PA Fees by Project'!E:E,0),0),6),TRUE,EDATE(INDEX('PA Fees by Project'!O:O,MATCH(C43,'PA Fees by Project'!E:E,0),0),6))</f>
        <v>46143</v>
      </c>
      <c r="J43" s="48" cm="1">
        <f t="array" ref="J43">_xlfn.IFS(YEAR(J$2)&lt;YEAR($I43),0,YEAR(J$2)=YEAR($I43),ROUND(((J$2-$I43+1)/365)*$D43,2),AND(YEAR(J$2)&gt;YEAR($I43),YEAR(J$2)-YEAR($I43)&lt;20),$D43,YEAR(J$2)-YEAR($I43)=20,ROUND((DATE(YEAR($I43),12,31)-$I43+1)/365*$D43,2),YEAR(J$2)-YEAR($I43)&gt;20,0)</f>
        <v>0</v>
      </c>
      <c r="K43" s="48" cm="1">
        <f t="array" ref="K43">_xlfn.IFS(YEAR(K$2)&lt;YEAR($I43),0,YEAR(K$2)=YEAR($I43),ROUND(((K$2-$I43+1)/365)*$D43,2),AND(YEAR(K$2)&gt;YEAR($I43),YEAR(K$2)-YEAR($I43)&lt;20),$D43,YEAR(K$2)-YEAR($I43)=20,ROUND((DATE(YEAR($I43),12,31)-$I43+1)/365*$D43,2),YEAR(K$2)-YEAR($I43)&gt;20,0)</f>
        <v>0</v>
      </c>
      <c r="L43" s="48" cm="1">
        <f t="array" ref="L43">_xlfn.IFS(YEAR(L$2)&lt;YEAR($I43),0,YEAR(L$2)=YEAR($I43),ROUND(((L$2-$I43+1)/365)*$D43,2),AND(YEAR(L$2)&gt;YEAR($I43),YEAR(L$2)-YEAR($I43)&lt;20),$D43,YEAR(L$2)-YEAR($I43)=20,ROUND((DATE(YEAR($I43),12,31)-$I43+1)/365*$D43,2),YEAR(L$2)-YEAR($I43)&gt;20,0)</f>
        <v>0</v>
      </c>
      <c r="M43" s="48" cm="1">
        <f t="array" ref="M43">_xlfn.IFS(YEAR(M$2)&lt;YEAR($I43),0,YEAR(M$2)=YEAR($I43),ROUND(((M$2-$I43+1)/365)*$D43,2),AND(YEAR(M$2)&gt;YEAR($I43),YEAR(M$2)-YEAR($I43)&lt;20),$D43,YEAR(M$2)-YEAR($I43)=20,ROUND((DATE(YEAR($I43),12,31)-$I43+1)/365*$D43,2),YEAR(M$2)-YEAR($I43)&gt;20,0)</f>
        <v>0</v>
      </c>
      <c r="N43" s="48" cm="1">
        <f t="array" ref="N43">_xlfn.IFS(YEAR(N$2)&lt;YEAR($I43),0,YEAR(N$2)=YEAR($I43),ROUND(((N$2-$I43+1)/365)*$D43,2),AND(YEAR(N$2)&gt;YEAR($I43),YEAR(N$2)-YEAR($I43)&lt;20),$D43,YEAR(N$2)-YEAR($I43)=20,ROUND((DATE(YEAR($I43),12,31)-$I43+1)/365*$D43,2),YEAR(N$2)-YEAR($I43)&gt;20,0)</f>
        <v>0</v>
      </c>
      <c r="O43" s="48" cm="1">
        <f t="array" ref="O43">_xlfn.IFS(YEAR(O$2)&lt;YEAR($I43),0,YEAR(O$2)=YEAR($I43),ROUND(((O$2-$I43+1)/365)*$D43,2),AND(YEAR(O$2)&gt;YEAR($I43),YEAR(O$2)-YEAR($I43)&lt;20),$D43,YEAR(O$2)-YEAR($I43)=20,ROUND((DATE(YEAR($I43),12,31)-$I43+1)/365*$D43,2),YEAR(O$2)-YEAR($I43)&gt;20,0)</f>
        <v>1006.85</v>
      </c>
      <c r="P43" s="48" cm="1">
        <f t="array" ref="P43">_xlfn.IFS(YEAR(P$2)&lt;YEAR($I43),0,YEAR(P$2)=YEAR($I43),ROUND(((P$2-$I43+1)/365)*$D43,2),AND(YEAR(P$2)&gt;YEAR($I43),YEAR(P$2)-YEAR($I43)&lt;20),$D43,YEAR(P$2)-YEAR($I43)=20,ROUND((DATE(YEAR($I43),12,31)-$I43+1)/365*$D43,2),YEAR(P$2)-YEAR($I43)&gt;20,0)</f>
        <v>1500</v>
      </c>
      <c r="Q43" s="48" cm="1">
        <f t="array" ref="Q43">_xlfn.IFS(YEAR(Q$2)&lt;YEAR($I43),0,YEAR(Q$2)=YEAR($I43),ROUND(((Q$2-$I43+1)/365)*$D43,2),AND(YEAR(Q$2)&gt;YEAR($I43),YEAR(Q$2)-YEAR($I43)&lt;20),$D43,YEAR(Q$2)-YEAR($I43)=20,ROUND((DATE(YEAR($I43),12,31)-$I43+1)/365*$D43,2),YEAR(Q$2)-YEAR($I43)&gt;20,0)</f>
        <v>1500</v>
      </c>
      <c r="R43" s="48" cm="1">
        <f t="array" ref="R43">_xlfn.IFS(YEAR(R$2)&lt;YEAR($I43),0,YEAR(R$2)=YEAR($I43),ROUND(((R$2-$I43+1)/365)*$D43,2),AND(YEAR(R$2)&gt;YEAR($I43),YEAR(R$2)-YEAR($I43)&lt;20),$D43,YEAR(R$2)-YEAR($I43)=20,ROUND((DATE(YEAR($I43),12,31)-$I43+1)/365*$D43,2),YEAR(R$2)-YEAR($I43)&gt;20,0)</f>
        <v>1500</v>
      </c>
      <c r="S43" s="48" cm="1">
        <f t="array" ref="S43">_xlfn.IFS(YEAR(S$2)&lt;YEAR($I43),0,YEAR(S$2)=YEAR($I43),ROUND(((S$2-$I43+1)/365)*$D43,2),AND(YEAR(S$2)&gt;YEAR($I43),YEAR(S$2)-YEAR($I43)&lt;20),$D43,YEAR(S$2)-YEAR($I43)=20,ROUND((DATE(YEAR($I43),12,31)-$I43+1)/365*$D43,2),YEAR(S$2)-YEAR($I43)&gt;20,0)</f>
        <v>1500</v>
      </c>
      <c r="T43" s="48" cm="1">
        <f t="array" ref="T43">_xlfn.IFS(YEAR(T$2)&lt;YEAR($I43),0,YEAR(T$2)=YEAR($I43),ROUND(((T$2-$I43+1)/365)*$D43,2),AND(YEAR(T$2)&gt;YEAR($I43),YEAR(T$2)-YEAR($I43)&lt;20),$D43,YEAR(T$2)-YEAR($I43)=20,ROUND((DATE(YEAR($I43),12,31)-$I43+1)/365*$D43,2),YEAR(T$2)-YEAR($I43)&gt;20,0)</f>
        <v>1500</v>
      </c>
      <c r="U43" s="48" cm="1">
        <f t="array" ref="U43">_xlfn.IFS(YEAR(U$2)&lt;YEAR($I43),0,YEAR(U$2)=YEAR($I43),ROUND(((U$2-$I43+1)/365)*$D43,2),AND(YEAR(U$2)&gt;YEAR($I43),YEAR(U$2)-YEAR($I43)&lt;20),$D43,YEAR(U$2)-YEAR($I43)=20,ROUND((DATE(YEAR($I43),12,31)-$I43+1)/365*$D43,2),YEAR(U$2)-YEAR($I43)&gt;20,0)</f>
        <v>1500</v>
      </c>
      <c r="V43" s="48" cm="1">
        <f t="array" ref="V43">_xlfn.IFS(YEAR(V$2)&lt;YEAR($I43),0,YEAR(V$2)=YEAR($I43),ROUND(((V$2-$I43+1)/365)*$D43,2),AND(YEAR(V$2)&gt;YEAR($I43),YEAR(V$2)-YEAR($I43)&lt;20),$D43,YEAR(V$2)-YEAR($I43)=20,ROUND((DATE(YEAR($I43),12,31)-$I43+1)/365*$D43,2),YEAR(V$2)-YEAR($I43)&gt;20,0)</f>
        <v>1500</v>
      </c>
      <c r="W43" s="48" cm="1">
        <f t="array" ref="W43">_xlfn.IFS(YEAR(W$2)&lt;YEAR($I43),0,YEAR(W$2)=YEAR($I43),ROUND(((W$2-$I43+1)/365)*$D43,2),AND(YEAR(W$2)&gt;YEAR($I43),YEAR(W$2)-YEAR($I43)&lt;20),$D43,YEAR(W$2)-YEAR($I43)=20,ROUND((DATE(YEAR($I43),12,31)-$I43+1)/365*$D43,2),YEAR(W$2)-YEAR($I43)&gt;20,0)</f>
        <v>1500</v>
      </c>
      <c r="X43" s="48" cm="1">
        <f t="array" ref="X43">_xlfn.IFS(YEAR(X$2)&lt;YEAR($I43),0,YEAR(X$2)=YEAR($I43),ROUND(((X$2-$I43+1)/365)*$D43,2),AND(YEAR(X$2)&gt;YEAR($I43),YEAR(X$2)-YEAR($I43)&lt;20),$D43,YEAR(X$2)-YEAR($I43)=20,ROUND((DATE(YEAR($I43),12,31)-$I43+1)/365*$D43,2),YEAR(X$2)-YEAR($I43)&gt;20,0)</f>
        <v>1500</v>
      </c>
      <c r="Y43" s="48" cm="1">
        <f t="array" ref="Y43">_xlfn.IFS(YEAR(Y$2)&lt;YEAR($I43),0,YEAR(Y$2)=YEAR($I43),ROUND(((Y$2-$I43+1)/365)*$D43,2),AND(YEAR(Y$2)&gt;YEAR($I43),YEAR(Y$2)-YEAR($I43)&lt;20),$D43,YEAR(Y$2)-YEAR($I43)=20,ROUND((DATE(YEAR($I43),12,31)-$I43+1)/365*$D43,2),YEAR(Y$2)-YEAR($I43)&gt;20,0)</f>
        <v>1500</v>
      </c>
      <c r="Z43" s="48" cm="1">
        <f t="array" ref="Z43">_xlfn.IFS(YEAR(Z$2)&lt;YEAR($I43),0,YEAR(Z$2)=YEAR($I43),ROUND(((Z$2-$I43+1)/365)*$D43,2),AND(YEAR(Z$2)&gt;YEAR($I43),YEAR(Z$2)-YEAR($I43)&lt;20),$D43,YEAR(Z$2)-YEAR($I43)=20,ROUND((DATE(YEAR($I43),12,31)-$I43+1)/365*$D43,2),YEAR(Z$2)-YEAR($I43)&gt;20,0)</f>
        <v>1500</v>
      </c>
      <c r="AA43" s="48" cm="1">
        <f t="array" ref="AA43">_xlfn.IFS(YEAR(AA$2)&lt;YEAR($I43),0,YEAR(AA$2)=YEAR($I43),ROUND(((AA$2-$I43+1)/365)*$D43,2),AND(YEAR(AA$2)&gt;YEAR($I43),YEAR(AA$2)-YEAR($I43)&lt;20),$D43,YEAR(AA$2)-YEAR($I43)=20,ROUND((DATE(YEAR($I43),12,31)-$I43+1)/365*$D43,2),YEAR(AA$2)-YEAR($I43)&gt;20,0)</f>
        <v>1500</v>
      </c>
      <c r="AB43" s="48" cm="1">
        <f t="array" ref="AB43">_xlfn.IFS(YEAR(AB$2)&lt;YEAR($I43),0,YEAR(AB$2)=YEAR($I43),ROUND(((AB$2-$I43+1)/365)*$D43,2),AND(YEAR(AB$2)&gt;YEAR($I43),YEAR(AB$2)-YEAR($I43)&lt;20),$D43,YEAR(AB$2)-YEAR($I43)=20,ROUND((DATE(YEAR($I43),12,31)-$I43+1)/365*$D43,2),YEAR(AB$2)-YEAR($I43)&gt;20,0)</f>
        <v>1500</v>
      </c>
      <c r="AC43" s="48" cm="1">
        <f t="array" ref="AC43">_xlfn.IFS(YEAR(AC$2)&lt;YEAR($I43),0,YEAR(AC$2)=YEAR($I43),ROUND(((AC$2-$I43+1)/365)*$D43,2),AND(YEAR(AC$2)&gt;YEAR($I43),YEAR(AC$2)-YEAR($I43)&lt;20),$D43,YEAR(AC$2)-YEAR($I43)=20,ROUND((DATE(YEAR($I43),12,31)-$I43+1)/365*$D43,2),YEAR(AC$2)-YEAR($I43)&gt;20,0)</f>
        <v>1500</v>
      </c>
      <c r="AD43" s="48" cm="1">
        <f t="array" ref="AD43">_xlfn.IFS(YEAR(AD$2)&lt;YEAR($I43),0,YEAR(AD$2)=YEAR($I43),ROUND(((AD$2-$I43+1)/365)*$D43,2),AND(YEAR(AD$2)&gt;YEAR($I43),YEAR(AD$2)-YEAR($I43)&lt;20),$D43,YEAR(AD$2)-YEAR($I43)=20,ROUND((DATE(YEAR($I43),12,31)-$I43+1)/365*$D43,2),YEAR(AD$2)-YEAR($I43)&gt;20,0)</f>
        <v>1500</v>
      </c>
      <c r="AE43" s="48" cm="1">
        <f t="array" ref="AE43">_xlfn.IFS(YEAR(AE$2)&lt;YEAR($I43),0,YEAR(AE$2)=YEAR($I43),ROUND(((AE$2-$I43+1)/365)*$D43,2),AND(YEAR(AE$2)&gt;YEAR($I43),YEAR(AE$2)-YEAR($I43)&lt;20),$D43,YEAR(AE$2)-YEAR($I43)=20,ROUND((DATE(YEAR($I43),12,31)-$I43+1)/365*$D43,2),YEAR(AE$2)-YEAR($I43)&gt;20,0)</f>
        <v>1500</v>
      </c>
      <c r="AF43" s="48" cm="1">
        <f t="array" ref="AF43">_xlfn.IFS(YEAR(AF$2)&lt;YEAR($I43),0,YEAR(AF$2)=YEAR($I43),ROUND(((AF$2-$I43+1)/365)*$D43,2),AND(YEAR(AF$2)&gt;YEAR($I43),YEAR(AF$2)-YEAR($I43)&lt;20),$D43,YEAR(AF$2)-YEAR($I43)=20,ROUND((DATE(YEAR($I43),12,31)-$I43+1)/365*$D43,2),YEAR(AF$2)-YEAR($I43)&gt;20,0)</f>
        <v>1500</v>
      </c>
      <c r="AG43" s="48" cm="1">
        <f t="array" ref="AG43">_xlfn.IFS(YEAR(AG$2)&lt;YEAR($I43),0,YEAR(AG$2)=YEAR($I43),ROUND(((AG$2-$I43+1)/365)*$D43,2),AND(YEAR(AG$2)&gt;YEAR($I43),YEAR(AG$2)-YEAR($I43)&lt;20),$D43,YEAR(AG$2)-YEAR($I43)=20,ROUND((DATE(YEAR($I43),12,31)-$I43+1)/365*$D43,2),YEAR(AG$2)-YEAR($I43)&gt;20,0)</f>
        <v>1500</v>
      </c>
      <c r="AH43" s="48" cm="1">
        <f t="array" ref="AH43">_xlfn.IFS(YEAR(AH$2)&lt;YEAR($I43),0,YEAR(AH$2)=YEAR($I43),ROUND(((AH$2-$I43+1)/365)*$D43,2),AND(YEAR(AH$2)&gt;YEAR($I43),YEAR(AH$2)-YEAR($I43)&lt;20),$D43,YEAR(AH$2)-YEAR($I43)=20,ROUND((DATE(YEAR($I43),12,31)-$I43+1)/365*$D43,2),YEAR(AH$2)-YEAR($I43)&gt;20,0)</f>
        <v>1500</v>
      </c>
      <c r="AI43" s="48" cm="1">
        <f t="array" ref="AI43">_xlfn.IFS(YEAR(AI$2)&lt;YEAR($I43),0,YEAR(AI$2)=YEAR($I43),ROUND(((AI$2-$I43+1)/365)*$D43,2),AND(YEAR(AI$2)&gt;YEAR($I43),YEAR(AI$2)-YEAR($I43)&lt;20),$D43,YEAR(AI$2)-YEAR($I43)=20,ROUND((DATE(YEAR($I43),12,31)-$I43+1)/365*$D43,2),YEAR(AI$2)-YEAR($I43)&gt;20,0)</f>
        <v>1006.85</v>
      </c>
      <c r="AJ43" s="48" cm="1">
        <f t="array" ref="AJ43">_xlfn.IFS(YEAR(AJ$2)&lt;YEAR($I43),0,YEAR(AJ$2)=YEAR($I43),ROUND(((AJ$2-$I43+1)/365)*$D43,2),AND(YEAR(AJ$2)&gt;YEAR($I43),YEAR(AJ$2)-YEAR($I43)&lt;20),$D43,YEAR(AJ$2)-YEAR($I43)=20,ROUND((DATE(YEAR($I43),12,31)-$I43+1)/365*$D43,2),YEAR(AJ$2)-YEAR($I43)&gt;20,0)</f>
        <v>0</v>
      </c>
      <c r="AK43" s="48" cm="1">
        <f t="array" ref="AK43">_xlfn.IFS(YEAR(AK$2)&lt;YEAR($I43),0,YEAR(AK$2)=YEAR($I43),ROUND(((AK$2-$I43+1)/365)*$D43,2),AND(YEAR(AK$2)&gt;YEAR($I43),YEAR(AK$2)-YEAR($I43)&lt;20),$D43,YEAR(AK$2)-YEAR($I43)=20,ROUND((DATE(YEAR($I43),12,31)-$I43+1)/365*$D43,2),YEAR(AK$2)-YEAR($I43)&gt;20,0)</f>
        <v>0</v>
      </c>
      <c r="AL43" s="48" cm="1">
        <f t="array" ref="AL43">_xlfn.IFS(YEAR(AL$2)&lt;YEAR($I43),0,YEAR(AL$2)=YEAR($I43),ROUND(((AL$2-$I43+1)/365)*$D43,2),AND(YEAR(AL$2)&gt;YEAR($I43),YEAR(AL$2)-YEAR($I43)&lt;20),$D43,YEAR(AL$2)-YEAR($I43)=20,ROUND((DATE(YEAR($I43),12,31)-$I43+1)/365*$D43,2),YEAR(AL$2)-YEAR($I43)&gt;20,0)</f>
        <v>0</v>
      </c>
      <c r="AM43" s="48" cm="1">
        <f t="array" ref="AM43">_xlfn.IFS(YEAR(AM$2)&lt;YEAR($I43),0,YEAR(AM$2)=YEAR($I43),ROUND(((AM$2-$I43+1)/365)*$D43,2),AND(YEAR(AM$2)&gt;YEAR($I43),YEAR(AM$2)-YEAR($I43)&lt;20),$D43,YEAR(AM$2)-YEAR($I43)=20,ROUND((DATE(YEAR($I43),12,31)-$I43+1)/365*$D43,2),YEAR(AM$2)-YEAR($I43)&gt;20,0)</f>
        <v>0</v>
      </c>
      <c r="AO43" s="48">
        <v>2044</v>
      </c>
      <c r="AP43" s="48">
        <v>0</v>
      </c>
      <c r="AQ43" s="48">
        <v>0.65</v>
      </c>
      <c r="AR43" s="48">
        <v>1.36</v>
      </c>
      <c r="AS43" s="48">
        <v>17.079999999999998</v>
      </c>
      <c r="AT43" s="48">
        <v>1.96</v>
      </c>
      <c r="AU43" s="48">
        <v>43.13</v>
      </c>
      <c r="AV43" s="48">
        <v>24.9</v>
      </c>
      <c r="AW43" s="48">
        <v>43.78</v>
      </c>
      <c r="AX43" s="48">
        <v>25.009999999999998</v>
      </c>
      <c r="AY43" s="48">
        <v>0</v>
      </c>
      <c r="BA43" s="48">
        <f t="shared" si="1"/>
        <v>157.87</v>
      </c>
      <c r="BB43" s="48">
        <f t="shared" si="2"/>
        <v>-26.759999999999991</v>
      </c>
    </row>
    <row r="44" spans="1:54">
      <c r="A44" s="155" t="str" cm="1">
        <f t="array" ref="A44">_xlfn.IFS(LEFT(C44,3)="PGE","PGE",LEFT(C44,2)="PP","PAC",TRUE,"IP")</f>
        <v>PAC</v>
      </c>
      <c r="B44" s="155" t="str">
        <f>IF(ISNA(MATCH(C44,'Monthly Report July 2025'!E:E,0)),"Missing","Present")</f>
        <v>Present</v>
      </c>
      <c r="C44" s="155" t="s">
        <v>153</v>
      </c>
      <c r="D44" s="176" cm="1">
        <f t="array" ref="D44">INDEX('Monthly Report July 2025'!L:L,MATCH(C44,'Monthly Report July 2025'!E:E,0),0)</f>
        <v>2125</v>
      </c>
      <c r="E44" s="176" t="str" cm="1">
        <f t="array" ref="E44">IF(INDEX('PA Fees by Project'!K:K,MATCH(C44,'PA Fees by Project'!E:E,0),0)="No","Non-Carve Out", "Carve Out")</f>
        <v>Non-Carve Out</v>
      </c>
      <c r="F44" s="176" cm="1">
        <f t="array" ref="F44">INDEX('PA Fees by Project'!J:J,MATCH(C44,'PA Fees by Project'!E:E,0),0)</f>
        <v>1</v>
      </c>
      <c r="G44" s="155" t="str" cm="1">
        <f t="array" ref="G44">INDEX('PA Fees by Project'!G:G,MATCH(C44,'PA Fees by Project'!E:E,0),0)</f>
        <v>Pre-Certified</v>
      </c>
      <c r="H44" s="175" t="str" cm="1">
        <f t="array" ref="H44">INDEX('PA Fees by Project'!Q:Q,MATCH(C44,'PA Fees by Project'!E:E,0),0)</f>
        <v/>
      </c>
      <c r="I44" s="156" cm="1">
        <f t="array" ref="I44">_xlfn.IFS(G44="Operational",H44,G44="Certified",EDATE(INDEX('PA Fees by Project'!R:R,MATCH(C44,'PA Fees by Project'!E:E,0),0),6),TRUE,EDATE(INDEX('PA Fees by Project'!O:O,MATCH(C44,'PA Fees by Project'!E:E,0),0),6))</f>
        <v>46143</v>
      </c>
      <c r="J44" s="48" cm="1">
        <f t="array" ref="J44">_xlfn.IFS(YEAR(J$2)&lt;YEAR($I44),0,YEAR(J$2)=YEAR($I44),ROUND(((J$2-$I44+1)/365)*$D44,2),AND(YEAR(J$2)&gt;YEAR($I44),YEAR(J$2)-YEAR($I44)&lt;20),$D44,YEAR(J$2)-YEAR($I44)=20,ROUND((DATE(YEAR($I44),12,31)-$I44+1)/365*$D44,2),YEAR(J$2)-YEAR($I44)&gt;20,0)</f>
        <v>0</v>
      </c>
      <c r="K44" s="48" cm="1">
        <f t="array" ref="K44">_xlfn.IFS(YEAR(K$2)&lt;YEAR($I44),0,YEAR(K$2)=YEAR($I44),ROUND(((K$2-$I44+1)/365)*$D44,2),AND(YEAR(K$2)&gt;YEAR($I44),YEAR(K$2)-YEAR($I44)&lt;20),$D44,YEAR(K$2)-YEAR($I44)=20,ROUND((DATE(YEAR($I44),12,31)-$I44+1)/365*$D44,2),YEAR(K$2)-YEAR($I44)&gt;20,0)</f>
        <v>0</v>
      </c>
      <c r="L44" s="48" cm="1">
        <f t="array" ref="L44">_xlfn.IFS(YEAR(L$2)&lt;YEAR($I44),0,YEAR(L$2)=YEAR($I44),ROUND(((L$2-$I44+1)/365)*$D44,2),AND(YEAR(L$2)&gt;YEAR($I44),YEAR(L$2)-YEAR($I44)&lt;20),$D44,YEAR(L$2)-YEAR($I44)=20,ROUND((DATE(YEAR($I44),12,31)-$I44+1)/365*$D44,2),YEAR(L$2)-YEAR($I44)&gt;20,0)</f>
        <v>0</v>
      </c>
      <c r="M44" s="48" cm="1">
        <f t="array" ref="M44">_xlfn.IFS(YEAR(M$2)&lt;YEAR($I44),0,YEAR(M$2)=YEAR($I44),ROUND(((M$2-$I44+1)/365)*$D44,2),AND(YEAR(M$2)&gt;YEAR($I44),YEAR(M$2)-YEAR($I44)&lt;20),$D44,YEAR(M$2)-YEAR($I44)=20,ROUND((DATE(YEAR($I44),12,31)-$I44+1)/365*$D44,2),YEAR(M$2)-YEAR($I44)&gt;20,0)</f>
        <v>0</v>
      </c>
      <c r="N44" s="48" cm="1">
        <f t="array" ref="N44">_xlfn.IFS(YEAR(N$2)&lt;YEAR($I44),0,YEAR(N$2)=YEAR($I44),ROUND(((N$2-$I44+1)/365)*$D44,2),AND(YEAR(N$2)&gt;YEAR($I44),YEAR(N$2)-YEAR($I44)&lt;20),$D44,YEAR(N$2)-YEAR($I44)=20,ROUND((DATE(YEAR($I44),12,31)-$I44+1)/365*$D44,2),YEAR(N$2)-YEAR($I44)&gt;20,0)</f>
        <v>0</v>
      </c>
      <c r="O44" s="48" cm="1">
        <f t="array" ref="O44">_xlfn.IFS(YEAR(O$2)&lt;YEAR($I44),0,YEAR(O$2)=YEAR($I44),ROUND(((O$2-$I44+1)/365)*$D44,2),AND(YEAR(O$2)&gt;YEAR($I44),YEAR(O$2)-YEAR($I44)&lt;20),$D44,YEAR(O$2)-YEAR($I44)=20,ROUND((DATE(YEAR($I44),12,31)-$I44+1)/365*$D44,2),YEAR(O$2)-YEAR($I44)&gt;20,0)</f>
        <v>1426.37</v>
      </c>
      <c r="P44" s="48" cm="1">
        <f t="array" ref="P44">_xlfn.IFS(YEAR(P$2)&lt;YEAR($I44),0,YEAR(P$2)=YEAR($I44),ROUND(((P$2-$I44+1)/365)*$D44,2),AND(YEAR(P$2)&gt;YEAR($I44),YEAR(P$2)-YEAR($I44)&lt;20),$D44,YEAR(P$2)-YEAR($I44)=20,ROUND((DATE(YEAR($I44),12,31)-$I44+1)/365*$D44,2),YEAR(P$2)-YEAR($I44)&gt;20,0)</f>
        <v>2125</v>
      </c>
      <c r="Q44" s="48" cm="1">
        <f t="array" ref="Q44">_xlfn.IFS(YEAR(Q$2)&lt;YEAR($I44),0,YEAR(Q$2)=YEAR($I44),ROUND(((Q$2-$I44+1)/365)*$D44,2),AND(YEAR(Q$2)&gt;YEAR($I44),YEAR(Q$2)-YEAR($I44)&lt;20),$D44,YEAR(Q$2)-YEAR($I44)=20,ROUND((DATE(YEAR($I44),12,31)-$I44+1)/365*$D44,2),YEAR(Q$2)-YEAR($I44)&gt;20,0)</f>
        <v>2125</v>
      </c>
      <c r="R44" s="48" cm="1">
        <f t="array" ref="R44">_xlfn.IFS(YEAR(R$2)&lt;YEAR($I44),0,YEAR(R$2)=YEAR($I44),ROUND(((R$2-$I44+1)/365)*$D44,2),AND(YEAR(R$2)&gt;YEAR($I44),YEAR(R$2)-YEAR($I44)&lt;20),$D44,YEAR(R$2)-YEAR($I44)=20,ROUND((DATE(YEAR($I44),12,31)-$I44+1)/365*$D44,2),YEAR(R$2)-YEAR($I44)&gt;20,0)</f>
        <v>2125</v>
      </c>
      <c r="S44" s="48" cm="1">
        <f t="array" ref="S44">_xlfn.IFS(YEAR(S$2)&lt;YEAR($I44),0,YEAR(S$2)=YEAR($I44),ROUND(((S$2-$I44+1)/365)*$D44,2),AND(YEAR(S$2)&gt;YEAR($I44),YEAR(S$2)-YEAR($I44)&lt;20),$D44,YEAR(S$2)-YEAR($I44)=20,ROUND((DATE(YEAR($I44),12,31)-$I44+1)/365*$D44,2),YEAR(S$2)-YEAR($I44)&gt;20,0)</f>
        <v>2125</v>
      </c>
      <c r="T44" s="48" cm="1">
        <f t="array" ref="T44">_xlfn.IFS(YEAR(T$2)&lt;YEAR($I44),0,YEAR(T$2)=YEAR($I44),ROUND(((T$2-$I44+1)/365)*$D44,2),AND(YEAR(T$2)&gt;YEAR($I44),YEAR(T$2)-YEAR($I44)&lt;20),$D44,YEAR(T$2)-YEAR($I44)=20,ROUND((DATE(YEAR($I44),12,31)-$I44+1)/365*$D44,2),YEAR(T$2)-YEAR($I44)&gt;20,0)</f>
        <v>2125</v>
      </c>
      <c r="U44" s="48" cm="1">
        <f t="array" ref="U44">_xlfn.IFS(YEAR(U$2)&lt;YEAR($I44),0,YEAR(U$2)=YEAR($I44),ROUND(((U$2-$I44+1)/365)*$D44,2),AND(YEAR(U$2)&gt;YEAR($I44),YEAR(U$2)-YEAR($I44)&lt;20),$D44,YEAR(U$2)-YEAR($I44)=20,ROUND((DATE(YEAR($I44),12,31)-$I44+1)/365*$D44,2),YEAR(U$2)-YEAR($I44)&gt;20,0)</f>
        <v>2125</v>
      </c>
      <c r="V44" s="48" cm="1">
        <f t="array" ref="V44">_xlfn.IFS(YEAR(V$2)&lt;YEAR($I44),0,YEAR(V$2)=YEAR($I44),ROUND(((V$2-$I44+1)/365)*$D44,2),AND(YEAR(V$2)&gt;YEAR($I44),YEAR(V$2)-YEAR($I44)&lt;20),$D44,YEAR(V$2)-YEAR($I44)=20,ROUND((DATE(YEAR($I44),12,31)-$I44+1)/365*$D44,2),YEAR(V$2)-YEAR($I44)&gt;20,0)</f>
        <v>2125</v>
      </c>
      <c r="W44" s="48" cm="1">
        <f t="array" ref="W44">_xlfn.IFS(YEAR(W$2)&lt;YEAR($I44),0,YEAR(W$2)=YEAR($I44),ROUND(((W$2-$I44+1)/365)*$D44,2),AND(YEAR(W$2)&gt;YEAR($I44),YEAR(W$2)-YEAR($I44)&lt;20),$D44,YEAR(W$2)-YEAR($I44)=20,ROUND((DATE(YEAR($I44),12,31)-$I44+1)/365*$D44,2),YEAR(W$2)-YEAR($I44)&gt;20,0)</f>
        <v>2125</v>
      </c>
      <c r="X44" s="48" cm="1">
        <f t="array" ref="X44">_xlfn.IFS(YEAR(X$2)&lt;YEAR($I44),0,YEAR(X$2)=YEAR($I44),ROUND(((X$2-$I44+1)/365)*$D44,2),AND(YEAR(X$2)&gt;YEAR($I44),YEAR(X$2)-YEAR($I44)&lt;20),$D44,YEAR(X$2)-YEAR($I44)=20,ROUND((DATE(YEAR($I44),12,31)-$I44+1)/365*$D44,2),YEAR(X$2)-YEAR($I44)&gt;20,0)</f>
        <v>2125</v>
      </c>
      <c r="Y44" s="48" cm="1">
        <f t="array" ref="Y44">_xlfn.IFS(YEAR(Y$2)&lt;YEAR($I44),0,YEAR(Y$2)=YEAR($I44),ROUND(((Y$2-$I44+1)/365)*$D44,2),AND(YEAR(Y$2)&gt;YEAR($I44),YEAR(Y$2)-YEAR($I44)&lt;20),$D44,YEAR(Y$2)-YEAR($I44)=20,ROUND((DATE(YEAR($I44),12,31)-$I44+1)/365*$D44,2),YEAR(Y$2)-YEAR($I44)&gt;20,0)</f>
        <v>2125</v>
      </c>
      <c r="Z44" s="48" cm="1">
        <f t="array" ref="Z44">_xlfn.IFS(YEAR(Z$2)&lt;YEAR($I44),0,YEAR(Z$2)=YEAR($I44),ROUND(((Z$2-$I44+1)/365)*$D44,2),AND(YEAR(Z$2)&gt;YEAR($I44),YEAR(Z$2)-YEAR($I44)&lt;20),$D44,YEAR(Z$2)-YEAR($I44)=20,ROUND((DATE(YEAR($I44),12,31)-$I44+1)/365*$D44,2),YEAR(Z$2)-YEAR($I44)&gt;20,0)</f>
        <v>2125</v>
      </c>
      <c r="AA44" s="48" cm="1">
        <f t="array" ref="AA44">_xlfn.IFS(YEAR(AA$2)&lt;YEAR($I44),0,YEAR(AA$2)=YEAR($I44),ROUND(((AA$2-$I44+1)/365)*$D44,2),AND(YEAR(AA$2)&gt;YEAR($I44),YEAR(AA$2)-YEAR($I44)&lt;20),$D44,YEAR(AA$2)-YEAR($I44)=20,ROUND((DATE(YEAR($I44),12,31)-$I44+1)/365*$D44,2),YEAR(AA$2)-YEAR($I44)&gt;20,0)</f>
        <v>2125</v>
      </c>
      <c r="AB44" s="48" cm="1">
        <f t="array" ref="AB44">_xlfn.IFS(YEAR(AB$2)&lt;YEAR($I44),0,YEAR(AB$2)=YEAR($I44),ROUND(((AB$2-$I44+1)/365)*$D44,2),AND(YEAR(AB$2)&gt;YEAR($I44),YEAR(AB$2)-YEAR($I44)&lt;20),$D44,YEAR(AB$2)-YEAR($I44)=20,ROUND((DATE(YEAR($I44),12,31)-$I44+1)/365*$D44,2),YEAR(AB$2)-YEAR($I44)&gt;20,0)</f>
        <v>2125</v>
      </c>
      <c r="AC44" s="48" cm="1">
        <f t="array" ref="AC44">_xlfn.IFS(YEAR(AC$2)&lt;YEAR($I44),0,YEAR(AC$2)=YEAR($I44),ROUND(((AC$2-$I44+1)/365)*$D44,2),AND(YEAR(AC$2)&gt;YEAR($I44),YEAR(AC$2)-YEAR($I44)&lt;20),$D44,YEAR(AC$2)-YEAR($I44)=20,ROUND((DATE(YEAR($I44),12,31)-$I44+1)/365*$D44,2),YEAR(AC$2)-YEAR($I44)&gt;20,0)</f>
        <v>2125</v>
      </c>
      <c r="AD44" s="48" cm="1">
        <f t="array" ref="AD44">_xlfn.IFS(YEAR(AD$2)&lt;YEAR($I44),0,YEAR(AD$2)=YEAR($I44),ROUND(((AD$2-$I44+1)/365)*$D44,2),AND(YEAR(AD$2)&gt;YEAR($I44),YEAR(AD$2)-YEAR($I44)&lt;20),$D44,YEAR(AD$2)-YEAR($I44)=20,ROUND((DATE(YEAR($I44),12,31)-$I44+1)/365*$D44,2),YEAR(AD$2)-YEAR($I44)&gt;20,0)</f>
        <v>2125</v>
      </c>
      <c r="AE44" s="48" cm="1">
        <f t="array" ref="AE44">_xlfn.IFS(YEAR(AE$2)&lt;YEAR($I44),0,YEAR(AE$2)=YEAR($I44),ROUND(((AE$2-$I44+1)/365)*$D44,2),AND(YEAR(AE$2)&gt;YEAR($I44),YEAR(AE$2)-YEAR($I44)&lt;20),$D44,YEAR(AE$2)-YEAR($I44)=20,ROUND((DATE(YEAR($I44),12,31)-$I44+1)/365*$D44,2),YEAR(AE$2)-YEAR($I44)&gt;20,0)</f>
        <v>2125</v>
      </c>
      <c r="AF44" s="48" cm="1">
        <f t="array" ref="AF44">_xlfn.IFS(YEAR(AF$2)&lt;YEAR($I44),0,YEAR(AF$2)=YEAR($I44),ROUND(((AF$2-$I44+1)/365)*$D44,2),AND(YEAR(AF$2)&gt;YEAR($I44),YEAR(AF$2)-YEAR($I44)&lt;20),$D44,YEAR(AF$2)-YEAR($I44)=20,ROUND((DATE(YEAR($I44),12,31)-$I44+1)/365*$D44,2),YEAR(AF$2)-YEAR($I44)&gt;20,0)</f>
        <v>2125</v>
      </c>
      <c r="AG44" s="48" cm="1">
        <f t="array" ref="AG44">_xlfn.IFS(YEAR(AG$2)&lt;YEAR($I44),0,YEAR(AG$2)=YEAR($I44),ROUND(((AG$2-$I44+1)/365)*$D44,2),AND(YEAR(AG$2)&gt;YEAR($I44),YEAR(AG$2)-YEAR($I44)&lt;20),$D44,YEAR(AG$2)-YEAR($I44)=20,ROUND((DATE(YEAR($I44),12,31)-$I44+1)/365*$D44,2),YEAR(AG$2)-YEAR($I44)&gt;20,0)</f>
        <v>2125</v>
      </c>
      <c r="AH44" s="48" cm="1">
        <f t="array" ref="AH44">_xlfn.IFS(YEAR(AH$2)&lt;YEAR($I44),0,YEAR(AH$2)=YEAR($I44),ROUND(((AH$2-$I44+1)/365)*$D44,2),AND(YEAR(AH$2)&gt;YEAR($I44),YEAR(AH$2)-YEAR($I44)&lt;20),$D44,YEAR(AH$2)-YEAR($I44)=20,ROUND((DATE(YEAR($I44),12,31)-$I44+1)/365*$D44,2),YEAR(AH$2)-YEAR($I44)&gt;20,0)</f>
        <v>2125</v>
      </c>
      <c r="AI44" s="48" cm="1">
        <f t="array" ref="AI44">_xlfn.IFS(YEAR(AI$2)&lt;YEAR($I44),0,YEAR(AI$2)=YEAR($I44),ROUND(((AI$2-$I44+1)/365)*$D44,2),AND(YEAR(AI$2)&gt;YEAR($I44),YEAR(AI$2)-YEAR($I44)&lt;20),$D44,YEAR(AI$2)-YEAR($I44)=20,ROUND((DATE(YEAR($I44),12,31)-$I44+1)/365*$D44,2),YEAR(AI$2)-YEAR($I44)&gt;20,0)</f>
        <v>1426.37</v>
      </c>
      <c r="AJ44" s="48" cm="1">
        <f t="array" ref="AJ44">_xlfn.IFS(YEAR(AJ$2)&lt;YEAR($I44),0,YEAR(AJ$2)=YEAR($I44),ROUND(((AJ$2-$I44+1)/365)*$D44,2),AND(YEAR(AJ$2)&gt;YEAR($I44),YEAR(AJ$2)-YEAR($I44)&lt;20),$D44,YEAR(AJ$2)-YEAR($I44)=20,ROUND((DATE(YEAR($I44),12,31)-$I44+1)/365*$D44,2),YEAR(AJ$2)-YEAR($I44)&gt;20,0)</f>
        <v>0</v>
      </c>
      <c r="AK44" s="48" cm="1">
        <f t="array" ref="AK44">_xlfn.IFS(YEAR(AK$2)&lt;YEAR($I44),0,YEAR(AK$2)=YEAR($I44),ROUND(((AK$2-$I44+1)/365)*$D44,2),AND(YEAR(AK$2)&gt;YEAR($I44),YEAR(AK$2)-YEAR($I44)&lt;20),$D44,YEAR(AK$2)-YEAR($I44)=20,ROUND((DATE(YEAR($I44),12,31)-$I44+1)/365*$D44,2),YEAR(AK$2)-YEAR($I44)&gt;20,0)</f>
        <v>0</v>
      </c>
      <c r="AL44" s="48" cm="1">
        <f t="array" ref="AL44">_xlfn.IFS(YEAR(AL$2)&lt;YEAR($I44),0,YEAR(AL$2)=YEAR($I44),ROUND(((AL$2-$I44+1)/365)*$D44,2),AND(YEAR(AL$2)&gt;YEAR($I44),YEAR(AL$2)-YEAR($I44)&lt;20),$D44,YEAR(AL$2)-YEAR($I44)=20,ROUND((DATE(YEAR($I44),12,31)-$I44+1)/365*$D44,2),YEAR(AL$2)-YEAR($I44)&gt;20,0)</f>
        <v>0</v>
      </c>
      <c r="AM44" s="48" cm="1">
        <f t="array" ref="AM44">_xlfn.IFS(YEAR(AM$2)&lt;YEAR($I44),0,YEAR(AM$2)=YEAR($I44),ROUND(((AM$2-$I44+1)/365)*$D44,2),AND(YEAR(AM$2)&gt;YEAR($I44),YEAR(AM$2)-YEAR($I44)&lt;20),$D44,YEAR(AM$2)-YEAR($I44)=20,ROUND((DATE(YEAR($I44),12,31)-$I44+1)/365*$D44,2),YEAR(AM$2)-YEAR($I44)&gt;20,0)</f>
        <v>0</v>
      </c>
      <c r="AO44" s="48">
        <v>2045</v>
      </c>
      <c r="AP44" s="48">
        <v>0</v>
      </c>
      <c r="AQ44" s="48">
        <v>0</v>
      </c>
      <c r="AR44" s="48">
        <v>1.03</v>
      </c>
      <c r="AS44" s="48">
        <v>8.6</v>
      </c>
      <c r="AT44" s="48">
        <v>0.33</v>
      </c>
      <c r="AU44" s="48">
        <v>42.95</v>
      </c>
      <c r="AV44" s="48">
        <v>18.259999999999998</v>
      </c>
      <c r="AW44" s="48">
        <v>43.78</v>
      </c>
      <c r="AX44" s="48">
        <v>20.049999999999997</v>
      </c>
      <c r="AY44" s="48">
        <v>0</v>
      </c>
      <c r="BA44" s="48">
        <f t="shared" si="1"/>
        <v>135</v>
      </c>
      <c r="BB44" s="48">
        <f t="shared" si="2"/>
        <v>-22.870000000000005</v>
      </c>
    </row>
    <row r="45" spans="1:54">
      <c r="A45" s="155" t="str" cm="1">
        <f t="array" ref="A45">_xlfn.IFS(LEFT(C45,3)="PGE","PGE",LEFT(C45,2)="PP","PAC",TRUE,"IP")</f>
        <v>PAC</v>
      </c>
      <c r="B45" s="155" t="str">
        <f>IF(ISNA(MATCH(C45,'Monthly Report July 2025'!E:E,0)),"Missing","Present")</f>
        <v>Present</v>
      </c>
      <c r="C45" s="155" t="s">
        <v>154</v>
      </c>
      <c r="D45" s="176" cm="1">
        <f t="array" ref="D45">INDEX('Monthly Report July 2025'!L:L,MATCH(C45,'Monthly Report July 2025'!E:E,0),0)</f>
        <v>1500</v>
      </c>
      <c r="E45" s="176" t="str" cm="1">
        <f t="array" ref="E45">IF(INDEX('PA Fees by Project'!K:K,MATCH(C45,'PA Fees by Project'!E:E,0),0)="No","Non-Carve Out", "Carve Out")</f>
        <v>Non-Carve Out</v>
      </c>
      <c r="F45" s="176" cm="1">
        <f t="array" ref="F45">INDEX('PA Fees by Project'!J:J,MATCH(C45,'PA Fees by Project'!E:E,0),0)</f>
        <v>2</v>
      </c>
      <c r="G45" s="155" t="str" cm="1">
        <f t="array" ref="G45">INDEX('PA Fees by Project'!G:G,MATCH(C45,'PA Fees by Project'!E:E,0),0)</f>
        <v>Pre-Certified</v>
      </c>
      <c r="H45" s="175" t="str" cm="1">
        <f t="array" ref="H45">INDEX('PA Fees by Project'!Q:Q,MATCH(C45,'PA Fees by Project'!E:E,0),0)</f>
        <v/>
      </c>
      <c r="I45" s="156" cm="1">
        <f t="array" ref="I45">_xlfn.IFS(G45="Operational",H45,G45="Certified",EDATE(INDEX('PA Fees by Project'!R:R,MATCH(C45,'PA Fees by Project'!E:E,0),0),6),TRUE,EDATE(INDEX('PA Fees by Project'!O:O,MATCH(C45,'PA Fees by Project'!E:E,0),0),6))</f>
        <v>46382</v>
      </c>
      <c r="J45" s="48" cm="1">
        <f t="array" ref="J45">_xlfn.IFS(YEAR(J$2)&lt;YEAR($I45),0,YEAR(J$2)=YEAR($I45),ROUND(((J$2-$I45+1)/365)*$D45,2),AND(YEAR(J$2)&gt;YEAR($I45),YEAR(J$2)-YEAR($I45)&lt;20),$D45,YEAR(J$2)-YEAR($I45)=20,ROUND((DATE(YEAR($I45),12,31)-$I45+1)/365*$D45,2),YEAR(J$2)-YEAR($I45)&gt;20,0)</f>
        <v>0</v>
      </c>
      <c r="K45" s="48" cm="1">
        <f t="array" ref="K45">_xlfn.IFS(YEAR(K$2)&lt;YEAR($I45),0,YEAR(K$2)=YEAR($I45),ROUND(((K$2-$I45+1)/365)*$D45,2),AND(YEAR(K$2)&gt;YEAR($I45),YEAR(K$2)-YEAR($I45)&lt;20),$D45,YEAR(K$2)-YEAR($I45)=20,ROUND((DATE(YEAR($I45),12,31)-$I45+1)/365*$D45,2),YEAR(K$2)-YEAR($I45)&gt;20,0)</f>
        <v>0</v>
      </c>
      <c r="L45" s="48" cm="1">
        <f t="array" ref="L45">_xlfn.IFS(YEAR(L$2)&lt;YEAR($I45),0,YEAR(L$2)=YEAR($I45),ROUND(((L$2-$I45+1)/365)*$D45,2),AND(YEAR(L$2)&gt;YEAR($I45),YEAR(L$2)-YEAR($I45)&lt;20),$D45,YEAR(L$2)-YEAR($I45)=20,ROUND((DATE(YEAR($I45),12,31)-$I45+1)/365*$D45,2),YEAR(L$2)-YEAR($I45)&gt;20,0)</f>
        <v>0</v>
      </c>
      <c r="M45" s="48" cm="1">
        <f t="array" ref="M45">_xlfn.IFS(YEAR(M$2)&lt;YEAR($I45),0,YEAR(M$2)=YEAR($I45),ROUND(((M$2-$I45+1)/365)*$D45,2),AND(YEAR(M$2)&gt;YEAR($I45),YEAR(M$2)-YEAR($I45)&lt;20),$D45,YEAR(M$2)-YEAR($I45)=20,ROUND((DATE(YEAR($I45),12,31)-$I45+1)/365*$D45,2),YEAR(M$2)-YEAR($I45)&gt;20,0)</f>
        <v>0</v>
      </c>
      <c r="N45" s="48" cm="1">
        <f t="array" ref="N45">_xlfn.IFS(YEAR(N$2)&lt;YEAR($I45),0,YEAR(N$2)=YEAR($I45),ROUND(((N$2-$I45+1)/365)*$D45,2),AND(YEAR(N$2)&gt;YEAR($I45),YEAR(N$2)-YEAR($I45)&lt;20),$D45,YEAR(N$2)-YEAR($I45)=20,ROUND((DATE(YEAR($I45),12,31)-$I45+1)/365*$D45,2),YEAR(N$2)-YEAR($I45)&gt;20,0)</f>
        <v>0</v>
      </c>
      <c r="O45" s="48" cm="1">
        <f t="array" ref="O45">_xlfn.IFS(YEAR(O$2)&lt;YEAR($I45),0,YEAR(O$2)=YEAR($I45),ROUND(((O$2-$I45+1)/365)*$D45,2),AND(YEAR(O$2)&gt;YEAR($I45),YEAR(O$2)-YEAR($I45)&lt;20),$D45,YEAR(O$2)-YEAR($I45)=20,ROUND((DATE(YEAR($I45),12,31)-$I45+1)/365*$D45,2),YEAR(O$2)-YEAR($I45)&gt;20,0)</f>
        <v>24.66</v>
      </c>
      <c r="P45" s="48" cm="1">
        <f t="array" ref="P45">_xlfn.IFS(YEAR(P$2)&lt;YEAR($I45),0,YEAR(P$2)=YEAR($I45),ROUND(((P$2-$I45+1)/365)*$D45,2),AND(YEAR(P$2)&gt;YEAR($I45),YEAR(P$2)-YEAR($I45)&lt;20),$D45,YEAR(P$2)-YEAR($I45)=20,ROUND((DATE(YEAR($I45),12,31)-$I45+1)/365*$D45,2),YEAR(P$2)-YEAR($I45)&gt;20,0)</f>
        <v>1500</v>
      </c>
      <c r="Q45" s="48" cm="1">
        <f t="array" ref="Q45">_xlfn.IFS(YEAR(Q$2)&lt;YEAR($I45),0,YEAR(Q$2)=YEAR($I45),ROUND(((Q$2-$I45+1)/365)*$D45,2),AND(YEAR(Q$2)&gt;YEAR($I45),YEAR(Q$2)-YEAR($I45)&lt;20),$D45,YEAR(Q$2)-YEAR($I45)=20,ROUND((DATE(YEAR($I45),12,31)-$I45+1)/365*$D45,2),YEAR(Q$2)-YEAR($I45)&gt;20,0)</f>
        <v>1500</v>
      </c>
      <c r="R45" s="48" cm="1">
        <f t="array" ref="R45">_xlfn.IFS(YEAR(R$2)&lt;YEAR($I45),0,YEAR(R$2)=YEAR($I45),ROUND(((R$2-$I45+1)/365)*$D45,2),AND(YEAR(R$2)&gt;YEAR($I45),YEAR(R$2)-YEAR($I45)&lt;20),$D45,YEAR(R$2)-YEAR($I45)=20,ROUND((DATE(YEAR($I45),12,31)-$I45+1)/365*$D45,2),YEAR(R$2)-YEAR($I45)&gt;20,0)</f>
        <v>1500</v>
      </c>
      <c r="S45" s="48" cm="1">
        <f t="array" ref="S45">_xlfn.IFS(YEAR(S$2)&lt;YEAR($I45),0,YEAR(S$2)=YEAR($I45),ROUND(((S$2-$I45+1)/365)*$D45,2),AND(YEAR(S$2)&gt;YEAR($I45),YEAR(S$2)-YEAR($I45)&lt;20),$D45,YEAR(S$2)-YEAR($I45)=20,ROUND((DATE(YEAR($I45),12,31)-$I45+1)/365*$D45,2),YEAR(S$2)-YEAR($I45)&gt;20,0)</f>
        <v>1500</v>
      </c>
      <c r="T45" s="48" cm="1">
        <f t="array" ref="T45">_xlfn.IFS(YEAR(T$2)&lt;YEAR($I45),0,YEAR(T$2)=YEAR($I45),ROUND(((T$2-$I45+1)/365)*$D45,2),AND(YEAR(T$2)&gt;YEAR($I45),YEAR(T$2)-YEAR($I45)&lt;20),$D45,YEAR(T$2)-YEAR($I45)=20,ROUND((DATE(YEAR($I45),12,31)-$I45+1)/365*$D45,2),YEAR(T$2)-YEAR($I45)&gt;20,0)</f>
        <v>1500</v>
      </c>
      <c r="U45" s="48" cm="1">
        <f t="array" ref="U45">_xlfn.IFS(YEAR(U$2)&lt;YEAR($I45),0,YEAR(U$2)=YEAR($I45),ROUND(((U$2-$I45+1)/365)*$D45,2),AND(YEAR(U$2)&gt;YEAR($I45),YEAR(U$2)-YEAR($I45)&lt;20),$D45,YEAR(U$2)-YEAR($I45)=20,ROUND((DATE(YEAR($I45),12,31)-$I45+1)/365*$D45,2),YEAR(U$2)-YEAR($I45)&gt;20,0)</f>
        <v>1500</v>
      </c>
      <c r="V45" s="48" cm="1">
        <f t="array" ref="V45">_xlfn.IFS(YEAR(V$2)&lt;YEAR($I45),0,YEAR(V$2)=YEAR($I45),ROUND(((V$2-$I45+1)/365)*$D45,2),AND(YEAR(V$2)&gt;YEAR($I45),YEAR(V$2)-YEAR($I45)&lt;20),$D45,YEAR(V$2)-YEAR($I45)=20,ROUND((DATE(YEAR($I45),12,31)-$I45+1)/365*$D45,2),YEAR(V$2)-YEAR($I45)&gt;20,0)</f>
        <v>1500</v>
      </c>
      <c r="W45" s="48" cm="1">
        <f t="array" ref="W45">_xlfn.IFS(YEAR(W$2)&lt;YEAR($I45),0,YEAR(W$2)=YEAR($I45),ROUND(((W$2-$I45+1)/365)*$D45,2),AND(YEAR(W$2)&gt;YEAR($I45),YEAR(W$2)-YEAR($I45)&lt;20),$D45,YEAR(W$2)-YEAR($I45)=20,ROUND((DATE(YEAR($I45),12,31)-$I45+1)/365*$D45,2),YEAR(W$2)-YEAR($I45)&gt;20,0)</f>
        <v>1500</v>
      </c>
      <c r="X45" s="48" cm="1">
        <f t="array" ref="X45">_xlfn.IFS(YEAR(X$2)&lt;YEAR($I45),0,YEAR(X$2)=YEAR($I45),ROUND(((X$2-$I45+1)/365)*$D45,2),AND(YEAR(X$2)&gt;YEAR($I45),YEAR(X$2)-YEAR($I45)&lt;20),$D45,YEAR(X$2)-YEAR($I45)=20,ROUND((DATE(YEAR($I45),12,31)-$I45+1)/365*$D45,2),YEAR(X$2)-YEAR($I45)&gt;20,0)</f>
        <v>1500</v>
      </c>
      <c r="Y45" s="48" cm="1">
        <f t="array" ref="Y45">_xlfn.IFS(YEAR(Y$2)&lt;YEAR($I45),0,YEAR(Y$2)=YEAR($I45),ROUND(((Y$2-$I45+1)/365)*$D45,2),AND(YEAR(Y$2)&gt;YEAR($I45),YEAR(Y$2)-YEAR($I45)&lt;20),$D45,YEAR(Y$2)-YEAR($I45)=20,ROUND((DATE(YEAR($I45),12,31)-$I45+1)/365*$D45,2),YEAR(Y$2)-YEAR($I45)&gt;20,0)</f>
        <v>1500</v>
      </c>
      <c r="Z45" s="48" cm="1">
        <f t="array" ref="Z45">_xlfn.IFS(YEAR(Z$2)&lt;YEAR($I45),0,YEAR(Z$2)=YEAR($I45),ROUND(((Z$2-$I45+1)/365)*$D45,2),AND(YEAR(Z$2)&gt;YEAR($I45),YEAR(Z$2)-YEAR($I45)&lt;20),$D45,YEAR(Z$2)-YEAR($I45)=20,ROUND((DATE(YEAR($I45),12,31)-$I45+1)/365*$D45,2),YEAR(Z$2)-YEAR($I45)&gt;20,0)</f>
        <v>1500</v>
      </c>
      <c r="AA45" s="48" cm="1">
        <f t="array" ref="AA45">_xlfn.IFS(YEAR(AA$2)&lt;YEAR($I45),0,YEAR(AA$2)=YEAR($I45),ROUND(((AA$2-$I45+1)/365)*$D45,2),AND(YEAR(AA$2)&gt;YEAR($I45),YEAR(AA$2)-YEAR($I45)&lt;20),$D45,YEAR(AA$2)-YEAR($I45)=20,ROUND((DATE(YEAR($I45),12,31)-$I45+1)/365*$D45,2),YEAR(AA$2)-YEAR($I45)&gt;20,0)</f>
        <v>1500</v>
      </c>
      <c r="AB45" s="48" cm="1">
        <f t="array" ref="AB45">_xlfn.IFS(YEAR(AB$2)&lt;YEAR($I45),0,YEAR(AB$2)=YEAR($I45),ROUND(((AB$2-$I45+1)/365)*$D45,2),AND(YEAR(AB$2)&gt;YEAR($I45),YEAR(AB$2)-YEAR($I45)&lt;20),$D45,YEAR(AB$2)-YEAR($I45)=20,ROUND((DATE(YEAR($I45),12,31)-$I45+1)/365*$D45,2),YEAR(AB$2)-YEAR($I45)&gt;20,0)</f>
        <v>1500</v>
      </c>
      <c r="AC45" s="48" cm="1">
        <f t="array" ref="AC45">_xlfn.IFS(YEAR(AC$2)&lt;YEAR($I45),0,YEAR(AC$2)=YEAR($I45),ROUND(((AC$2-$I45+1)/365)*$D45,2),AND(YEAR(AC$2)&gt;YEAR($I45),YEAR(AC$2)-YEAR($I45)&lt;20),$D45,YEAR(AC$2)-YEAR($I45)=20,ROUND((DATE(YEAR($I45),12,31)-$I45+1)/365*$D45,2),YEAR(AC$2)-YEAR($I45)&gt;20,0)</f>
        <v>1500</v>
      </c>
      <c r="AD45" s="48" cm="1">
        <f t="array" ref="AD45">_xlfn.IFS(YEAR(AD$2)&lt;YEAR($I45),0,YEAR(AD$2)=YEAR($I45),ROUND(((AD$2-$I45+1)/365)*$D45,2),AND(YEAR(AD$2)&gt;YEAR($I45),YEAR(AD$2)-YEAR($I45)&lt;20),$D45,YEAR(AD$2)-YEAR($I45)=20,ROUND((DATE(YEAR($I45),12,31)-$I45+1)/365*$D45,2),YEAR(AD$2)-YEAR($I45)&gt;20,0)</f>
        <v>1500</v>
      </c>
      <c r="AE45" s="48" cm="1">
        <f t="array" ref="AE45">_xlfn.IFS(YEAR(AE$2)&lt;YEAR($I45),0,YEAR(AE$2)=YEAR($I45),ROUND(((AE$2-$I45+1)/365)*$D45,2),AND(YEAR(AE$2)&gt;YEAR($I45),YEAR(AE$2)-YEAR($I45)&lt;20),$D45,YEAR(AE$2)-YEAR($I45)=20,ROUND((DATE(YEAR($I45),12,31)-$I45+1)/365*$D45,2),YEAR(AE$2)-YEAR($I45)&gt;20,0)</f>
        <v>1500</v>
      </c>
      <c r="AF45" s="48" cm="1">
        <f t="array" ref="AF45">_xlfn.IFS(YEAR(AF$2)&lt;YEAR($I45),0,YEAR(AF$2)=YEAR($I45),ROUND(((AF$2-$I45+1)/365)*$D45,2),AND(YEAR(AF$2)&gt;YEAR($I45),YEAR(AF$2)-YEAR($I45)&lt;20),$D45,YEAR(AF$2)-YEAR($I45)=20,ROUND((DATE(YEAR($I45),12,31)-$I45+1)/365*$D45,2),YEAR(AF$2)-YEAR($I45)&gt;20,0)</f>
        <v>1500</v>
      </c>
      <c r="AG45" s="48" cm="1">
        <f t="array" ref="AG45">_xlfn.IFS(YEAR(AG$2)&lt;YEAR($I45),0,YEAR(AG$2)=YEAR($I45),ROUND(((AG$2-$I45+1)/365)*$D45,2),AND(YEAR(AG$2)&gt;YEAR($I45),YEAR(AG$2)-YEAR($I45)&lt;20),$D45,YEAR(AG$2)-YEAR($I45)=20,ROUND((DATE(YEAR($I45),12,31)-$I45+1)/365*$D45,2),YEAR(AG$2)-YEAR($I45)&gt;20,0)</f>
        <v>1500</v>
      </c>
      <c r="AH45" s="48" cm="1">
        <f t="array" ref="AH45">_xlfn.IFS(YEAR(AH$2)&lt;YEAR($I45),0,YEAR(AH$2)=YEAR($I45),ROUND(((AH$2-$I45+1)/365)*$D45,2),AND(YEAR(AH$2)&gt;YEAR($I45),YEAR(AH$2)-YEAR($I45)&lt;20),$D45,YEAR(AH$2)-YEAR($I45)=20,ROUND((DATE(YEAR($I45),12,31)-$I45+1)/365*$D45,2),YEAR(AH$2)-YEAR($I45)&gt;20,0)</f>
        <v>1500</v>
      </c>
      <c r="AI45" s="48" cm="1">
        <f t="array" ref="AI45">_xlfn.IFS(YEAR(AI$2)&lt;YEAR($I45),0,YEAR(AI$2)=YEAR($I45),ROUND(((AI$2-$I45+1)/365)*$D45,2),AND(YEAR(AI$2)&gt;YEAR($I45),YEAR(AI$2)-YEAR($I45)&lt;20),$D45,YEAR(AI$2)-YEAR($I45)=20,ROUND((DATE(YEAR($I45),12,31)-$I45+1)/365*$D45,2),YEAR(AI$2)-YEAR($I45)&gt;20,0)</f>
        <v>24.66</v>
      </c>
      <c r="AJ45" s="48" cm="1">
        <f t="array" ref="AJ45">_xlfn.IFS(YEAR(AJ$2)&lt;YEAR($I45),0,YEAR(AJ$2)=YEAR($I45),ROUND(((AJ$2-$I45+1)/365)*$D45,2),AND(YEAR(AJ$2)&gt;YEAR($I45),YEAR(AJ$2)-YEAR($I45)&lt;20),$D45,YEAR(AJ$2)-YEAR($I45)=20,ROUND((DATE(YEAR($I45),12,31)-$I45+1)/365*$D45,2),YEAR(AJ$2)-YEAR($I45)&gt;20,0)</f>
        <v>0</v>
      </c>
      <c r="AK45" s="48" cm="1">
        <f t="array" ref="AK45">_xlfn.IFS(YEAR(AK$2)&lt;YEAR($I45),0,YEAR(AK$2)=YEAR($I45),ROUND(((AK$2-$I45+1)/365)*$D45,2),AND(YEAR(AK$2)&gt;YEAR($I45),YEAR(AK$2)-YEAR($I45)&lt;20),$D45,YEAR(AK$2)-YEAR($I45)=20,ROUND((DATE(YEAR($I45),12,31)-$I45+1)/365*$D45,2),YEAR(AK$2)-YEAR($I45)&gt;20,0)</f>
        <v>0</v>
      </c>
      <c r="AL45" s="48" cm="1">
        <f t="array" ref="AL45">_xlfn.IFS(YEAR(AL$2)&lt;YEAR($I45),0,YEAR(AL$2)=YEAR($I45),ROUND(((AL$2-$I45+1)/365)*$D45,2),AND(YEAR(AL$2)&gt;YEAR($I45),YEAR(AL$2)-YEAR($I45)&lt;20),$D45,YEAR(AL$2)-YEAR($I45)=20,ROUND((DATE(YEAR($I45),12,31)-$I45+1)/365*$D45,2),YEAR(AL$2)-YEAR($I45)&gt;20,0)</f>
        <v>0</v>
      </c>
      <c r="AM45" s="48" cm="1">
        <f t="array" ref="AM45">_xlfn.IFS(YEAR(AM$2)&lt;YEAR($I45),0,YEAR(AM$2)=YEAR($I45),ROUND(((AM$2-$I45+1)/365)*$D45,2),AND(YEAR(AM$2)&gt;YEAR($I45),YEAR(AM$2)-YEAR($I45)&lt;20),$D45,YEAR(AM$2)-YEAR($I45)=20,ROUND((DATE(YEAR($I45),12,31)-$I45+1)/365*$D45,2),YEAR(AM$2)-YEAR($I45)&gt;20,0)</f>
        <v>0</v>
      </c>
      <c r="AO45" s="48">
        <v>2046</v>
      </c>
      <c r="AP45" s="48">
        <v>0</v>
      </c>
      <c r="AQ45" s="48">
        <v>0</v>
      </c>
      <c r="AR45" s="48">
        <v>0</v>
      </c>
      <c r="AS45" s="48">
        <v>1.43</v>
      </c>
      <c r="AT45" s="48">
        <v>0.33</v>
      </c>
      <c r="AU45" s="48">
        <v>41.27</v>
      </c>
      <c r="AV45" s="48">
        <v>6.31</v>
      </c>
      <c r="AW45" s="48">
        <v>40.89</v>
      </c>
      <c r="AX45" s="48">
        <v>7.7</v>
      </c>
      <c r="AY45" s="48">
        <v>0</v>
      </c>
      <c r="BA45" s="48">
        <f t="shared" si="1"/>
        <v>97.93</v>
      </c>
      <c r="BB45" s="48">
        <f t="shared" si="2"/>
        <v>-37.069999999999993</v>
      </c>
    </row>
    <row r="46" spans="1:54">
      <c r="A46" s="155" t="str" cm="1">
        <f t="array" ref="A46">_xlfn.IFS(LEFT(C46,3)="PGE","PGE",LEFT(C46,2)="PP","PAC",TRUE,"IP")</f>
        <v>PAC</v>
      </c>
      <c r="B46" s="155" t="str">
        <f>IF(ISNA(MATCH(C46,'Monthly Report July 2025'!E:E,0)),"Missing","Present")</f>
        <v>Present</v>
      </c>
      <c r="C46" s="155" t="s">
        <v>155</v>
      </c>
      <c r="D46" s="176" cm="1">
        <f t="array" ref="D46">INDEX('Monthly Report July 2025'!L:L,MATCH(C46,'Monthly Report July 2025'!E:E,0),0)</f>
        <v>1000</v>
      </c>
      <c r="E46" s="176" t="str" cm="1">
        <f t="array" ref="E46">IF(INDEX('PA Fees by Project'!K:K,MATCH(C46,'PA Fees by Project'!E:E,0),0)="No","Non-Carve Out", "Carve Out")</f>
        <v>Non-Carve Out</v>
      </c>
      <c r="F46" s="176" cm="1">
        <f t="array" ref="F46">INDEX('PA Fees by Project'!J:J,MATCH(C46,'PA Fees by Project'!E:E,0),0)</f>
        <v>2</v>
      </c>
      <c r="G46" s="155" t="str" cm="1">
        <f t="array" ref="G46">INDEX('PA Fees by Project'!G:G,MATCH(C46,'PA Fees by Project'!E:E,0),0)</f>
        <v>Pre-Certified</v>
      </c>
      <c r="H46" s="175" t="str" cm="1">
        <f t="array" ref="H46">INDEX('PA Fees by Project'!Q:Q,MATCH(C46,'PA Fees by Project'!E:E,0),0)</f>
        <v/>
      </c>
      <c r="I46" s="156" cm="1">
        <f t="array" ref="I46">_xlfn.IFS(G46="Operational",H46,G46="Certified",EDATE(INDEX('PA Fees by Project'!R:R,MATCH(C46,'PA Fees by Project'!E:E,0),0),6),TRUE,EDATE(INDEX('PA Fees by Project'!O:O,MATCH(C46,'PA Fees by Project'!E:E,0),0),6))</f>
        <v>46382</v>
      </c>
      <c r="J46" s="48" cm="1">
        <f t="array" ref="J46">_xlfn.IFS(YEAR(J$2)&lt;YEAR($I46),0,YEAR(J$2)=YEAR($I46),ROUND(((J$2-$I46+1)/365)*$D46,2),AND(YEAR(J$2)&gt;YEAR($I46),YEAR(J$2)-YEAR($I46)&lt;20),$D46,YEAR(J$2)-YEAR($I46)=20,ROUND((DATE(YEAR($I46),12,31)-$I46+1)/365*$D46,2),YEAR(J$2)-YEAR($I46)&gt;20,0)</f>
        <v>0</v>
      </c>
      <c r="K46" s="48" cm="1">
        <f t="array" ref="K46">_xlfn.IFS(YEAR(K$2)&lt;YEAR($I46),0,YEAR(K$2)=YEAR($I46),ROUND(((K$2-$I46+1)/365)*$D46,2),AND(YEAR(K$2)&gt;YEAR($I46),YEAR(K$2)-YEAR($I46)&lt;20),$D46,YEAR(K$2)-YEAR($I46)=20,ROUND((DATE(YEAR($I46),12,31)-$I46+1)/365*$D46,2),YEAR(K$2)-YEAR($I46)&gt;20,0)</f>
        <v>0</v>
      </c>
      <c r="L46" s="48" cm="1">
        <f t="array" ref="L46">_xlfn.IFS(YEAR(L$2)&lt;YEAR($I46),0,YEAR(L$2)=YEAR($I46),ROUND(((L$2-$I46+1)/365)*$D46,2),AND(YEAR(L$2)&gt;YEAR($I46),YEAR(L$2)-YEAR($I46)&lt;20),$D46,YEAR(L$2)-YEAR($I46)=20,ROUND((DATE(YEAR($I46),12,31)-$I46+1)/365*$D46,2),YEAR(L$2)-YEAR($I46)&gt;20,0)</f>
        <v>0</v>
      </c>
      <c r="M46" s="48" cm="1">
        <f t="array" ref="M46">_xlfn.IFS(YEAR(M$2)&lt;YEAR($I46),0,YEAR(M$2)=YEAR($I46),ROUND(((M$2-$I46+1)/365)*$D46,2),AND(YEAR(M$2)&gt;YEAR($I46),YEAR(M$2)-YEAR($I46)&lt;20),$D46,YEAR(M$2)-YEAR($I46)=20,ROUND((DATE(YEAR($I46),12,31)-$I46+1)/365*$D46,2),YEAR(M$2)-YEAR($I46)&gt;20,0)</f>
        <v>0</v>
      </c>
      <c r="N46" s="48" cm="1">
        <f t="array" ref="N46">_xlfn.IFS(YEAR(N$2)&lt;YEAR($I46),0,YEAR(N$2)=YEAR($I46),ROUND(((N$2-$I46+1)/365)*$D46,2),AND(YEAR(N$2)&gt;YEAR($I46),YEAR(N$2)-YEAR($I46)&lt;20),$D46,YEAR(N$2)-YEAR($I46)=20,ROUND((DATE(YEAR($I46),12,31)-$I46+1)/365*$D46,2),YEAR(N$2)-YEAR($I46)&gt;20,0)</f>
        <v>0</v>
      </c>
      <c r="O46" s="48" cm="1">
        <f t="array" ref="O46">_xlfn.IFS(YEAR(O$2)&lt;YEAR($I46),0,YEAR(O$2)=YEAR($I46),ROUND(((O$2-$I46+1)/365)*$D46,2),AND(YEAR(O$2)&gt;YEAR($I46),YEAR(O$2)-YEAR($I46)&lt;20),$D46,YEAR(O$2)-YEAR($I46)=20,ROUND((DATE(YEAR($I46),12,31)-$I46+1)/365*$D46,2),YEAR(O$2)-YEAR($I46)&gt;20,0)</f>
        <v>16.440000000000001</v>
      </c>
      <c r="P46" s="48" cm="1">
        <f t="array" ref="P46">_xlfn.IFS(YEAR(P$2)&lt;YEAR($I46),0,YEAR(P$2)=YEAR($I46),ROUND(((P$2-$I46+1)/365)*$D46,2),AND(YEAR(P$2)&gt;YEAR($I46),YEAR(P$2)-YEAR($I46)&lt;20),$D46,YEAR(P$2)-YEAR($I46)=20,ROUND((DATE(YEAR($I46),12,31)-$I46+1)/365*$D46,2),YEAR(P$2)-YEAR($I46)&gt;20,0)</f>
        <v>1000</v>
      </c>
      <c r="Q46" s="48" cm="1">
        <f t="array" ref="Q46">_xlfn.IFS(YEAR(Q$2)&lt;YEAR($I46),0,YEAR(Q$2)=YEAR($I46),ROUND(((Q$2-$I46+1)/365)*$D46,2),AND(YEAR(Q$2)&gt;YEAR($I46),YEAR(Q$2)-YEAR($I46)&lt;20),$D46,YEAR(Q$2)-YEAR($I46)=20,ROUND((DATE(YEAR($I46),12,31)-$I46+1)/365*$D46,2),YEAR(Q$2)-YEAR($I46)&gt;20,0)</f>
        <v>1000</v>
      </c>
      <c r="R46" s="48" cm="1">
        <f t="array" ref="R46">_xlfn.IFS(YEAR(R$2)&lt;YEAR($I46),0,YEAR(R$2)=YEAR($I46),ROUND(((R$2-$I46+1)/365)*$D46,2),AND(YEAR(R$2)&gt;YEAR($I46),YEAR(R$2)-YEAR($I46)&lt;20),$D46,YEAR(R$2)-YEAR($I46)=20,ROUND((DATE(YEAR($I46),12,31)-$I46+1)/365*$D46,2),YEAR(R$2)-YEAR($I46)&gt;20,0)</f>
        <v>1000</v>
      </c>
      <c r="S46" s="48" cm="1">
        <f t="array" ref="S46">_xlfn.IFS(YEAR(S$2)&lt;YEAR($I46),0,YEAR(S$2)=YEAR($I46),ROUND(((S$2-$I46+1)/365)*$D46,2),AND(YEAR(S$2)&gt;YEAR($I46),YEAR(S$2)-YEAR($I46)&lt;20),$D46,YEAR(S$2)-YEAR($I46)=20,ROUND((DATE(YEAR($I46),12,31)-$I46+1)/365*$D46,2),YEAR(S$2)-YEAR($I46)&gt;20,0)</f>
        <v>1000</v>
      </c>
      <c r="T46" s="48" cm="1">
        <f t="array" ref="T46">_xlfn.IFS(YEAR(T$2)&lt;YEAR($I46),0,YEAR(T$2)=YEAR($I46),ROUND(((T$2-$I46+1)/365)*$D46,2),AND(YEAR(T$2)&gt;YEAR($I46),YEAR(T$2)-YEAR($I46)&lt;20),$D46,YEAR(T$2)-YEAR($I46)=20,ROUND((DATE(YEAR($I46),12,31)-$I46+1)/365*$D46,2),YEAR(T$2)-YEAR($I46)&gt;20,0)</f>
        <v>1000</v>
      </c>
      <c r="U46" s="48" cm="1">
        <f t="array" ref="U46">_xlfn.IFS(YEAR(U$2)&lt;YEAR($I46),0,YEAR(U$2)=YEAR($I46),ROUND(((U$2-$I46+1)/365)*$D46,2),AND(YEAR(U$2)&gt;YEAR($I46),YEAR(U$2)-YEAR($I46)&lt;20),$D46,YEAR(U$2)-YEAR($I46)=20,ROUND((DATE(YEAR($I46),12,31)-$I46+1)/365*$D46,2),YEAR(U$2)-YEAR($I46)&gt;20,0)</f>
        <v>1000</v>
      </c>
      <c r="V46" s="48" cm="1">
        <f t="array" ref="V46">_xlfn.IFS(YEAR(V$2)&lt;YEAR($I46),0,YEAR(V$2)=YEAR($I46),ROUND(((V$2-$I46+1)/365)*$D46,2),AND(YEAR(V$2)&gt;YEAR($I46),YEAR(V$2)-YEAR($I46)&lt;20),$D46,YEAR(V$2)-YEAR($I46)=20,ROUND((DATE(YEAR($I46),12,31)-$I46+1)/365*$D46,2),YEAR(V$2)-YEAR($I46)&gt;20,0)</f>
        <v>1000</v>
      </c>
      <c r="W46" s="48" cm="1">
        <f t="array" ref="W46">_xlfn.IFS(YEAR(W$2)&lt;YEAR($I46),0,YEAR(W$2)=YEAR($I46),ROUND(((W$2-$I46+1)/365)*$D46,2),AND(YEAR(W$2)&gt;YEAR($I46),YEAR(W$2)-YEAR($I46)&lt;20),$D46,YEAR(W$2)-YEAR($I46)=20,ROUND((DATE(YEAR($I46),12,31)-$I46+1)/365*$D46,2),YEAR(W$2)-YEAR($I46)&gt;20,0)</f>
        <v>1000</v>
      </c>
      <c r="X46" s="48" cm="1">
        <f t="array" ref="X46">_xlfn.IFS(YEAR(X$2)&lt;YEAR($I46),0,YEAR(X$2)=YEAR($I46),ROUND(((X$2-$I46+1)/365)*$D46,2),AND(YEAR(X$2)&gt;YEAR($I46),YEAR(X$2)-YEAR($I46)&lt;20),$D46,YEAR(X$2)-YEAR($I46)=20,ROUND((DATE(YEAR($I46),12,31)-$I46+1)/365*$D46,2),YEAR(X$2)-YEAR($I46)&gt;20,0)</f>
        <v>1000</v>
      </c>
      <c r="Y46" s="48" cm="1">
        <f t="array" ref="Y46">_xlfn.IFS(YEAR(Y$2)&lt;YEAR($I46),0,YEAR(Y$2)=YEAR($I46),ROUND(((Y$2-$I46+1)/365)*$D46,2),AND(YEAR(Y$2)&gt;YEAR($I46),YEAR(Y$2)-YEAR($I46)&lt;20),$D46,YEAR(Y$2)-YEAR($I46)=20,ROUND((DATE(YEAR($I46),12,31)-$I46+1)/365*$D46,2),YEAR(Y$2)-YEAR($I46)&gt;20,0)</f>
        <v>1000</v>
      </c>
      <c r="Z46" s="48" cm="1">
        <f t="array" ref="Z46">_xlfn.IFS(YEAR(Z$2)&lt;YEAR($I46),0,YEAR(Z$2)=YEAR($I46),ROUND(((Z$2-$I46+1)/365)*$D46,2),AND(YEAR(Z$2)&gt;YEAR($I46),YEAR(Z$2)-YEAR($I46)&lt;20),$D46,YEAR(Z$2)-YEAR($I46)=20,ROUND((DATE(YEAR($I46),12,31)-$I46+1)/365*$D46,2),YEAR(Z$2)-YEAR($I46)&gt;20,0)</f>
        <v>1000</v>
      </c>
      <c r="AA46" s="48" cm="1">
        <f t="array" ref="AA46">_xlfn.IFS(YEAR(AA$2)&lt;YEAR($I46),0,YEAR(AA$2)=YEAR($I46),ROUND(((AA$2-$I46+1)/365)*$D46,2),AND(YEAR(AA$2)&gt;YEAR($I46),YEAR(AA$2)-YEAR($I46)&lt;20),$D46,YEAR(AA$2)-YEAR($I46)=20,ROUND((DATE(YEAR($I46),12,31)-$I46+1)/365*$D46,2),YEAR(AA$2)-YEAR($I46)&gt;20,0)</f>
        <v>1000</v>
      </c>
      <c r="AB46" s="48" cm="1">
        <f t="array" ref="AB46">_xlfn.IFS(YEAR(AB$2)&lt;YEAR($I46),0,YEAR(AB$2)=YEAR($I46),ROUND(((AB$2-$I46+1)/365)*$D46,2),AND(YEAR(AB$2)&gt;YEAR($I46),YEAR(AB$2)-YEAR($I46)&lt;20),$D46,YEAR(AB$2)-YEAR($I46)=20,ROUND((DATE(YEAR($I46),12,31)-$I46+1)/365*$D46,2),YEAR(AB$2)-YEAR($I46)&gt;20,0)</f>
        <v>1000</v>
      </c>
      <c r="AC46" s="48" cm="1">
        <f t="array" ref="AC46">_xlfn.IFS(YEAR(AC$2)&lt;YEAR($I46),0,YEAR(AC$2)=YEAR($I46),ROUND(((AC$2-$I46+1)/365)*$D46,2),AND(YEAR(AC$2)&gt;YEAR($I46),YEAR(AC$2)-YEAR($I46)&lt;20),$D46,YEAR(AC$2)-YEAR($I46)=20,ROUND((DATE(YEAR($I46),12,31)-$I46+1)/365*$D46,2),YEAR(AC$2)-YEAR($I46)&gt;20,0)</f>
        <v>1000</v>
      </c>
      <c r="AD46" s="48" cm="1">
        <f t="array" ref="AD46">_xlfn.IFS(YEAR(AD$2)&lt;YEAR($I46),0,YEAR(AD$2)=YEAR($I46),ROUND(((AD$2-$I46+1)/365)*$D46,2),AND(YEAR(AD$2)&gt;YEAR($I46),YEAR(AD$2)-YEAR($I46)&lt;20),$D46,YEAR(AD$2)-YEAR($I46)=20,ROUND((DATE(YEAR($I46),12,31)-$I46+1)/365*$D46,2),YEAR(AD$2)-YEAR($I46)&gt;20,0)</f>
        <v>1000</v>
      </c>
      <c r="AE46" s="48" cm="1">
        <f t="array" ref="AE46">_xlfn.IFS(YEAR(AE$2)&lt;YEAR($I46),0,YEAR(AE$2)=YEAR($I46),ROUND(((AE$2-$I46+1)/365)*$D46,2),AND(YEAR(AE$2)&gt;YEAR($I46),YEAR(AE$2)-YEAR($I46)&lt;20),$D46,YEAR(AE$2)-YEAR($I46)=20,ROUND((DATE(YEAR($I46),12,31)-$I46+1)/365*$D46,2),YEAR(AE$2)-YEAR($I46)&gt;20,0)</f>
        <v>1000</v>
      </c>
      <c r="AF46" s="48" cm="1">
        <f t="array" ref="AF46">_xlfn.IFS(YEAR(AF$2)&lt;YEAR($I46),0,YEAR(AF$2)=YEAR($I46),ROUND(((AF$2-$I46+1)/365)*$D46,2),AND(YEAR(AF$2)&gt;YEAR($I46),YEAR(AF$2)-YEAR($I46)&lt;20),$D46,YEAR(AF$2)-YEAR($I46)=20,ROUND((DATE(YEAR($I46),12,31)-$I46+1)/365*$D46,2),YEAR(AF$2)-YEAR($I46)&gt;20,0)</f>
        <v>1000</v>
      </c>
      <c r="AG46" s="48" cm="1">
        <f t="array" ref="AG46">_xlfn.IFS(YEAR(AG$2)&lt;YEAR($I46),0,YEAR(AG$2)=YEAR($I46),ROUND(((AG$2-$I46+1)/365)*$D46,2),AND(YEAR(AG$2)&gt;YEAR($I46),YEAR(AG$2)-YEAR($I46)&lt;20),$D46,YEAR(AG$2)-YEAR($I46)=20,ROUND((DATE(YEAR($I46),12,31)-$I46+1)/365*$D46,2),YEAR(AG$2)-YEAR($I46)&gt;20,0)</f>
        <v>1000</v>
      </c>
      <c r="AH46" s="48" cm="1">
        <f t="array" ref="AH46">_xlfn.IFS(YEAR(AH$2)&lt;YEAR($I46),0,YEAR(AH$2)=YEAR($I46),ROUND(((AH$2-$I46+1)/365)*$D46,2),AND(YEAR(AH$2)&gt;YEAR($I46),YEAR(AH$2)-YEAR($I46)&lt;20),$D46,YEAR(AH$2)-YEAR($I46)=20,ROUND((DATE(YEAR($I46),12,31)-$I46+1)/365*$D46,2),YEAR(AH$2)-YEAR($I46)&gt;20,0)</f>
        <v>1000</v>
      </c>
      <c r="AI46" s="48" cm="1">
        <f t="array" ref="AI46">_xlfn.IFS(YEAR(AI$2)&lt;YEAR($I46),0,YEAR(AI$2)=YEAR($I46),ROUND(((AI$2-$I46+1)/365)*$D46,2),AND(YEAR(AI$2)&gt;YEAR($I46),YEAR(AI$2)-YEAR($I46)&lt;20),$D46,YEAR(AI$2)-YEAR($I46)=20,ROUND((DATE(YEAR($I46),12,31)-$I46+1)/365*$D46,2),YEAR(AI$2)-YEAR($I46)&gt;20,0)</f>
        <v>16.440000000000001</v>
      </c>
      <c r="AJ46" s="48" cm="1">
        <f t="array" ref="AJ46">_xlfn.IFS(YEAR(AJ$2)&lt;YEAR($I46),0,YEAR(AJ$2)=YEAR($I46),ROUND(((AJ$2-$I46+1)/365)*$D46,2),AND(YEAR(AJ$2)&gt;YEAR($I46),YEAR(AJ$2)-YEAR($I46)&lt;20),$D46,YEAR(AJ$2)-YEAR($I46)=20,ROUND((DATE(YEAR($I46),12,31)-$I46+1)/365*$D46,2),YEAR(AJ$2)-YEAR($I46)&gt;20,0)</f>
        <v>0</v>
      </c>
      <c r="AK46" s="48" cm="1">
        <f t="array" ref="AK46">_xlfn.IFS(YEAR(AK$2)&lt;YEAR($I46),0,YEAR(AK$2)=YEAR($I46),ROUND(((AK$2-$I46+1)/365)*$D46,2),AND(YEAR(AK$2)&gt;YEAR($I46),YEAR(AK$2)-YEAR($I46)&lt;20),$D46,YEAR(AK$2)-YEAR($I46)=20,ROUND((DATE(YEAR($I46),12,31)-$I46+1)/365*$D46,2),YEAR(AK$2)-YEAR($I46)&gt;20,0)</f>
        <v>0</v>
      </c>
      <c r="AL46" s="48" cm="1">
        <f t="array" ref="AL46">_xlfn.IFS(YEAR(AL$2)&lt;YEAR($I46),0,YEAR(AL$2)=YEAR($I46),ROUND(((AL$2-$I46+1)/365)*$D46,2),AND(YEAR(AL$2)&gt;YEAR($I46),YEAR(AL$2)-YEAR($I46)&lt;20),$D46,YEAR(AL$2)-YEAR($I46)=20,ROUND((DATE(YEAR($I46),12,31)-$I46+1)/365*$D46,2),YEAR(AL$2)-YEAR($I46)&gt;20,0)</f>
        <v>0</v>
      </c>
      <c r="AM46" s="48" cm="1">
        <f t="array" ref="AM46">_xlfn.IFS(YEAR(AM$2)&lt;YEAR($I46),0,YEAR(AM$2)=YEAR($I46),ROUND(((AM$2-$I46+1)/365)*$D46,2),AND(YEAR(AM$2)&gt;YEAR($I46),YEAR(AM$2)-YEAR($I46)&lt;20),$D46,YEAR(AM$2)-YEAR($I46)=20,ROUND((DATE(YEAR($I46),12,31)-$I46+1)/365*$D46,2),YEAR(AM$2)-YEAR($I46)&gt;20,0)</f>
        <v>0</v>
      </c>
      <c r="AO46" s="48">
        <v>2047</v>
      </c>
      <c r="AP46" s="48">
        <v>0</v>
      </c>
      <c r="AQ46" s="48">
        <v>0</v>
      </c>
      <c r="AR46" s="48">
        <v>0</v>
      </c>
      <c r="AS46" s="48">
        <v>0</v>
      </c>
      <c r="AT46" s="48">
        <v>0.33</v>
      </c>
      <c r="AU46" s="48">
        <v>37.46</v>
      </c>
      <c r="AV46" s="48">
        <v>0.67</v>
      </c>
      <c r="AW46" s="48">
        <v>39.36</v>
      </c>
      <c r="AX46" s="48">
        <v>0.49</v>
      </c>
      <c r="AY46" s="48">
        <v>0</v>
      </c>
      <c r="BA46" s="48">
        <f t="shared" si="1"/>
        <v>78.309999999999988</v>
      </c>
      <c r="BB46" s="48">
        <f t="shared" si="2"/>
        <v>-19.620000000000019</v>
      </c>
    </row>
    <row r="47" spans="1:54">
      <c r="A47" s="155" t="str" cm="1">
        <f t="array" ref="A47">_xlfn.IFS(LEFT(C47,3)="PGE","PGE",LEFT(C47,2)="PP","PAC",TRUE,"IP")</f>
        <v>PAC</v>
      </c>
      <c r="B47" s="155" t="str">
        <f>IF(ISNA(MATCH(C47,'Monthly Report July 2025'!E:E,0)),"Missing","Present")</f>
        <v>Present</v>
      </c>
      <c r="C47" s="155" t="s">
        <v>156</v>
      </c>
      <c r="D47" s="176" cm="1">
        <f t="array" ref="D47">INDEX('Monthly Report July 2025'!L:L,MATCH(C47,'Monthly Report July 2025'!E:E,0),0)</f>
        <v>2250</v>
      </c>
      <c r="E47" s="176" t="str" cm="1">
        <f t="array" ref="E47">IF(INDEX('PA Fees by Project'!K:K,MATCH(C47,'PA Fees by Project'!E:E,0),0)="No","Non-Carve Out", "Carve Out")</f>
        <v>Non-Carve Out</v>
      </c>
      <c r="F47" s="176" cm="1">
        <f t="array" ref="F47">INDEX('PA Fees by Project'!J:J,MATCH(C47,'PA Fees by Project'!E:E,0),0)</f>
        <v>2</v>
      </c>
      <c r="G47" s="155" t="str" cm="1">
        <f t="array" ref="G47">INDEX('PA Fees by Project'!G:G,MATCH(C47,'PA Fees by Project'!E:E,0),0)</f>
        <v>Operational</v>
      </c>
      <c r="H47" s="175" cm="1">
        <f t="array" ref="H47">INDEX('PA Fees by Project'!Q:Q,MATCH(C47,'PA Fees by Project'!E:E,0),0)</f>
        <v>45681</v>
      </c>
      <c r="I47" s="156" cm="1">
        <f t="array" ref="I47">_xlfn.IFS(G47="Operational",H47,G47="Certified",EDATE(INDEX('PA Fees by Project'!R:R,MATCH(C47,'PA Fees by Project'!E:E,0),0),6),TRUE,EDATE(INDEX('PA Fees by Project'!O:O,MATCH(C47,'PA Fees by Project'!E:E,0),0),6))</f>
        <v>45681</v>
      </c>
      <c r="J47" s="48" cm="1">
        <f t="array" ref="J47">_xlfn.IFS(YEAR(J$2)&lt;YEAR($I47),0,YEAR(J$2)=YEAR($I47),ROUND(((J$2-$I47+1)/365)*$D47,2),AND(YEAR(J$2)&gt;YEAR($I47),YEAR(J$2)-YEAR($I47)&lt;20),$D47,YEAR(J$2)-YEAR($I47)=20,ROUND((DATE(YEAR($I47),12,31)-$I47+1)/365*$D47,2),YEAR(J$2)-YEAR($I47)&gt;20,0)</f>
        <v>0</v>
      </c>
      <c r="K47" s="48" cm="1">
        <f t="array" ref="K47">_xlfn.IFS(YEAR(K$2)&lt;YEAR($I47),0,YEAR(K$2)=YEAR($I47),ROUND(((K$2-$I47+1)/365)*$D47,2),AND(YEAR(K$2)&gt;YEAR($I47),YEAR(K$2)-YEAR($I47)&lt;20),$D47,YEAR(K$2)-YEAR($I47)=20,ROUND((DATE(YEAR($I47),12,31)-$I47+1)/365*$D47,2),YEAR(K$2)-YEAR($I47)&gt;20,0)</f>
        <v>0</v>
      </c>
      <c r="L47" s="48" cm="1">
        <f t="array" ref="L47">_xlfn.IFS(YEAR(L$2)&lt;YEAR($I47),0,YEAR(L$2)=YEAR($I47),ROUND(((L$2-$I47+1)/365)*$D47,2),AND(YEAR(L$2)&gt;YEAR($I47),YEAR(L$2)-YEAR($I47)&lt;20),$D47,YEAR(L$2)-YEAR($I47)=20,ROUND((DATE(YEAR($I47),12,31)-$I47+1)/365*$D47,2),YEAR(L$2)-YEAR($I47)&gt;20,0)</f>
        <v>0</v>
      </c>
      <c r="M47" s="48" cm="1">
        <f t="array" ref="M47">_xlfn.IFS(YEAR(M$2)&lt;YEAR($I47),0,YEAR(M$2)=YEAR($I47),ROUND(((M$2-$I47+1)/365)*$D47,2),AND(YEAR(M$2)&gt;YEAR($I47),YEAR(M$2)-YEAR($I47)&lt;20),$D47,YEAR(M$2)-YEAR($I47)=20,ROUND((DATE(YEAR($I47),12,31)-$I47+1)/365*$D47,2),YEAR(M$2)-YEAR($I47)&gt;20,0)</f>
        <v>0</v>
      </c>
      <c r="N47" s="48" cm="1">
        <f t="array" ref="N47">_xlfn.IFS(YEAR(N$2)&lt;YEAR($I47),0,YEAR(N$2)=YEAR($I47),ROUND(((N$2-$I47+1)/365)*$D47,2),AND(YEAR(N$2)&gt;YEAR($I47),YEAR(N$2)-YEAR($I47)&lt;20),$D47,YEAR(N$2)-YEAR($I47)=20,ROUND((DATE(YEAR($I47),12,31)-$I47+1)/365*$D47,2),YEAR(N$2)-YEAR($I47)&gt;20,0)</f>
        <v>2108.2199999999998</v>
      </c>
      <c r="O47" s="48" cm="1">
        <f t="array" ref="O47">_xlfn.IFS(YEAR(O$2)&lt;YEAR($I47),0,YEAR(O$2)=YEAR($I47),ROUND(((O$2-$I47+1)/365)*$D47,2),AND(YEAR(O$2)&gt;YEAR($I47),YEAR(O$2)-YEAR($I47)&lt;20),$D47,YEAR(O$2)-YEAR($I47)=20,ROUND((DATE(YEAR($I47),12,31)-$I47+1)/365*$D47,2),YEAR(O$2)-YEAR($I47)&gt;20,0)</f>
        <v>2250</v>
      </c>
      <c r="P47" s="48" cm="1">
        <f t="array" ref="P47">_xlfn.IFS(YEAR(P$2)&lt;YEAR($I47),0,YEAR(P$2)=YEAR($I47),ROUND(((P$2-$I47+1)/365)*$D47,2),AND(YEAR(P$2)&gt;YEAR($I47),YEAR(P$2)-YEAR($I47)&lt;20),$D47,YEAR(P$2)-YEAR($I47)=20,ROUND((DATE(YEAR($I47),12,31)-$I47+1)/365*$D47,2),YEAR(P$2)-YEAR($I47)&gt;20,0)</f>
        <v>2250</v>
      </c>
      <c r="Q47" s="48" cm="1">
        <f t="array" ref="Q47">_xlfn.IFS(YEAR(Q$2)&lt;YEAR($I47),0,YEAR(Q$2)=YEAR($I47),ROUND(((Q$2-$I47+1)/365)*$D47,2),AND(YEAR(Q$2)&gt;YEAR($I47),YEAR(Q$2)-YEAR($I47)&lt;20),$D47,YEAR(Q$2)-YEAR($I47)=20,ROUND((DATE(YEAR($I47),12,31)-$I47+1)/365*$D47,2),YEAR(Q$2)-YEAR($I47)&gt;20,0)</f>
        <v>2250</v>
      </c>
      <c r="R47" s="48" cm="1">
        <f t="array" ref="R47">_xlfn.IFS(YEAR(R$2)&lt;YEAR($I47),0,YEAR(R$2)=YEAR($I47),ROUND(((R$2-$I47+1)/365)*$D47,2),AND(YEAR(R$2)&gt;YEAR($I47),YEAR(R$2)-YEAR($I47)&lt;20),$D47,YEAR(R$2)-YEAR($I47)=20,ROUND((DATE(YEAR($I47),12,31)-$I47+1)/365*$D47,2),YEAR(R$2)-YEAR($I47)&gt;20,0)</f>
        <v>2250</v>
      </c>
      <c r="S47" s="48" cm="1">
        <f t="array" ref="S47">_xlfn.IFS(YEAR(S$2)&lt;YEAR($I47),0,YEAR(S$2)=YEAR($I47),ROUND(((S$2-$I47+1)/365)*$D47,2),AND(YEAR(S$2)&gt;YEAR($I47),YEAR(S$2)-YEAR($I47)&lt;20),$D47,YEAR(S$2)-YEAR($I47)=20,ROUND((DATE(YEAR($I47),12,31)-$I47+1)/365*$D47,2),YEAR(S$2)-YEAR($I47)&gt;20,0)</f>
        <v>2250</v>
      </c>
      <c r="T47" s="48" cm="1">
        <f t="array" ref="T47">_xlfn.IFS(YEAR(T$2)&lt;YEAR($I47),0,YEAR(T$2)=YEAR($I47),ROUND(((T$2-$I47+1)/365)*$D47,2),AND(YEAR(T$2)&gt;YEAR($I47),YEAR(T$2)-YEAR($I47)&lt;20),$D47,YEAR(T$2)-YEAR($I47)=20,ROUND((DATE(YEAR($I47),12,31)-$I47+1)/365*$D47,2),YEAR(T$2)-YEAR($I47)&gt;20,0)</f>
        <v>2250</v>
      </c>
      <c r="U47" s="48" cm="1">
        <f t="array" ref="U47">_xlfn.IFS(YEAR(U$2)&lt;YEAR($I47),0,YEAR(U$2)=YEAR($I47),ROUND(((U$2-$I47+1)/365)*$D47,2),AND(YEAR(U$2)&gt;YEAR($I47),YEAR(U$2)-YEAR($I47)&lt;20),$D47,YEAR(U$2)-YEAR($I47)=20,ROUND((DATE(YEAR($I47),12,31)-$I47+1)/365*$D47,2),YEAR(U$2)-YEAR($I47)&gt;20,0)</f>
        <v>2250</v>
      </c>
      <c r="V47" s="48" cm="1">
        <f t="array" ref="V47">_xlfn.IFS(YEAR(V$2)&lt;YEAR($I47),0,YEAR(V$2)=YEAR($I47),ROUND(((V$2-$I47+1)/365)*$D47,2),AND(YEAR(V$2)&gt;YEAR($I47),YEAR(V$2)-YEAR($I47)&lt;20),$D47,YEAR(V$2)-YEAR($I47)=20,ROUND((DATE(YEAR($I47),12,31)-$I47+1)/365*$D47,2),YEAR(V$2)-YEAR($I47)&gt;20,0)</f>
        <v>2250</v>
      </c>
      <c r="W47" s="48" cm="1">
        <f t="array" ref="W47">_xlfn.IFS(YEAR(W$2)&lt;YEAR($I47),0,YEAR(W$2)=YEAR($I47),ROUND(((W$2-$I47+1)/365)*$D47,2),AND(YEAR(W$2)&gt;YEAR($I47),YEAR(W$2)-YEAR($I47)&lt;20),$D47,YEAR(W$2)-YEAR($I47)=20,ROUND((DATE(YEAR($I47),12,31)-$I47+1)/365*$D47,2),YEAR(W$2)-YEAR($I47)&gt;20,0)</f>
        <v>2250</v>
      </c>
      <c r="X47" s="48" cm="1">
        <f t="array" ref="X47">_xlfn.IFS(YEAR(X$2)&lt;YEAR($I47),0,YEAR(X$2)=YEAR($I47),ROUND(((X$2-$I47+1)/365)*$D47,2),AND(YEAR(X$2)&gt;YEAR($I47),YEAR(X$2)-YEAR($I47)&lt;20),$D47,YEAR(X$2)-YEAR($I47)=20,ROUND((DATE(YEAR($I47),12,31)-$I47+1)/365*$D47,2),YEAR(X$2)-YEAR($I47)&gt;20,0)</f>
        <v>2250</v>
      </c>
      <c r="Y47" s="48" cm="1">
        <f t="array" ref="Y47">_xlfn.IFS(YEAR(Y$2)&lt;YEAR($I47),0,YEAR(Y$2)=YEAR($I47),ROUND(((Y$2-$I47+1)/365)*$D47,2),AND(YEAR(Y$2)&gt;YEAR($I47),YEAR(Y$2)-YEAR($I47)&lt;20),$D47,YEAR(Y$2)-YEAR($I47)=20,ROUND((DATE(YEAR($I47),12,31)-$I47+1)/365*$D47,2),YEAR(Y$2)-YEAR($I47)&gt;20,0)</f>
        <v>2250</v>
      </c>
      <c r="Z47" s="48" cm="1">
        <f t="array" ref="Z47">_xlfn.IFS(YEAR(Z$2)&lt;YEAR($I47),0,YEAR(Z$2)=YEAR($I47),ROUND(((Z$2-$I47+1)/365)*$D47,2),AND(YEAR(Z$2)&gt;YEAR($I47),YEAR(Z$2)-YEAR($I47)&lt;20),$D47,YEAR(Z$2)-YEAR($I47)=20,ROUND((DATE(YEAR($I47),12,31)-$I47+1)/365*$D47,2),YEAR(Z$2)-YEAR($I47)&gt;20,0)</f>
        <v>2250</v>
      </c>
      <c r="AA47" s="48" cm="1">
        <f t="array" ref="AA47">_xlfn.IFS(YEAR(AA$2)&lt;YEAR($I47),0,YEAR(AA$2)=YEAR($I47),ROUND(((AA$2-$I47+1)/365)*$D47,2),AND(YEAR(AA$2)&gt;YEAR($I47),YEAR(AA$2)-YEAR($I47)&lt;20),$D47,YEAR(AA$2)-YEAR($I47)=20,ROUND((DATE(YEAR($I47),12,31)-$I47+1)/365*$D47,2),YEAR(AA$2)-YEAR($I47)&gt;20,0)</f>
        <v>2250</v>
      </c>
      <c r="AB47" s="48" cm="1">
        <f t="array" ref="AB47">_xlfn.IFS(YEAR(AB$2)&lt;YEAR($I47),0,YEAR(AB$2)=YEAR($I47),ROUND(((AB$2-$I47+1)/365)*$D47,2),AND(YEAR(AB$2)&gt;YEAR($I47),YEAR(AB$2)-YEAR($I47)&lt;20),$D47,YEAR(AB$2)-YEAR($I47)=20,ROUND((DATE(YEAR($I47),12,31)-$I47+1)/365*$D47,2),YEAR(AB$2)-YEAR($I47)&gt;20,0)</f>
        <v>2250</v>
      </c>
      <c r="AC47" s="48" cm="1">
        <f t="array" ref="AC47">_xlfn.IFS(YEAR(AC$2)&lt;YEAR($I47),0,YEAR(AC$2)=YEAR($I47),ROUND(((AC$2-$I47+1)/365)*$D47,2),AND(YEAR(AC$2)&gt;YEAR($I47),YEAR(AC$2)-YEAR($I47)&lt;20),$D47,YEAR(AC$2)-YEAR($I47)=20,ROUND((DATE(YEAR($I47),12,31)-$I47+1)/365*$D47,2),YEAR(AC$2)-YEAR($I47)&gt;20,0)</f>
        <v>2250</v>
      </c>
      <c r="AD47" s="48" cm="1">
        <f t="array" ref="AD47">_xlfn.IFS(YEAR(AD$2)&lt;YEAR($I47),0,YEAR(AD$2)=YEAR($I47),ROUND(((AD$2-$I47+1)/365)*$D47,2),AND(YEAR(AD$2)&gt;YEAR($I47),YEAR(AD$2)-YEAR($I47)&lt;20),$D47,YEAR(AD$2)-YEAR($I47)=20,ROUND((DATE(YEAR($I47),12,31)-$I47+1)/365*$D47,2),YEAR(AD$2)-YEAR($I47)&gt;20,0)</f>
        <v>2250</v>
      </c>
      <c r="AE47" s="48" cm="1">
        <f t="array" ref="AE47">_xlfn.IFS(YEAR(AE$2)&lt;YEAR($I47),0,YEAR(AE$2)=YEAR($I47),ROUND(((AE$2-$I47+1)/365)*$D47,2),AND(YEAR(AE$2)&gt;YEAR($I47),YEAR(AE$2)-YEAR($I47)&lt;20),$D47,YEAR(AE$2)-YEAR($I47)=20,ROUND((DATE(YEAR($I47),12,31)-$I47+1)/365*$D47,2),YEAR(AE$2)-YEAR($I47)&gt;20,0)</f>
        <v>2250</v>
      </c>
      <c r="AF47" s="48" cm="1">
        <f t="array" ref="AF47">_xlfn.IFS(YEAR(AF$2)&lt;YEAR($I47),0,YEAR(AF$2)=YEAR($I47),ROUND(((AF$2-$I47+1)/365)*$D47,2),AND(YEAR(AF$2)&gt;YEAR($I47),YEAR(AF$2)-YEAR($I47)&lt;20),$D47,YEAR(AF$2)-YEAR($I47)=20,ROUND((DATE(YEAR($I47),12,31)-$I47+1)/365*$D47,2),YEAR(AF$2)-YEAR($I47)&gt;20,0)</f>
        <v>2250</v>
      </c>
      <c r="AG47" s="48" cm="1">
        <f t="array" ref="AG47">_xlfn.IFS(YEAR(AG$2)&lt;YEAR($I47),0,YEAR(AG$2)=YEAR($I47),ROUND(((AG$2-$I47+1)/365)*$D47,2),AND(YEAR(AG$2)&gt;YEAR($I47),YEAR(AG$2)-YEAR($I47)&lt;20),$D47,YEAR(AG$2)-YEAR($I47)=20,ROUND((DATE(YEAR($I47),12,31)-$I47+1)/365*$D47,2),YEAR(AG$2)-YEAR($I47)&gt;20,0)</f>
        <v>2250</v>
      </c>
      <c r="AH47" s="48" cm="1">
        <f t="array" ref="AH47">_xlfn.IFS(YEAR(AH$2)&lt;YEAR($I47),0,YEAR(AH$2)=YEAR($I47),ROUND(((AH$2-$I47+1)/365)*$D47,2),AND(YEAR(AH$2)&gt;YEAR($I47),YEAR(AH$2)-YEAR($I47)&lt;20),$D47,YEAR(AH$2)-YEAR($I47)=20,ROUND((DATE(YEAR($I47),12,31)-$I47+1)/365*$D47,2),YEAR(AH$2)-YEAR($I47)&gt;20,0)</f>
        <v>2108.2199999999998</v>
      </c>
      <c r="AI47" s="48" cm="1">
        <f t="array" ref="AI47">_xlfn.IFS(YEAR(AI$2)&lt;YEAR($I47),0,YEAR(AI$2)=YEAR($I47),ROUND(((AI$2-$I47+1)/365)*$D47,2),AND(YEAR(AI$2)&gt;YEAR($I47),YEAR(AI$2)-YEAR($I47)&lt;20),$D47,YEAR(AI$2)-YEAR($I47)=20,ROUND((DATE(YEAR($I47),12,31)-$I47+1)/365*$D47,2),YEAR(AI$2)-YEAR($I47)&gt;20,0)</f>
        <v>0</v>
      </c>
      <c r="AJ47" s="48" cm="1">
        <f t="array" ref="AJ47">_xlfn.IFS(YEAR(AJ$2)&lt;YEAR($I47),0,YEAR(AJ$2)=YEAR($I47),ROUND(((AJ$2-$I47+1)/365)*$D47,2),AND(YEAR(AJ$2)&gt;YEAR($I47),YEAR(AJ$2)-YEAR($I47)&lt;20),$D47,YEAR(AJ$2)-YEAR($I47)=20,ROUND((DATE(YEAR($I47),12,31)-$I47+1)/365*$D47,2),YEAR(AJ$2)-YEAR($I47)&gt;20,0)</f>
        <v>0</v>
      </c>
      <c r="AK47" s="48" cm="1">
        <f t="array" ref="AK47">_xlfn.IFS(YEAR(AK$2)&lt;YEAR($I47),0,YEAR(AK$2)=YEAR($I47),ROUND(((AK$2-$I47+1)/365)*$D47,2),AND(YEAR(AK$2)&gt;YEAR($I47),YEAR(AK$2)-YEAR($I47)&lt;20),$D47,YEAR(AK$2)-YEAR($I47)=20,ROUND((DATE(YEAR($I47),12,31)-$I47+1)/365*$D47,2),YEAR(AK$2)-YEAR($I47)&gt;20,0)</f>
        <v>0</v>
      </c>
      <c r="AL47" s="48" cm="1">
        <f t="array" ref="AL47">_xlfn.IFS(YEAR(AL$2)&lt;YEAR($I47),0,YEAR(AL$2)=YEAR($I47),ROUND(((AL$2-$I47+1)/365)*$D47,2),AND(YEAR(AL$2)&gt;YEAR($I47),YEAR(AL$2)-YEAR($I47)&lt;20),$D47,YEAR(AL$2)-YEAR($I47)=20,ROUND((DATE(YEAR($I47),12,31)-$I47+1)/365*$D47,2),YEAR(AL$2)-YEAR($I47)&gt;20,0)</f>
        <v>0</v>
      </c>
      <c r="AM47" s="48" cm="1">
        <f t="array" ref="AM47">_xlfn.IFS(YEAR(AM$2)&lt;YEAR($I47),0,YEAR(AM$2)=YEAR($I47),ROUND(((AM$2-$I47+1)/365)*$D47,2),AND(YEAR(AM$2)&gt;YEAR($I47),YEAR(AM$2)-YEAR($I47)&lt;20),$D47,YEAR(AM$2)-YEAR($I47)=20,ROUND((DATE(YEAR($I47),12,31)-$I47+1)/365*$D47,2),YEAR(AM$2)-YEAR($I47)&gt;20,0)</f>
        <v>0</v>
      </c>
      <c r="AO47" s="48">
        <v>2048</v>
      </c>
      <c r="AP47" s="48">
        <v>0</v>
      </c>
      <c r="AQ47" s="48">
        <v>0</v>
      </c>
      <c r="AR47" s="48">
        <v>0</v>
      </c>
      <c r="AS47" s="48">
        <v>0</v>
      </c>
      <c r="AT47" s="48">
        <v>0.33</v>
      </c>
      <c r="AU47" s="48">
        <v>31.28</v>
      </c>
      <c r="AV47" s="48">
        <v>0.04</v>
      </c>
      <c r="AW47" s="48">
        <v>35.880000000000003</v>
      </c>
      <c r="AX47" s="48">
        <v>0.49</v>
      </c>
      <c r="AY47" s="48">
        <v>0</v>
      </c>
      <c r="BA47" s="48">
        <f t="shared" si="1"/>
        <v>68.02</v>
      </c>
      <c r="BB47" s="48">
        <f t="shared" si="2"/>
        <v>-10.289999999999992</v>
      </c>
    </row>
    <row r="48" spans="1:54">
      <c r="A48" s="155" t="str" cm="1">
        <f t="array" ref="A48">_xlfn.IFS(LEFT(C48,3)="PGE","PGE",LEFT(C48,2)="PP","PAC",TRUE,"IP")</f>
        <v>PAC</v>
      </c>
      <c r="B48" s="155" t="str">
        <f>IF(ISNA(MATCH(C48,'Monthly Report July 2025'!E:E,0)),"Missing","Present")</f>
        <v>Present</v>
      </c>
      <c r="C48" s="155" t="s">
        <v>157</v>
      </c>
      <c r="D48" s="176" cm="1">
        <f t="array" ref="D48">INDEX('Monthly Report July 2025'!L:L,MATCH(C48,'Monthly Report July 2025'!E:E,0),0)</f>
        <v>1000</v>
      </c>
      <c r="E48" s="176" t="str" cm="1">
        <f t="array" ref="E48">IF(INDEX('PA Fees by Project'!K:K,MATCH(C48,'PA Fees by Project'!E:E,0),0)="No","Non-Carve Out", "Carve Out")</f>
        <v>Carve Out</v>
      </c>
      <c r="F48" s="176" cm="1">
        <f t="array" ref="F48">INDEX('PA Fees by Project'!J:J,MATCH(C48,'PA Fees by Project'!E:E,0),0)</f>
        <v>1</v>
      </c>
      <c r="G48" s="155" t="str" cm="1">
        <f t="array" ref="G48">INDEX('PA Fees by Project'!G:G,MATCH(C48,'PA Fees by Project'!E:E,0),0)</f>
        <v>Certified</v>
      </c>
      <c r="H48" s="175" t="str" cm="1">
        <f t="array" ref="H48">INDEX('PA Fees by Project'!Q:Q,MATCH(C48,'PA Fees by Project'!E:E,0),0)</f>
        <v/>
      </c>
      <c r="I48" s="156" cm="1">
        <f t="array" ref="I48">_xlfn.IFS(G48="Operational",H48,G48="Certified",EDATE(INDEX('PA Fees by Project'!R:R,MATCH(C48,'PA Fees by Project'!E:E,0),0),6),TRUE,EDATE(INDEX('PA Fees by Project'!O:O,MATCH(C48,'PA Fees by Project'!E:E,0),0),6))</f>
        <v>45777</v>
      </c>
      <c r="J48" s="48" cm="1">
        <f t="array" ref="J48">_xlfn.IFS(YEAR(J$2)&lt;YEAR($I48),0,YEAR(J$2)=YEAR($I48),ROUND(((J$2-$I48+1)/365)*$D48,2),AND(YEAR(J$2)&gt;YEAR($I48),YEAR(J$2)-YEAR($I48)&lt;20),$D48,YEAR(J$2)-YEAR($I48)=20,ROUND((DATE(YEAR($I48),12,31)-$I48+1)/365*$D48,2),YEAR(J$2)-YEAR($I48)&gt;20,0)</f>
        <v>0</v>
      </c>
      <c r="K48" s="48" cm="1">
        <f t="array" ref="K48">_xlfn.IFS(YEAR(K$2)&lt;YEAR($I48),0,YEAR(K$2)=YEAR($I48),ROUND(((K$2-$I48+1)/365)*$D48,2),AND(YEAR(K$2)&gt;YEAR($I48),YEAR(K$2)-YEAR($I48)&lt;20),$D48,YEAR(K$2)-YEAR($I48)=20,ROUND((DATE(YEAR($I48),12,31)-$I48+1)/365*$D48,2),YEAR(K$2)-YEAR($I48)&gt;20,0)</f>
        <v>0</v>
      </c>
      <c r="L48" s="48" cm="1">
        <f t="array" ref="L48">_xlfn.IFS(YEAR(L$2)&lt;YEAR($I48),0,YEAR(L$2)=YEAR($I48),ROUND(((L$2-$I48+1)/365)*$D48,2),AND(YEAR(L$2)&gt;YEAR($I48),YEAR(L$2)-YEAR($I48)&lt;20),$D48,YEAR(L$2)-YEAR($I48)=20,ROUND((DATE(YEAR($I48),12,31)-$I48+1)/365*$D48,2),YEAR(L$2)-YEAR($I48)&gt;20,0)</f>
        <v>0</v>
      </c>
      <c r="M48" s="48" cm="1">
        <f t="array" ref="M48">_xlfn.IFS(YEAR(M$2)&lt;YEAR($I48),0,YEAR(M$2)=YEAR($I48),ROUND(((M$2-$I48+1)/365)*$D48,2),AND(YEAR(M$2)&gt;YEAR($I48),YEAR(M$2)-YEAR($I48)&lt;20),$D48,YEAR(M$2)-YEAR($I48)=20,ROUND((DATE(YEAR($I48),12,31)-$I48+1)/365*$D48,2),YEAR(M$2)-YEAR($I48)&gt;20,0)</f>
        <v>0</v>
      </c>
      <c r="N48" s="48" cm="1">
        <f t="array" ref="N48">_xlfn.IFS(YEAR(N$2)&lt;YEAR($I48),0,YEAR(N$2)=YEAR($I48),ROUND(((N$2-$I48+1)/365)*$D48,2),AND(YEAR(N$2)&gt;YEAR($I48),YEAR(N$2)-YEAR($I48)&lt;20),$D48,YEAR(N$2)-YEAR($I48)=20,ROUND((DATE(YEAR($I48),12,31)-$I48+1)/365*$D48,2),YEAR(N$2)-YEAR($I48)&gt;20,0)</f>
        <v>673.97</v>
      </c>
      <c r="O48" s="48" cm="1">
        <f t="array" ref="O48">_xlfn.IFS(YEAR(O$2)&lt;YEAR($I48),0,YEAR(O$2)=YEAR($I48),ROUND(((O$2-$I48+1)/365)*$D48,2),AND(YEAR(O$2)&gt;YEAR($I48),YEAR(O$2)-YEAR($I48)&lt;20),$D48,YEAR(O$2)-YEAR($I48)=20,ROUND((DATE(YEAR($I48),12,31)-$I48+1)/365*$D48,2),YEAR(O$2)-YEAR($I48)&gt;20,0)</f>
        <v>1000</v>
      </c>
      <c r="P48" s="48" cm="1">
        <f t="array" ref="P48">_xlfn.IFS(YEAR(P$2)&lt;YEAR($I48),0,YEAR(P$2)=YEAR($I48),ROUND(((P$2-$I48+1)/365)*$D48,2),AND(YEAR(P$2)&gt;YEAR($I48),YEAR(P$2)-YEAR($I48)&lt;20),$D48,YEAR(P$2)-YEAR($I48)=20,ROUND((DATE(YEAR($I48),12,31)-$I48+1)/365*$D48,2),YEAR(P$2)-YEAR($I48)&gt;20,0)</f>
        <v>1000</v>
      </c>
      <c r="Q48" s="48" cm="1">
        <f t="array" ref="Q48">_xlfn.IFS(YEAR(Q$2)&lt;YEAR($I48),0,YEAR(Q$2)=YEAR($I48),ROUND(((Q$2-$I48+1)/365)*$D48,2),AND(YEAR(Q$2)&gt;YEAR($I48),YEAR(Q$2)-YEAR($I48)&lt;20),$D48,YEAR(Q$2)-YEAR($I48)=20,ROUND((DATE(YEAR($I48),12,31)-$I48+1)/365*$D48,2),YEAR(Q$2)-YEAR($I48)&gt;20,0)</f>
        <v>1000</v>
      </c>
      <c r="R48" s="48" cm="1">
        <f t="array" ref="R48">_xlfn.IFS(YEAR(R$2)&lt;YEAR($I48),0,YEAR(R$2)=YEAR($I48),ROUND(((R$2-$I48+1)/365)*$D48,2),AND(YEAR(R$2)&gt;YEAR($I48),YEAR(R$2)-YEAR($I48)&lt;20),$D48,YEAR(R$2)-YEAR($I48)=20,ROUND((DATE(YEAR($I48),12,31)-$I48+1)/365*$D48,2),YEAR(R$2)-YEAR($I48)&gt;20,0)</f>
        <v>1000</v>
      </c>
      <c r="S48" s="48" cm="1">
        <f t="array" ref="S48">_xlfn.IFS(YEAR(S$2)&lt;YEAR($I48),0,YEAR(S$2)=YEAR($I48),ROUND(((S$2-$I48+1)/365)*$D48,2),AND(YEAR(S$2)&gt;YEAR($I48),YEAR(S$2)-YEAR($I48)&lt;20),$D48,YEAR(S$2)-YEAR($I48)=20,ROUND((DATE(YEAR($I48),12,31)-$I48+1)/365*$D48,2),YEAR(S$2)-YEAR($I48)&gt;20,0)</f>
        <v>1000</v>
      </c>
      <c r="T48" s="48" cm="1">
        <f t="array" ref="T48">_xlfn.IFS(YEAR(T$2)&lt;YEAR($I48),0,YEAR(T$2)=YEAR($I48),ROUND(((T$2-$I48+1)/365)*$D48,2),AND(YEAR(T$2)&gt;YEAR($I48),YEAR(T$2)-YEAR($I48)&lt;20),$D48,YEAR(T$2)-YEAR($I48)=20,ROUND((DATE(YEAR($I48),12,31)-$I48+1)/365*$D48,2),YEAR(T$2)-YEAR($I48)&gt;20,0)</f>
        <v>1000</v>
      </c>
      <c r="U48" s="48" cm="1">
        <f t="array" ref="U48">_xlfn.IFS(YEAR(U$2)&lt;YEAR($I48),0,YEAR(U$2)=YEAR($I48),ROUND(((U$2-$I48+1)/365)*$D48,2),AND(YEAR(U$2)&gt;YEAR($I48),YEAR(U$2)-YEAR($I48)&lt;20),$D48,YEAR(U$2)-YEAR($I48)=20,ROUND((DATE(YEAR($I48),12,31)-$I48+1)/365*$D48,2),YEAR(U$2)-YEAR($I48)&gt;20,0)</f>
        <v>1000</v>
      </c>
      <c r="V48" s="48" cm="1">
        <f t="array" ref="V48">_xlfn.IFS(YEAR(V$2)&lt;YEAR($I48),0,YEAR(V$2)=YEAR($I48),ROUND(((V$2-$I48+1)/365)*$D48,2),AND(YEAR(V$2)&gt;YEAR($I48),YEAR(V$2)-YEAR($I48)&lt;20),$D48,YEAR(V$2)-YEAR($I48)=20,ROUND((DATE(YEAR($I48),12,31)-$I48+1)/365*$D48,2),YEAR(V$2)-YEAR($I48)&gt;20,0)</f>
        <v>1000</v>
      </c>
      <c r="W48" s="48" cm="1">
        <f t="array" ref="W48">_xlfn.IFS(YEAR(W$2)&lt;YEAR($I48),0,YEAR(W$2)=YEAR($I48),ROUND(((W$2-$I48+1)/365)*$D48,2),AND(YEAR(W$2)&gt;YEAR($I48),YEAR(W$2)-YEAR($I48)&lt;20),$D48,YEAR(W$2)-YEAR($I48)=20,ROUND((DATE(YEAR($I48),12,31)-$I48+1)/365*$D48,2),YEAR(W$2)-YEAR($I48)&gt;20,0)</f>
        <v>1000</v>
      </c>
      <c r="X48" s="48" cm="1">
        <f t="array" ref="X48">_xlfn.IFS(YEAR(X$2)&lt;YEAR($I48),0,YEAR(X$2)=YEAR($I48),ROUND(((X$2-$I48+1)/365)*$D48,2),AND(YEAR(X$2)&gt;YEAR($I48),YEAR(X$2)-YEAR($I48)&lt;20),$D48,YEAR(X$2)-YEAR($I48)=20,ROUND((DATE(YEAR($I48),12,31)-$I48+1)/365*$D48,2),YEAR(X$2)-YEAR($I48)&gt;20,0)</f>
        <v>1000</v>
      </c>
      <c r="Y48" s="48" cm="1">
        <f t="array" ref="Y48">_xlfn.IFS(YEAR(Y$2)&lt;YEAR($I48),0,YEAR(Y$2)=YEAR($I48),ROUND(((Y$2-$I48+1)/365)*$D48,2),AND(YEAR(Y$2)&gt;YEAR($I48),YEAR(Y$2)-YEAR($I48)&lt;20),$D48,YEAR(Y$2)-YEAR($I48)=20,ROUND((DATE(YEAR($I48),12,31)-$I48+1)/365*$D48,2),YEAR(Y$2)-YEAR($I48)&gt;20,0)</f>
        <v>1000</v>
      </c>
      <c r="Z48" s="48" cm="1">
        <f t="array" ref="Z48">_xlfn.IFS(YEAR(Z$2)&lt;YEAR($I48),0,YEAR(Z$2)=YEAR($I48),ROUND(((Z$2-$I48+1)/365)*$D48,2),AND(YEAR(Z$2)&gt;YEAR($I48),YEAR(Z$2)-YEAR($I48)&lt;20),$D48,YEAR(Z$2)-YEAR($I48)=20,ROUND((DATE(YEAR($I48),12,31)-$I48+1)/365*$D48,2),YEAR(Z$2)-YEAR($I48)&gt;20,0)</f>
        <v>1000</v>
      </c>
      <c r="AA48" s="48" cm="1">
        <f t="array" ref="AA48">_xlfn.IFS(YEAR(AA$2)&lt;YEAR($I48),0,YEAR(AA$2)=YEAR($I48),ROUND(((AA$2-$I48+1)/365)*$D48,2),AND(YEAR(AA$2)&gt;YEAR($I48),YEAR(AA$2)-YEAR($I48)&lt;20),$D48,YEAR(AA$2)-YEAR($I48)=20,ROUND((DATE(YEAR($I48),12,31)-$I48+1)/365*$D48,2),YEAR(AA$2)-YEAR($I48)&gt;20,0)</f>
        <v>1000</v>
      </c>
      <c r="AB48" s="48" cm="1">
        <f t="array" ref="AB48">_xlfn.IFS(YEAR(AB$2)&lt;YEAR($I48),0,YEAR(AB$2)=YEAR($I48),ROUND(((AB$2-$I48+1)/365)*$D48,2),AND(YEAR(AB$2)&gt;YEAR($I48),YEAR(AB$2)-YEAR($I48)&lt;20),$D48,YEAR(AB$2)-YEAR($I48)=20,ROUND((DATE(YEAR($I48),12,31)-$I48+1)/365*$D48,2),YEAR(AB$2)-YEAR($I48)&gt;20,0)</f>
        <v>1000</v>
      </c>
      <c r="AC48" s="48" cm="1">
        <f t="array" ref="AC48">_xlfn.IFS(YEAR(AC$2)&lt;YEAR($I48),0,YEAR(AC$2)=YEAR($I48),ROUND(((AC$2-$I48+1)/365)*$D48,2),AND(YEAR(AC$2)&gt;YEAR($I48),YEAR(AC$2)-YEAR($I48)&lt;20),$D48,YEAR(AC$2)-YEAR($I48)=20,ROUND((DATE(YEAR($I48),12,31)-$I48+1)/365*$D48,2),YEAR(AC$2)-YEAR($I48)&gt;20,0)</f>
        <v>1000</v>
      </c>
      <c r="AD48" s="48" cm="1">
        <f t="array" ref="AD48">_xlfn.IFS(YEAR(AD$2)&lt;YEAR($I48),0,YEAR(AD$2)=YEAR($I48),ROUND(((AD$2-$I48+1)/365)*$D48,2),AND(YEAR(AD$2)&gt;YEAR($I48),YEAR(AD$2)-YEAR($I48)&lt;20),$D48,YEAR(AD$2)-YEAR($I48)=20,ROUND((DATE(YEAR($I48),12,31)-$I48+1)/365*$D48,2),YEAR(AD$2)-YEAR($I48)&gt;20,0)</f>
        <v>1000</v>
      </c>
      <c r="AE48" s="48" cm="1">
        <f t="array" ref="AE48">_xlfn.IFS(YEAR(AE$2)&lt;YEAR($I48),0,YEAR(AE$2)=YEAR($I48),ROUND(((AE$2-$I48+1)/365)*$D48,2),AND(YEAR(AE$2)&gt;YEAR($I48),YEAR(AE$2)-YEAR($I48)&lt;20),$D48,YEAR(AE$2)-YEAR($I48)=20,ROUND((DATE(YEAR($I48),12,31)-$I48+1)/365*$D48,2),YEAR(AE$2)-YEAR($I48)&gt;20,0)</f>
        <v>1000</v>
      </c>
      <c r="AF48" s="48" cm="1">
        <f t="array" ref="AF48">_xlfn.IFS(YEAR(AF$2)&lt;YEAR($I48),0,YEAR(AF$2)=YEAR($I48),ROUND(((AF$2-$I48+1)/365)*$D48,2),AND(YEAR(AF$2)&gt;YEAR($I48),YEAR(AF$2)-YEAR($I48)&lt;20),$D48,YEAR(AF$2)-YEAR($I48)=20,ROUND((DATE(YEAR($I48),12,31)-$I48+1)/365*$D48,2),YEAR(AF$2)-YEAR($I48)&gt;20,0)</f>
        <v>1000</v>
      </c>
      <c r="AG48" s="48" cm="1">
        <f t="array" ref="AG48">_xlfn.IFS(YEAR(AG$2)&lt;YEAR($I48),0,YEAR(AG$2)=YEAR($I48),ROUND(((AG$2-$I48+1)/365)*$D48,2),AND(YEAR(AG$2)&gt;YEAR($I48),YEAR(AG$2)-YEAR($I48)&lt;20),$D48,YEAR(AG$2)-YEAR($I48)=20,ROUND((DATE(YEAR($I48),12,31)-$I48+1)/365*$D48,2),YEAR(AG$2)-YEAR($I48)&gt;20,0)</f>
        <v>1000</v>
      </c>
      <c r="AH48" s="48" cm="1">
        <f t="array" ref="AH48">_xlfn.IFS(YEAR(AH$2)&lt;YEAR($I48),0,YEAR(AH$2)=YEAR($I48),ROUND(((AH$2-$I48+1)/365)*$D48,2),AND(YEAR(AH$2)&gt;YEAR($I48),YEAR(AH$2)-YEAR($I48)&lt;20),$D48,YEAR(AH$2)-YEAR($I48)=20,ROUND((DATE(YEAR($I48),12,31)-$I48+1)/365*$D48,2),YEAR(AH$2)-YEAR($I48)&gt;20,0)</f>
        <v>673.97</v>
      </c>
      <c r="AI48" s="48" cm="1">
        <f t="array" ref="AI48">_xlfn.IFS(YEAR(AI$2)&lt;YEAR($I48),0,YEAR(AI$2)=YEAR($I48),ROUND(((AI$2-$I48+1)/365)*$D48,2),AND(YEAR(AI$2)&gt;YEAR($I48),YEAR(AI$2)-YEAR($I48)&lt;20),$D48,YEAR(AI$2)-YEAR($I48)=20,ROUND((DATE(YEAR($I48),12,31)-$I48+1)/365*$D48,2),YEAR(AI$2)-YEAR($I48)&gt;20,0)</f>
        <v>0</v>
      </c>
      <c r="AJ48" s="48" cm="1">
        <f t="array" ref="AJ48">_xlfn.IFS(YEAR(AJ$2)&lt;YEAR($I48),0,YEAR(AJ$2)=YEAR($I48),ROUND(((AJ$2-$I48+1)/365)*$D48,2),AND(YEAR(AJ$2)&gt;YEAR($I48),YEAR(AJ$2)-YEAR($I48)&lt;20),$D48,YEAR(AJ$2)-YEAR($I48)=20,ROUND((DATE(YEAR($I48),12,31)-$I48+1)/365*$D48,2),YEAR(AJ$2)-YEAR($I48)&gt;20,0)</f>
        <v>0</v>
      </c>
      <c r="AK48" s="48" cm="1">
        <f t="array" ref="AK48">_xlfn.IFS(YEAR(AK$2)&lt;YEAR($I48),0,YEAR(AK$2)=YEAR($I48),ROUND(((AK$2-$I48+1)/365)*$D48,2),AND(YEAR(AK$2)&gt;YEAR($I48),YEAR(AK$2)-YEAR($I48)&lt;20),$D48,YEAR(AK$2)-YEAR($I48)=20,ROUND((DATE(YEAR($I48),12,31)-$I48+1)/365*$D48,2),YEAR(AK$2)-YEAR($I48)&gt;20,0)</f>
        <v>0</v>
      </c>
      <c r="AL48" s="48" cm="1">
        <f t="array" ref="AL48">_xlfn.IFS(YEAR(AL$2)&lt;YEAR($I48),0,YEAR(AL$2)=YEAR($I48),ROUND(((AL$2-$I48+1)/365)*$D48,2),AND(YEAR(AL$2)&gt;YEAR($I48),YEAR(AL$2)-YEAR($I48)&lt;20),$D48,YEAR(AL$2)-YEAR($I48)=20,ROUND((DATE(YEAR($I48),12,31)-$I48+1)/365*$D48,2),YEAR(AL$2)-YEAR($I48)&gt;20,0)</f>
        <v>0</v>
      </c>
      <c r="AM48" s="48" cm="1">
        <f t="array" ref="AM48">_xlfn.IFS(YEAR(AM$2)&lt;YEAR($I48),0,YEAR(AM$2)=YEAR($I48),ROUND(((AM$2-$I48+1)/365)*$D48,2),AND(YEAR(AM$2)&gt;YEAR($I48),YEAR(AM$2)-YEAR($I48)&lt;20),$D48,YEAR(AM$2)-YEAR($I48)=20,ROUND((DATE(YEAR($I48),12,31)-$I48+1)/365*$D48,2),YEAR(AM$2)-YEAR($I48)&gt;20,0)</f>
        <v>0</v>
      </c>
      <c r="AO48" s="48">
        <v>2049</v>
      </c>
      <c r="AP48" s="48">
        <v>0</v>
      </c>
      <c r="AQ48" s="48">
        <v>0</v>
      </c>
      <c r="AR48" s="48">
        <v>0</v>
      </c>
      <c r="AS48" s="48">
        <v>0</v>
      </c>
      <c r="AT48" s="48">
        <v>0.33</v>
      </c>
      <c r="AU48" s="48">
        <v>31.28</v>
      </c>
      <c r="AV48" s="48">
        <v>0.04</v>
      </c>
      <c r="AW48" s="48">
        <v>35.880000000000003</v>
      </c>
      <c r="AX48" s="48">
        <v>0.49</v>
      </c>
      <c r="AY48" s="48">
        <v>0</v>
      </c>
      <c r="BA48" s="48">
        <f t="shared" si="1"/>
        <v>68.02</v>
      </c>
      <c r="BB48" s="48">
        <f t="shared" si="2"/>
        <v>0</v>
      </c>
    </row>
    <row r="49" spans="1:54">
      <c r="A49" s="155" t="str" cm="1">
        <f t="array" ref="A49">_xlfn.IFS(LEFT(C49,3)="PGE","PGE",LEFT(C49,2)="PP","PAC",TRUE,"IP")</f>
        <v>PGE</v>
      </c>
      <c r="B49" s="155" t="str">
        <f>IF(ISNA(MATCH(C49,'Monthly Report July 2025'!E:E,0)),"Missing","Present")</f>
        <v>Present</v>
      </c>
      <c r="C49" s="155" t="s">
        <v>158</v>
      </c>
      <c r="D49" s="176" cm="1">
        <f t="array" ref="D49">INDEX('Monthly Report July 2025'!L:L,MATCH(C49,'Monthly Report July 2025'!E:E,0),0)</f>
        <v>1260</v>
      </c>
      <c r="E49" s="176" t="str" cm="1">
        <f t="array" ref="E49">IF(INDEX('PA Fees by Project'!K:K,MATCH(C49,'PA Fees by Project'!E:E,0),0)="No","Non-Carve Out", "Carve Out")</f>
        <v>Non-Carve Out</v>
      </c>
      <c r="F49" s="176" cm="1">
        <f t="array" ref="F49">INDEX('PA Fees by Project'!J:J,MATCH(C49,'PA Fees by Project'!E:E,0),0)</f>
        <v>2</v>
      </c>
      <c r="G49" s="155" t="str" cm="1">
        <f t="array" ref="G49">INDEX('PA Fees by Project'!G:G,MATCH(C49,'PA Fees by Project'!E:E,0),0)</f>
        <v>Operational</v>
      </c>
      <c r="H49" s="175" cm="1">
        <f t="array" ref="H49">INDEX('PA Fees by Project'!Q:Q,MATCH(C49,'PA Fees by Project'!E:E,0),0)</f>
        <v>45642</v>
      </c>
      <c r="I49" s="156" cm="1">
        <f t="array" ref="I49">_xlfn.IFS(G49="Operational",H49,G49="Certified",EDATE(INDEX('PA Fees by Project'!R:R,MATCH(C49,'PA Fees by Project'!E:E,0),0),6),TRUE,EDATE(INDEX('PA Fees by Project'!O:O,MATCH(C49,'PA Fees by Project'!E:E,0),0),6))</f>
        <v>45642</v>
      </c>
      <c r="J49" s="48" cm="1">
        <f t="array" ref="J49">_xlfn.IFS(YEAR(J$2)&lt;YEAR($I49),0,YEAR(J$2)=YEAR($I49),ROUND(((J$2-$I49+1)/365)*$D49,2),AND(YEAR(J$2)&gt;YEAR($I49),YEAR(J$2)-YEAR($I49)&lt;20),$D49,YEAR(J$2)-YEAR($I49)=20,ROUND((DATE(YEAR($I49),12,31)-$I49+1)/365*$D49,2),YEAR(J$2)-YEAR($I49)&gt;20,0)</f>
        <v>0</v>
      </c>
      <c r="K49" s="48" cm="1">
        <f t="array" ref="K49">_xlfn.IFS(YEAR(K$2)&lt;YEAR($I49),0,YEAR(K$2)=YEAR($I49),ROUND(((K$2-$I49+1)/365)*$D49,2),AND(YEAR(K$2)&gt;YEAR($I49),YEAR(K$2)-YEAR($I49)&lt;20),$D49,YEAR(K$2)-YEAR($I49)=20,ROUND((DATE(YEAR($I49),12,31)-$I49+1)/365*$D49,2),YEAR(K$2)-YEAR($I49)&gt;20,0)</f>
        <v>0</v>
      </c>
      <c r="L49" s="48" cm="1">
        <f t="array" ref="L49">_xlfn.IFS(YEAR(L$2)&lt;YEAR($I49),0,YEAR(L$2)=YEAR($I49),ROUND(((L$2-$I49+1)/365)*$D49,2),AND(YEAR(L$2)&gt;YEAR($I49),YEAR(L$2)-YEAR($I49)&lt;20),$D49,YEAR(L$2)-YEAR($I49)=20,ROUND((DATE(YEAR($I49),12,31)-$I49+1)/365*$D49,2),YEAR(L$2)-YEAR($I49)&gt;20,0)</f>
        <v>0</v>
      </c>
      <c r="M49" s="48" cm="1">
        <f t="array" ref="M49">_xlfn.IFS(YEAR(M$2)&lt;YEAR($I49),0,YEAR(M$2)=YEAR($I49),ROUND(((M$2-$I49+1)/365)*$D49,2),AND(YEAR(M$2)&gt;YEAR($I49),YEAR(M$2)-YEAR($I49)&lt;20),$D49,YEAR(M$2)-YEAR($I49)=20,ROUND((DATE(YEAR($I49),12,31)-$I49+1)/365*$D49,2),YEAR(M$2)-YEAR($I49)&gt;20,0)</f>
        <v>55.23</v>
      </c>
      <c r="N49" s="48" cm="1">
        <f t="array" ref="N49">_xlfn.IFS(YEAR(N$2)&lt;YEAR($I49),0,YEAR(N$2)=YEAR($I49),ROUND(((N$2-$I49+1)/365)*$D49,2),AND(YEAR(N$2)&gt;YEAR($I49),YEAR(N$2)-YEAR($I49)&lt;20),$D49,YEAR(N$2)-YEAR($I49)=20,ROUND((DATE(YEAR($I49),12,31)-$I49+1)/365*$D49,2),YEAR(N$2)-YEAR($I49)&gt;20,0)</f>
        <v>1260</v>
      </c>
      <c r="O49" s="48" cm="1">
        <f t="array" ref="O49">_xlfn.IFS(YEAR(O$2)&lt;YEAR($I49),0,YEAR(O$2)=YEAR($I49),ROUND(((O$2-$I49+1)/365)*$D49,2),AND(YEAR(O$2)&gt;YEAR($I49),YEAR(O$2)-YEAR($I49)&lt;20),$D49,YEAR(O$2)-YEAR($I49)=20,ROUND((DATE(YEAR($I49),12,31)-$I49+1)/365*$D49,2),YEAR(O$2)-YEAR($I49)&gt;20,0)</f>
        <v>1260</v>
      </c>
      <c r="P49" s="48" cm="1">
        <f t="array" ref="P49">_xlfn.IFS(YEAR(P$2)&lt;YEAR($I49),0,YEAR(P$2)=YEAR($I49),ROUND(((P$2-$I49+1)/365)*$D49,2),AND(YEAR(P$2)&gt;YEAR($I49),YEAR(P$2)-YEAR($I49)&lt;20),$D49,YEAR(P$2)-YEAR($I49)=20,ROUND((DATE(YEAR($I49),12,31)-$I49+1)/365*$D49,2),YEAR(P$2)-YEAR($I49)&gt;20,0)</f>
        <v>1260</v>
      </c>
      <c r="Q49" s="48" cm="1">
        <f t="array" ref="Q49">_xlfn.IFS(YEAR(Q$2)&lt;YEAR($I49),0,YEAR(Q$2)=YEAR($I49),ROUND(((Q$2-$I49+1)/365)*$D49,2),AND(YEAR(Q$2)&gt;YEAR($I49),YEAR(Q$2)-YEAR($I49)&lt;20),$D49,YEAR(Q$2)-YEAR($I49)=20,ROUND((DATE(YEAR($I49),12,31)-$I49+1)/365*$D49,2),YEAR(Q$2)-YEAR($I49)&gt;20,0)</f>
        <v>1260</v>
      </c>
      <c r="R49" s="48" cm="1">
        <f t="array" ref="R49">_xlfn.IFS(YEAR(R$2)&lt;YEAR($I49),0,YEAR(R$2)=YEAR($I49),ROUND(((R$2-$I49+1)/365)*$D49,2),AND(YEAR(R$2)&gt;YEAR($I49),YEAR(R$2)-YEAR($I49)&lt;20),$D49,YEAR(R$2)-YEAR($I49)=20,ROUND((DATE(YEAR($I49),12,31)-$I49+1)/365*$D49,2),YEAR(R$2)-YEAR($I49)&gt;20,0)</f>
        <v>1260</v>
      </c>
      <c r="S49" s="48" cm="1">
        <f t="array" ref="S49">_xlfn.IFS(YEAR(S$2)&lt;YEAR($I49),0,YEAR(S$2)=YEAR($I49),ROUND(((S$2-$I49+1)/365)*$D49,2),AND(YEAR(S$2)&gt;YEAR($I49),YEAR(S$2)-YEAR($I49)&lt;20),$D49,YEAR(S$2)-YEAR($I49)=20,ROUND((DATE(YEAR($I49),12,31)-$I49+1)/365*$D49,2),YEAR(S$2)-YEAR($I49)&gt;20,0)</f>
        <v>1260</v>
      </c>
      <c r="T49" s="48" cm="1">
        <f t="array" ref="T49">_xlfn.IFS(YEAR(T$2)&lt;YEAR($I49),0,YEAR(T$2)=YEAR($I49),ROUND(((T$2-$I49+1)/365)*$D49,2),AND(YEAR(T$2)&gt;YEAR($I49),YEAR(T$2)-YEAR($I49)&lt;20),$D49,YEAR(T$2)-YEAR($I49)=20,ROUND((DATE(YEAR($I49),12,31)-$I49+1)/365*$D49,2),YEAR(T$2)-YEAR($I49)&gt;20,0)</f>
        <v>1260</v>
      </c>
      <c r="U49" s="48" cm="1">
        <f t="array" ref="U49">_xlfn.IFS(YEAR(U$2)&lt;YEAR($I49),0,YEAR(U$2)=YEAR($I49),ROUND(((U$2-$I49+1)/365)*$D49,2),AND(YEAR(U$2)&gt;YEAR($I49),YEAR(U$2)-YEAR($I49)&lt;20),$D49,YEAR(U$2)-YEAR($I49)=20,ROUND((DATE(YEAR($I49),12,31)-$I49+1)/365*$D49,2),YEAR(U$2)-YEAR($I49)&gt;20,0)</f>
        <v>1260</v>
      </c>
      <c r="V49" s="48" cm="1">
        <f t="array" ref="V49">_xlfn.IFS(YEAR(V$2)&lt;YEAR($I49),0,YEAR(V$2)=YEAR($I49),ROUND(((V$2-$I49+1)/365)*$D49,2),AND(YEAR(V$2)&gt;YEAR($I49),YEAR(V$2)-YEAR($I49)&lt;20),$D49,YEAR(V$2)-YEAR($I49)=20,ROUND((DATE(YEAR($I49),12,31)-$I49+1)/365*$D49,2),YEAR(V$2)-YEAR($I49)&gt;20,0)</f>
        <v>1260</v>
      </c>
      <c r="W49" s="48" cm="1">
        <f t="array" ref="W49">_xlfn.IFS(YEAR(W$2)&lt;YEAR($I49),0,YEAR(W$2)=YEAR($I49),ROUND(((W$2-$I49+1)/365)*$D49,2),AND(YEAR(W$2)&gt;YEAR($I49),YEAR(W$2)-YEAR($I49)&lt;20),$D49,YEAR(W$2)-YEAR($I49)=20,ROUND((DATE(YEAR($I49),12,31)-$I49+1)/365*$D49,2),YEAR(W$2)-YEAR($I49)&gt;20,0)</f>
        <v>1260</v>
      </c>
      <c r="X49" s="48" cm="1">
        <f t="array" ref="X49">_xlfn.IFS(YEAR(X$2)&lt;YEAR($I49),0,YEAR(X$2)=YEAR($I49),ROUND(((X$2-$I49+1)/365)*$D49,2),AND(YEAR(X$2)&gt;YEAR($I49),YEAR(X$2)-YEAR($I49)&lt;20),$D49,YEAR(X$2)-YEAR($I49)=20,ROUND((DATE(YEAR($I49),12,31)-$I49+1)/365*$D49,2),YEAR(X$2)-YEAR($I49)&gt;20,0)</f>
        <v>1260</v>
      </c>
      <c r="Y49" s="48" cm="1">
        <f t="array" ref="Y49">_xlfn.IFS(YEAR(Y$2)&lt;YEAR($I49),0,YEAR(Y$2)=YEAR($I49),ROUND(((Y$2-$I49+1)/365)*$D49,2),AND(YEAR(Y$2)&gt;YEAR($I49),YEAR(Y$2)-YEAR($I49)&lt;20),$D49,YEAR(Y$2)-YEAR($I49)=20,ROUND((DATE(YEAR($I49),12,31)-$I49+1)/365*$D49,2),YEAR(Y$2)-YEAR($I49)&gt;20,0)</f>
        <v>1260</v>
      </c>
      <c r="Z49" s="48" cm="1">
        <f t="array" ref="Z49">_xlfn.IFS(YEAR(Z$2)&lt;YEAR($I49),0,YEAR(Z$2)=YEAR($I49),ROUND(((Z$2-$I49+1)/365)*$D49,2),AND(YEAR(Z$2)&gt;YEAR($I49),YEAR(Z$2)-YEAR($I49)&lt;20),$D49,YEAR(Z$2)-YEAR($I49)=20,ROUND((DATE(YEAR($I49),12,31)-$I49+1)/365*$D49,2),YEAR(Z$2)-YEAR($I49)&gt;20,0)</f>
        <v>1260</v>
      </c>
      <c r="AA49" s="48" cm="1">
        <f t="array" ref="AA49">_xlfn.IFS(YEAR(AA$2)&lt;YEAR($I49),0,YEAR(AA$2)=YEAR($I49),ROUND(((AA$2-$I49+1)/365)*$D49,2),AND(YEAR(AA$2)&gt;YEAR($I49),YEAR(AA$2)-YEAR($I49)&lt;20),$D49,YEAR(AA$2)-YEAR($I49)=20,ROUND((DATE(YEAR($I49),12,31)-$I49+1)/365*$D49,2),YEAR(AA$2)-YEAR($I49)&gt;20,0)</f>
        <v>1260</v>
      </c>
      <c r="AB49" s="48" cm="1">
        <f t="array" ref="AB49">_xlfn.IFS(YEAR(AB$2)&lt;YEAR($I49),0,YEAR(AB$2)=YEAR($I49),ROUND(((AB$2-$I49+1)/365)*$D49,2),AND(YEAR(AB$2)&gt;YEAR($I49),YEAR(AB$2)-YEAR($I49)&lt;20),$D49,YEAR(AB$2)-YEAR($I49)=20,ROUND((DATE(YEAR($I49),12,31)-$I49+1)/365*$D49,2),YEAR(AB$2)-YEAR($I49)&gt;20,0)</f>
        <v>1260</v>
      </c>
      <c r="AC49" s="48" cm="1">
        <f t="array" ref="AC49">_xlfn.IFS(YEAR(AC$2)&lt;YEAR($I49),0,YEAR(AC$2)=YEAR($I49),ROUND(((AC$2-$I49+1)/365)*$D49,2),AND(YEAR(AC$2)&gt;YEAR($I49),YEAR(AC$2)-YEAR($I49)&lt;20),$D49,YEAR(AC$2)-YEAR($I49)=20,ROUND((DATE(YEAR($I49),12,31)-$I49+1)/365*$D49,2),YEAR(AC$2)-YEAR($I49)&gt;20,0)</f>
        <v>1260</v>
      </c>
      <c r="AD49" s="48" cm="1">
        <f t="array" ref="AD49">_xlfn.IFS(YEAR(AD$2)&lt;YEAR($I49),0,YEAR(AD$2)=YEAR($I49),ROUND(((AD$2-$I49+1)/365)*$D49,2),AND(YEAR(AD$2)&gt;YEAR($I49),YEAR(AD$2)-YEAR($I49)&lt;20),$D49,YEAR(AD$2)-YEAR($I49)=20,ROUND((DATE(YEAR($I49),12,31)-$I49+1)/365*$D49,2),YEAR(AD$2)-YEAR($I49)&gt;20,0)</f>
        <v>1260</v>
      </c>
      <c r="AE49" s="48" cm="1">
        <f t="array" ref="AE49">_xlfn.IFS(YEAR(AE$2)&lt;YEAR($I49),0,YEAR(AE$2)=YEAR($I49),ROUND(((AE$2-$I49+1)/365)*$D49,2),AND(YEAR(AE$2)&gt;YEAR($I49),YEAR(AE$2)-YEAR($I49)&lt;20),$D49,YEAR(AE$2)-YEAR($I49)=20,ROUND((DATE(YEAR($I49),12,31)-$I49+1)/365*$D49,2),YEAR(AE$2)-YEAR($I49)&gt;20,0)</f>
        <v>1260</v>
      </c>
      <c r="AF49" s="48" cm="1">
        <f t="array" ref="AF49">_xlfn.IFS(YEAR(AF$2)&lt;YEAR($I49),0,YEAR(AF$2)=YEAR($I49),ROUND(((AF$2-$I49+1)/365)*$D49,2),AND(YEAR(AF$2)&gt;YEAR($I49),YEAR(AF$2)-YEAR($I49)&lt;20),$D49,YEAR(AF$2)-YEAR($I49)=20,ROUND((DATE(YEAR($I49),12,31)-$I49+1)/365*$D49,2),YEAR(AF$2)-YEAR($I49)&gt;20,0)</f>
        <v>1260</v>
      </c>
      <c r="AG49" s="48" cm="1">
        <f t="array" ref="AG49">_xlfn.IFS(YEAR(AG$2)&lt;YEAR($I49),0,YEAR(AG$2)=YEAR($I49),ROUND(((AG$2-$I49+1)/365)*$D49,2),AND(YEAR(AG$2)&gt;YEAR($I49),YEAR(AG$2)-YEAR($I49)&lt;20),$D49,YEAR(AG$2)-YEAR($I49)=20,ROUND((DATE(YEAR($I49),12,31)-$I49+1)/365*$D49,2),YEAR(AG$2)-YEAR($I49)&gt;20,0)</f>
        <v>55.23</v>
      </c>
      <c r="AH49" s="48" cm="1">
        <f t="array" ref="AH49">_xlfn.IFS(YEAR(AH$2)&lt;YEAR($I49),0,YEAR(AH$2)=YEAR($I49),ROUND(((AH$2-$I49+1)/365)*$D49,2),AND(YEAR(AH$2)&gt;YEAR($I49),YEAR(AH$2)-YEAR($I49)&lt;20),$D49,YEAR(AH$2)-YEAR($I49)=20,ROUND((DATE(YEAR($I49),12,31)-$I49+1)/365*$D49,2),YEAR(AH$2)-YEAR($I49)&gt;20,0)</f>
        <v>0</v>
      </c>
      <c r="AI49" s="48" cm="1">
        <f t="array" ref="AI49">_xlfn.IFS(YEAR(AI$2)&lt;YEAR($I49),0,YEAR(AI$2)=YEAR($I49),ROUND(((AI$2-$I49+1)/365)*$D49,2),AND(YEAR(AI$2)&gt;YEAR($I49),YEAR(AI$2)-YEAR($I49)&lt;20),$D49,YEAR(AI$2)-YEAR($I49)=20,ROUND((DATE(YEAR($I49),12,31)-$I49+1)/365*$D49,2),YEAR(AI$2)-YEAR($I49)&gt;20,0)</f>
        <v>0</v>
      </c>
      <c r="AJ49" s="48" cm="1">
        <f t="array" ref="AJ49">_xlfn.IFS(YEAR(AJ$2)&lt;YEAR($I49),0,YEAR(AJ$2)=YEAR($I49),ROUND(((AJ$2-$I49+1)/365)*$D49,2),AND(YEAR(AJ$2)&gt;YEAR($I49),YEAR(AJ$2)-YEAR($I49)&lt;20),$D49,YEAR(AJ$2)-YEAR($I49)=20,ROUND((DATE(YEAR($I49),12,31)-$I49+1)/365*$D49,2),YEAR(AJ$2)-YEAR($I49)&gt;20,0)</f>
        <v>0</v>
      </c>
      <c r="AK49" s="48" cm="1">
        <f t="array" ref="AK49">_xlfn.IFS(YEAR(AK$2)&lt;YEAR($I49),0,YEAR(AK$2)=YEAR($I49),ROUND(((AK$2-$I49+1)/365)*$D49,2),AND(YEAR(AK$2)&gt;YEAR($I49),YEAR(AK$2)-YEAR($I49)&lt;20),$D49,YEAR(AK$2)-YEAR($I49)=20,ROUND((DATE(YEAR($I49),12,31)-$I49+1)/365*$D49,2),YEAR(AK$2)-YEAR($I49)&gt;20,0)</f>
        <v>0</v>
      </c>
      <c r="AL49" s="48" cm="1">
        <f t="array" ref="AL49">_xlfn.IFS(YEAR(AL$2)&lt;YEAR($I49),0,YEAR(AL$2)=YEAR($I49),ROUND(((AL$2-$I49+1)/365)*$D49,2),AND(YEAR(AL$2)&gt;YEAR($I49),YEAR(AL$2)-YEAR($I49)&lt;20),$D49,YEAR(AL$2)-YEAR($I49)=20,ROUND((DATE(YEAR($I49),12,31)-$I49+1)/365*$D49,2),YEAR(AL$2)-YEAR($I49)&gt;20,0)</f>
        <v>0</v>
      </c>
      <c r="AM49" s="48" cm="1">
        <f t="array" ref="AM49">_xlfn.IFS(YEAR(AM$2)&lt;YEAR($I49),0,YEAR(AM$2)=YEAR($I49),ROUND(((AM$2-$I49+1)/365)*$D49,2),AND(YEAR(AM$2)&gt;YEAR($I49),YEAR(AM$2)-YEAR($I49)&lt;20),$D49,YEAR(AM$2)-YEAR($I49)=20,ROUND((DATE(YEAR($I49),12,31)-$I49+1)/365*$D49,2),YEAR(AM$2)-YEAR($I49)&gt;20,0)</f>
        <v>0</v>
      </c>
      <c r="AO49" s="48">
        <v>2050</v>
      </c>
      <c r="AP49" s="48">
        <v>0</v>
      </c>
      <c r="AQ49" s="48">
        <v>0</v>
      </c>
      <c r="AR49" s="48">
        <v>0</v>
      </c>
      <c r="AS49" s="48">
        <v>0</v>
      </c>
      <c r="AT49" s="48">
        <v>0.33</v>
      </c>
      <c r="AU49" s="48">
        <v>31.28</v>
      </c>
      <c r="AV49" s="48">
        <v>0.04</v>
      </c>
      <c r="AW49" s="48">
        <v>35.880000000000003</v>
      </c>
      <c r="AX49" s="48">
        <v>0.49</v>
      </c>
      <c r="AY49" s="48">
        <v>0</v>
      </c>
      <c r="BA49" s="48">
        <f t="shared" si="1"/>
        <v>68.02</v>
      </c>
      <c r="BB49" s="48">
        <f t="shared" si="2"/>
        <v>0</v>
      </c>
    </row>
    <row r="50" spans="1:54">
      <c r="A50" s="155" t="str" cm="1">
        <f t="array" ref="A50">_xlfn.IFS(LEFT(C50,3)="PGE","PGE",LEFT(C50,2)="PP","PAC",TRUE,"IP")</f>
        <v>PGE</v>
      </c>
      <c r="B50" s="155" t="str">
        <f>IF(ISNA(MATCH(C50,'Monthly Report July 2025'!E:E,0)),"Missing","Present")</f>
        <v>Present</v>
      </c>
      <c r="C50" s="155" t="s">
        <v>159</v>
      </c>
      <c r="D50" s="176" cm="1">
        <f t="array" ref="D50">INDEX('Monthly Report July 2025'!L:L,MATCH(C50,'Monthly Report July 2025'!E:E,0),0)</f>
        <v>2565</v>
      </c>
      <c r="E50" s="176" t="str" cm="1">
        <f t="array" ref="E50">IF(INDEX('PA Fees by Project'!K:K,MATCH(C50,'PA Fees by Project'!E:E,0),0)="No","Non-Carve Out", "Carve Out")</f>
        <v>Non-Carve Out</v>
      </c>
      <c r="F50" s="176" cm="1">
        <f t="array" ref="F50">INDEX('PA Fees by Project'!J:J,MATCH(C50,'PA Fees by Project'!E:E,0),0)</f>
        <v>2</v>
      </c>
      <c r="G50" s="155" t="str" cm="1">
        <f t="array" ref="G50">INDEX('PA Fees by Project'!G:G,MATCH(C50,'PA Fees by Project'!E:E,0),0)</f>
        <v>Operational</v>
      </c>
      <c r="H50" s="175" cm="1">
        <f t="array" ref="H50">INDEX('PA Fees by Project'!Q:Q,MATCH(C50,'PA Fees by Project'!E:E,0),0)</f>
        <v>45839</v>
      </c>
      <c r="I50" s="156" cm="1">
        <f t="array" ref="I50">_xlfn.IFS(G50="Operational",H50,G50="Certified",EDATE(INDEX('PA Fees by Project'!R:R,MATCH(C50,'PA Fees by Project'!E:E,0),0),6),TRUE,EDATE(INDEX('PA Fees by Project'!O:O,MATCH(C50,'PA Fees by Project'!E:E,0),0),6))</f>
        <v>45839</v>
      </c>
      <c r="J50" s="48">
        <v>0</v>
      </c>
      <c r="K50" s="48">
        <v>0</v>
      </c>
      <c r="L50" s="48">
        <v>0</v>
      </c>
      <c r="M50" s="48">
        <v>0</v>
      </c>
      <c r="N50" s="48">
        <v>907.4</v>
      </c>
      <c r="O50" s="48">
        <v>2182.5</v>
      </c>
      <c r="P50" s="48" cm="1">
        <f t="array" ref="P50">_xlfn.IFS(YEAR(P$2)&lt;YEAR($I50),0,YEAR(P$2)=YEAR($I50),ROUND(((P$2-$I50+1)/365)*$D50,2),AND(YEAR(P$2)&gt;YEAR($I50),YEAR(P$2)-YEAR($I50)&lt;20),$D50,YEAR(P$2)-YEAR($I50)=20,ROUND((DATE(YEAR($I50),12,31)-$I50+1)/365*$D50,2),YEAR(P$2)-YEAR($I50)&gt;20,0)</f>
        <v>2565</v>
      </c>
      <c r="Q50" s="48" cm="1">
        <f t="array" ref="Q50">_xlfn.IFS(YEAR(Q$2)&lt;YEAR($I50),0,YEAR(Q$2)=YEAR($I50),ROUND(((Q$2-$I50+1)/365)*$D50,2),AND(YEAR(Q$2)&gt;YEAR($I50),YEAR(Q$2)-YEAR($I50)&lt;20),$D50,YEAR(Q$2)-YEAR($I50)=20,ROUND((DATE(YEAR($I50),12,31)-$I50+1)/365*$D50,2),YEAR(Q$2)-YEAR($I50)&gt;20,0)</f>
        <v>2565</v>
      </c>
      <c r="R50" s="48" cm="1">
        <f t="array" ref="R50">_xlfn.IFS(YEAR(R$2)&lt;YEAR($I50),0,YEAR(R$2)=YEAR($I50),ROUND(((R$2-$I50+1)/365)*$D50,2),AND(YEAR(R$2)&gt;YEAR($I50),YEAR(R$2)-YEAR($I50)&lt;20),$D50,YEAR(R$2)-YEAR($I50)=20,ROUND((DATE(YEAR($I50),12,31)-$I50+1)/365*$D50,2),YEAR(R$2)-YEAR($I50)&gt;20,0)</f>
        <v>2565</v>
      </c>
      <c r="S50" s="48" cm="1">
        <f t="array" ref="S50">_xlfn.IFS(YEAR(S$2)&lt;YEAR($I50),0,YEAR(S$2)=YEAR($I50),ROUND(((S$2-$I50+1)/365)*$D50,2),AND(YEAR(S$2)&gt;YEAR($I50),YEAR(S$2)-YEAR($I50)&lt;20),$D50,YEAR(S$2)-YEAR($I50)=20,ROUND((DATE(YEAR($I50),12,31)-$I50+1)/365*$D50,2),YEAR(S$2)-YEAR($I50)&gt;20,0)</f>
        <v>2565</v>
      </c>
      <c r="T50" s="48" cm="1">
        <f t="array" ref="T50">_xlfn.IFS(YEAR(T$2)&lt;YEAR($I50),0,YEAR(T$2)=YEAR($I50),ROUND(((T$2-$I50+1)/365)*$D50,2),AND(YEAR(T$2)&gt;YEAR($I50),YEAR(T$2)-YEAR($I50)&lt;20),$D50,YEAR(T$2)-YEAR($I50)=20,ROUND((DATE(YEAR($I50),12,31)-$I50+1)/365*$D50,2),YEAR(T$2)-YEAR($I50)&gt;20,0)</f>
        <v>2565</v>
      </c>
      <c r="U50" s="48" cm="1">
        <f t="array" ref="U50">_xlfn.IFS(YEAR(U$2)&lt;YEAR($I50),0,YEAR(U$2)=YEAR($I50),ROUND(((U$2-$I50+1)/365)*$D50,2),AND(YEAR(U$2)&gt;YEAR($I50),YEAR(U$2)-YEAR($I50)&lt;20),$D50,YEAR(U$2)-YEAR($I50)=20,ROUND((DATE(YEAR($I50),12,31)-$I50+1)/365*$D50,2),YEAR(U$2)-YEAR($I50)&gt;20,0)</f>
        <v>2565</v>
      </c>
      <c r="V50" s="48" cm="1">
        <f t="array" ref="V50">_xlfn.IFS(YEAR(V$2)&lt;YEAR($I50),0,YEAR(V$2)=YEAR($I50),ROUND(((V$2-$I50+1)/365)*$D50,2),AND(YEAR(V$2)&gt;YEAR($I50),YEAR(V$2)-YEAR($I50)&lt;20),$D50,YEAR(V$2)-YEAR($I50)=20,ROUND((DATE(YEAR($I50),12,31)-$I50+1)/365*$D50,2),YEAR(V$2)-YEAR($I50)&gt;20,0)</f>
        <v>2565</v>
      </c>
      <c r="W50" s="48" cm="1">
        <f t="array" ref="W50">_xlfn.IFS(YEAR(W$2)&lt;YEAR($I50),0,YEAR(W$2)=YEAR($I50),ROUND(((W$2-$I50+1)/365)*$D50,2),AND(YEAR(W$2)&gt;YEAR($I50),YEAR(W$2)-YEAR($I50)&lt;20),$D50,YEAR(W$2)-YEAR($I50)=20,ROUND((DATE(YEAR($I50),12,31)-$I50+1)/365*$D50,2),YEAR(W$2)-YEAR($I50)&gt;20,0)</f>
        <v>2565</v>
      </c>
      <c r="X50" s="48" cm="1">
        <f t="array" ref="X50">_xlfn.IFS(YEAR(X$2)&lt;YEAR($I50),0,YEAR(X$2)=YEAR($I50),ROUND(((X$2-$I50+1)/365)*$D50,2),AND(YEAR(X$2)&gt;YEAR($I50),YEAR(X$2)-YEAR($I50)&lt;20),$D50,YEAR(X$2)-YEAR($I50)=20,ROUND((DATE(YEAR($I50),12,31)-$I50+1)/365*$D50,2),YEAR(X$2)-YEAR($I50)&gt;20,0)</f>
        <v>2565</v>
      </c>
      <c r="Y50" s="48" cm="1">
        <f t="array" ref="Y50">_xlfn.IFS(YEAR(Y$2)&lt;YEAR($I50),0,YEAR(Y$2)=YEAR($I50),ROUND(((Y$2-$I50+1)/365)*$D50,2),AND(YEAR(Y$2)&gt;YEAR($I50),YEAR(Y$2)-YEAR($I50)&lt;20),$D50,YEAR(Y$2)-YEAR($I50)=20,ROUND((DATE(YEAR($I50),12,31)-$I50+1)/365*$D50,2),YEAR(Y$2)-YEAR($I50)&gt;20,0)</f>
        <v>2565</v>
      </c>
      <c r="Z50" s="48" cm="1">
        <f t="array" ref="Z50">_xlfn.IFS(YEAR(Z$2)&lt;YEAR($I50),0,YEAR(Z$2)=YEAR($I50),ROUND(((Z$2-$I50+1)/365)*$D50,2),AND(YEAR(Z$2)&gt;YEAR($I50),YEAR(Z$2)-YEAR($I50)&lt;20),$D50,YEAR(Z$2)-YEAR($I50)=20,ROUND((DATE(YEAR($I50),12,31)-$I50+1)/365*$D50,2),YEAR(Z$2)-YEAR($I50)&gt;20,0)</f>
        <v>2565</v>
      </c>
      <c r="AA50" s="48" cm="1">
        <f t="array" ref="AA50">_xlfn.IFS(YEAR(AA$2)&lt;YEAR($I50),0,YEAR(AA$2)=YEAR($I50),ROUND(((AA$2-$I50+1)/365)*$D50,2),AND(YEAR(AA$2)&gt;YEAR($I50),YEAR(AA$2)-YEAR($I50)&lt;20),$D50,YEAR(AA$2)-YEAR($I50)=20,ROUND((DATE(YEAR($I50),12,31)-$I50+1)/365*$D50,2),YEAR(AA$2)-YEAR($I50)&gt;20,0)</f>
        <v>2565</v>
      </c>
      <c r="AB50" s="48" cm="1">
        <f t="array" ref="AB50">_xlfn.IFS(YEAR(AB$2)&lt;YEAR($I50),0,YEAR(AB$2)=YEAR($I50),ROUND(((AB$2-$I50+1)/365)*$D50,2),AND(YEAR(AB$2)&gt;YEAR($I50),YEAR(AB$2)-YEAR($I50)&lt;20),$D50,YEAR(AB$2)-YEAR($I50)=20,ROUND((DATE(YEAR($I50),12,31)-$I50+1)/365*$D50,2),YEAR(AB$2)-YEAR($I50)&gt;20,0)</f>
        <v>2565</v>
      </c>
      <c r="AC50" s="48" cm="1">
        <f t="array" ref="AC50">_xlfn.IFS(YEAR(AC$2)&lt;YEAR($I50),0,YEAR(AC$2)=YEAR($I50),ROUND(((AC$2-$I50+1)/365)*$D50,2),AND(YEAR(AC$2)&gt;YEAR($I50),YEAR(AC$2)-YEAR($I50)&lt;20),$D50,YEAR(AC$2)-YEAR($I50)=20,ROUND((DATE(YEAR($I50),12,31)-$I50+1)/365*$D50,2),YEAR(AC$2)-YEAR($I50)&gt;20,0)</f>
        <v>2565</v>
      </c>
      <c r="AD50" s="48" cm="1">
        <f t="array" ref="AD50">_xlfn.IFS(YEAR(AD$2)&lt;YEAR($I50),0,YEAR(AD$2)=YEAR($I50),ROUND(((AD$2-$I50+1)/365)*$D50,2),AND(YEAR(AD$2)&gt;YEAR($I50),YEAR(AD$2)-YEAR($I50)&lt;20),$D50,YEAR(AD$2)-YEAR($I50)=20,ROUND((DATE(YEAR($I50),12,31)-$I50+1)/365*$D50,2),YEAR(AD$2)-YEAR($I50)&gt;20,0)</f>
        <v>2565</v>
      </c>
      <c r="AE50" s="48" cm="1">
        <f t="array" ref="AE50">_xlfn.IFS(YEAR(AE$2)&lt;YEAR($I50),0,YEAR(AE$2)=YEAR($I50),ROUND(((AE$2-$I50+1)/365)*$D50,2),AND(YEAR(AE$2)&gt;YEAR($I50),YEAR(AE$2)-YEAR($I50)&lt;20),$D50,YEAR(AE$2)-YEAR($I50)=20,ROUND((DATE(YEAR($I50),12,31)-$I50+1)/365*$D50,2),YEAR(AE$2)-YEAR($I50)&gt;20,0)</f>
        <v>2565</v>
      </c>
      <c r="AF50" s="48" cm="1">
        <f t="array" ref="AF50">_xlfn.IFS(YEAR(AF$2)&lt;YEAR($I50),0,YEAR(AF$2)=YEAR($I50),ROUND(((AF$2-$I50+1)/365)*$D50,2),AND(YEAR(AF$2)&gt;YEAR($I50),YEAR(AF$2)-YEAR($I50)&lt;20),$D50,YEAR(AF$2)-YEAR($I50)=20,ROUND((DATE(YEAR($I50),12,31)-$I50+1)/365*$D50,2),YEAR(AF$2)-YEAR($I50)&gt;20,0)</f>
        <v>2565</v>
      </c>
      <c r="AG50" s="48" cm="1">
        <f t="array" ref="AG50">_xlfn.IFS(YEAR(AG$2)&lt;YEAR($I50),0,YEAR(AG$2)=YEAR($I50),ROUND(((AG$2-$I50+1)/365)*$D50,2),AND(YEAR(AG$2)&gt;YEAR($I50),YEAR(AG$2)-YEAR($I50)&lt;20),$D50,YEAR(AG$2)-YEAR($I50)=20,ROUND((DATE(YEAR($I50),12,31)-$I50+1)/365*$D50,2),YEAR(AG$2)-YEAR($I50)&gt;20,0)</f>
        <v>2565</v>
      </c>
      <c r="AH50" s="48" cm="1">
        <f t="array" ref="AH50">_xlfn.IFS(YEAR(AH$2)&lt;YEAR($I50),0,YEAR(AH$2)=YEAR($I50),ROUND(((AH$2-$I50+1)/365)*$D50,2),AND(YEAR(AH$2)&gt;YEAR($I50),YEAR(AH$2)-YEAR($I50)&lt;20),$D50,YEAR(AH$2)-YEAR($I50)=20,ROUND((DATE(YEAR($I50),12,31)-$I50+1)/365*$D50,2),YEAR(AH$2)-YEAR($I50)&gt;20,0)</f>
        <v>1293.04</v>
      </c>
      <c r="AI50" s="48" cm="1">
        <f t="array" ref="AI50">_xlfn.IFS(YEAR(AI$2)&lt;YEAR($I50),0,YEAR(AI$2)=YEAR($I50),ROUND(((AI$2-$I50+1)/365)*$D50,2),AND(YEAR(AI$2)&gt;YEAR($I50),YEAR(AI$2)-YEAR($I50)&lt;20),$D50,YEAR(AI$2)-YEAR($I50)=20,ROUND((DATE(YEAR($I50),12,31)-$I50+1)/365*$D50,2),YEAR(AI$2)-YEAR($I50)&gt;20,0)</f>
        <v>0</v>
      </c>
      <c r="AJ50" s="48" cm="1">
        <f t="array" ref="AJ50">_xlfn.IFS(YEAR(AJ$2)&lt;YEAR($I50),0,YEAR(AJ$2)=YEAR($I50),ROUND(((AJ$2-$I50+1)/365)*$D50,2),AND(YEAR(AJ$2)&gt;YEAR($I50),YEAR(AJ$2)-YEAR($I50)&lt;20),$D50,YEAR(AJ$2)-YEAR($I50)=20,ROUND((DATE(YEAR($I50),12,31)-$I50+1)/365*$D50,2),YEAR(AJ$2)-YEAR($I50)&gt;20,0)</f>
        <v>0</v>
      </c>
      <c r="AK50" s="48" cm="1">
        <f t="array" ref="AK50">_xlfn.IFS(YEAR(AK$2)&lt;YEAR($I50),0,YEAR(AK$2)=YEAR($I50),ROUND(((AK$2-$I50+1)/365)*$D50,2),AND(YEAR(AK$2)&gt;YEAR($I50),YEAR(AK$2)-YEAR($I50)&lt;20),$D50,YEAR(AK$2)-YEAR($I50)=20,ROUND((DATE(YEAR($I50),12,31)-$I50+1)/365*$D50,2),YEAR(AK$2)-YEAR($I50)&gt;20,0)</f>
        <v>0</v>
      </c>
      <c r="AL50" s="48" cm="1">
        <f t="array" ref="AL50">_xlfn.IFS(YEAR(AL$2)&lt;YEAR($I50),0,YEAR(AL$2)=YEAR($I50),ROUND(((AL$2-$I50+1)/365)*$D50,2),AND(YEAR(AL$2)&gt;YEAR($I50),YEAR(AL$2)-YEAR($I50)&lt;20),$D50,YEAR(AL$2)-YEAR($I50)=20,ROUND((DATE(YEAR($I50),12,31)-$I50+1)/365*$D50,2),YEAR(AL$2)-YEAR($I50)&gt;20,0)</f>
        <v>0</v>
      </c>
      <c r="AM50" s="48" cm="1">
        <f t="array" ref="AM50">_xlfn.IFS(YEAR(AM$2)&lt;YEAR($I50),0,YEAR(AM$2)=YEAR($I50),ROUND(((AM$2-$I50+1)/365)*$D50,2),AND(YEAR(AM$2)&gt;YEAR($I50),YEAR(AM$2)-YEAR($I50)&lt;20),$D50,YEAR(AM$2)-YEAR($I50)=20,ROUND((DATE(YEAR($I50),12,31)-$I50+1)/365*$D50,2),YEAR(AM$2)-YEAR($I50)&gt;20,0)</f>
        <v>0</v>
      </c>
    </row>
    <row r="51" spans="1:54">
      <c r="A51" s="155" t="str" cm="1">
        <f t="array" ref="A51">_xlfn.IFS(LEFT(C51,3)="PGE","PGE",LEFT(C51,2)="PP","PAC",TRUE,"IP")</f>
        <v>PGE</v>
      </c>
      <c r="B51" s="155" t="str">
        <f>IF(ISNA(MATCH(C51,'Monthly Report July 2025'!E:E,0)),"Missing","Present")</f>
        <v>Present</v>
      </c>
      <c r="C51" s="155" t="s">
        <v>160</v>
      </c>
      <c r="D51" s="176" cm="1">
        <f t="array" ref="D51">INDEX('Monthly Report July 2025'!L:L,MATCH(C51,'Monthly Report July 2025'!E:E,0),0)</f>
        <v>1980</v>
      </c>
      <c r="E51" s="176" t="str" cm="1">
        <f t="array" ref="E51">IF(INDEX('PA Fees by Project'!K:K,MATCH(C51,'PA Fees by Project'!E:E,0),0)="No","Non-Carve Out", "Carve Out")</f>
        <v>Non-Carve Out</v>
      </c>
      <c r="F51" s="176" cm="1">
        <f t="array" ref="F51">INDEX('PA Fees by Project'!J:J,MATCH(C51,'PA Fees by Project'!E:E,0),0)</f>
        <v>1</v>
      </c>
      <c r="G51" s="155" t="str" cm="1">
        <f t="array" ref="G51">INDEX('PA Fees by Project'!G:G,MATCH(C51,'PA Fees by Project'!E:E,0),0)</f>
        <v>Operational</v>
      </c>
      <c r="H51" s="175" cm="1">
        <f t="array" ref="H51">INDEX('PA Fees by Project'!Q:Q,MATCH(C51,'PA Fees by Project'!E:E,0),0)</f>
        <v>45642</v>
      </c>
      <c r="I51" s="156" cm="1">
        <f t="array" ref="I51">_xlfn.IFS(G51="Operational",H51,G51="Certified",EDATE(INDEX('PA Fees by Project'!R:R,MATCH(C51,'PA Fees by Project'!E:E,0),0),6),TRUE,EDATE(INDEX('PA Fees by Project'!O:O,MATCH(C51,'PA Fees by Project'!E:E,0),0),6))</f>
        <v>45642</v>
      </c>
      <c r="J51" s="48" cm="1">
        <f t="array" ref="J51">_xlfn.IFS(YEAR(J$2)&lt;YEAR($I51),0,YEAR(J$2)=YEAR($I51),ROUND(((J$2-$I51+1)/365)*$D51,2),AND(YEAR(J$2)&gt;YEAR($I51),YEAR(J$2)-YEAR($I51)&lt;20),$D51,YEAR(J$2)-YEAR($I51)=20,ROUND((DATE(YEAR($I51),12,31)-$I51+1)/365*$D51,2),YEAR(J$2)-YEAR($I51)&gt;20,0)</f>
        <v>0</v>
      </c>
      <c r="K51" s="48" cm="1">
        <f t="array" ref="K51">_xlfn.IFS(YEAR(K$2)&lt;YEAR($I51),0,YEAR(K$2)=YEAR($I51),ROUND(((K$2-$I51+1)/365)*$D51,2),AND(YEAR(K$2)&gt;YEAR($I51),YEAR(K$2)-YEAR($I51)&lt;20),$D51,YEAR(K$2)-YEAR($I51)=20,ROUND((DATE(YEAR($I51),12,31)-$I51+1)/365*$D51,2),YEAR(K$2)-YEAR($I51)&gt;20,0)</f>
        <v>0</v>
      </c>
      <c r="L51" s="48" cm="1">
        <f t="array" ref="L51">_xlfn.IFS(YEAR(L$2)&lt;YEAR($I51),0,YEAR(L$2)=YEAR($I51),ROUND(((L$2-$I51+1)/365)*$D51,2),AND(YEAR(L$2)&gt;YEAR($I51),YEAR(L$2)-YEAR($I51)&lt;20),$D51,YEAR(L$2)-YEAR($I51)=20,ROUND((DATE(YEAR($I51),12,31)-$I51+1)/365*$D51,2),YEAR(L$2)-YEAR($I51)&gt;20,0)</f>
        <v>0</v>
      </c>
      <c r="M51" s="48" cm="1">
        <f t="array" ref="M51">_xlfn.IFS(YEAR(M$2)&lt;YEAR($I51),0,YEAR(M$2)=YEAR($I51),ROUND(((M$2-$I51+1)/365)*$D51,2),AND(YEAR(M$2)&gt;YEAR($I51),YEAR(M$2)-YEAR($I51)&lt;20),$D51,YEAR(M$2)-YEAR($I51)=20,ROUND((DATE(YEAR($I51),12,31)-$I51+1)/365*$D51,2),YEAR(M$2)-YEAR($I51)&gt;20,0)</f>
        <v>86.79</v>
      </c>
      <c r="N51" s="48" cm="1">
        <f t="array" ref="N51">_xlfn.IFS(YEAR(N$2)&lt;YEAR($I51),0,YEAR(N$2)=YEAR($I51),ROUND(((N$2-$I51+1)/365)*$D51,2),AND(YEAR(N$2)&gt;YEAR($I51),YEAR(N$2)-YEAR($I51)&lt;20),$D51,YEAR(N$2)-YEAR($I51)=20,ROUND((DATE(YEAR($I51),12,31)-$I51+1)/365*$D51,2),YEAR(N$2)-YEAR($I51)&gt;20,0)</f>
        <v>1980</v>
      </c>
      <c r="O51" s="48" cm="1">
        <f t="array" ref="O51">_xlfn.IFS(YEAR(O$2)&lt;YEAR($I51),0,YEAR(O$2)=YEAR($I51),ROUND(((O$2-$I51+1)/365)*$D51,2),AND(YEAR(O$2)&gt;YEAR($I51),YEAR(O$2)-YEAR($I51)&lt;20),$D51,YEAR(O$2)-YEAR($I51)=20,ROUND((DATE(YEAR($I51),12,31)-$I51+1)/365*$D51,2),YEAR(O$2)-YEAR($I51)&gt;20,0)</f>
        <v>1980</v>
      </c>
      <c r="P51" s="48" cm="1">
        <f t="array" ref="P51">_xlfn.IFS(YEAR(P$2)&lt;YEAR($I51),0,YEAR(P$2)=YEAR($I51),ROUND(((P$2-$I51+1)/365)*$D51,2),AND(YEAR(P$2)&gt;YEAR($I51),YEAR(P$2)-YEAR($I51)&lt;20),$D51,YEAR(P$2)-YEAR($I51)=20,ROUND((DATE(YEAR($I51),12,31)-$I51+1)/365*$D51,2),YEAR(P$2)-YEAR($I51)&gt;20,0)</f>
        <v>1980</v>
      </c>
      <c r="Q51" s="48" cm="1">
        <f t="array" ref="Q51">_xlfn.IFS(YEAR(Q$2)&lt;YEAR($I51),0,YEAR(Q$2)=YEAR($I51),ROUND(((Q$2-$I51+1)/365)*$D51,2),AND(YEAR(Q$2)&gt;YEAR($I51),YEAR(Q$2)-YEAR($I51)&lt;20),$D51,YEAR(Q$2)-YEAR($I51)=20,ROUND((DATE(YEAR($I51),12,31)-$I51+1)/365*$D51,2),YEAR(Q$2)-YEAR($I51)&gt;20,0)</f>
        <v>1980</v>
      </c>
      <c r="R51" s="48" cm="1">
        <f t="array" ref="R51">_xlfn.IFS(YEAR(R$2)&lt;YEAR($I51),0,YEAR(R$2)=YEAR($I51),ROUND(((R$2-$I51+1)/365)*$D51,2),AND(YEAR(R$2)&gt;YEAR($I51),YEAR(R$2)-YEAR($I51)&lt;20),$D51,YEAR(R$2)-YEAR($I51)=20,ROUND((DATE(YEAR($I51),12,31)-$I51+1)/365*$D51,2),YEAR(R$2)-YEAR($I51)&gt;20,0)</f>
        <v>1980</v>
      </c>
      <c r="S51" s="48" cm="1">
        <f t="array" ref="S51">_xlfn.IFS(YEAR(S$2)&lt;YEAR($I51),0,YEAR(S$2)=YEAR($I51),ROUND(((S$2-$I51+1)/365)*$D51,2),AND(YEAR(S$2)&gt;YEAR($I51),YEAR(S$2)-YEAR($I51)&lt;20),$D51,YEAR(S$2)-YEAR($I51)=20,ROUND((DATE(YEAR($I51),12,31)-$I51+1)/365*$D51,2),YEAR(S$2)-YEAR($I51)&gt;20,0)</f>
        <v>1980</v>
      </c>
      <c r="T51" s="48" cm="1">
        <f t="array" ref="T51">_xlfn.IFS(YEAR(T$2)&lt;YEAR($I51),0,YEAR(T$2)=YEAR($I51),ROUND(((T$2-$I51+1)/365)*$D51,2),AND(YEAR(T$2)&gt;YEAR($I51),YEAR(T$2)-YEAR($I51)&lt;20),$D51,YEAR(T$2)-YEAR($I51)=20,ROUND((DATE(YEAR($I51),12,31)-$I51+1)/365*$D51,2),YEAR(T$2)-YEAR($I51)&gt;20,0)</f>
        <v>1980</v>
      </c>
      <c r="U51" s="48" cm="1">
        <f t="array" ref="U51">_xlfn.IFS(YEAR(U$2)&lt;YEAR($I51),0,YEAR(U$2)=YEAR($I51),ROUND(((U$2-$I51+1)/365)*$D51,2),AND(YEAR(U$2)&gt;YEAR($I51),YEAR(U$2)-YEAR($I51)&lt;20),$D51,YEAR(U$2)-YEAR($I51)=20,ROUND((DATE(YEAR($I51),12,31)-$I51+1)/365*$D51,2),YEAR(U$2)-YEAR($I51)&gt;20,0)</f>
        <v>1980</v>
      </c>
      <c r="V51" s="48" cm="1">
        <f t="array" ref="V51">_xlfn.IFS(YEAR(V$2)&lt;YEAR($I51),0,YEAR(V$2)=YEAR($I51),ROUND(((V$2-$I51+1)/365)*$D51,2),AND(YEAR(V$2)&gt;YEAR($I51),YEAR(V$2)-YEAR($I51)&lt;20),$D51,YEAR(V$2)-YEAR($I51)=20,ROUND((DATE(YEAR($I51),12,31)-$I51+1)/365*$D51,2),YEAR(V$2)-YEAR($I51)&gt;20,0)</f>
        <v>1980</v>
      </c>
      <c r="W51" s="48" cm="1">
        <f t="array" ref="W51">_xlfn.IFS(YEAR(W$2)&lt;YEAR($I51),0,YEAR(W$2)=YEAR($I51),ROUND(((W$2-$I51+1)/365)*$D51,2),AND(YEAR(W$2)&gt;YEAR($I51),YEAR(W$2)-YEAR($I51)&lt;20),$D51,YEAR(W$2)-YEAR($I51)=20,ROUND((DATE(YEAR($I51),12,31)-$I51+1)/365*$D51,2),YEAR(W$2)-YEAR($I51)&gt;20,0)</f>
        <v>1980</v>
      </c>
      <c r="X51" s="48" cm="1">
        <f t="array" ref="X51">_xlfn.IFS(YEAR(X$2)&lt;YEAR($I51),0,YEAR(X$2)=YEAR($I51),ROUND(((X$2-$I51+1)/365)*$D51,2),AND(YEAR(X$2)&gt;YEAR($I51),YEAR(X$2)-YEAR($I51)&lt;20),$D51,YEAR(X$2)-YEAR($I51)=20,ROUND((DATE(YEAR($I51),12,31)-$I51+1)/365*$D51,2),YEAR(X$2)-YEAR($I51)&gt;20,0)</f>
        <v>1980</v>
      </c>
      <c r="Y51" s="48" cm="1">
        <f t="array" ref="Y51">_xlfn.IFS(YEAR(Y$2)&lt;YEAR($I51),0,YEAR(Y$2)=YEAR($I51),ROUND(((Y$2-$I51+1)/365)*$D51,2),AND(YEAR(Y$2)&gt;YEAR($I51),YEAR(Y$2)-YEAR($I51)&lt;20),$D51,YEAR(Y$2)-YEAR($I51)=20,ROUND((DATE(YEAR($I51),12,31)-$I51+1)/365*$D51,2),YEAR(Y$2)-YEAR($I51)&gt;20,0)</f>
        <v>1980</v>
      </c>
      <c r="Z51" s="48" cm="1">
        <f t="array" ref="Z51">_xlfn.IFS(YEAR(Z$2)&lt;YEAR($I51),0,YEAR(Z$2)=YEAR($I51),ROUND(((Z$2-$I51+1)/365)*$D51,2),AND(YEAR(Z$2)&gt;YEAR($I51),YEAR(Z$2)-YEAR($I51)&lt;20),$D51,YEAR(Z$2)-YEAR($I51)=20,ROUND((DATE(YEAR($I51),12,31)-$I51+1)/365*$D51,2),YEAR(Z$2)-YEAR($I51)&gt;20,0)</f>
        <v>1980</v>
      </c>
      <c r="AA51" s="48" cm="1">
        <f t="array" ref="AA51">_xlfn.IFS(YEAR(AA$2)&lt;YEAR($I51),0,YEAR(AA$2)=YEAR($I51),ROUND(((AA$2-$I51+1)/365)*$D51,2),AND(YEAR(AA$2)&gt;YEAR($I51),YEAR(AA$2)-YEAR($I51)&lt;20),$D51,YEAR(AA$2)-YEAR($I51)=20,ROUND((DATE(YEAR($I51),12,31)-$I51+1)/365*$D51,2),YEAR(AA$2)-YEAR($I51)&gt;20,0)</f>
        <v>1980</v>
      </c>
      <c r="AB51" s="48" cm="1">
        <f t="array" ref="AB51">_xlfn.IFS(YEAR(AB$2)&lt;YEAR($I51),0,YEAR(AB$2)=YEAR($I51),ROUND(((AB$2-$I51+1)/365)*$D51,2),AND(YEAR(AB$2)&gt;YEAR($I51),YEAR(AB$2)-YEAR($I51)&lt;20),$D51,YEAR(AB$2)-YEAR($I51)=20,ROUND((DATE(YEAR($I51),12,31)-$I51+1)/365*$D51,2),YEAR(AB$2)-YEAR($I51)&gt;20,0)</f>
        <v>1980</v>
      </c>
      <c r="AC51" s="48" cm="1">
        <f t="array" ref="AC51">_xlfn.IFS(YEAR(AC$2)&lt;YEAR($I51),0,YEAR(AC$2)=YEAR($I51),ROUND(((AC$2-$I51+1)/365)*$D51,2),AND(YEAR(AC$2)&gt;YEAR($I51),YEAR(AC$2)-YEAR($I51)&lt;20),$D51,YEAR(AC$2)-YEAR($I51)=20,ROUND((DATE(YEAR($I51),12,31)-$I51+1)/365*$D51,2),YEAR(AC$2)-YEAR($I51)&gt;20,0)</f>
        <v>1980</v>
      </c>
      <c r="AD51" s="48" cm="1">
        <f t="array" ref="AD51">_xlfn.IFS(YEAR(AD$2)&lt;YEAR($I51),0,YEAR(AD$2)=YEAR($I51),ROUND(((AD$2-$I51+1)/365)*$D51,2),AND(YEAR(AD$2)&gt;YEAR($I51),YEAR(AD$2)-YEAR($I51)&lt;20),$D51,YEAR(AD$2)-YEAR($I51)=20,ROUND((DATE(YEAR($I51),12,31)-$I51+1)/365*$D51,2),YEAR(AD$2)-YEAR($I51)&gt;20,0)</f>
        <v>1980</v>
      </c>
      <c r="AE51" s="48" cm="1">
        <f t="array" ref="AE51">_xlfn.IFS(YEAR(AE$2)&lt;YEAR($I51),0,YEAR(AE$2)=YEAR($I51),ROUND(((AE$2-$I51+1)/365)*$D51,2),AND(YEAR(AE$2)&gt;YEAR($I51),YEAR(AE$2)-YEAR($I51)&lt;20),$D51,YEAR(AE$2)-YEAR($I51)=20,ROUND((DATE(YEAR($I51),12,31)-$I51+1)/365*$D51,2),YEAR(AE$2)-YEAR($I51)&gt;20,0)</f>
        <v>1980</v>
      </c>
      <c r="AF51" s="48" cm="1">
        <f t="array" ref="AF51">_xlfn.IFS(YEAR(AF$2)&lt;YEAR($I51),0,YEAR(AF$2)=YEAR($I51),ROUND(((AF$2-$I51+1)/365)*$D51,2),AND(YEAR(AF$2)&gt;YEAR($I51),YEAR(AF$2)-YEAR($I51)&lt;20),$D51,YEAR(AF$2)-YEAR($I51)=20,ROUND((DATE(YEAR($I51),12,31)-$I51+1)/365*$D51,2),YEAR(AF$2)-YEAR($I51)&gt;20,0)</f>
        <v>1980</v>
      </c>
      <c r="AG51" s="48" cm="1">
        <f t="array" ref="AG51">_xlfn.IFS(YEAR(AG$2)&lt;YEAR($I51),0,YEAR(AG$2)=YEAR($I51),ROUND(((AG$2-$I51+1)/365)*$D51,2),AND(YEAR(AG$2)&gt;YEAR($I51),YEAR(AG$2)-YEAR($I51)&lt;20),$D51,YEAR(AG$2)-YEAR($I51)=20,ROUND((DATE(YEAR($I51),12,31)-$I51+1)/365*$D51,2),YEAR(AG$2)-YEAR($I51)&gt;20,0)</f>
        <v>86.79</v>
      </c>
      <c r="AH51" s="48" cm="1">
        <f t="array" ref="AH51">_xlfn.IFS(YEAR(AH$2)&lt;YEAR($I51),0,YEAR(AH$2)=YEAR($I51),ROUND(((AH$2-$I51+1)/365)*$D51,2),AND(YEAR(AH$2)&gt;YEAR($I51),YEAR(AH$2)-YEAR($I51)&lt;20),$D51,YEAR(AH$2)-YEAR($I51)=20,ROUND((DATE(YEAR($I51),12,31)-$I51+1)/365*$D51,2),YEAR(AH$2)-YEAR($I51)&gt;20,0)</f>
        <v>0</v>
      </c>
      <c r="AI51" s="48" cm="1">
        <f t="array" ref="AI51">_xlfn.IFS(YEAR(AI$2)&lt;YEAR($I51),0,YEAR(AI$2)=YEAR($I51),ROUND(((AI$2-$I51+1)/365)*$D51,2),AND(YEAR(AI$2)&gt;YEAR($I51),YEAR(AI$2)-YEAR($I51)&lt;20),$D51,YEAR(AI$2)-YEAR($I51)=20,ROUND((DATE(YEAR($I51),12,31)-$I51+1)/365*$D51,2),YEAR(AI$2)-YEAR($I51)&gt;20,0)</f>
        <v>0</v>
      </c>
      <c r="AJ51" s="48" cm="1">
        <f t="array" ref="AJ51">_xlfn.IFS(YEAR(AJ$2)&lt;YEAR($I51),0,YEAR(AJ$2)=YEAR($I51),ROUND(((AJ$2-$I51+1)/365)*$D51,2),AND(YEAR(AJ$2)&gt;YEAR($I51),YEAR(AJ$2)-YEAR($I51)&lt;20),$D51,YEAR(AJ$2)-YEAR($I51)=20,ROUND((DATE(YEAR($I51),12,31)-$I51+1)/365*$D51,2),YEAR(AJ$2)-YEAR($I51)&gt;20,0)</f>
        <v>0</v>
      </c>
      <c r="AK51" s="48" cm="1">
        <f t="array" ref="AK51">_xlfn.IFS(YEAR(AK$2)&lt;YEAR($I51),0,YEAR(AK$2)=YEAR($I51),ROUND(((AK$2-$I51+1)/365)*$D51,2),AND(YEAR(AK$2)&gt;YEAR($I51),YEAR(AK$2)-YEAR($I51)&lt;20),$D51,YEAR(AK$2)-YEAR($I51)=20,ROUND((DATE(YEAR($I51),12,31)-$I51+1)/365*$D51,2),YEAR(AK$2)-YEAR($I51)&gt;20,0)</f>
        <v>0</v>
      </c>
      <c r="AL51" s="48" cm="1">
        <f t="array" ref="AL51">_xlfn.IFS(YEAR(AL$2)&lt;YEAR($I51),0,YEAR(AL$2)=YEAR($I51),ROUND(((AL$2-$I51+1)/365)*$D51,2),AND(YEAR(AL$2)&gt;YEAR($I51),YEAR(AL$2)-YEAR($I51)&lt;20),$D51,YEAR(AL$2)-YEAR($I51)=20,ROUND((DATE(YEAR($I51),12,31)-$I51+1)/365*$D51,2),YEAR(AL$2)-YEAR($I51)&gt;20,0)</f>
        <v>0</v>
      </c>
      <c r="AM51" s="48" cm="1">
        <f t="array" ref="AM51">_xlfn.IFS(YEAR(AM$2)&lt;YEAR($I51),0,YEAR(AM$2)=YEAR($I51),ROUND(((AM$2-$I51+1)/365)*$D51,2),AND(YEAR(AM$2)&gt;YEAR($I51),YEAR(AM$2)-YEAR($I51)&lt;20),$D51,YEAR(AM$2)-YEAR($I51)=20,ROUND((DATE(YEAR($I51),12,31)-$I51+1)/365*$D51,2),YEAR(AM$2)-YEAR($I51)&gt;20,0)</f>
        <v>0</v>
      </c>
    </row>
    <row r="52" spans="1:54">
      <c r="A52" s="155" t="str" cm="1">
        <f t="array" ref="A52">_xlfn.IFS(LEFT(C52,3)="PGE","PGE",LEFT(C52,2)="PP","PAC",TRUE,"IP")</f>
        <v>PGE</v>
      </c>
      <c r="B52" s="155" t="str">
        <f>IF(ISNA(MATCH(C52,'Monthly Report July 2025'!E:E,0)),"Missing","Present")</f>
        <v>Present</v>
      </c>
      <c r="C52" s="155" t="s">
        <v>161</v>
      </c>
      <c r="D52" s="176" cm="1">
        <f t="array" ref="D52">INDEX('Monthly Report July 2025'!L:L,MATCH(C52,'Monthly Report July 2025'!E:E,0),0)</f>
        <v>2970</v>
      </c>
      <c r="E52" s="176" t="str" cm="1">
        <f t="array" ref="E52">IF(INDEX('PA Fees by Project'!K:K,MATCH(C52,'PA Fees by Project'!E:E,0),0)="No","Non-Carve Out", "Carve Out")</f>
        <v>Non-Carve Out</v>
      </c>
      <c r="F52" s="176" cm="1">
        <f t="array" ref="F52">INDEX('PA Fees by Project'!J:J,MATCH(C52,'PA Fees by Project'!E:E,0),0)</f>
        <v>1</v>
      </c>
      <c r="G52" s="155" t="str" cm="1">
        <f t="array" ref="G52">INDEX('PA Fees by Project'!G:G,MATCH(C52,'PA Fees by Project'!E:E,0),0)</f>
        <v>Operational</v>
      </c>
      <c r="H52" s="175" cm="1">
        <f t="array" ref="H52">INDEX('PA Fees by Project'!Q:Q,MATCH(C52,'PA Fees by Project'!E:E,0),0)</f>
        <v>45642</v>
      </c>
      <c r="I52" s="156" cm="1">
        <f t="array" ref="I52">_xlfn.IFS(G52="Operational",H52,G52="Certified",EDATE(INDEX('PA Fees by Project'!R:R,MATCH(C52,'PA Fees by Project'!E:E,0),0),6),TRUE,EDATE(INDEX('PA Fees by Project'!O:O,MATCH(C52,'PA Fees by Project'!E:E,0),0),6))</f>
        <v>45642</v>
      </c>
      <c r="J52" s="48" cm="1">
        <f t="array" ref="J52">_xlfn.IFS(YEAR(J$2)&lt;YEAR($I52),0,YEAR(J$2)=YEAR($I52),ROUND(((J$2-$I52+1)/365)*$D52,2),AND(YEAR(J$2)&gt;YEAR($I52),YEAR(J$2)-YEAR($I52)&lt;20),$D52,YEAR(J$2)-YEAR($I52)=20,ROUND((DATE(YEAR($I52),12,31)-$I52+1)/365*$D52,2),YEAR(J$2)-YEAR($I52)&gt;20,0)</f>
        <v>0</v>
      </c>
      <c r="K52" s="48" cm="1">
        <f t="array" ref="K52">_xlfn.IFS(YEAR(K$2)&lt;YEAR($I52),0,YEAR(K$2)=YEAR($I52),ROUND(((K$2-$I52+1)/365)*$D52,2),AND(YEAR(K$2)&gt;YEAR($I52),YEAR(K$2)-YEAR($I52)&lt;20),$D52,YEAR(K$2)-YEAR($I52)=20,ROUND((DATE(YEAR($I52),12,31)-$I52+1)/365*$D52,2),YEAR(K$2)-YEAR($I52)&gt;20,0)</f>
        <v>0</v>
      </c>
      <c r="L52" s="48" cm="1">
        <f t="array" ref="L52">_xlfn.IFS(YEAR(L$2)&lt;YEAR($I52),0,YEAR(L$2)=YEAR($I52),ROUND(((L$2-$I52+1)/365)*$D52,2),AND(YEAR(L$2)&gt;YEAR($I52),YEAR(L$2)-YEAR($I52)&lt;20),$D52,YEAR(L$2)-YEAR($I52)=20,ROUND((DATE(YEAR($I52),12,31)-$I52+1)/365*$D52,2),YEAR(L$2)-YEAR($I52)&gt;20,0)</f>
        <v>0</v>
      </c>
      <c r="M52" s="48" cm="1">
        <f t="array" ref="M52">_xlfn.IFS(YEAR(M$2)&lt;YEAR($I52),0,YEAR(M$2)=YEAR($I52),ROUND(((M$2-$I52+1)/365)*$D52,2),AND(YEAR(M$2)&gt;YEAR($I52),YEAR(M$2)-YEAR($I52)&lt;20),$D52,YEAR(M$2)-YEAR($I52)=20,ROUND((DATE(YEAR($I52),12,31)-$I52+1)/365*$D52,2),YEAR(M$2)-YEAR($I52)&gt;20,0)</f>
        <v>130.19</v>
      </c>
      <c r="N52" s="48" cm="1">
        <f t="array" ref="N52">_xlfn.IFS(YEAR(N$2)&lt;YEAR($I52),0,YEAR(N$2)=YEAR($I52),ROUND(((N$2-$I52+1)/365)*$D52,2),AND(YEAR(N$2)&gt;YEAR($I52),YEAR(N$2)-YEAR($I52)&lt;20),$D52,YEAR(N$2)-YEAR($I52)=20,ROUND((DATE(YEAR($I52),12,31)-$I52+1)/365*$D52,2),YEAR(N$2)-YEAR($I52)&gt;20,0)</f>
        <v>2970</v>
      </c>
      <c r="O52" s="48" cm="1">
        <f t="array" ref="O52">_xlfn.IFS(YEAR(O$2)&lt;YEAR($I52),0,YEAR(O$2)=YEAR($I52),ROUND(((O$2-$I52+1)/365)*$D52,2),AND(YEAR(O$2)&gt;YEAR($I52),YEAR(O$2)-YEAR($I52)&lt;20),$D52,YEAR(O$2)-YEAR($I52)=20,ROUND((DATE(YEAR($I52),12,31)-$I52+1)/365*$D52,2),YEAR(O$2)-YEAR($I52)&gt;20,0)</f>
        <v>2970</v>
      </c>
      <c r="P52" s="48" cm="1">
        <f t="array" ref="P52">_xlfn.IFS(YEAR(P$2)&lt;YEAR($I52),0,YEAR(P$2)=YEAR($I52),ROUND(((P$2-$I52+1)/365)*$D52,2),AND(YEAR(P$2)&gt;YEAR($I52),YEAR(P$2)-YEAR($I52)&lt;20),$D52,YEAR(P$2)-YEAR($I52)=20,ROUND((DATE(YEAR($I52),12,31)-$I52+1)/365*$D52,2),YEAR(P$2)-YEAR($I52)&gt;20,0)</f>
        <v>2970</v>
      </c>
      <c r="Q52" s="48" cm="1">
        <f t="array" ref="Q52">_xlfn.IFS(YEAR(Q$2)&lt;YEAR($I52),0,YEAR(Q$2)=YEAR($I52),ROUND(((Q$2-$I52+1)/365)*$D52,2),AND(YEAR(Q$2)&gt;YEAR($I52),YEAR(Q$2)-YEAR($I52)&lt;20),$D52,YEAR(Q$2)-YEAR($I52)=20,ROUND((DATE(YEAR($I52),12,31)-$I52+1)/365*$D52,2),YEAR(Q$2)-YEAR($I52)&gt;20,0)</f>
        <v>2970</v>
      </c>
      <c r="R52" s="48" cm="1">
        <f t="array" ref="R52">_xlfn.IFS(YEAR(R$2)&lt;YEAR($I52),0,YEAR(R$2)=YEAR($I52),ROUND(((R$2-$I52+1)/365)*$D52,2),AND(YEAR(R$2)&gt;YEAR($I52),YEAR(R$2)-YEAR($I52)&lt;20),$D52,YEAR(R$2)-YEAR($I52)=20,ROUND((DATE(YEAR($I52),12,31)-$I52+1)/365*$D52,2),YEAR(R$2)-YEAR($I52)&gt;20,0)</f>
        <v>2970</v>
      </c>
      <c r="S52" s="48" cm="1">
        <f t="array" ref="S52">_xlfn.IFS(YEAR(S$2)&lt;YEAR($I52),0,YEAR(S$2)=YEAR($I52),ROUND(((S$2-$I52+1)/365)*$D52,2),AND(YEAR(S$2)&gt;YEAR($I52),YEAR(S$2)-YEAR($I52)&lt;20),$D52,YEAR(S$2)-YEAR($I52)=20,ROUND((DATE(YEAR($I52),12,31)-$I52+1)/365*$D52,2),YEAR(S$2)-YEAR($I52)&gt;20,0)</f>
        <v>2970</v>
      </c>
      <c r="T52" s="48" cm="1">
        <f t="array" ref="T52">_xlfn.IFS(YEAR(T$2)&lt;YEAR($I52),0,YEAR(T$2)=YEAR($I52),ROUND(((T$2-$I52+1)/365)*$D52,2),AND(YEAR(T$2)&gt;YEAR($I52),YEAR(T$2)-YEAR($I52)&lt;20),$D52,YEAR(T$2)-YEAR($I52)=20,ROUND((DATE(YEAR($I52),12,31)-$I52+1)/365*$D52,2),YEAR(T$2)-YEAR($I52)&gt;20,0)</f>
        <v>2970</v>
      </c>
      <c r="U52" s="48" cm="1">
        <f t="array" ref="U52">_xlfn.IFS(YEAR(U$2)&lt;YEAR($I52),0,YEAR(U$2)=YEAR($I52),ROUND(((U$2-$I52+1)/365)*$D52,2),AND(YEAR(U$2)&gt;YEAR($I52),YEAR(U$2)-YEAR($I52)&lt;20),$D52,YEAR(U$2)-YEAR($I52)=20,ROUND((DATE(YEAR($I52),12,31)-$I52+1)/365*$D52,2),YEAR(U$2)-YEAR($I52)&gt;20,0)</f>
        <v>2970</v>
      </c>
      <c r="V52" s="48" cm="1">
        <f t="array" ref="V52">_xlfn.IFS(YEAR(V$2)&lt;YEAR($I52),0,YEAR(V$2)=YEAR($I52),ROUND(((V$2-$I52+1)/365)*$D52,2),AND(YEAR(V$2)&gt;YEAR($I52),YEAR(V$2)-YEAR($I52)&lt;20),$D52,YEAR(V$2)-YEAR($I52)=20,ROUND((DATE(YEAR($I52),12,31)-$I52+1)/365*$D52,2),YEAR(V$2)-YEAR($I52)&gt;20,0)</f>
        <v>2970</v>
      </c>
      <c r="W52" s="48" cm="1">
        <f t="array" ref="W52">_xlfn.IFS(YEAR(W$2)&lt;YEAR($I52),0,YEAR(W$2)=YEAR($I52),ROUND(((W$2-$I52+1)/365)*$D52,2),AND(YEAR(W$2)&gt;YEAR($I52),YEAR(W$2)-YEAR($I52)&lt;20),$D52,YEAR(W$2)-YEAR($I52)=20,ROUND((DATE(YEAR($I52),12,31)-$I52+1)/365*$D52,2),YEAR(W$2)-YEAR($I52)&gt;20,0)</f>
        <v>2970</v>
      </c>
      <c r="X52" s="48" cm="1">
        <f t="array" ref="X52">_xlfn.IFS(YEAR(X$2)&lt;YEAR($I52),0,YEAR(X$2)=YEAR($I52),ROUND(((X$2-$I52+1)/365)*$D52,2),AND(YEAR(X$2)&gt;YEAR($I52),YEAR(X$2)-YEAR($I52)&lt;20),$D52,YEAR(X$2)-YEAR($I52)=20,ROUND((DATE(YEAR($I52),12,31)-$I52+1)/365*$D52,2),YEAR(X$2)-YEAR($I52)&gt;20,0)</f>
        <v>2970</v>
      </c>
      <c r="Y52" s="48" cm="1">
        <f t="array" ref="Y52">_xlfn.IFS(YEAR(Y$2)&lt;YEAR($I52),0,YEAR(Y$2)=YEAR($I52),ROUND(((Y$2-$I52+1)/365)*$D52,2),AND(YEAR(Y$2)&gt;YEAR($I52),YEAR(Y$2)-YEAR($I52)&lt;20),$D52,YEAR(Y$2)-YEAR($I52)=20,ROUND((DATE(YEAR($I52),12,31)-$I52+1)/365*$D52,2),YEAR(Y$2)-YEAR($I52)&gt;20,0)</f>
        <v>2970</v>
      </c>
      <c r="Z52" s="48" cm="1">
        <f t="array" ref="Z52">_xlfn.IFS(YEAR(Z$2)&lt;YEAR($I52),0,YEAR(Z$2)=YEAR($I52),ROUND(((Z$2-$I52+1)/365)*$D52,2),AND(YEAR(Z$2)&gt;YEAR($I52),YEAR(Z$2)-YEAR($I52)&lt;20),$D52,YEAR(Z$2)-YEAR($I52)=20,ROUND((DATE(YEAR($I52),12,31)-$I52+1)/365*$D52,2),YEAR(Z$2)-YEAR($I52)&gt;20,0)</f>
        <v>2970</v>
      </c>
      <c r="AA52" s="48" cm="1">
        <f t="array" ref="AA52">_xlfn.IFS(YEAR(AA$2)&lt;YEAR($I52),0,YEAR(AA$2)=YEAR($I52),ROUND(((AA$2-$I52+1)/365)*$D52,2),AND(YEAR(AA$2)&gt;YEAR($I52),YEAR(AA$2)-YEAR($I52)&lt;20),$D52,YEAR(AA$2)-YEAR($I52)=20,ROUND((DATE(YEAR($I52),12,31)-$I52+1)/365*$D52,2),YEAR(AA$2)-YEAR($I52)&gt;20,0)</f>
        <v>2970</v>
      </c>
      <c r="AB52" s="48" cm="1">
        <f t="array" ref="AB52">_xlfn.IFS(YEAR(AB$2)&lt;YEAR($I52),0,YEAR(AB$2)=YEAR($I52),ROUND(((AB$2-$I52+1)/365)*$D52,2),AND(YEAR(AB$2)&gt;YEAR($I52),YEAR(AB$2)-YEAR($I52)&lt;20),$D52,YEAR(AB$2)-YEAR($I52)=20,ROUND((DATE(YEAR($I52),12,31)-$I52+1)/365*$D52,2),YEAR(AB$2)-YEAR($I52)&gt;20,0)</f>
        <v>2970</v>
      </c>
      <c r="AC52" s="48" cm="1">
        <f t="array" ref="AC52">_xlfn.IFS(YEAR(AC$2)&lt;YEAR($I52),0,YEAR(AC$2)=YEAR($I52),ROUND(((AC$2-$I52+1)/365)*$D52,2),AND(YEAR(AC$2)&gt;YEAR($I52),YEAR(AC$2)-YEAR($I52)&lt;20),$D52,YEAR(AC$2)-YEAR($I52)=20,ROUND((DATE(YEAR($I52),12,31)-$I52+1)/365*$D52,2),YEAR(AC$2)-YEAR($I52)&gt;20,0)</f>
        <v>2970</v>
      </c>
      <c r="AD52" s="48" cm="1">
        <f t="array" ref="AD52">_xlfn.IFS(YEAR(AD$2)&lt;YEAR($I52),0,YEAR(AD$2)=YEAR($I52),ROUND(((AD$2-$I52+1)/365)*$D52,2),AND(YEAR(AD$2)&gt;YEAR($I52),YEAR(AD$2)-YEAR($I52)&lt;20),$D52,YEAR(AD$2)-YEAR($I52)=20,ROUND((DATE(YEAR($I52),12,31)-$I52+1)/365*$D52,2),YEAR(AD$2)-YEAR($I52)&gt;20,0)</f>
        <v>2970</v>
      </c>
      <c r="AE52" s="48" cm="1">
        <f t="array" ref="AE52">_xlfn.IFS(YEAR(AE$2)&lt;YEAR($I52),0,YEAR(AE$2)=YEAR($I52),ROUND(((AE$2-$I52+1)/365)*$D52,2),AND(YEAR(AE$2)&gt;YEAR($I52),YEAR(AE$2)-YEAR($I52)&lt;20),$D52,YEAR(AE$2)-YEAR($I52)=20,ROUND((DATE(YEAR($I52),12,31)-$I52+1)/365*$D52,2),YEAR(AE$2)-YEAR($I52)&gt;20,0)</f>
        <v>2970</v>
      </c>
      <c r="AF52" s="48" cm="1">
        <f t="array" ref="AF52">_xlfn.IFS(YEAR(AF$2)&lt;YEAR($I52),0,YEAR(AF$2)=YEAR($I52),ROUND(((AF$2-$I52+1)/365)*$D52,2),AND(YEAR(AF$2)&gt;YEAR($I52),YEAR(AF$2)-YEAR($I52)&lt;20),$D52,YEAR(AF$2)-YEAR($I52)=20,ROUND((DATE(YEAR($I52),12,31)-$I52+1)/365*$D52,2),YEAR(AF$2)-YEAR($I52)&gt;20,0)</f>
        <v>2970</v>
      </c>
      <c r="AG52" s="48" cm="1">
        <f t="array" ref="AG52">_xlfn.IFS(YEAR(AG$2)&lt;YEAR($I52),0,YEAR(AG$2)=YEAR($I52),ROUND(((AG$2-$I52+1)/365)*$D52,2),AND(YEAR(AG$2)&gt;YEAR($I52),YEAR(AG$2)-YEAR($I52)&lt;20),$D52,YEAR(AG$2)-YEAR($I52)=20,ROUND((DATE(YEAR($I52),12,31)-$I52+1)/365*$D52,2),YEAR(AG$2)-YEAR($I52)&gt;20,0)</f>
        <v>130.19</v>
      </c>
      <c r="AH52" s="48" cm="1">
        <f t="array" ref="AH52">_xlfn.IFS(YEAR(AH$2)&lt;YEAR($I52),0,YEAR(AH$2)=YEAR($I52),ROUND(((AH$2-$I52+1)/365)*$D52,2),AND(YEAR(AH$2)&gt;YEAR($I52),YEAR(AH$2)-YEAR($I52)&lt;20),$D52,YEAR(AH$2)-YEAR($I52)=20,ROUND((DATE(YEAR($I52),12,31)-$I52+1)/365*$D52,2),YEAR(AH$2)-YEAR($I52)&gt;20,0)</f>
        <v>0</v>
      </c>
      <c r="AI52" s="48" cm="1">
        <f t="array" ref="AI52">_xlfn.IFS(YEAR(AI$2)&lt;YEAR($I52),0,YEAR(AI$2)=YEAR($I52),ROUND(((AI$2-$I52+1)/365)*$D52,2),AND(YEAR(AI$2)&gt;YEAR($I52),YEAR(AI$2)-YEAR($I52)&lt;20),$D52,YEAR(AI$2)-YEAR($I52)=20,ROUND((DATE(YEAR($I52),12,31)-$I52+1)/365*$D52,2),YEAR(AI$2)-YEAR($I52)&gt;20,0)</f>
        <v>0</v>
      </c>
      <c r="AJ52" s="48" cm="1">
        <f t="array" ref="AJ52">_xlfn.IFS(YEAR(AJ$2)&lt;YEAR($I52),0,YEAR(AJ$2)=YEAR($I52),ROUND(((AJ$2-$I52+1)/365)*$D52,2),AND(YEAR(AJ$2)&gt;YEAR($I52),YEAR(AJ$2)-YEAR($I52)&lt;20),$D52,YEAR(AJ$2)-YEAR($I52)=20,ROUND((DATE(YEAR($I52),12,31)-$I52+1)/365*$D52,2),YEAR(AJ$2)-YEAR($I52)&gt;20,0)</f>
        <v>0</v>
      </c>
      <c r="AK52" s="48" cm="1">
        <f t="array" ref="AK52">_xlfn.IFS(YEAR(AK$2)&lt;YEAR($I52),0,YEAR(AK$2)=YEAR($I52),ROUND(((AK$2-$I52+1)/365)*$D52,2),AND(YEAR(AK$2)&gt;YEAR($I52),YEAR(AK$2)-YEAR($I52)&lt;20),$D52,YEAR(AK$2)-YEAR($I52)=20,ROUND((DATE(YEAR($I52),12,31)-$I52+1)/365*$D52,2),YEAR(AK$2)-YEAR($I52)&gt;20,0)</f>
        <v>0</v>
      </c>
      <c r="AL52" s="48" cm="1">
        <f t="array" ref="AL52">_xlfn.IFS(YEAR(AL$2)&lt;YEAR($I52),0,YEAR(AL$2)=YEAR($I52),ROUND(((AL$2-$I52+1)/365)*$D52,2),AND(YEAR(AL$2)&gt;YEAR($I52),YEAR(AL$2)-YEAR($I52)&lt;20),$D52,YEAR(AL$2)-YEAR($I52)=20,ROUND((DATE(YEAR($I52),12,31)-$I52+1)/365*$D52,2),YEAR(AL$2)-YEAR($I52)&gt;20,0)</f>
        <v>0</v>
      </c>
      <c r="AM52" s="48" cm="1">
        <f t="array" ref="AM52">_xlfn.IFS(YEAR(AM$2)&lt;YEAR($I52),0,YEAR(AM$2)=YEAR($I52),ROUND(((AM$2-$I52+1)/365)*$D52,2),AND(YEAR(AM$2)&gt;YEAR($I52),YEAR(AM$2)-YEAR($I52)&lt;20),$D52,YEAR(AM$2)-YEAR($I52)=20,ROUND((DATE(YEAR($I52),12,31)-$I52+1)/365*$D52,2),YEAR(AM$2)-YEAR($I52)&gt;20,0)</f>
        <v>0</v>
      </c>
    </row>
    <row r="53" spans="1:54">
      <c r="A53" s="155" t="str" cm="1">
        <f t="array" ref="A53">_xlfn.IFS(LEFT(C53,3)="PGE","PGE",LEFT(C53,2)="PP","PAC",TRUE,"IP")</f>
        <v>PGE</v>
      </c>
      <c r="B53" s="155" t="str">
        <f>IF(ISNA(MATCH(C53,'Monthly Report July 2025'!E:E,0)),"Missing","Present")</f>
        <v>Present</v>
      </c>
      <c r="C53" s="155" t="s">
        <v>162</v>
      </c>
      <c r="D53" s="176" cm="1">
        <f t="array" ref="D53">INDEX('Monthly Report July 2025'!L:L,MATCH(C53,'Monthly Report July 2025'!E:E,0),0)</f>
        <v>2970</v>
      </c>
      <c r="E53" s="176" t="str" cm="1">
        <f t="array" ref="E53">IF(INDEX('PA Fees by Project'!K:K,MATCH(C53,'PA Fees by Project'!E:E,0),0)="No","Non-Carve Out", "Carve Out")</f>
        <v>Non-Carve Out</v>
      </c>
      <c r="F53" s="176" cm="1">
        <f t="array" ref="F53">INDEX('PA Fees by Project'!J:J,MATCH(C53,'PA Fees by Project'!E:E,0),0)</f>
        <v>2</v>
      </c>
      <c r="G53" s="155" t="str" cm="1">
        <f t="array" ref="G53">INDEX('PA Fees by Project'!G:G,MATCH(C53,'PA Fees by Project'!E:E,0),0)</f>
        <v>Operational</v>
      </c>
      <c r="H53" s="175" cm="1">
        <f t="array" ref="H53">INDEX('PA Fees by Project'!Q:Q,MATCH(C53,'PA Fees by Project'!E:E,0),0)</f>
        <v>45474</v>
      </c>
      <c r="I53" s="156" cm="1">
        <f t="array" ref="I53">_xlfn.IFS(G53="Operational",H53,G53="Certified",EDATE(INDEX('PA Fees by Project'!R:R,MATCH(C53,'PA Fees by Project'!E:E,0),0),6),TRUE,EDATE(INDEX('PA Fees by Project'!O:O,MATCH(C53,'PA Fees by Project'!E:E,0),0),6))</f>
        <v>45474</v>
      </c>
      <c r="J53" s="48" cm="1">
        <f t="array" ref="J53">_xlfn.IFS(YEAR(J$2)&lt;YEAR($I53),0,YEAR(J$2)=YEAR($I53),ROUND(((J$2-$I53+1)/365)*$D53,2),AND(YEAR(J$2)&gt;YEAR($I53),YEAR(J$2)-YEAR($I53)&lt;20),$D53,YEAR(J$2)-YEAR($I53)=20,ROUND((DATE(YEAR($I53),12,31)-$I53+1)/365*$D53,2),YEAR(J$2)-YEAR($I53)&gt;20,0)</f>
        <v>0</v>
      </c>
      <c r="K53" s="48" cm="1">
        <f t="array" ref="K53">_xlfn.IFS(YEAR(K$2)&lt;YEAR($I53),0,YEAR(K$2)=YEAR($I53),ROUND(((K$2-$I53+1)/365)*$D53,2),AND(YEAR(K$2)&gt;YEAR($I53),YEAR(K$2)-YEAR($I53)&lt;20),$D53,YEAR(K$2)-YEAR($I53)=20,ROUND((DATE(YEAR($I53),12,31)-$I53+1)/365*$D53,2),YEAR(K$2)-YEAR($I53)&gt;20,0)</f>
        <v>0</v>
      </c>
      <c r="L53" s="48" cm="1">
        <f t="array" ref="L53">_xlfn.IFS(YEAR(L$2)&lt;YEAR($I53),0,YEAR(L$2)=YEAR($I53),ROUND(((L$2-$I53+1)/365)*$D53,2),AND(YEAR(L$2)&gt;YEAR($I53),YEAR(L$2)-YEAR($I53)&lt;20),$D53,YEAR(L$2)-YEAR($I53)=20,ROUND((DATE(YEAR($I53),12,31)-$I53+1)/365*$D53,2),YEAR(L$2)-YEAR($I53)&gt;20,0)</f>
        <v>0</v>
      </c>
      <c r="M53" s="48" cm="1">
        <f t="array" ref="M53">_xlfn.IFS(YEAR(M$2)&lt;YEAR($I53),0,YEAR(M$2)=YEAR($I53),ROUND(((M$2-$I53+1)/365)*$D53,2),AND(YEAR(M$2)&gt;YEAR($I53),YEAR(M$2)-YEAR($I53)&lt;20),$D53,YEAR(M$2)-YEAR($I53)=20,ROUND((DATE(YEAR($I53),12,31)-$I53+1)/365*$D53,2),YEAR(M$2)-YEAR($I53)&gt;20,0)</f>
        <v>1497.21</v>
      </c>
      <c r="N53" s="48" cm="1">
        <f t="array" ref="N53">_xlfn.IFS(YEAR(N$2)&lt;YEAR($I53),0,YEAR(N$2)=YEAR($I53),ROUND(((N$2-$I53+1)/365)*$D53,2),AND(YEAR(N$2)&gt;YEAR($I53),YEAR(N$2)-YEAR($I53)&lt;20),$D53,YEAR(N$2)-YEAR($I53)=20,ROUND((DATE(YEAR($I53),12,31)-$I53+1)/365*$D53,2),YEAR(N$2)-YEAR($I53)&gt;20,0)</f>
        <v>2970</v>
      </c>
      <c r="O53" s="48" cm="1">
        <f t="array" ref="O53">_xlfn.IFS(YEAR(O$2)&lt;YEAR($I53),0,YEAR(O$2)=YEAR($I53),ROUND(((O$2-$I53+1)/365)*$D53,2),AND(YEAR(O$2)&gt;YEAR($I53),YEAR(O$2)-YEAR($I53)&lt;20),$D53,YEAR(O$2)-YEAR($I53)=20,ROUND((DATE(YEAR($I53),12,31)-$I53+1)/365*$D53,2),YEAR(O$2)-YEAR($I53)&gt;20,0)</f>
        <v>2970</v>
      </c>
      <c r="P53" s="48" cm="1">
        <f t="array" ref="P53">_xlfn.IFS(YEAR(P$2)&lt;YEAR($I53),0,YEAR(P$2)=YEAR($I53),ROUND(((P$2-$I53+1)/365)*$D53,2),AND(YEAR(P$2)&gt;YEAR($I53),YEAR(P$2)-YEAR($I53)&lt;20),$D53,YEAR(P$2)-YEAR($I53)=20,ROUND((DATE(YEAR($I53),12,31)-$I53+1)/365*$D53,2),YEAR(P$2)-YEAR($I53)&gt;20,0)</f>
        <v>2970</v>
      </c>
      <c r="Q53" s="48" cm="1">
        <f t="array" ref="Q53">_xlfn.IFS(YEAR(Q$2)&lt;YEAR($I53),0,YEAR(Q$2)=YEAR($I53),ROUND(((Q$2-$I53+1)/365)*$D53,2),AND(YEAR(Q$2)&gt;YEAR($I53),YEAR(Q$2)-YEAR($I53)&lt;20),$D53,YEAR(Q$2)-YEAR($I53)=20,ROUND((DATE(YEAR($I53),12,31)-$I53+1)/365*$D53,2),YEAR(Q$2)-YEAR($I53)&gt;20,0)</f>
        <v>2970</v>
      </c>
      <c r="R53" s="48" cm="1">
        <f t="array" ref="R53">_xlfn.IFS(YEAR(R$2)&lt;YEAR($I53),0,YEAR(R$2)=YEAR($I53),ROUND(((R$2-$I53+1)/365)*$D53,2),AND(YEAR(R$2)&gt;YEAR($I53),YEAR(R$2)-YEAR($I53)&lt;20),$D53,YEAR(R$2)-YEAR($I53)=20,ROUND((DATE(YEAR($I53),12,31)-$I53+1)/365*$D53,2),YEAR(R$2)-YEAR($I53)&gt;20,0)</f>
        <v>2970</v>
      </c>
      <c r="S53" s="48" cm="1">
        <f t="array" ref="S53">_xlfn.IFS(YEAR(S$2)&lt;YEAR($I53),0,YEAR(S$2)=YEAR($I53),ROUND(((S$2-$I53+1)/365)*$D53,2),AND(YEAR(S$2)&gt;YEAR($I53),YEAR(S$2)-YEAR($I53)&lt;20),$D53,YEAR(S$2)-YEAR($I53)=20,ROUND((DATE(YEAR($I53),12,31)-$I53+1)/365*$D53,2),YEAR(S$2)-YEAR($I53)&gt;20,0)</f>
        <v>2970</v>
      </c>
      <c r="T53" s="48" cm="1">
        <f t="array" ref="T53">_xlfn.IFS(YEAR(T$2)&lt;YEAR($I53),0,YEAR(T$2)=YEAR($I53),ROUND(((T$2-$I53+1)/365)*$D53,2),AND(YEAR(T$2)&gt;YEAR($I53),YEAR(T$2)-YEAR($I53)&lt;20),$D53,YEAR(T$2)-YEAR($I53)=20,ROUND((DATE(YEAR($I53),12,31)-$I53+1)/365*$D53,2),YEAR(T$2)-YEAR($I53)&gt;20,0)</f>
        <v>2970</v>
      </c>
      <c r="U53" s="48" cm="1">
        <f t="array" ref="U53">_xlfn.IFS(YEAR(U$2)&lt;YEAR($I53),0,YEAR(U$2)=YEAR($I53),ROUND(((U$2-$I53+1)/365)*$D53,2),AND(YEAR(U$2)&gt;YEAR($I53),YEAR(U$2)-YEAR($I53)&lt;20),$D53,YEAR(U$2)-YEAR($I53)=20,ROUND((DATE(YEAR($I53),12,31)-$I53+1)/365*$D53,2),YEAR(U$2)-YEAR($I53)&gt;20,0)</f>
        <v>2970</v>
      </c>
      <c r="V53" s="48" cm="1">
        <f t="array" ref="V53">_xlfn.IFS(YEAR(V$2)&lt;YEAR($I53),0,YEAR(V$2)=YEAR($I53),ROUND(((V$2-$I53+1)/365)*$D53,2),AND(YEAR(V$2)&gt;YEAR($I53),YEAR(V$2)-YEAR($I53)&lt;20),$D53,YEAR(V$2)-YEAR($I53)=20,ROUND((DATE(YEAR($I53),12,31)-$I53+1)/365*$D53,2),YEAR(V$2)-YEAR($I53)&gt;20,0)</f>
        <v>2970</v>
      </c>
      <c r="W53" s="48" cm="1">
        <f t="array" ref="W53">_xlfn.IFS(YEAR(W$2)&lt;YEAR($I53),0,YEAR(W$2)=YEAR($I53),ROUND(((W$2-$I53+1)/365)*$D53,2),AND(YEAR(W$2)&gt;YEAR($I53),YEAR(W$2)-YEAR($I53)&lt;20),$D53,YEAR(W$2)-YEAR($I53)=20,ROUND((DATE(YEAR($I53),12,31)-$I53+1)/365*$D53,2),YEAR(W$2)-YEAR($I53)&gt;20,0)</f>
        <v>2970</v>
      </c>
      <c r="X53" s="48" cm="1">
        <f t="array" ref="X53">_xlfn.IFS(YEAR(X$2)&lt;YEAR($I53),0,YEAR(X$2)=YEAR($I53),ROUND(((X$2-$I53+1)/365)*$D53,2),AND(YEAR(X$2)&gt;YEAR($I53),YEAR(X$2)-YEAR($I53)&lt;20),$D53,YEAR(X$2)-YEAR($I53)=20,ROUND((DATE(YEAR($I53),12,31)-$I53+1)/365*$D53,2),YEAR(X$2)-YEAR($I53)&gt;20,0)</f>
        <v>2970</v>
      </c>
      <c r="Y53" s="48" cm="1">
        <f t="array" ref="Y53">_xlfn.IFS(YEAR(Y$2)&lt;YEAR($I53),0,YEAR(Y$2)=YEAR($I53),ROUND(((Y$2-$I53+1)/365)*$D53,2),AND(YEAR(Y$2)&gt;YEAR($I53),YEAR(Y$2)-YEAR($I53)&lt;20),$D53,YEAR(Y$2)-YEAR($I53)=20,ROUND((DATE(YEAR($I53),12,31)-$I53+1)/365*$D53,2),YEAR(Y$2)-YEAR($I53)&gt;20,0)</f>
        <v>2970</v>
      </c>
      <c r="Z53" s="48" cm="1">
        <f t="array" ref="Z53">_xlfn.IFS(YEAR(Z$2)&lt;YEAR($I53),0,YEAR(Z$2)=YEAR($I53),ROUND(((Z$2-$I53+1)/365)*$D53,2),AND(YEAR(Z$2)&gt;YEAR($I53),YEAR(Z$2)-YEAR($I53)&lt;20),$D53,YEAR(Z$2)-YEAR($I53)=20,ROUND((DATE(YEAR($I53),12,31)-$I53+1)/365*$D53,2),YEAR(Z$2)-YEAR($I53)&gt;20,0)</f>
        <v>2970</v>
      </c>
      <c r="AA53" s="48" cm="1">
        <f t="array" ref="AA53">_xlfn.IFS(YEAR(AA$2)&lt;YEAR($I53),0,YEAR(AA$2)=YEAR($I53),ROUND(((AA$2-$I53+1)/365)*$D53,2),AND(YEAR(AA$2)&gt;YEAR($I53),YEAR(AA$2)-YEAR($I53)&lt;20),$D53,YEAR(AA$2)-YEAR($I53)=20,ROUND((DATE(YEAR($I53),12,31)-$I53+1)/365*$D53,2),YEAR(AA$2)-YEAR($I53)&gt;20,0)</f>
        <v>2970</v>
      </c>
      <c r="AB53" s="48" cm="1">
        <f t="array" ref="AB53">_xlfn.IFS(YEAR(AB$2)&lt;YEAR($I53),0,YEAR(AB$2)=YEAR($I53),ROUND(((AB$2-$I53+1)/365)*$D53,2),AND(YEAR(AB$2)&gt;YEAR($I53),YEAR(AB$2)-YEAR($I53)&lt;20),$D53,YEAR(AB$2)-YEAR($I53)=20,ROUND((DATE(YEAR($I53),12,31)-$I53+1)/365*$D53,2),YEAR(AB$2)-YEAR($I53)&gt;20,0)</f>
        <v>2970</v>
      </c>
      <c r="AC53" s="48" cm="1">
        <f t="array" ref="AC53">_xlfn.IFS(YEAR(AC$2)&lt;YEAR($I53),0,YEAR(AC$2)=YEAR($I53),ROUND(((AC$2-$I53+1)/365)*$D53,2),AND(YEAR(AC$2)&gt;YEAR($I53),YEAR(AC$2)-YEAR($I53)&lt;20),$D53,YEAR(AC$2)-YEAR($I53)=20,ROUND((DATE(YEAR($I53),12,31)-$I53+1)/365*$D53,2),YEAR(AC$2)-YEAR($I53)&gt;20,0)</f>
        <v>2970</v>
      </c>
      <c r="AD53" s="48" cm="1">
        <f t="array" ref="AD53">_xlfn.IFS(YEAR(AD$2)&lt;YEAR($I53),0,YEAR(AD$2)=YEAR($I53),ROUND(((AD$2-$I53+1)/365)*$D53,2),AND(YEAR(AD$2)&gt;YEAR($I53),YEAR(AD$2)-YEAR($I53)&lt;20),$D53,YEAR(AD$2)-YEAR($I53)=20,ROUND((DATE(YEAR($I53),12,31)-$I53+1)/365*$D53,2),YEAR(AD$2)-YEAR($I53)&gt;20,0)</f>
        <v>2970</v>
      </c>
      <c r="AE53" s="48" cm="1">
        <f t="array" ref="AE53">_xlfn.IFS(YEAR(AE$2)&lt;YEAR($I53),0,YEAR(AE$2)=YEAR($I53),ROUND(((AE$2-$I53+1)/365)*$D53,2),AND(YEAR(AE$2)&gt;YEAR($I53),YEAR(AE$2)-YEAR($I53)&lt;20),$D53,YEAR(AE$2)-YEAR($I53)=20,ROUND((DATE(YEAR($I53),12,31)-$I53+1)/365*$D53,2),YEAR(AE$2)-YEAR($I53)&gt;20,0)</f>
        <v>2970</v>
      </c>
      <c r="AF53" s="48" cm="1">
        <f t="array" ref="AF53">_xlfn.IFS(YEAR(AF$2)&lt;YEAR($I53),0,YEAR(AF$2)=YEAR($I53),ROUND(((AF$2-$I53+1)/365)*$D53,2),AND(YEAR(AF$2)&gt;YEAR($I53),YEAR(AF$2)-YEAR($I53)&lt;20),$D53,YEAR(AF$2)-YEAR($I53)=20,ROUND((DATE(YEAR($I53),12,31)-$I53+1)/365*$D53,2),YEAR(AF$2)-YEAR($I53)&gt;20,0)</f>
        <v>2970</v>
      </c>
      <c r="AG53" s="48" cm="1">
        <f t="array" ref="AG53">_xlfn.IFS(YEAR(AG$2)&lt;YEAR($I53),0,YEAR(AG$2)=YEAR($I53),ROUND(((AG$2-$I53+1)/365)*$D53,2),AND(YEAR(AG$2)&gt;YEAR($I53),YEAR(AG$2)-YEAR($I53)&lt;20),$D53,YEAR(AG$2)-YEAR($I53)=20,ROUND((DATE(YEAR($I53),12,31)-$I53+1)/365*$D53,2),YEAR(AG$2)-YEAR($I53)&gt;20,0)</f>
        <v>1497.21</v>
      </c>
      <c r="AH53" s="48" cm="1">
        <f t="array" ref="AH53">_xlfn.IFS(YEAR(AH$2)&lt;YEAR($I53),0,YEAR(AH$2)=YEAR($I53),ROUND(((AH$2-$I53+1)/365)*$D53,2),AND(YEAR(AH$2)&gt;YEAR($I53),YEAR(AH$2)-YEAR($I53)&lt;20),$D53,YEAR(AH$2)-YEAR($I53)=20,ROUND((DATE(YEAR($I53),12,31)-$I53+1)/365*$D53,2),YEAR(AH$2)-YEAR($I53)&gt;20,0)</f>
        <v>0</v>
      </c>
      <c r="AI53" s="48" cm="1">
        <f t="array" ref="AI53">_xlfn.IFS(YEAR(AI$2)&lt;YEAR($I53),0,YEAR(AI$2)=YEAR($I53),ROUND(((AI$2-$I53+1)/365)*$D53,2),AND(YEAR(AI$2)&gt;YEAR($I53),YEAR(AI$2)-YEAR($I53)&lt;20),$D53,YEAR(AI$2)-YEAR($I53)=20,ROUND((DATE(YEAR($I53),12,31)-$I53+1)/365*$D53,2),YEAR(AI$2)-YEAR($I53)&gt;20,0)</f>
        <v>0</v>
      </c>
      <c r="AJ53" s="48" cm="1">
        <f t="array" ref="AJ53">_xlfn.IFS(YEAR(AJ$2)&lt;YEAR($I53),0,YEAR(AJ$2)=YEAR($I53),ROUND(((AJ$2-$I53+1)/365)*$D53,2),AND(YEAR(AJ$2)&gt;YEAR($I53),YEAR(AJ$2)-YEAR($I53)&lt;20),$D53,YEAR(AJ$2)-YEAR($I53)=20,ROUND((DATE(YEAR($I53),12,31)-$I53+1)/365*$D53,2),YEAR(AJ$2)-YEAR($I53)&gt;20,0)</f>
        <v>0</v>
      </c>
      <c r="AK53" s="48" cm="1">
        <f t="array" ref="AK53">_xlfn.IFS(YEAR(AK$2)&lt;YEAR($I53),0,YEAR(AK$2)=YEAR($I53),ROUND(((AK$2-$I53+1)/365)*$D53,2),AND(YEAR(AK$2)&gt;YEAR($I53),YEAR(AK$2)-YEAR($I53)&lt;20),$D53,YEAR(AK$2)-YEAR($I53)=20,ROUND((DATE(YEAR($I53),12,31)-$I53+1)/365*$D53,2),YEAR(AK$2)-YEAR($I53)&gt;20,0)</f>
        <v>0</v>
      </c>
      <c r="AL53" s="48" cm="1">
        <f t="array" ref="AL53">_xlfn.IFS(YEAR(AL$2)&lt;YEAR($I53),0,YEAR(AL$2)=YEAR($I53),ROUND(((AL$2-$I53+1)/365)*$D53,2),AND(YEAR(AL$2)&gt;YEAR($I53),YEAR(AL$2)-YEAR($I53)&lt;20),$D53,YEAR(AL$2)-YEAR($I53)=20,ROUND((DATE(YEAR($I53),12,31)-$I53+1)/365*$D53,2),YEAR(AL$2)-YEAR($I53)&gt;20,0)</f>
        <v>0</v>
      </c>
      <c r="AM53" s="48" cm="1">
        <f t="array" ref="AM53">_xlfn.IFS(YEAR(AM$2)&lt;YEAR($I53),0,YEAR(AM$2)=YEAR($I53),ROUND(((AM$2-$I53+1)/365)*$D53,2),AND(YEAR(AM$2)&gt;YEAR($I53),YEAR(AM$2)-YEAR($I53)&lt;20),$D53,YEAR(AM$2)-YEAR($I53)=20,ROUND((DATE(YEAR($I53),12,31)-$I53+1)/365*$D53,2),YEAR(AM$2)-YEAR($I53)&gt;20,0)</f>
        <v>0</v>
      </c>
    </row>
    <row r="54" spans="1:54">
      <c r="A54" s="155" t="str" cm="1">
        <f t="array" ref="A54">_xlfn.IFS(LEFT(C54,3)="PGE","PGE",LEFT(C54,2)="PP","PAC",TRUE,"IP")</f>
        <v>PAC</v>
      </c>
      <c r="B54" s="155" t="str">
        <f>IF(ISNA(MATCH(C54,'Monthly Report July 2025'!E:E,0)),"Missing","Present")</f>
        <v>Present</v>
      </c>
      <c r="C54" s="155" t="s">
        <v>163</v>
      </c>
      <c r="D54" s="176" cm="1">
        <f t="array" ref="D54">INDEX('Monthly Report July 2025'!L:L,MATCH(C54,'Monthly Report July 2025'!E:E,0),0)</f>
        <v>999.99</v>
      </c>
      <c r="E54" s="176" t="str" cm="1">
        <f t="array" ref="E54">IF(INDEX('PA Fees by Project'!K:K,MATCH(C54,'PA Fees by Project'!E:E,0),0)="No","Non-Carve Out", "Carve Out")</f>
        <v>Non-Carve Out</v>
      </c>
      <c r="F54" s="176" cm="1">
        <f t="array" ref="F54">INDEX('PA Fees by Project'!J:J,MATCH(C54,'PA Fees by Project'!E:E,0),0)</f>
        <v>2</v>
      </c>
      <c r="G54" s="155" t="str" cm="1">
        <f t="array" ref="G54">INDEX('PA Fees by Project'!G:G,MATCH(C54,'PA Fees by Project'!E:E,0),0)</f>
        <v>Pre-Certified</v>
      </c>
      <c r="H54" s="175" t="str" cm="1">
        <f t="array" ref="H54">INDEX('PA Fees by Project'!Q:Q,MATCH(C54,'PA Fees by Project'!E:E,0),0)</f>
        <v/>
      </c>
      <c r="I54" s="156" cm="1">
        <f t="array" ref="I54">_xlfn.IFS(G54="Operational",H54,G54="Certified",EDATE(INDEX('PA Fees by Project'!R:R,MATCH(C54,'PA Fees by Project'!E:E,0),0),6),TRUE,EDATE(INDEX('PA Fees by Project'!O:O,MATCH(C54,'PA Fees by Project'!E:E,0),0),6))</f>
        <v>46010</v>
      </c>
      <c r="J54" s="48" cm="1">
        <f t="array" ref="J54">_xlfn.IFS(YEAR(J$2)&lt;YEAR($I54),0,YEAR(J$2)=YEAR($I54),ROUND(((J$2-$I54+1)/365)*$D54,2),AND(YEAR(J$2)&gt;YEAR($I54),YEAR(J$2)-YEAR($I54)&lt;20),$D54,YEAR(J$2)-YEAR($I54)=20,ROUND((DATE(YEAR($I54),12,31)-$I54+1)/365*$D54,2),YEAR(J$2)-YEAR($I54)&gt;20,0)</f>
        <v>0</v>
      </c>
      <c r="K54" s="48" cm="1">
        <f t="array" ref="K54">_xlfn.IFS(YEAR(K$2)&lt;YEAR($I54),0,YEAR(K$2)=YEAR($I54),ROUND(((K$2-$I54+1)/365)*$D54,2),AND(YEAR(K$2)&gt;YEAR($I54),YEAR(K$2)-YEAR($I54)&lt;20),$D54,YEAR(K$2)-YEAR($I54)=20,ROUND((DATE(YEAR($I54),12,31)-$I54+1)/365*$D54,2),YEAR(K$2)-YEAR($I54)&gt;20,0)</f>
        <v>0</v>
      </c>
      <c r="L54" s="48" cm="1">
        <f t="array" ref="L54">_xlfn.IFS(YEAR(L$2)&lt;YEAR($I54),0,YEAR(L$2)=YEAR($I54),ROUND(((L$2-$I54+1)/365)*$D54,2),AND(YEAR(L$2)&gt;YEAR($I54),YEAR(L$2)-YEAR($I54)&lt;20),$D54,YEAR(L$2)-YEAR($I54)=20,ROUND((DATE(YEAR($I54),12,31)-$I54+1)/365*$D54,2),YEAR(L$2)-YEAR($I54)&gt;20,0)</f>
        <v>0</v>
      </c>
      <c r="M54" s="48" cm="1">
        <f t="array" ref="M54">_xlfn.IFS(YEAR(M$2)&lt;YEAR($I54),0,YEAR(M$2)=YEAR($I54),ROUND(((M$2-$I54+1)/365)*$D54,2),AND(YEAR(M$2)&gt;YEAR($I54),YEAR(M$2)-YEAR($I54)&lt;20),$D54,YEAR(M$2)-YEAR($I54)=20,ROUND((DATE(YEAR($I54),12,31)-$I54+1)/365*$D54,2),YEAR(M$2)-YEAR($I54)&gt;20,0)</f>
        <v>0</v>
      </c>
      <c r="N54" s="48" cm="1">
        <f t="array" ref="N54">_xlfn.IFS(YEAR(N$2)&lt;YEAR($I54),0,YEAR(N$2)=YEAR($I54),ROUND(((N$2-$I54+1)/365)*$D54,2),AND(YEAR(N$2)&gt;YEAR($I54),YEAR(N$2)-YEAR($I54)&lt;20),$D54,YEAR(N$2)-YEAR($I54)=20,ROUND((DATE(YEAR($I54),12,31)-$I54+1)/365*$D54,2),YEAR(N$2)-YEAR($I54)&gt;20,0)</f>
        <v>35.619999999999997</v>
      </c>
      <c r="O54" s="48" cm="1">
        <f t="array" ref="O54">_xlfn.IFS(YEAR(O$2)&lt;YEAR($I54),0,YEAR(O$2)=YEAR($I54),ROUND(((O$2-$I54+1)/365)*$D54,2),AND(YEAR(O$2)&gt;YEAR($I54),YEAR(O$2)-YEAR($I54)&lt;20),$D54,YEAR(O$2)-YEAR($I54)=20,ROUND((DATE(YEAR($I54),12,31)-$I54+1)/365*$D54,2),YEAR(O$2)-YEAR($I54)&gt;20,0)</f>
        <v>999.99</v>
      </c>
      <c r="P54" s="48" cm="1">
        <f t="array" ref="P54">_xlfn.IFS(YEAR(P$2)&lt;YEAR($I54),0,YEAR(P$2)=YEAR($I54),ROUND(((P$2-$I54+1)/365)*$D54,2),AND(YEAR(P$2)&gt;YEAR($I54),YEAR(P$2)-YEAR($I54)&lt;20),$D54,YEAR(P$2)-YEAR($I54)=20,ROUND((DATE(YEAR($I54),12,31)-$I54+1)/365*$D54,2),YEAR(P$2)-YEAR($I54)&gt;20,0)</f>
        <v>999.99</v>
      </c>
      <c r="Q54" s="48" cm="1">
        <f t="array" ref="Q54">_xlfn.IFS(YEAR(Q$2)&lt;YEAR($I54),0,YEAR(Q$2)=YEAR($I54),ROUND(((Q$2-$I54+1)/365)*$D54,2),AND(YEAR(Q$2)&gt;YEAR($I54),YEAR(Q$2)-YEAR($I54)&lt;20),$D54,YEAR(Q$2)-YEAR($I54)=20,ROUND((DATE(YEAR($I54),12,31)-$I54+1)/365*$D54,2),YEAR(Q$2)-YEAR($I54)&gt;20,0)</f>
        <v>999.99</v>
      </c>
      <c r="R54" s="48" cm="1">
        <f t="array" ref="R54">_xlfn.IFS(YEAR(R$2)&lt;YEAR($I54),0,YEAR(R$2)=YEAR($I54),ROUND(((R$2-$I54+1)/365)*$D54,2),AND(YEAR(R$2)&gt;YEAR($I54),YEAR(R$2)-YEAR($I54)&lt;20),$D54,YEAR(R$2)-YEAR($I54)=20,ROUND((DATE(YEAR($I54),12,31)-$I54+1)/365*$D54,2),YEAR(R$2)-YEAR($I54)&gt;20,0)</f>
        <v>999.99</v>
      </c>
      <c r="S54" s="48" cm="1">
        <f t="array" ref="S54">_xlfn.IFS(YEAR(S$2)&lt;YEAR($I54),0,YEAR(S$2)=YEAR($I54),ROUND(((S$2-$I54+1)/365)*$D54,2),AND(YEAR(S$2)&gt;YEAR($I54),YEAR(S$2)-YEAR($I54)&lt;20),$D54,YEAR(S$2)-YEAR($I54)=20,ROUND((DATE(YEAR($I54),12,31)-$I54+1)/365*$D54,2),YEAR(S$2)-YEAR($I54)&gt;20,0)</f>
        <v>999.99</v>
      </c>
      <c r="T54" s="48" cm="1">
        <f t="array" ref="T54">_xlfn.IFS(YEAR(T$2)&lt;YEAR($I54),0,YEAR(T$2)=YEAR($I54),ROUND(((T$2-$I54+1)/365)*$D54,2),AND(YEAR(T$2)&gt;YEAR($I54),YEAR(T$2)-YEAR($I54)&lt;20),$D54,YEAR(T$2)-YEAR($I54)=20,ROUND((DATE(YEAR($I54),12,31)-$I54+1)/365*$D54,2),YEAR(T$2)-YEAR($I54)&gt;20,0)</f>
        <v>999.99</v>
      </c>
      <c r="U54" s="48" cm="1">
        <f t="array" ref="U54">_xlfn.IFS(YEAR(U$2)&lt;YEAR($I54),0,YEAR(U$2)=YEAR($I54),ROUND(((U$2-$I54+1)/365)*$D54,2),AND(YEAR(U$2)&gt;YEAR($I54),YEAR(U$2)-YEAR($I54)&lt;20),$D54,YEAR(U$2)-YEAR($I54)=20,ROUND((DATE(YEAR($I54),12,31)-$I54+1)/365*$D54,2),YEAR(U$2)-YEAR($I54)&gt;20,0)</f>
        <v>999.99</v>
      </c>
      <c r="V54" s="48" cm="1">
        <f t="array" ref="V54">_xlfn.IFS(YEAR(V$2)&lt;YEAR($I54),0,YEAR(V$2)=YEAR($I54),ROUND(((V$2-$I54+1)/365)*$D54,2),AND(YEAR(V$2)&gt;YEAR($I54),YEAR(V$2)-YEAR($I54)&lt;20),$D54,YEAR(V$2)-YEAR($I54)=20,ROUND((DATE(YEAR($I54),12,31)-$I54+1)/365*$D54,2),YEAR(V$2)-YEAR($I54)&gt;20,0)</f>
        <v>999.99</v>
      </c>
      <c r="W54" s="48" cm="1">
        <f t="array" ref="W54">_xlfn.IFS(YEAR(W$2)&lt;YEAR($I54),0,YEAR(W$2)=YEAR($I54),ROUND(((W$2-$I54+1)/365)*$D54,2),AND(YEAR(W$2)&gt;YEAR($I54),YEAR(W$2)-YEAR($I54)&lt;20),$D54,YEAR(W$2)-YEAR($I54)=20,ROUND((DATE(YEAR($I54),12,31)-$I54+1)/365*$D54,2),YEAR(W$2)-YEAR($I54)&gt;20,0)</f>
        <v>999.99</v>
      </c>
      <c r="X54" s="48" cm="1">
        <f t="array" ref="X54">_xlfn.IFS(YEAR(X$2)&lt;YEAR($I54),0,YEAR(X$2)=YEAR($I54),ROUND(((X$2-$I54+1)/365)*$D54,2),AND(YEAR(X$2)&gt;YEAR($I54),YEAR(X$2)-YEAR($I54)&lt;20),$D54,YEAR(X$2)-YEAR($I54)=20,ROUND((DATE(YEAR($I54),12,31)-$I54+1)/365*$D54,2),YEAR(X$2)-YEAR($I54)&gt;20,0)</f>
        <v>999.99</v>
      </c>
      <c r="Y54" s="48" cm="1">
        <f t="array" ref="Y54">_xlfn.IFS(YEAR(Y$2)&lt;YEAR($I54),0,YEAR(Y$2)=YEAR($I54),ROUND(((Y$2-$I54+1)/365)*$D54,2),AND(YEAR(Y$2)&gt;YEAR($I54),YEAR(Y$2)-YEAR($I54)&lt;20),$D54,YEAR(Y$2)-YEAR($I54)=20,ROUND((DATE(YEAR($I54),12,31)-$I54+1)/365*$D54,2),YEAR(Y$2)-YEAR($I54)&gt;20,0)</f>
        <v>999.99</v>
      </c>
      <c r="Z54" s="48" cm="1">
        <f t="array" ref="Z54">_xlfn.IFS(YEAR(Z$2)&lt;YEAR($I54),0,YEAR(Z$2)=YEAR($I54),ROUND(((Z$2-$I54+1)/365)*$D54,2),AND(YEAR(Z$2)&gt;YEAR($I54),YEAR(Z$2)-YEAR($I54)&lt;20),$D54,YEAR(Z$2)-YEAR($I54)=20,ROUND((DATE(YEAR($I54),12,31)-$I54+1)/365*$D54,2),YEAR(Z$2)-YEAR($I54)&gt;20,0)</f>
        <v>999.99</v>
      </c>
      <c r="AA54" s="48" cm="1">
        <f t="array" ref="AA54">_xlfn.IFS(YEAR(AA$2)&lt;YEAR($I54),0,YEAR(AA$2)=YEAR($I54),ROUND(((AA$2-$I54+1)/365)*$D54,2),AND(YEAR(AA$2)&gt;YEAR($I54),YEAR(AA$2)-YEAR($I54)&lt;20),$D54,YEAR(AA$2)-YEAR($I54)=20,ROUND((DATE(YEAR($I54),12,31)-$I54+1)/365*$D54,2),YEAR(AA$2)-YEAR($I54)&gt;20,0)</f>
        <v>999.99</v>
      </c>
      <c r="AB54" s="48" cm="1">
        <f t="array" ref="AB54">_xlfn.IFS(YEAR(AB$2)&lt;YEAR($I54),0,YEAR(AB$2)=YEAR($I54),ROUND(((AB$2-$I54+1)/365)*$D54,2),AND(YEAR(AB$2)&gt;YEAR($I54),YEAR(AB$2)-YEAR($I54)&lt;20),$D54,YEAR(AB$2)-YEAR($I54)=20,ROUND((DATE(YEAR($I54),12,31)-$I54+1)/365*$D54,2),YEAR(AB$2)-YEAR($I54)&gt;20,0)</f>
        <v>999.99</v>
      </c>
      <c r="AC54" s="48" cm="1">
        <f t="array" ref="AC54">_xlfn.IFS(YEAR(AC$2)&lt;YEAR($I54),0,YEAR(AC$2)=YEAR($I54),ROUND(((AC$2-$I54+1)/365)*$D54,2),AND(YEAR(AC$2)&gt;YEAR($I54),YEAR(AC$2)-YEAR($I54)&lt;20),$D54,YEAR(AC$2)-YEAR($I54)=20,ROUND((DATE(YEAR($I54),12,31)-$I54+1)/365*$D54,2),YEAR(AC$2)-YEAR($I54)&gt;20,0)</f>
        <v>999.99</v>
      </c>
      <c r="AD54" s="48" cm="1">
        <f t="array" ref="AD54">_xlfn.IFS(YEAR(AD$2)&lt;YEAR($I54),0,YEAR(AD$2)=YEAR($I54),ROUND(((AD$2-$I54+1)/365)*$D54,2),AND(YEAR(AD$2)&gt;YEAR($I54),YEAR(AD$2)-YEAR($I54)&lt;20),$D54,YEAR(AD$2)-YEAR($I54)=20,ROUND((DATE(YEAR($I54),12,31)-$I54+1)/365*$D54,2),YEAR(AD$2)-YEAR($I54)&gt;20,0)</f>
        <v>999.99</v>
      </c>
      <c r="AE54" s="48" cm="1">
        <f t="array" ref="AE54">_xlfn.IFS(YEAR(AE$2)&lt;YEAR($I54),0,YEAR(AE$2)=YEAR($I54),ROUND(((AE$2-$I54+1)/365)*$D54,2),AND(YEAR(AE$2)&gt;YEAR($I54),YEAR(AE$2)-YEAR($I54)&lt;20),$D54,YEAR(AE$2)-YEAR($I54)=20,ROUND((DATE(YEAR($I54),12,31)-$I54+1)/365*$D54,2),YEAR(AE$2)-YEAR($I54)&gt;20,0)</f>
        <v>999.99</v>
      </c>
      <c r="AF54" s="48" cm="1">
        <f t="array" ref="AF54">_xlfn.IFS(YEAR(AF$2)&lt;YEAR($I54),0,YEAR(AF$2)=YEAR($I54),ROUND(((AF$2-$I54+1)/365)*$D54,2),AND(YEAR(AF$2)&gt;YEAR($I54),YEAR(AF$2)-YEAR($I54)&lt;20),$D54,YEAR(AF$2)-YEAR($I54)=20,ROUND((DATE(YEAR($I54),12,31)-$I54+1)/365*$D54,2),YEAR(AF$2)-YEAR($I54)&gt;20,0)</f>
        <v>999.99</v>
      </c>
      <c r="AG54" s="48" cm="1">
        <f t="array" ref="AG54">_xlfn.IFS(YEAR(AG$2)&lt;YEAR($I54),0,YEAR(AG$2)=YEAR($I54),ROUND(((AG$2-$I54+1)/365)*$D54,2),AND(YEAR(AG$2)&gt;YEAR($I54),YEAR(AG$2)-YEAR($I54)&lt;20),$D54,YEAR(AG$2)-YEAR($I54)=20,ROUND((DATE(YEAR($I54),12,31)-$I54+1)/365*$D54,2),YEAR(AG$2)-YEAR($I54)&gt;20,0)</f>
        <v>999.99</v>
      </c>
      <c r="AH54" s="48" cm="1">
        <f t="array" ref="AH54">_xlfn.IFS(YEAR(AH$2)&lt;YEAR($I54),0,YEAR(AH$2)=YEAR($I54),ROUND(((AH$2-$I54+1)/365)*$D54,2),AND(YEAR(AH$2)&gt;YEAR($I54),YEAR(AH$2)-YEAR($I54)&lt;20),$D54,YEAR(AH$2)-YEAR($I54)=20,ROUND((DATE(YEAR($I54),12,31)-$I54+1)/365*$D54,2),YEAR(AH$2)-YEAR($I54)&gt;20,0)</f>
        <v>35.619999999999997</v>
      </c>
      <c r="AI54" s="48" cm="1">
        <f t="array" ref="AI54">_xlfn.IFS(YEAR(AI$2)&lt;YEAR($I54),0,YEAR(AI$2)=YEAR($I54),ROUND(((AI$2-$I54+1)/365)*$D54,2),AND(YEAR(AI$2)&gt;YEAR($I54),YEAR(AI$2)-YEAR($I54)&lt;20),$D54,YEAR(AI$2)-YEAR($I54)=20,ROUND((DATE(YEAR($I54),12,31)-$I54+1)/365*$D54,2),YEAR(AI$2)-YEAR($I54)&gt;20,0)</f>
        <v>0</v>
      </c>
      <c r="AJ54" s="48" cm="1">
        <f t="array" ref="AJ54">_xlfn.IFS(YEAR(AJ$2)&lt;YEAR($I54),0,YEAR(AJ$2)=YEAR($I54),ROUND(((AJ$2-$I54+1)/365)*$D54,2),AND(YEAR(AJ$2)&gt;YEAR($I54),YEAR(AJ$2)-YEAR($I54)&lt;20),$D54,YEAR(AJ$2)-YEAR($I54)=20,ROUND((DATE(YEAR($I54),12,31)-$I54+1)/365*$D54,2),YEAR(AJ$2)-YEAR($I54)&gt;20,0)</f>
        <v>0</v>
      </c>
      <c r="AK54" s="48" cm="1">
        <f t="array" ref="AK54">_xlfn.IFS(YEAR(AK$2)&lt;YEAR($I54),0,YEAR(AK$2)=YEAR($I54),ROUND(((AK$2-$I54+1)/365)*$D54,2),AND(YEAR(AK$2)&gt;YEAR($I54),YEAR(AK$2)-YEAR($I54)&lt;20),$D54,YEAR(AK$2)-YEAR($I54)=20,ROUND((DATE(YEAR($I54),12,31)-$I54+1)/365*$D54,2),YEAR(AK$2)-YEAR($I54)&gt;20,0)</f>
        <v>0</v>
      </c>
      <c r="AL54" s="48" cm="1">
        <f t="array" ref="AL54">_xlfn.IFS(YEAR(AL$2)&lt;YEAR($I54),0,YEAR(AL$2)=YEAR($I54),ROUND(((AL$2-$I54+1)/365)*$D54,2),AND(YEAR(AL$2)&gt;YEAR($I54),YEAR(AL$2)-YEAR($I54)&lt;20),$D54,YEAR(AL$2)-YEAR($I54)=20,ROUND((DATE(YEAR($I54),12,31)-$I54+1)/365*$D54,2),YEAR(AL$2)-YEAR($I54)&gt;20,0)</f>
        <v>0</v>
      </c>
      <c r="AM54" s="48" cm="1">
        <f t="array" ref="AM54">_xlfn.IFS(YEAR(AM$2)&lt;YEAR($I54),0,YEAR(AM$2)=YEAR($I54),ROUND(((AM$2-$I54+1)/365)*$D54,2),AND(YEAR(AM$2)&gt;YEAR($I54),YEAR(AM$2)-YEAR($I54)&lt;20),$D54,YEAR(AM$2)-YEAR($I54)=20,ROUND((DATE(YEAR($I54),12,31)-$I54+1)/365*$D54,2),YEAR(AM$2)-YEAR($I54)&gt;20,0)</f>
        <v>0</v>
      </c>
    </row>
    <row r="55" spans="1:54">
      <c r="A55" s="155" t="str" cm="1">
        <f t="array" ref="A55">_xlfn.IFS(LEFT(C55,3)="PGE","PGE",LEFT(C55,2)="PP","PAC",TRUE,"IP")</f>
        <v>PAC</v>
      </c>
      <c r="B55" s="155" t="str">
        <f>IF(ISNA(MATCH(C55,'Monthly Report July 2025'!E:E,0)),"Missing","Present")</f>
        <v>Present</v>
      </c>
      <c r="C55" s="155" t="s">
        <v>164</v>
      </c>
      <c r="D55" s="176" cm="1">
        <f t="array" ref="D55">INDEX('Monthly Report July 2025'!L:L,MATCH(C55,'Monthly Report July 2025'!E:E,0),0)</f>
        <v>2875</v>
      </c>
      <c r="E55" s="176" t="str" cm="1">
        <f t="array" ref="E55">IF(INDEX('PA Fees by Project'!K:K,MATCH(C55,'PA Fees by Project'!E:E,0),0)="No","Non-Carve Out", "Carve Out")</f>
        <v>Non-Carve Out</v>
      </c>
      <c r="F55" s="176" cm="1">
        <f t="array" ref="F55">INDEX('PA Fees by Project'!J:J,MATCH(C55,'PA Fees by Project'!E:E,0),0)</f>
        <v>1</v>
      </c>
      <c r="G55" s="155" t="str" cm="1">
        <f t="array" ref="G55">INDEX('PA Fees by Project'!G:G,MATCH(C55,'PA Fees by Project'!E:E,0),0)</f>
        <v>Operational</v>
      </c>
      <c r="H55" s="175" cm="1">
        <f t="array" ref="H55">INDEX('PA Fees by Project'!Q:Q,MATCH(C55,'PA Fees by Project'!E:E,0),0)</f>
        <v>45748</v>
      </c>
      <c r="I55" s="156" cm="1">
        <f t="array" ref="I55">_xlfn.IFS(G55="Operational",H55,G55="Certified",EDATE(INDEX('PA Fees by Project'!R:R,MATCH(C55,'PA Fees by Project'!E:E,0),0),6),TRUE,EDATE(INDEX('PA Fees by Project'!O:O,MATCH(C55,'PA Fees by Project'!E:E,0),0),6))</f>
        <v>45748</v>
      </c>
      <c r="J55" s="48" cm="1">
        <f t="array" ref="J55">_xlfn.IFS(YEAR(J$2)&lt;YEAR($I55),0,YEAR(J$2)=YEAR($I55),ROUND(((J$2-$I55+1)/365)*$D55,2),AND(YEAR(J$2)&gt;YEAR($I55),YEAR(J$2)-YEAR($I55)&lt;20),$D55,YEAR(J$2)-YEAR($I55)=20,ROUND((DATE(YEAR($I55),12,31)-$I55+1)/365*$D55,2),YEAR(J$2)-YEAR($I55)&gt;20,0)</f>
        <v>0</v>
      </c>
      <c r="K55" s="48" cm="1">
        <f t="array" ref="K55">_xlfn.IFS(YEAR(K$2)&lt;YEAR($I55),0,YEAR(K$2)=YEAR($I55),ROUND(((K$2-$I55+1)/365)*$D55,2),AND(YEAR(K$2)&gt;YEAR($I55),YEAR(K$2)-YEAR($I55)&lt;20),$D55,YEAR(K$2)-YEAR($I55)=20,ROUND((DATE(YEAR($I55),12,31)-$I55+1)/365*$D55,2),YEAR(K$2)-YEAR($I55)&gt;20,0)</f>
        <v>0</v>
      </c>
      <c r="L55" s="48" cm="1">
        <f t="array" ref="L55">_xlfn.IFS(YEAR(L$2)&lt;YEAR($I55),0,YEAR(L$2)=YEAR($I55),ROUND(((L$2-$I55+1)/365)*$D55,2),AND(YEAR(L$2)&gt;YEAR($I55),YEAR(L$2)-YEAR($I55)&lt;20),$D55,YEAR(L$2)-YEAR($I55)=20,ROUND((DATE(YEAR($I55),12,31)-$I55+1)/365*$D55,2),YEAR(L$2)-YEAR($I55)&gt;20,0)</f>
        <v>0</v>
      </c>
      <c r="M55" s="48" cm="1">
        <f t="array" ref="M55">_xlfn.IFS(YEAR(M$2)&lt;YEAR($I55),0,YEAR(M$2)=YEAR($I55),ROUND(((M$2-$I55+1)/365)*$D55,2),AND(YEAR(M$2)&gt;YEAR($I55),YEAR(M$2)-YEAR($I55)&lt;20),$D55,YEAR(M$2)-YEAR($I55)=20,ROUND((DATE(YEAR($I55),12,31)-$I55+1)/365*$D55,2),YEAR(M$2)-YEAR($I55)&gt;20,0)</f>
        <v>0</v>
      </c>
      <c r="N55" s="48" cm="1">
        <f t="array" ref="N55">_xlfn.IFS(YEAR(N$2)&lt;YEAR($I55),0,YEAR(N$2)=YEAR($I55),ROUND(((N$2-$I55+1)/365)*$D55,2),AND(YEAR(N$2)&gt;YEAR($I55),YEAR(N$2)-YEAR($I55)&lt;20),$D55,YEAR(N$2)-YEAR($I55)=20,ROUND((DATE(YEAR($I55),12,31)-$I55+1)/365*$D55,2),YEAR(N$2)-YEAR($I55)&gt;20,0)</f>
        <v>2166.1</v>
      </c>
      <c r="O55" s="48" cm="1">
        <f t="array" ref="O55">_xlfn.IFS(YEAR(O$2)&lt;YEAR($I55),0,YEAR(O$2)=YEAR($I55),ROUND(((O$2-$I55+1)/365)*$D55,2),AND(YEAR(O$2)&gt;YEAR($I55),YEAR(O$2)-YEAR($I55)&lt;20),$D55,YEAR(O$2)-YEAR($I55)=20,ROUND((DATE(YEAR($I55),12,31)-$I55+1)/365*$D55,2),YEAR(O$2)-YEAR($I55)&gt;20,0)</f>
        <v>2875</v>
      </c>
      <c r="P55" s="48" cm="1">
        <f t="array" ref="P55">_xlfn.IFS(YEAR(P$2)&lt;YEAR($I55),0,YEAR(P$2)=YEAR($I55),ROUND(((P$2-$I55+1)/365)*$D55,2),AND(YEAR(P$2)&gt;YEAR($I55),YEAR(P$2)-YEAR($I55)&lt;20),$D55,YEAR(P$2)-YEAR($I55)=20,ROUND((DATE(YEAR($I55),12,31)-$I55+1)/365*$D55,2),YEAR(P$2)-YEAR($I55)&gt;20,0)</f>
        <v>2875</v>
      </c>
      <c r="Q55" s="48" cm="1">
        <f t="array" ref="Q55">_xlfn.IFS(YEAR(Q$2)&lt;YEAR($I55),0,YEAR(Q$2)=YEAR($I55),ROUND(((Q$2-$I55+1)/365)*$D55,2),AND(YEAR(Q$2)&gt;YEAR($I55),YEAR(Q$2)-YEAR($I55)&lt;20),$D55,YEAR(Q$2)-YEAR($I55)=20,ROUND((DATE(YEAR($I55),12,31)-$I55+1)/365*$D55,2),YEAR(Q$2)-YEAR($I55)&gt;20,0)</f>
        <v>2875</v>
      </c>
      <c r="R55" s="48" cm="1">
        <f t="array" ref="R55">_xlfn.IFS(YEAR(R$2)&lt;YEAR($I55),0,YEAR(R$2)=YEAR($I55),ROUND(((R$2-$I55+1)/365)*$D55,2),AND(YEAR(R$2)&gt;YEAR($I55),YEAR(R$2)-YEAR($I55)&lt;20),$D55,YEAR(R$2)-YEAR($I55)=20,ROUND((DATE(YEAR($I55),12,31)-$I55+1)/365*$D55,2),YEAR(R$2)-YEAR($I55)&gt;20,0)</f>
        <v>2875</v>
      </c>
      <c r="S55" s="48" cm="1">
        <f t="array" ref="S55">_xlfn.IFS(YEAR(S$2)&lt;YEAR($I55),0,YEAR(S$2)=YEAR($I55),ROUND(((S$2-$I55+1)/365)*$D55,2),AND(YEAR(S$2)&gt;YEAR($I55),YEAR(S$2)-YEAR($I55)&lt;20),$D55,YEAR(S$2)-YEAR($I55)=20,ROUND((DATE(YEAR($I55),12,31)-$I55+1)/365*$D55,2),YEAR(S$2)-YEAR($I55)&gt;20,0)</f>
        <v>2875</v>
      </c>
      <c r="T55" s="48" cm="1">
        <f t="array" ref="T55">_xlfn.IFS(YEAR(T$2)&lt;YEAR($I55),0,YEAR(T$2)=YEAR($I55),ROUND(((T$2-$I55+1)/365)*$D55,2),AND(YEAR(T$2)&gt;YEAR($I55),YEAR(T$2)-YEAR($I55)&lt;20),$D55,YEAR(T$2)-YEAR($I55)=20,ROUND((DATE(YEAR($I55),12,31)-$I55+1)/365*$D55,2),YEAR(T$2)-YEAR($I55)&gt;20,0)</f>
        <v>2875</v>
      </c>
      <c r="U55" s="48" cm="1">
        <f t="array" ref="U55">_xlfn.IFS(YEAR(U$2)&lt;YEAR($I55),0,YEAR(U$2)=YEAR($I55),ROUND(((U$2-$I55+1)/365)*$D55,2),AND(YEAR(U$2)&gt;YEAR($I55),YEAR(U$2)-YEAR($I55)&lt;20),$D55,YEAR(U$2)-YEAR($I55)=20,ROUND((DATE(YEAR($I55),12,31)-$I55+1)/365*$D55,2),YEAR(U$2)-YEAR($I55)&gt;20,0)</f>
        <v>2875</v>
      </c>
      <c r="V55" s="48" cm="1">
        <f t="array" ref="V55">_xlfn.IFS(YEAR(V$2)&lt;YEAR($I55),0,YEAR(V$2)=YEAR($I55),ROUND(((V$2-$I55+1)/365)*$D55,2),AND(YEAR(V$2)&gt;YEAR($I55),YEAR(V$2)-YEAR($I55)&lt;20),$D55,YEAR(V$2)-YEAR($I55)=20,ROUND((DATE(YEAR($I55),12,31)-$I55+1)/365*$D55,2),YEAR(V$2)-YEAR($I55)&gt;20,0)</f>
        <v>2875</v>
      </c>
      <c r="W55" s="48" cm="1">
        <f t="array" ref="W55">_xlfn.IFS(YEAR(W$2)&lt;YEAR($I55),0,YEAR(W$2)=YEAR($I55),ROUND(((W$2-$I55+1)/365)*$D55,2),AND(YEAR(W$2)&gt;YEAR($I55),YEAR(W$2)-YEAR($I55)&lt;20),$D55,YEAR(W$2)-YEAR($I55)=20,ROUND((DATE(YEAR($I55),12,31)-$I55+1)/365*$D55,2),YEAR(W$2)-YEAR($I55)&gt;20,0)</f>
        <v>2875</v>
      </c>
      <c r="X55" s="48" cm="1">
        <f t="array" ref="X55">_xlfn.IFS(YEAR(X$2)&lt;YEAR($I55),0,YEAR(X$2)=YEAR($I55),ROUND(((X$2-$I55+1)/365)*$D55,2),AND(YEAR(X$2)&gt;YEAR($I55),YEAR(X$2)-YEAR($I55)&lt;20),$D55,YEAR(X$2)-YEAR($I55)=20,ROUND((DATE(YEAR($I55),12,31)-$I55+1)/365*$D55,2),YEAR(X$2)-YEAR($I55)&gt;20,0)</f>
        <v>2875</v>
      </c>
      <c r="Y55" s="48" cm="1">
        <f t="array" ref="Y55">_xlfn.IFS(YEAR(Y$2)&lt;YEAR($I55),0,YEAR(Y$2)=YEAR($I55),ROUND(((Y$2-$I55+1)/365)*$D55,2),AND(YEAR(Y$2)&gt;YEAR($I55),YEAR(Y$2)-YEAR($I55)&lt;20),$D55,YEAR(Y$2)-YEAR($I55)=20,ROUND((DATE(YEAR($I55),12,31)-$I55+1)/365*$D55,2),YEAR(Y$2)-YEAR($I55)&gt;20,0)</f>
        <v>2875</v>
      </c>
      <c r="Z55" s="48" cm="1">
        <f t="array" ref="Z55">_xlfn.IFS(YEAR(Z$2)&lt;YEAR($I55),0,YEAR(Z$2)=YEAR($I55),ROUND(((Z$2-$I55+1)/365)*$D55,2),AND(YEAR(Z$2)&gt;YEAR($I55),YEAR(Z$2)-YEAR($I55)&lt;20),$D55,YEAR(Z$2)-YEAR($I55)=20,ROUND((DATE(YEAR($I55),12,31)-$I55+1)/365*$D55,2),YEAR(Z$2)-YEAR($I55)&gt;20,0)</f>
        <v>2875</v>
      </c>
      <c r="AA55" s="48" cm="1">
        <f t="array" ref="AA55">_xlfn.IFS(YEAR(AA$2)&lt;YEAR($I55),0,YEAR(AA$2)=YEAR($I55),ROUND(((AA$2-$I55+1)/365)*$D55,2),AND(YEAR(AA$2)&gt;YEAR($I55),YEAR(AA$2)-YEAR($I55)&lt;20),$D55,YEAR(AA$2)-YEAR($I55)=20,ROUND((DATE(YEAR($I55),12,31)-$I55+1)/365*$D55,2),YEAR(AA$2)-YEAR($I55)&gt;20,0)</f>
        <v>2875</v>
      </c>
      <c r="AB55" s="48" cm="1">
        <f t="array" ref="AB55">_xlfn.IFS(YEAR(AB$2)&lt;YEAR($I55),0,YEAR(AB$2)=YEAR($I55),ROUND(((AB$2-$I55+1)/365)*$D55,2),AND(YEAR(AB$2)&gt;YEAR($I55),YEAR(AB$2)-YEAR($I55)&lt;20),$D55,YEAR(AB$2)-YEAR($I55)=20,ROUND((DATE(YEAR($I55),12,31)-$I55+1)/365*$D55,2),YEAR(AB$2)-YEAR($I55)&gt;20,0)</f>
        <v>2875</v>
      </c>
      <c r="AC55" s="48" cm="1">
        <f t="array" ref="AC55">_xlfn.IFS(YEAR(AC$2)&lt;YEAR($I55),0,YEAR(AC$2)=YEAR($I55),ROUND(((AC$2-$I55+1)/365)*$D55,2),AND(YEAR(AC$2)&gt;YEAR($I55),YEAR(AC$2)-YEAR($I55)&lt;20),$D55,YEAR(AC$2)-YEAR($I55)=20,ROUND((DATE(YEAR($I55),12,31)-$I55+1)/365*$D55,2),YEAR(AC$2)-YEAR($I55)&gt;20,0)</f>
        <v>2875</v>
      </c>
      <c r="AD55" s="48" cm="1">
        <f t="array" ref="AD55">_xlfn.IFS(YEAR(AD$2)&lt;YEAR($I55),0,YEAR(AD$2)=YEAR($I55),ROUND(((AD$2-$I55+1)/365)*$D55,2),AND(YEAR(AD$2)&gt;YEAR($I55),YEAR(AD$2)-YEAR($I55)&lt;20),$D55,YEAR(AD$2)-YEAR($I55)=20,ROUND((DATE(YEAR($I55),12,31)-$I55+1)/365*$D55,2),YEAR(AD$2)-YEAR($I55)&gt;20,0)</f>
        <v>2875</v>
      </c>
      <c r="AE55" s="48" cm="1">
        <f t="array" ref="AE55">_xlfn.IFS(YEAR(AE$2)&lt;YEAR($I55),0,YEAR(AE$2)=YEAR($I55),ROUND(((AE$2-$I55+1)/365)*$D55,2),AND(YEAR(AE$2)&gt;YEAR($I55),YEAR(AE$2)-YEAR($I55)&lt;20),$D55,YEAR(AE$2)-YEAR($I55)=20,ROUND((DATE(YEAR($I55),12,31)-$I55+1)/365*$D55,2),YEAR(AE$2)-YEAR($I55)&gt;20,0)</f>
        <v>2875</v>
      </c>
      <c r="AF55" s="48" cm="1">
        <f t="array" ref="AF55">_xlfn.IFS(YEAR(AF$2)&lt;YEAR($I55),0,YEAR(AF$2)=YEAR($I55),ROUND(((AF$2-$I55+1)/365)*$D55,2),AND(YEAR(AF$2)&gt;YEAR($I55),YEAR(AF$2)-YEAR($I55)&lt;20),$D55,YEAR(AF$2)-YEAR($I55)=20,ROUND((DATE(YEAR($I55),12,31)-$I55+1)/365*$D55,2),YEAR(AF$2)-YEAR($I55)&gt;20,0)</f>
        <v>2875</v>
      </c>
      <c r="AG55" s="48" cm="1">
        <f t="array" ref="AG55">_xlfn.IFS(YEAR(AG$2)&lt;YEAR($I55),0,YEAR(AG$2)=YEAR($I55),ROUND(((AG$2-$I55+1)/365)*$D55,2),AND(YEAR(AG$2)&gt;YEAR($I55),YEAR(AG$2)-YEAR($I55)&lt;20),$D55,YEAR(AG$2)-YEAR($I55)=20,ROUND((DATE(YEAR($I55),12,31)-$I55+1)/365*$D55,2),YEAR(AG$2)-YEAR($I55)&gt;20,0)</f>
        <v>2875</v>
      </c>
      <c r="AH55" s="48" cm="1">
        <f t="array" ref="AH55">_xlfn.IFS(YEAR(AH$2)&lt;YEAR($I55),0,YEAR(AH$2)=YEAR($I55),ROUND(((AH$2-$I55+1)/365)*$D55,2),AND(YEAR(AH$2)&gt;YEAR($I55),YEAR(AH$2)-YEAR($I55)&lt;20),$D55,YEAR(AH$2)-YEAR($I55)=20,ROUND((DATE(YEAR($I55),12,31)-$I55+1)/365*$D55,2),YEAR(AH$2)-YEAR($I55)&gt;20,0)</f>
        <v>2166.1</v>
      </c>
      <c r="AI55" s="48" cm="1">
        <f t="array" ref="AI55">_xlfn.IFS(YEAR(AI$2)&lt;YEAR($I55),0,YEAR(AI$2)=YEAR($I55),ROUND(((AI$2-$I55+1)/365)*$D55,2),AND(YEAR(AI$2)&gt;YEAR($I55),YEAR(AI$2)-YEAR($I55)&lt;20),$D55,YEAR(AI$2)-YEAR($I55)=20,ROUND((DATE(YEAR($I55),12,31)-$I55+1)/365*$D55,2),YEAR(AI$2)-YEAR($I55)&gt;20,0)</f>
        <v>0</v>
      </c>
      <c r="AJ55" s="48" cm="1">
        <f t="array" ref="AJ55">_xlfn.IFS(YEAR(AJ$2)&lt;YEAR($I55),0,YEAR(AJ$2)=YEAR($I55),ROUND(((AJ$2-$I55+1)/365)*$D55,2),AND(YEAR(AJ$2)&gt;YEAR($I55),YEAR(AJ$2)-YEAR($I55)&lt;20),$D55,YEAR(AJ$2)-YEAR($I55)=20,ROUND((DATE(YEAR($I55),12,31)-$I55+1)/365*$D55,2),YEAR(AJ$2)-YEAR($I55)&gt;20,0)</f>
        <v>0</v>
      </c>
      <c r="AK55" s="48" cm="1">
        <f t="array" ref="AK55">_xlfn.IFS(YEAR(AK$2)&lt;YEAR($I55),0,YEAR(AK$2)=YEAR($I55),ROUND(((AK$2-$I55+1)/365)*$D55,2),AND(YEAR(AK$2)&gt;YEAR($I55),YEAR(AK$2)-YEAR($I55)&lt;20),$D55,YEAR(AK$2)-YEAR($I55)=20,ROUND((DATE(YEAR($I55),12,31)-$I55+1)/365*$D55,2),YEAR(AK$2)-YEAR($I55)&gt;20,0)</f>
        <v>0</v>
      </c>
      <c r="AL55" s="48" cm="1">
        <f t="array" ref="AL55">_xlfn.IFS(YEAR(AL$2)&lt;YEAR($I55),0,YEAR(AL$2)=YEAR($I55),ROUND(((AL$2-$I55+1)/365)*$D55,2),AND(YEAR(AL$2)&gt;YEAR($I55),YEAR(AL$2)-YEAR($I55)&lt;20),$D55,YEAR(AL$2)-YEAR($I55)=20,ROUND((DATE(YEAR($I55),12,31)-$I55+1)/365*$D55,2),YEAR(AL$2)-YEAR($I55)&gt;20,0)</f>
        <v>0</v>
      </c>
      <c r="AM55" s="48" cm="1">
        <f t="array" ref="AM55">_xlfn.IFS(YEAR(AM$2)&lt;YEAR($I55),0,YEAR(AM$2)=YEAR($I55),ROUND(((AM$2-$I55+1)/365)*$D55,2),AND(YEAR(AM$2)&gt;YEAR($I55),YEAR(AM$2)-YEAR($I55)&lt;20),$D55,YEAR(AM$2)-YEAR($I55)=20,ROUND((DATE(YEAR($I55),12,31)-$I55+1)/365*$D55,2),YEAR(AM$2)-YEAR($I55)&gt;20,0)</f>
        <v>0</v>
      </c>
    </row>
    <row r="56" spans="1:54">
      <c r="A56" s="155" t="str" cm="1">
        <f t="array" ref="A56">_xlfn.IFS(LEFT(C56,3)="PGE","PGE",LEFT(C56,2)="PP","PAC",TRUE,"IP")</f>
        <v>PGE</v>
      </c>
      <c r="B56" s="155" t="str">
        <f>IF(ISNA(MATCH(C56,'Monthly Report July 2025'!E:E,0)),"Missing","Present")</f>
        <v>Present</v>
      </c>
      <c r="C56" s="155" t="s">
        <v>165</v>
      </c>
      <c r="D56" s="176" cm="1">
        <f t="array" ref="D56">INDEX('Monthly Report July 2025'!L:L,MATCH(C56,'Monthly Report July 2025'!E:E,0),0)</f>
        <v>2970</v>
      </c>
      <c r="E56" s="176" t="str" cm="1">
        <f t="array" ref="E56">IF(INDEX('PA Fees by Project'!K:K,MATCH(C56,'PA Fees by Project'!E:E,0),0)="No","Non-Carve Out", "Carve Out")</f>
        <v>Non-Carve Out</v>
      </c>
      <c r="F56" s="176" cm="1">
        <f t="array" ref="F56">INDEX('PA Fees by Project'!J:J,MATCH(C56,'PA Fees by Project'!E:E,0),0)</f>
        <v>2</v>
      </c>
      <c r="G56" s="155" t="str" cm="1">
        <f t="array" ref="G56">INDEX('PA Fees by Project'!G:G,MATCH(C56,'PA Fees by Project'!E:E,0),0)</f>
        <v>Operational</v>
      </c>
      <c r="H56" s="175" cm="1">
        <f t="array" ref="H56">INDEX('PA Fees by Project'!Q:Q,MATCH(C56,'PA Fees by Project'!E:E,0),0)</f>
        <v>45748</v>
      </c>
      <c r="I56" s="156" cm="1">
        <f t="array" ref="I56">_xlfn.IFS(G56="Operational",H56,G56="Certified",EDATE(INDEX('PA Fees by Project'!R:R,MATCH(C56,'PA Fees by Project'!E:E,0),0),6),TRUE,EDATE(INDEX('PA Fees by Project'!O:O,MATCH(C56,'PA Fees by Project'!E:E,0),0),6))</f>
        <v>45748</v>
      </c>
      <c r="J56" s="48" cm="1">
        <f t="array" ref="J56">_xlfn.IFS(YEAR(J$2)&lt;YEAR($I56),0,YEAR(J$2)=YEAR($I56),ROUND(((J$2-$I56+1)/365)*$D56,2),AND(YEAR(J$2)&gt;YEAR($I56),YEAR(J$2)-YEAR($I56)&lt;20),$D56,YEAR(J$2)-YEAR($I56)=20,ROUND((DATE(YEAR($I56),12,31)-$I56+1)/365*$D56,2),YEAR(J$2)-YEAR($I56)&gt;20,0)</f>
        <v>0</v>
      </c>
      <c r="K56" s="48" cm="1">
        <f t="array" ref="K56">_xlfn.IFS(YEAR(K$2)&lt;YEAR($I56),0,YEAR(K$2)=YEAR($I56),ROUND(((K$2-$I56+1)/365)*$D56,2),AND(YEAR(K$2)&gt;YEAR($I56),YEAR(K$2)-YEAR($I56)&lt;20),$D56,YEAR(K$2)-YEAR($I56)=20,ROUND((DATE(YEAR($I56),12,31)-$I56+1)/365*$D56,2),YEAR(K$2)-YEAR($I56)&gt;20,0)</f>
        <v>0</v>
      </c>
      <c r="L56" s="48" cm="1">
        <f t="array" ref="L56">_xlfn.IFS(YEAR(L$2)&lt;YEAR($I56),0,YEAR(L$2)=YEAR($I56),ROUND(((L$2-$I56+1)/365)*$D56,2),AND(YEAR(L$2)&gt;YEAR($I56),YEAR(L$2)-YEAR($I56)&lt;20),$D56,YEAR(L$2)-YEAR($I56)=20,ROUND((DATE(YEAR($I56),12,31)-$I56+1)/365*$D56,2),YEAR(L$2)-YEAR($I56)&gt;20,0)</f>
        <v>0</v>
      </c>
      <c r="M56" s="48" cm="1">
        <f t="array" ref="M56">_xlfn.IFS(YEAR(M$2)&lt;YEAR($I56),0,YEAR(M$2)=YEAR($I56),ROUND(((M$2-$I56+1)/365)*$D56,2),AND(YEAR(M$2)&gt;YEAR($I56),YEAR(M$2)-YEAR($I56)&lt;20),$D56,YEAR(M$2)-YEAR($I56)=20,ROUND((DATE(YEAR($I56),12,31)-$I56+1)/365*$D56,2),YEAR(M$2)-YEAR($I56)&gt;20,0)</f>
        <v>0</v>
      </c>
      <c r="N56" s="48" cm="1">
        <f t="array" ref="N56">_xlfn.IFS(YEAR(N$2)&lt;YEAR($I56),0,YEAR(N$2)=YEAR($I56),ROUND(((N$2-$I56+1)/365)*$D56,2),AND(YEAR(N$2)&gt;YEAR($I56),YEAR(N$2)-YEAR($I56)&lt;20),$D56,YEAR(N$2)-YEAR($I56)=20,ROUND((DATE(YEAR($I56),12,31)-$I56+1)/365*$D56,2),YEAR(N$2)-YEAR($I56)&gt;20,0)</f>
        <v>2237.67</v>
      </c>
      <c r="O56" s="48" cm="1">
        <f t="array" ref="O56">_xlfn.IFS(YEAR(O$2)&lt;YEAR($I56),0,YEAR(O$2)=YEAR($I56),ROUND(((O$2-$I56+1)/365)*$D56,2),AND(YEAR(O$2)&gt;YEAR($I56),YEAR(O$2)-YEAR($I56)&lt;20),$D56,YEAR(O$2)-YEAR($I56)=20,ROUND((DATE(YEAR($I56),12,31)-$I56+1)/365*$D56,2),YEAR(O$2)-YEAR($I56)&gt;20,0)</f>
        <v>2970</v>
      </c>
      <c r="P56" s="48" cm="1">
        <f t="array" ref="P56">_xlfn.IFS(YEAR(P$2)&lt;YEAR($I56),0,YEAR(P$2)=YEAR($I56),ROUND(((P$2-$I56+1)/365)*$D56,2),AND(YEAR(P$2)&gt;YEAR($I56),YEAR(P$2)-YEAR($I56)&lt;20),$D56,YEAR(P$2)-YEAR($I56)=20,ROUND((DATE(YEAR($I56),12,31)-$I56+1)/365*$D56,2),YEAR(P$2)-YEAR($I56)&gt;20,0)</f>
        <v>2970</v>
      </c>
      <c r="Q56" s="48" cm="1">
        <f t="array" ref="Q56">_xlfn.IFS(YEAR(Q$2)&lt;YEAR($I56),0,YEAR(Q$2)=YEAR($I56),ROUND(((Q$2-$I56+1)/365)*$D56,2),AND(YEAR(Q$2)&gt;YEAR($I56),YEAR(Q$2)-YEAR($I56)&lt;20),$D56,YEAR(Q$2)-YEAR($I56)=20,ROUND((DATE(YEAR($I56),12,31)-$I56+1)/365*$D56,2),YEAR(Q$2)-YEAR($I56)&gt;20,0)</f>
        <v>2970</v>
      </c>
      <c r="R56" s="48" cm="1">
        <f t="array" ref="R56">_xlfn.IFS(YEAR(R$2)&lt;YEAR($I56),0,YEAR(R$2)=YEAR($I56),ROUND(((R$2-$I56+1)/365)*$D56,2),AND(YEAR(R$2)&gt;YEAR($I56),YEAR(R$2)-YEAR($I56)&lt;20),$D56,YEAR(R$2)-YEAR($I56)=20,ROUND((DATE(YEAR($I56),12,31)-$I56+1)/365*$D56,2),YEAR(R$2)-YEAR($I56)&gt;20,0)</f>
        <v>2970</v>
      </c>
      <c r="S56" s="48" cm="1">
        <f t="array" ref="S56">_xlfn.IFS(YEAR(S$2)&lt;YEAR($I56),0,YEAR(S$2)=YEAR($I56),ROUND(((S$2-$I56+1)/365)*$D56,2),AND(YEAR(S$2)&gt;YEAR($I56),YEAR(S$2)-YEAR($I56)&lt;20),$D56,YEAR(S$2)-YEAR($I56)=20,ROUND((DATE(YEAR($I56),12,31)-$I56+1)/365*$D56,2),YEAR(S$2)-YEAR($I56)&gt;20,0)</f>
        <v>2970</v>
      </c>
      <c r="T56" s="48" cm="1">
        <f t="array" ref="T56">_xlfn.IFS(YEAR(T$2)&lt;YEAR($I56),0,YEAR(T$2)=YEAR($I56),ROUND(((T$2-$I56+1)/365)*$D56,2),AND(YEAR(T$2)&gt;YEAR($I56),YEAR(T$2)-YEAR($I56)&lt;20),$D56,YEAR(T$2)-YEAR($I56)=20,ROUND((DATE(YEAR($I56),12,31)-$I56+1)/365*$D56,2),YEAR(T$2)-YEAR($I56)&gt;20,0)</f>
        <v>2970</v>
      </c>
      <c r="U56" s="48" cm="1">
        <f t="array" ref="U56">_xlfn.IFS(YEAR(U$2)&lt;YEAR($I56),0,YEAR(U$2)=YEAR($I56),ROUND(((U$2-$I56+1)/365)*$D56,2),AND(YEAR(U$2)&gt;YEAR($I56),YEAR(U$2)-YEAR($I56)&lt;20),$D56,YEAR(U$2)-YEAR($I56)=20,ROUND((DATE(YEAR($I56),12,31)-$I56+1)/365*$D56,2),YEAR(U$2)-YEAR($I56)&gt;20,0)</f>
        <v>2970</v>
      </c>
      <c r="V56" s="48" cm="1">
        <f t="array" ref="V56">_xlfn.IFS(YEAR(V$2)&lt;YEAR($I56),0,YEAR(V$2)=YEAR($I56),ROUND(((V$2-$I56+1)/365)*$D56,2),AND(YEAR(V$2)&gt;YEAR($I56),YEAR(V$2)-YEAR($I56)&lt;20),$D56,YEAR(V$2)-YEAR($I56)=20,ROUND((DATE(YEAR($I56),12,31)-$I56+1)/365*$D56,2),YEAR(V$2)-YEAR($I56)&gt;20,0)</f>
        <v>2970</v>
      </c>
      <c r="W56" s="48" cm="1">
        <f t="array" ref="W56">_xlfn.IFS(YEAR(W$2)&lt;YEAR($I56),0,YEAR(W$2)=YEAR($I56),ROUND(((W$2-$I56+1)/365)*$D56,2),AND(YEAR(W$2)&gt;YEAR($I56),YEAR(W$2)-YEAR($I56)&lt;20),$D56,YEAR(W$2)-YEAR($I56)=20,ROUND((DATE(YEAR($I56),12,31)-$I56+1)/365*$D56,2),YEAR(W$2)-YEAR($I56)&gt;20,0)</f>
        <v>2970</v>
      </c>
      <c r="X56" s="48" cm="1">
        <f t="array" ref="X56">_xlfn.IFS(YEAR(X$2)&lt;YEAR($I56),0,YEAR(X$2)=YEAR($I56),ROUND(((X$2-$I56+1)/365)*$D56,2),AND(YEAR(X$2)&gt;YEAR($I56),YEAR(X$2)-YEAR($I56)&lt;20),$D56,YEAR(X$2)-YEAR($I56)=20,ROUND((DATE(YEAR($I56),12,31)-$I56+1)/365*$D56,2),YEAR(X$2)-YEAR($I56)&gt;20,0)</f>
        <v>2970</v>
      </c>
      <c r="Y56" s="48" cm="1">
        <f t="array" ref="Y56">_xlfn.IFS(YEAR(Y$2)&lt;YEAR($I56),0,YEAR(Y$2)=YEAR($I56),ROUND(((Y$2-$I56+1)/365)*$D56,2),AND(YEAR(Y$2)&gt;YEAR($I56),YEAR(Y$2)-YEAR($I56)&lt;20),$D56,YEAR(Y$2)-YEAR($I56)=20,ROUND((DATE(YEAR($I56),12,31)-$I56+1)/365*$D56,2),YEAR(Y$2)-YEAR($I56)&gt;20,0)</f>
        <v>2970</v>
      </c>
      <c r="Z56" s="48" cm="1">
        <f t="array" ref="Z56">_xlfn.IFS(YEAR(Z$2)&lt;YEAR($I56),0,YEAR(Z$2)=YEAR($I56),ROUND(((Z$2-$I56+1)/365)*$D56,2),AND(YEAR(Z$2)&gt;YEAR($I56),YEAR(Z$2)-YEAR($I56)&lt;20),$D56,YEAR(Z$2)-YEAR($I56)=20,ROUND((DATE(YEAR($I56),12,31)-$I56+1)/365*$D56,2),YEAR(Z$2)-YEAR($I56)&gt;20,0)</f>
        <v>2970</v>
      </c>
      <c r="AA56" s="48" cm="1">
        <f t="array" ref="AA56">_xlfn.IFS(YEAR(AA$2)&lt;YEAR($I56),0,YEAR(AA$2)=YEAR($I56),ROUND(((AA$2-$I56+1)/365)*$D56,2),AND(YEAR(AA$2)&gt;YEAR($I56),YEAR(AA$2)-YEAR($I56)&lt;20),$D56,YEAR(AA$2)-YEAR($I56)=20,ROUND((DATE(YEAR($I56),12,31)-$I56+1)/365*$D56,2),YEAR(AA$2)-YEAR($I56)&gt;20,0)</f>
        <v>2970</v>
      </c>
      <c r="AB56" s="48" cm="1">
        <f t="array" ref="AB56">_xlfn.IFS(YEAR(AB$2)&lt;YEAR($I56),0,YEAR(AB$2)=YEAR($I56),ROUND(((AB$2-$I56+1)/365)*$D56,2),AND(YEAR(AB$2)&gt;YEAR($I56),YEAR(AB$2)-YEAR($I56)&lt;20),$D56,YEAR(AB$2)-YEAR($I56)=20,ROUND((DATE(YEAR($I56),12,31)-$I56+1)/365*$D56,2),YEAR(AB$2)-YEAR($I56)&gt;20,0)</f>
        <v>2970</v>
      </c>
      <c r="AC56" s="48" cm="1">
        <f t="array" ref="AC56">_xlfn.IFS(YEAR(AC$2)&lt;YEAR($I56),0,YEAR(AC$2)=YEAR($I56),ROUND(((AC$2-$I56+1)/365)*$D56,2),AND(YEAR(AC$2)&gt;YEAR($I56),YEAR(AC$2)-YEAR($I56)&lt;20),$D56,YEAR(AC$2)-YEAR($I56)=20,ROUND((DATE(YEAR($I56),12,31)-$I56+1)/365*$D56,2),YEAR(AC$2)-YEAR($I56)&gt;20,0)</f>
        <v>2970</v>
      </c>
      <c r="AD56" s="48" cm="1">
        <f t="array" ref="AD56">_xlfn.IFS(YEAR(AD$2)&lt;YEAR($I56),0,YEAR(AD$2)=YEAR($I56),ROUND(((AD$2-$I56+1)/365)*$D56,2),AND(YEAR(AD$2)&gt;YEAR($I56),YEAR(AD$2)-YEAR($I56)&lt;20),$D56,YEAR(AD$2)-YEAR($I56)=20,ROUND((DATE(YEAR($I56),12,31)-$I56+1)/365*$D56,2),YEAR(AD$2)-YEAR($I56)&gt;20,0)</f>
        <v>2970</v>
      </c>
      <c r="AE56" s="48" cm="1">
        <f t="array" ref="AE56">_xlfn.IFS(YEAR(AE$2)&lt;YEAR($I56),0,YEAR(AE$2)=YEAR($I56),ROUND(((AE$2-$I56+1)/365)*$D56,2),AND(YEAR(AE$2)&gt;YEAR($I56),YEAR(AE$2)-YEAR($I56)&lt;20),$D56,YEAR(AE$2)-YEAR($I56)=20,ROUND((DATE(YEAR($I56),12,31)-$I56+1)/365*$D56,2),YEAR(AE$2)-YEAR($I56)&gt;20,0)</f>
        <v>2970</v>
      </c>
      <c r="AF56" s="48" cm="1">
        <f t="array" ref="AF56">_xlfn.IFS(YEAR(AF$2)&lt;YEAR($I56),0,YEAR(AF$2)=YEAR($I56),ROUND(((AF$2-$I56+1)/365)*$D56,2),AND(YEAR(AF$2)&gt;YEAR($I56),YEAR(AF$2)-YEAR($I56)&lt;20),$D56,YEAR(AF$2)-YEAR($I56)=20,ROUND((DATE(YEAR($I56),12,31)-$I56+1)/365*$D56,2),YEAR(AF$2)-YEAR($I56)&gt;20,0)</f>
        <v>2970</v>
      </c>
      <c r="AG56" s="48" cm="1">
        <f t="array" ref="AG56">_xlfn.IFS(YEAR(AG$2)&lt;YEAR($I56),0,YEAR(AG$2)=YEAR($I56),ROUND(((AG$2-$I56+1)/365)*$D56,2),AND(YEAR(AG$2)&gt;YEAR($I56),YEAR(AG$2)-YEAR($I56)&lt;20),$D56,YEAR(AG$2)-YEAR($I56)=20,ROUND((DATE(YEAR($I56),12,31)-$I56+1)/365*$D56,2),YEAR(AG$2)-YEAR($I56)&gt;20,0)</f>
        <v>2970</v>
      </c>
      <c r="AH56" s="48" cm="1">
        <f t="array" ref="AH56">_xlfn.IFS(YEAR(AH$2)&lt;YEAR($I56),0,YEAR(AH$2)=YEAR($I56),ROUND(((AH$2-$I56+1)/365)*$D56,2),AND(YEAR(AH$2)&gt;YEAR($I56),YEAR(AH$2)-YEAR($I56)&lt;20),$D56,YEAR(AH$2)-YEAR($I56)=20,ROUND((DATE(YEAR($I56),12,31)-$I56+1)/365*$D56,2),YEAR(AH$2)-YEAR($I56)&gt;20,0)</f>
        <v>2237.67</v>
      </c>
      <c r="AI56" s="48" cm="1">
        <f t="array" ref="AI56">_xlfn.IFS(YEAR(AI$2)&lt;YEAR($I56),0,YEAR(AI$2)=YEAR($I56),ROUND(((AI$2-$I56+1)/365)*$D56,2),AND(YEAR(AI$2)&gt;YEAR($I56),YEAR(AI$2)-YEAR($I56)&lt;20),$D56,YEAR(AI$2)-YEAR($I56)=20,ROUND((DATE(YEAR($I56),12,31)-$I56+1)/365*$D56,2),YEAR(AI$2)-YEAR($I56)&gt;20,0)</f>
        <v>0</v>
      </c>
      <c r="AJ56" s="48" cm="1">
        <f t="array" ref="AJ56">_xlfn.IFS(YEAR(AJ$2)&lt;YEAR($I56),0,YEAR(AJ$2)=YEAR($I56),ROUND(((AJ$2-$I56+1)/365)*$D56,2),AND(YEAR(AJ$2)&gt;YEAR($I56),YEAR(AJ$2)-YEAR($I56)&lt;20),$D56,YEAR(AJ$2)-YEAR($I56)=20,ROUND((DATE(YEAR($I56),12,31)-$I56+1)/365*$D56,2),YEAR(AJ$2)-YEAR($I56)&gt;20,0)</f>
        <v>0</v>
      </c>
      <c r="AK56" s="48" cm="1">
        <f t="array" ref="AK56">_xlfn.IFS(YEAR(AK$2)&lt;YEAR($I56),0,YEAR(AK$2)=YEAR($I56),ROUND(((AK$2-$I56+1)/365)*$D56,2),AND(YEAR(AK$2)&gt;YEAR($I56),YEAR(AK$2)-YEAR($I56)&lt;20),$D56,YEAR(AK$2)-YEAR($I56)=20,ROUND((DATE(YEAR($I56),12,31)-$I56+1)/365*$D56,2),YEAR(AK$2)-YEAR($I56)&gt;20,0)</f>
        <v>0</v>
      </c>
      <c r="AL56" s="48" cm="1">
        <f t="array" ref="AL56">_xlfn.IFS(YEAR(AL$2)&lt;YEAR($I56),0,YEAR(AL$2)=YEAR($I56),ROUND(((AL$2-$I56+1)/365)*$D56,2),AND(YEAR(AL$2)&gt;YEAR($I56),YEAR(AL$2)-YEAR($I56)&lt;20),$D56,YEAR(AL$2)-YEAR($I56)=20,ROUND((DATE(YEAR($I56),12,31)-$I56+1)/365*$D56,2),YEAR(AL$2)-YEAR($I56)&gt;20,0)</f>
        <v>0</v>
      </c>
      <c r="AM56" s="48" cm="1">
        <f t="array" ref="AM56">_xlfn.IFS(YEAR(AM$2)&lt;YEAR($I56),0,YEAR(AM$2)=YEAR($I56),ROUND(((AM$2-$I56+1)/365)*$D56,2),AND(YEAR(AM$2)&gt;YEAR($I56),YEAR(AM$2)-YEAR($I56)&lt;20),$D56,YEAR(AM$2)-YEAR($I56)=20,ROUND((DATE(YEAR($I56),12,31)-$I56+1)/365*$D56,2),YEAR(AM$2)-YEAR($I56)&gt;20,0)</f>
        <v>0</v>
      </c>
    </row>
    <row r="57" spans="1:54">
      <c r="A57" s="155" t="str" cm="1">
        <f t="array" ref="A57">_xlfn.IFS(LEFT(C57,3)="PGE","PGE",LEFT(C57,2)="PP","PAC",TRUE,"IP")</f>
        <v>PGE</v>
      </c>
      <c r="B57" s="155" t="str">
        <f>IF(ISNA(MATCH(C57,'Monthly Report July 2025'!E:E,0)),"Missing","Present")</f>
        <v>Present</v>
      </c>
      <c r="C57" s="155" t="s">
        <v>166</v>
      </c>
      <c r="D57" s="176" cm="1">
        <f t="array" ref="D57">INDEX('Monthly Report July 2025'!L:L,MATCH(C57,'Monthly Report July 2025'!E:E,0),0)</f>
        <v>2500</v>
      </c>
      <c r="E57" s="176" t="str" cm="1">
        <f t="array" ref="E57">IF(INDEX('PA Fees by Project'!K:K,MATCH(C57,'PA Fees by Project'!E:E,0),0)="No","Non-Carve Out", "Carve Out")</f>
        <v>Non-Carve Out</v>
      </c>
      <c r="F57" s="176" cm="1">
        <f t="array" ref="F57">INDEX('PA Fees by Project'!J:J,MATCH(C57,'PA Fees by Project'!E:E,0),0)</f>
        <v>2</v>
      </c>
      <c r="G57" s="155" t="str" cm="1">
        <f t="array" ref="G57">INDEX('PA Fees by Project'!G:G,MATCH(C57,'PA Fees by Project'!E:E,0),0)</f>
        <v>Operational</v>
      </c>
      <c r="H57" s="175" cm="1">
        <f t="array" ref="H57">INDEX('PA Fees by Project'!Q:Q,MATCH(C57,'PA Fees by Project'!E:E,0),0)</f>
        <v>45646</v>
      </c>
      <c r="I57" s="156" cm="1">
        <f t="array" ref="I57">_xlfn.IFS(G57="Operational",H57,G57="Certified",EDATE(INDEX('PA Fees by Project'!R:R,MATCH(C57,'PA Fees by Project'!E:E,0),0),6),TRUE,EDATE(INDEX('PA Fees by Project'!O:O,MATCH(C57,'PA Fees by Project'!E:E,0),0),6))</f>
        <v>45646</v>
      </c>
      <c r="J57" s="48" cm="1">
        <f t="array" ref="J57">_xlfn.IFS(YEAR(J$2)&lt;YEAR($I57),0,YEAR(J$2)=YEAR($I57),ROUND(((J$2-$I57+1)/365)*$D57,2),AND(YEAR(J$2)&gt;YEAR($I57),YEAR(J$2)-YEAR($I57)&lt;20),$D57,YEAR(J$2)-YEAR($I57)=20,ROUND((DATE(YEAR($I57),12,31)-$I57+1)/365*$D57,2),YEAR(J$2)-YEAR($I57)&gt;20,0)</f>
        <v>0</v>
      </c>
      <c r="K57" s="48" cm="1">
        <f t="array" ref="K57">_xlfn.IFS(YEAR(K$2)&lt;YEAR($I57),0,YEAR(K$2)=YEAR($I57),ROUND(((K$2-$I57+1)/365)*$D57,2),AND(YEAR(K$2)&gt;YEAR($I57),YEAR(K$2)-YEAR($I57)&lt;20),$D57,YEAR(K$2)-YEAR($I57)=20,ROUND((DATE(YEAR($I57),12,31)-$I57+1)/365*$D57,2),YEAR(K$2)-YEAR($I57)&gt;20,0)</f>
        <v>0</v>
      </c>
      <c r="L57" s="48" cm="1">
        <f t="array" ref="L57">_xlfn.IFS(YEAR(L$2)&lt;YEAR($I57),0,YEAR(L$2)=YEAR($I57),ROUND(((L$2-$I57+1)/365)*$D57,2),AND(YEAR(L$2)&gt;YEAR($I57),YEAR(L$2)-YEAR($I57)&lt;20),$D57,YEAR(L$2)-YEAR($I57)=20,ROUND((DATE(YEAR($I57),12,31)-$I57+1)/365*$D57,2),YEAR(L$2)-YEAR($I57)&gt;20,0)</f>
        <v>0</v>
      </c>
      <c r="M57" s="48" cm="1">
        <f t="array" ref="M57">_xlfn.IFS(YEAR(M$2)&lt;YEAR($I57),0,YEAR(M$2)=YEAR($I57),ROUND(((M$2-$I57+1)/365)*$D57,2),AND(YEAR(M$2)&gt;YEAR($I57),YEAR(M$2)-YEAR($I57)&lt;20),$D57,YEAR(M$2)-YEAR($I57)=20,ROUND((DATE(YEAR($I57),12,31)-$I57+1)/365*$D57,2),YEAR(M$2)-YEAR($I57)&gt;20,0)</f>
        <v>82.19</v>
      </c>
      <c r="N57" s="48" cm="1">
        <f t="array" ref="N57">_xlfn.IFS(YEAR(N$2)&lt;YEAR($I57),0,YEAR(N$2)=YEAR($I57),ROUND(((N$2-$I57+1)/365)*$D57,2),AND(YEAR(N$2)&gt;YEAR($I57),YEAR(N$2)-YEAR($I57)&lt;20),$D57,YEAR(N$2)-YEAR($I57)=20,ROUND((DATE(YEAR($I57),12,31)-$I57+1)/365*$D57,2),YEAR(N$2)-YEAR($I57)&gt;20,0)</f>
        <v>2500</v>
      </c>
      <c r="O57" s="48" cm="1">
        <f t="array" ref="O57">_xlfn.IFS(YEAR(O$2)&lt;YEAR($I57),0,YEAR(O$2)=YEAR($I57),ROUND(((O$2-$I57+1)/365)*$D57,2),AND(YEAR(O$2)&gt;YEAR($I57),YEAR(O$2)-YEAR($I57)&lt;20),$D57,YEAR(O$2)-YEAR($I57)=20,ROUND((DATE(YEAR($I57),12,31)-$I57+1)/365*$D57,2),YEAR(O$2)-YEAR($I57)&gt;20,0)</f>
        <v>2500</v>
      </c>
      <c r="P57" s="48" cm="1">
        <f t="array" ref="P57">_xlfn.IFS(YEAR(P$2)&lt;YEAR($I57),0,YEAR(P$2)=YEAR($I57),ROUND(((P$2-$I57+1)/365)*$D57,2),AND(YEAR(P$2)&gt;YEAR($I57),YEAR(P$2)-YEAR($I57)&lt;20),$D57,YEAR(P$2)-YEAR($I57)=20,ROUND((DATE(YEAR($I57),12,31)-$I57+1)/365*$D57,2),YEAR(P$2)-YEAR($I57)&gt;20,0)</f>
        <v>2500</v>
      </c>
      <c r="Q57" s="48" cm="1">
        <f t="array" ref="Q57">_xlfn.IFS(YEAR(Q$2)&lt;YEAR($I57),0,YEAR(Q$2)=YEAR($I57),ROUND(((Q$2-$I57+1)/365)*$D57,2),AND(YEAR(Q$2)&gt;YEAR($I57),YEAR(Q$2)-YEAR($I57)&lt;20),$D57,YEAR(Q$2)-YEAR($I57)=20,ROUND((DATE(YEAR($I57),12,31)-$I57+1)/365*$D57,2),YEAR(Q$2)-YEAR($I57)&gt;20,0)</f>
        <v>2500</v>
      </c>
      <c r="R57" s="48" cm="1">
        <f t="array" ref="R57">_xlfn.IFS(YEAR(R$2)&lt;YEAR($I57),0,YEAR(R$2)=YEAR($I57),ROUND(((R$2-$I57+1)/365)*$D57,2),AND(YEAR(R$2)&gt;YEAR($I57),YEAR(R$2)-YEAR($I57)&lt;20),$D57,YEAR(R$2)-YEAR($I57)=20,ROUND((DATE(YEAR($I57),12,31)-$I57+1)/365*$D57,2),YEAR(R$2)-YEAR($I57)&gt;20,0)</f>
        <v>2500</v>
      </c>
      <c r="S57" s="48" cm="1">
        <f t="array" ref="S57">_xlfn.IFS(YEAR(S$2)&lt;YEAR($I57),0,YEAR(S$2)=YEAR($I57),ROUND(((S$2-$I57+1)/365)*$D57,2),AND(YEAR(S$2)&gt;YEAR($I57),YEAR(S$2)-YEAR($I57)&lt;20),$D57,YEAR(S$2)-YEAR($I57)=20,ROUND((DATE(YEAR($I57),12,31)-$I57+1)/365*$D57,2),YEAR(S$2)-YEAR($I57)&gt;20,0)</f>
        <v>2500</v>
      </c>
      <c r="T57" s="48" cm="1">
        <f t="array" ref="T57">_xlfn.IFS(YEAR(T$2)&lt;YEAR($I57),0,YEAR(T$2)=YEAR($I57),ROUND(((T$2-$I57+1)/365)*$D57,2),AND(YEAR(T$2)&gt;YEAR($I57),YEAR(T$2)-YEAR($I57)&lt;20),$D57,YEAR(T$2)-YEAR($I57)=20,ROUND((DATE(YEAR($I57),12,31)-$I57+1)/365*$D57,2),YEAR(T$2)-YEAR($I57)&gt;20,0)</f>
        <v>2500</v>
      </c>
      <c r="U57" s="48" cm="1">
        <f t="array" ref="U57">_xlfn.IFS(YEAR(U$2)&lt;YEAR($I57),0,YEAR(U$2)=YEAR($I57),ROUND(((U$2-$I57+1)/365)*$D57,2),AND(YEAR(U$2)&gt;YEAR($I57),YEAR(U$2)-YEAR($I57)&lt;20),$D57,YEAR(U$2)-YEAR($I57)=20,ROUND((DATE(YEAR($I57),12,31)-$I57+1)/365*$D57,2),YEAR(U$2)-YEAR($I57)&gt;20,0)</f>
        <v>2500</v>
      </c>
      <c r="V57" s="48" cm="1">
        <f t="array" ref="V57">_xlfn.IFS(YEAR(V$2)&lt;YEAR($I57),0,YEAR(V$2)=YEAR($I57),ROUND(((V$2-$I57+1)/365)*$D57,2),AND(YEAR(V$2)&gt;YEAR($I57),YEAR(V$2)-YEAR($I57)&lt;20),$D57,YEAR(V$2)-YEAR($I57)=20,ROUND((DATE(YEAR($I57),12,31)-$I57+1)/365*$D57,2),YEAR(V$2)-YEAR($I57)&gt;20,0)</f>
        <v>2500</v>
      </c>
      <c r="W57" s="48" cm="1">
        <f t="array" ref="W57">_xlfn.IFS(YEAR(W$2)&lt;YEAR($I57),0,YEAR(W$2)=YEAR($I57),ROUND(((W$2-$I57+1)/365)*$D57,2),AND(YEAR(W$2)&gt;YEAR($I57),YEAR(W$2)-YEAR($I57)&lt;20),$D57,YEAR(W$2)-YEAR($I57)=20,ROUND((DATE(YEAR($I57),12,31)-$I57+1)/365*$D57,2),YEAR(W$2)-YEAR($I57)&gt;20,0)</f>
        <v>2500</v>
      </c>
      <c r="X57" s="48" cm="1">
        <f t="array" ref="X57">_xlfn.IFS(YEAR(X$2)&lt;YEAR($I57),0,YEAR(X$2)=YEAR($I57),ROUND(((X$2-$I57+1)/365)*$D57,2),AND(YEAR(X$2)&gt;YEAR($I57),YEAR(X$2)-YEAR($I57)&lt;20),$D57,YEAR(X$2)-YEAR($I57)=20,ROUND((DATE(YEAR($I57),12,31)-$I57+1)/365*$D57,2),YEAR(X$2)-YEAR($I57)&gt;20,0)</f>
        <v>2500</v>
      </c>
      <c r="Y57" s="48" cm="1">
        <f t="array" ref="Y57">_xlfn.IFS(YEAR(Y$2)&lt;YEAR($I57),0,YEAR(Y$2)=YEAR($I57),ROUND(((Y$2-$I57+1)/365)*$D57,2),AND(YEAR(Y$2)&gt;YEAR($I57),YEAR(Y$2)-YEAR($I57)&lt;20),$D57,YEAR(Y$2)-YEAR($I57)=20,ROUND((DATE(YEAR($I57),12,31)-$I57+1)/365*$D57,2),YEAR(Y$2)-YEAR($I57)&gt;20,0)</f>
        <v>2500</v>
      </c>
      <c r="Z57" s="48" cm="1">
        <f t="array" ref="Z57">_xlfn.IFS(YEAR(Z$2)&lt;YEAR($I57),0,YEAR(Z$2)=YEAR($I57),ROUND(((Z$2-$I57+1)/365)*$D57,2),AND(YEAR(Z$2)&gt;YEAR($I57),YEAR(Z$2)-YEAR($I57)&lt;20),$D57,YEAR(Z$2)-YEAR($I57)=20,ROUND((DATE(YEAR($I57),12,31)-$I57+1)/365*$D57,2),YEAR(Z$2)-YEAR($I57)&gt;20,0)</f>
        <v>2500</v>
      </c>
      <c r="AA57" s="48" cm="1">
        <f t="array" ref="AA57">_xlfn.IFS(YEAR(AA$2)&lt;YEAR($I57),0,YEAR(AA$2)=YEAR($I57),ROUND(((AA$2-$I57+1)/365)*$D57,2),AND(YEAR(AA$2)&gt;YEAR($I57),YEAR(AA$2)-YEAR($I57)&lt;20),$D57,YEAR(AA$2)-YEAR($I57)=20,ROUND((DATE(YEAR($I57),12,31)-$I57+1)/365*$D57,2),YEAR(AA$2)-YEAR($I57)&gt;20,0)</f>
        <v>2500</v>
      </c>
      <c r="AB57" s="48" cm="1">
        <f t="array" ref="AB57">_xlfn.IFS(YEAR(AB$2)&lt;YEAR($I57),0,YEAR(AB$2)=YEAR($I57),ROUND(((AB$2-$I57+1)/365)*$D57,2),AND(YEAR(AB$2)&gt;YEAR($I57),YEAR(AB$2)-YEAR($I57)&lt;20),$D57,YEAR(AB$2)-YEAR($I57)=20,ROUND((DATE(YEAR($I57),12,31)-$I57+1)/365*$D57,2),YEAR(AB$2)-YEAR($I57)&gt;20,0)</f>
        <v>2500</v>
      </c>
      <c r="AC57" s="48" cm="1">
        <f t="array" ref="AC57">_xlfn.IFS(YEAR(AC$2)&lt;YEAR($I57),0,YEAR(AC$2)=YEAR($I57),ROUND(((AC$2-$I57+1)/365)*$D57,2),AND(YEAR(AC$2)&gt;YEAR($I57),YEAR(AC$2)-YEAR($I57)&lt;20),$D57,YEAR(AC$2)-YEAR($I57)=20,ROUND((DATE(YEAR($I57),12,31)-$I57+1)/365*$D57,2),YEAR(AC$2)-YEAR($I57)&gt;20,0)</f>
        <v>2500</v>
      </c>
      <c r="AD57" s="48" cm="1">
        <f t="array" ref="AD57">_xlfn.IFS(YEAR(AD$2)&lt;YEAR($I57),0,YEAR(AD$2)=YEAR($I57),ROUND(((AD$2-$I57+1)/365)*$D57,2),AND(YEAR(AD$2)&gt;YEAR($I57),YEAR(AD$2)-YEAR($I57)&lt;20),$D57,YEAR(AD$2)-YEAR($I57)=20,ROUND((DATE(YEAR($I57),12,31)-$I57+1)/365*$D57,2),YEAR(AD$2)-YEAR($I57)&gt;20,0)</f>
        <v>2500</v>
      </c>
      <c r="AE57" s="48" cm="1">
        <f t="array" ref="AE57">_xlfn.IFS(YEAR(AE$2)&lt;YEAR($I57),0,YEAR(AE$2)=YEAR($I57),ROUND(((AE$2-$I57+1)/365)*$D57,2),AND(YEAR(AE$2)&gt;YEAR($I57),YEAR(AE$2)-YEAR($I57)&lt;20),$D57,YEAR(AE$2)-YEAR($I57)=20,ROUND((DATE(YEAR($I57),12,31)-$I57+1)/365*$D57,2),YEAR(AE$2)-YEAR($I57)&gt;20,0)</f>
        <v>2500</v>
      </c>
      <c r="AF57" s="48" cm="1">
        <f t="array" ref="AF57">_xlfn.IFS(YEAR(AF$2)&lt;YEAR($I57),0,YEAR(AF$2)=YEAR($I57),ROUND(((AF$2-$I57+1)/365)*$D57,2),AND(YEAR(AF$2)&gt;YEAR($I57),YEAR(AF$2)-YEAR($I57)&lt;20),$D57,YEAR(AF$2)-YEAR($I57)=20,ROUND((DATE(YEAR($I57),12,31)-$I57+1)/365*$D57,2),YEAR(AF$2)-YEAR($I57)&gt;20,0)</f>
        <v>2500</v>
      </c>
      <c r="AG57" s="48" cm="1">
        <f t="array" ref="AG57">_xlfn.IFS(YEAR(AG$2)&lt;YEAR($I57),0,YEAR(AG$2)=YEAR($I57),ROUND(((AG$2-$I57+1)/365)*$D57,2),AND(YEAR(AG$2)&gt;YEAR($I57),YEAR(AG$2)-YEAR($I57)&lt;20),$D57,YEAR(AG$2)-YEAR($I57)=20,ROUND((DATE(YEAR($I57),12,31)-$I57+1)/365*$D57,2),YEAR(AG$2)-YEAR($I57)&gt;20,0)</f>
        <v>82.19</v>
      </c>
      <c r="AH57" s="48" cm="1">
        <f t="array" ref="AH57">_xlfn.IFS(YEAR(AH$2)&lt;YEAR($I57),0,YEAR(AH$2)=YEAR($I57),ROUND(((AH$2-$I57+1)/365)*$D57,2),AND(YEAR(AH$2)&gt;YEAR($I57),YEAR(AH$2)-YEAR($I57)&lt;20),$D57,YEAR(AH$2)-YEAR($I57)=20,ROUND((DATE(YEAR($I57),12,31)-$I57+1)/365*$D57,2),YEAR(AH$2)-YEAR($I57)&gt;20,0)</f>
        <v>0</v>
      </c>
      <c r="AI57" s="48" cm="1">
        <f t="array" ref="AI57">_xlfn.IFS(YEAR(AI$2)&lt;YEAR($I57),0,YEAR(AI$2)=YEAR($I57),ROUND(((AI$2-$I57+1)/365)*$D57,2),AND(YEAR(AI$2)&gt;YEAR($I57),YEAR(AI$2)-YEAR($I57)&lt;20),$D57,YEAR(AI$2)-YEAR($I57)=20,ROUND((DATE(YEAR($I57),12,31)-$I57+1)/365*$D57,2),YEAR(AI$2)-YEAR($I57)&gt;20,0)</f>
        <v>0</v>
      </c>
      <c r="AJ57" s="48" cm="1">
        <f t="array" ref="AJ57">_xlfn.IFS(YEAR(AJ$2)&lt;YEAR($I57),0,YEAR(AJ$2)=YEAR($I57),ROUND(((AJ$2-$I57+1)/365)*$D57,2),AND(YEAR(AJ$2)&gt;YEAR($I57),YEAR(AJ$2)-YEAR($I57)&lt;20),$D57,YEAR(AJ$2)-YEAR($I57)=20,ROUND((DATE(YEAR($I57),12,31)-$I57+1)/365*$D57,2),YEAR(AJ$2)-YEAR($I57)&gt;20,0)</f>
        <v>0</v>
      </c>
      <c r="AK57" s="48" cm="1">
        <f t="array" ref="AK57">_xlfn.IFS(YEAR(AK$2)&lt;YEAR($I57),0,YEAR(AK$2)=YEAR($I57),ROUND(((AK$2-$I57+1)/365)*$D57,2),AND(YEAR(AK$2)&gt;YEAR($I57),YEAR(AK$2)-YEAR($I57)&lt;20),$D57,YEAR(AK$2)-YEAR($I57)=20,ROUND((DATE(YEAR($I57),12,31)-$I57+1)/365*$D57,2),YEAR(AK$2)-YEAR($I57)&gt;20,0)</f>
        <v>0</v>
      </c>
      <c r="AL57" s="48" cm="1">
        <f t="array" ref="AL57">_xlfn.IFS(YEAR(AL$2)&lt;YEAR($I57),0,YEAR(AL$2)=YEAR($I57),ROUND(((AL$2-$I57+1)/365)*$D57,2),AND(YEAR(AL$2)&gt;YEAR($I57),YEAR(AL$2)-YEAR($I57)&lt;20),$D57,YEAR(AL$2)-YEAR($I57)=20,ROUND((DATE(YEAR($I57),12,31)-$I57+1)/365*$D57,2),YEAR(AL$2)-YEAR($I57)&gt;20,0)</f>
        <v>0</v>
      </c>
      <c r="AM57" s="48" cm="1">
        <f t="array" ref="AM57">_xlfn.IFS(YEAR(AM$2)&lt;YEAR($I57),0,YEAR(AM$2)=YEAR($I57),ROUND(((AM$2-$I57+1)/365)*$D57,2),AND(YEAR(AM$2)&gt;YEAR($I57),YEAR(AM$2)-YEAR($I57)&lt;20),$D57,YEAR(AM$2)-YEAR($I57)=20,ROUND((DATE(YEAR($I57),12,31)-$I57+1)/365*$D57,2),YEAR(AM$2)-YEAR($I57)&gt;20,0)</f>
        <v>0</v>
      </c>
    </row>
    <row r="58" spans="1:54">
      <c r="A58" s="155" t="str" cm="1">
        <f t="array" ref="A58">_xlfn.IFS(LEFT(C58,3)="PGE","PGE",LEFT(C58,2)="PP","PAC",TRUE,"IP")</f>
        <v>PGE</v>
      </c>
      <c r="B58" s="155" t="str">
        <f>IF(ISNA(MATCH(C58,'Monthly Report July 2025'!E:E,0)),"Missing","Present")</f>
        <v>Present</v>
      </c>
      <c r="C58" s="155" t="s">
        <v>167</v>
      </c>
      <c r="D58" s="176" cm="1">
        <f t="array" ref="D58">INDEX('Monthly Report July 2025'!L:L,MATCH(C58,'Monthly Report July 2025'!E:E,0),0)</f>
        <v>2565</v>
      </c>
      <c r="E58" s="176" t="str" cm="1">
        <f t="array" ref="E58">IF(INDEX('PA Fees by Project'!K:K,MATCH(C58,'PA Fees by Project'!E:E,0),0)="No","Non-Carve Out", "Carve Out")</f>
        <v>Non-Carve Out</v>
      </c>
      <c r="F58" s="176" cm="1">
        <f t="array" ref="F58">INDEX('PA Fees by Project'!J:J,MATCH(C58,'PA Fees by Project'!E:E,0),0)</f>
        <v>1</v>
      </c>
      <c r="G58" s="155" t="str" cm="1">
        <f t="array" ref="G58">INDEX('PA Fees by Project'!G:G,MATCH(C58,'PA Fees by Project'!E:E,0),0)</f>
        <v>Operational</v>
      </c>
      <c r="H58" s="175" cm="1">
        <f t="array" ref="H58">INDEX('PA Fees by Project'!Q:Q,MATCH(C58,'PA Fees by Project'!E:E,0),0)</f>
        <v>45597</v>
      </c>
      <c r="I58" s="156" cm="1">
        <f t="array" ref="I58">_xlfn.IFS(G58="Operational",H58,G58="Certified",EDATE(INDEX('PA Fees by Project'!R:R,MATCH(C58,'PA Fees by Project'!E:E,0),0),6),TRUE,EDATE(INDEX('PA Fees by Project'!O:O,MATCH(C58,'PA Fees by Project'!E:E,0),0),6))</f>
        <v>45597</v>
      </c>
      <c r="J58" s="48" cm="1">
        <f t="array" ref="J58">_xlfn.IFS(YEAR(J$2)&lt;YEAR($I58),0,YEAR(J$2)=YEAR($I58),ROUND(((J$2-$I58+1)/365)*$D58,2),AND(YEAR(J$2)&gt;YEAR($I58),YEAR(J$2)-YEAR($I58)&lt;20),$D58,YEAR(J$2)-YEAR($I58)=20,ROUND((DATE(YEAR($I58),12,31)-$I58+1)/365*$D58,2),YEAR(J$2)-YEAR($I58)&gt;20,0)</f>
        <v>0</v>
      </c>
      <c r="K58" s="48" cm="1">
        <f t="array" ref="K58">_xlfn.IFS(YEAR(K$2)&lt;YEAR($I58),0,YEAR(K$2)=YEAR($I58),ROUND(((K$2-$I58+1)/365)*$D58,2),AND(YEAR(K$2)&gt;YEAR($I58),YEAR(K$2)-YEAR($I58)&lt;20),$D58,YEAR(K$2)-YEAR($I58)=20,ROUND((DATE(YEAR($I58),12,31)-$I58+1)/365*$D58,2),YEAR(K$2)-YEAR($I58)&gt;20,0)</f>
        <v>0</v>
      </c>
      <c r="L58" s="48" cm="1">
        <f t="array" ref="L58">_xlfn.IFS(YEAR(L$2)&lt;YEAR($I58),0,YEAR(L$2)=YEAR($I58),ROUND(((L$2-$I58+1)/365)*$D58,2),AND(YEAR(L$2)&gt;YEAR($I58),YEAR(L$2)-YEAR($I58)&lt;20),$D58,YEAR(L$2)-YEAR($I58)=20,ROUND((DATE(YEAR($I58),12,31)-$I58+1)/365*$D58,2),YEAR(L$2)-YEAR($I58)&gt;20,0)</f>
        <v>0</v>
      </c>
      <c r="M58" s="48" cm="1">
        <f t="array" ref="M58">_xlfn.IFS(YEAR(M$2)&lt;YEAR($I58),0,YEAR(M$2)=YEAR($I58),ROUND(((M$2-$I58+1)/365)*$D58,2),AND(YEAR(M$2)&gt;YEAR($I58),YEAR(M$2)-YEAR($I58)&lt;20),$D58,YEAR(M$2)-YEAR($I58)=20,ROUND((DATE(YEAR($I58),12,31)-$I58+1)/365*$D58,2),YEAR(M$2)-YEAR($I58)&gt;20,0)</f>
        <v>428.67</v>
      </c>
      <c r="N58" s="48" cm="1">
        <f t="array" ref="N58">_xlfn.IFS(YEAR(N$2)&lt;YEAR($I58),0,YEAR(N$2)=YEAR($I58),ROUND(((N$2-$I58+1)/365)*$D58,2),AND(YEAR(N$2)&gt;YEAR($I58),YEAR(N$2)-YEAR($I58)&lt;20),$D58,YEAR(N$2)-YEAR($I58)=20,ROUND((DATE(YEAR($I58),12,31)-$I58+1)/365*$D58,2),YEAR(N$2)-YEAR($I58)&gt;20,0)</f>
        <v>2565</v>
      </c>
      <c r="O58" s="48" cm="1">
        <f t="array" ref="O58">_xlfn.IFS(YEAR(O$2)&lt;YEAR($I58),0,YEAR(O$2)=YEAR($I58),ROUND(((O$2-$I58+1)/365)*$D58,2),AND(YEAR(O$2)&gt;YEAR($I58),YEAR(O$2)-YEAR($I58)&lt;20),$D58,YEAR(O$2)-YEAR($I58)=20,ROUND((DATE(YEAR($I58),12,31)-$I58+1)/365*$D58,2),YEAR(O$2)-YEAR($I58)&gt;20,0)</f>
        <v>2565</v>
      </c>
      <c r="P58" s="48" cm="1">
        <f t="array" ref="P58">_xlfn.IFS(YEAR(P$2)&lt;YEAR($I58),0,YEAR(P$2)=YEAR($I58),ROUND(((P$2-$I58+1)/365)*$D58,2),AND(YEAR(P$2)&gt;YEAR($I58),YEAR(P$2)-YEAR($I58)&lt;20),$D58,YEAR(P$2)-YEAR($I58)=20,ROUND((DATE(YEAR($I58),12,31)-$I58+1)/365*$D58,2),YEAR(P$2)-YEAR($I58)&gt;20,0)</f>
        <v>2565</v>
      </c>
      <c r="Q58" s="48" cm="1">
        <f t="array" ref="Q58">_xlfn.IFS(YEAR(Q$2)&lt;YEAR($I58),0,YEAR(Q$2)=YEAR($I58),ROUND(((Q$2-$I58+1)/365)*$D58,2),AND(YEAR(Q$2)&gt;YEAR($I58),YEAR(Q$2)-YEAR($I58)&lt;20),$D58,YEAR(Q$2)-YEAR($I58)=20,ROUND((DATE(YEAR($I58),12,31)-$I58+1)/365*$D58,2),YEAR(Q$2)-YEAR($I58)&gt;20,0)</f>
        <v>2565</v>
      </c>
      <c r="R58" s="48" cm="1">
        <f t="array" ref="R58">_xlfn.IFS(YEAR(R$2)&lt;YEAR($I58),0,YEAR(R$2)=YEAR($I58),ROUND(((R$2-$I58+1)/365)*$D58,2),AND(YEAR(R$2)&gt;YEAR($I58),YEAR(R$2)-YEAR($I58)&lt;20),$D58,YEAR(R$2)-YEAR($I58)=20,ROUND((DATE(YEAR($I58),12,31)-$I58+1)/365*$D58,2),YEAR(R$2)-YEAR($I58)&gt;20,0)</f>
        <v>2565</v>
      </c>
      <c r="S58" s="48" cm="1">
        <f t="array" ref="S58">_xlfn.IFS(YEAR(S$2)&lt;YEAR($I58),0,YEAR(S$2)=YEAR($I58),ROUND(((S$2-$I58+1)/365)*$D58,2),AND(YEAR(S$2)&gt;YEAR($I58),YEAR(S$2)-YEAR($I58)&lt;20),$D58,YEAR(S$2)-YEAR($I58)=20,ROUND((DATE(YEAR($I58),12,31)-$I58+1)/365*$D58,2),YEAR(S$2)-YEAR($I58)&gt;20,0)</f>
        <v>2565</v>
      </c>
      <c r="T58" s="48" cm="1">
        <f t="array" ref="T58">_xlfn.IFS(YEAR(T$2)&lt;YEAR($I58),0,YEAR(T$2)=YEAR($I58),ROUND(((T$2-$I58+1)/365)*$D58,2),AND(YEAR(T$2)&gt;YEAR($I58),YEAR(T$2)-YEAR($I58)&lt;20),$D58,YEAR(T$2)-YEAR($I58)=20,ROUND((DATE(YEAR($I58),12,31)-$I58+1)/365*$D58,2),YEAR(T$2)-YEAR($I58)&gt;20,0)</f>
        <v>2565</v>
      </c>
      <c r="U58" s="48" cm="1">
        <f t="array" ref="U58">_xlfn.IFS(YEAR(U$2)&lt;YEAR($I58),0,YEAR(U$2)=YEAR($I58),ROUND(((U$2-$I58+1)/365)*$D58,2),AND(YEAR(U$2)&gt;YEAR($I58),YEAR(U$2)-YEAR($I58)&lt;20),$D58,YEAR(U$2)-YEAR($I58)=20,ROUND((DATE(YEAR($I58),12,31)-$I58+1)/365*$D58,2),YEAR(U$2)-YEAR($I58)&gt;20,0)</f>
        <v>2565</v>
      </c>
      <c r="V58" s="48" cm="1">
        <f t="array" ref="V58">_xlfn.IFS(YEAR(V$2)&lt;YEAR($I58),0,YEAR(V$2)=YEAR($I58),ROUND(((V$2-$I58+1)/365)*$D58,2),AND(YEAR(V$2)&gt;YEAR($I58),YEAR(V$2)-YEAR($I58)&lt;20),$D58,YEAR(V$2)-YEAR($I58)=20,ROUND((DATE(YEAR($I58),12,31)-$I58+1)/365*$D58,2),YEAR(V$2)-YEAR($I58)&gt;20,0)</f>
        <v>2565</v>
      </c>
      <c r="W58" s="48" cm="1">
        <f t="array" ref="W58">_xlfn.IFS(YEAR(W$2)&lt;YEAR($I58),0,YEAR(W$2)=YEAR($I58),ROUND(((W$2-$I58+1)/365)*$D58,2),AND(YEAR(W$2)&gt;YEAR($I58),YEAR(W$2)-YEAR($I58)&lt;20),$D58,YEAR(W$2)-YEAR($I58)=20,ROUND((DATE(YEAR($I58),12,31)-$I58+1)/365*$D58,2),YEAR(W$2)-YEAR($I58)&gt;20,0)</f>
        <v>2565</v>
      </c>
      <c r="X58" s="48" cm="1">
        <f t="array" ref="X58">_xlfn.IFS(YEAR(X$2)&lt;YEAR($I58),0,YEAR(X$2)=YEAR($I58),ROUND(((X$2-$I58+1)/365)*$D58,2),AND(YEAR(X$2)&gt;YEAR($I58),YEAR(X$2)-YEAR($I58)&lt;20),$D58,YEAR(X$2)-YEAR($I58)=20,ROUND((DATE(YEAR($I58),12,31)-$I58+1)/365*$D58,2),YEAR(X$2)-YEAR($I58)&gt;20,0)</f>
        <v>2565</v>
      </c>
      <c r="Y58" s="48" cm="1">
        <f t="array" ref="Y58">_xlfn.IFS(YEAR(Y$2)&lt;YEAR($I58),0,YEAR(Y$2)=YEAR($I58),ROUND(((Y$2-$I58+1)/365)*$D58,2),AND(YEAR(Y$2)&gt;YEAR($I58),YEAR(Y$2)-YEAR($I58)&lt;20),$D58,YEAR(Y$2)-YEAR($I58)=20,ROUND((DATE(YEAR($I58),12,31)-$I58+1)/365*$D58,2),YEAR(Y$2)-YEAR($I58)&gt;20,0)</f>
        <v>2565</v>
      </c>
      <c r="Z58" s="48" cm="1">
        <f t="array" ref="Z58">_xlfn.IFS(YEAR(Z$2)&lt;YEAR($I58),0,YEAR(Z$2)=YEAR($I58),ROUND(((Z$2-$I58+1)/365)*$D58,2),AND(YEAR(Z$2)&gt;YEAR($I58),YEAR(Z$2)-YEAR($I58)&lt;20),$D58,YEAR(Z$2)-YEAR($I58)=20,ROUND((DATE(YEAR($I58),12,31)-$I58+1)/365*$D58,2),YEAR(Z$2)-YEAR($I58)&gt;20,0)</f>
        <v>2565</v>
      </c>
      <c r="AA58" s="48" cm="1">
        <f t="array" ref="AA58">_xlfn.IFS(YEAR(AA$2)&lt;YEAR($I58),0,YEAR(AA$2)=YEAR($I58),ROUND(((AA$2-$I58+1)/365)*$D58,2),AND(YEAR(AA$2)&gt;YEAR($I58),YEAR(AA$2)-YEAR($I58)&lt;20),$D58,YEAR(AA$2)-YEAR($I58)=20,ROUND((DATE(YEAR($I58),12,31)-$I58+1)/365*$D58,2),YEAR(AA$2)-YEAR($I58)&gt;20,0)</f>
        <v>2565</v>
      </c>
      <c r="AB58" s="48" cm="1">
        <f t="array" ref="AB58">_xlfn.IFS(YEAR(AB$2)&lt;YEAR($I58),0,YEAR(AB$2)=YEAR($I58),ROUND(((AB$2-$I58+1)/365)*$D58,2),AND(YEAR(AB$2)&gt;YEAR($I58),YEAR(AB$2)-YEAR($I58)&lt;20),$D58,YEAR(AB$2)-YEAR($I58)=20,ROUND((DATE(YEAR($I58),12,31)-$I58+1)/365*$D58,2),YEAR(AB$2)-YEAR($I58)&gt;20,0)</f>
        <v>2565</v>
      </c>
      <c r="AC58" s="48" cm="1">
        <f t="array" ref="AC58">_xlfn.IFS(YEAR(AC$2)&lt;YEAR($I58),0,YEAR(AC$2)=YEAR($I58),ROUND(((AC$2-$I58+1)/365)*$D58,2),AND(YEAR(AC$2)&gt;YEAR($I58),YEAR(AC$2)-YEAR($I58)&lt;20),$D58,YEAR(AC$2)-YEAR($I58)=20,ROUND((DATE(YEAR($I58),12,31)-$I58+1)/365*$D58,2),YEAR(AC$2)-YEAR($I58)&gt;20,0)</f>
        <v>2565</v>
      </c>
      <c r="AD58" s="48" cm="1">
        <f t="array" ref="AD58">_xlfn.IFS(YEAR(AD$2)&lt;YEAR($I58),0,YEAR(AD$2)=YEAR($I58),ROUND(((AD$2-$I58+1)/365)*$D58,2),AND(YEAR(AD$2)&gt;YEAR($I58),YEAR(AD$2)-YEAR($I58)&lt;20),$D58,YEAR(AD$2)-YEAR($I58)=20,ROUND((DATE(YEAR($I58),12,31)-$I58+1)/365*$D58,2),YEAR(AD$2)-YEAR($I58)&gt;20,0)</f>
        <v>2565</v>
      </c>
      <c r="AE58" s="48" cm="1">
        <f t="array" ref="AE58">_xlfn.IFS(YEAR(AE$2)&lt;YEAR($I58),0,YEAR(AE$2)=YEAR($I58),ROUND(((AE$2-$I58+1)/365)*$D58,2),AND(YEAR(AE$2)&gt;YEAR($I58),YEAR(AE$2)-YEAR($I58)&lt;20),$D58,YEAR(AE$2)-YEAR($I58)=20,ROUND((DATE(YEAR($I58),12,31)-$I58+1)/365*$D58,2),YEAR(AE$2)-YEAR($I58)&gt;20,0)</f>
        <v>2565</v>
      </c>
      <c r="AF58" s="48" cm="1">
        <f t="array" ref="AF58">_xlfn.IFS(YEAR(AF$2)&lt;YEAR($I58),0,YEAR(AF$2)=YEAR($I58),ROUND(((AF$2-$I58+1)/365)*$D58,2),AND(YEAR(AF$2)&gt;YEAR($I58),YEAR(AF$2)-YEAR($I58)&lt;20),$D58,YEAR(AF$2)-YEAR($I58)=20,ROUND((DATE(YEAR($I58),12,31)-$I58+1)/365*$D58,2),YEAR(AF$2)-YEAR($I58)&gt;20,0)</f>
        <v>2565</v>
      </c>
      <c r="AG58" s="48" cm="1">
        <f t="array" ref="AG58">_xlfn.IFS(YEAR(AG$2)&lt;YEAR($I58),0,YEAR(AG$2)=YEAR($I58),ROUND(((AG$2-$I58+1)/365)*$D58,2),AND(YEAR(AG$2)&gt;YEAR($I58),YEAR(AG$2)-YEAR($I58)&lt;20),$D58,YEAR(AG$2)-YEAR($I58)=20,ROUND((DATE(YEAR($I58),12,31)-$I58+1)/365*$D58,2),YEAR(AG$2)-YEAR($I58)&gt;20,0)</f>
        <v>428.67</v>
      </c>
      <c r="AH58" s="48" cm="1">
        <f t="array" ref="AH58">_xlfn.IFS(YEAR(AH$2)&lt;YEAR($I58),0,YEAR(AH$2)=YEAR($I58),ROUND(((AH$2-$I58+1)/365)*$D58,2),AND(YEAR(AH$2)&gt;YEAR($I58),YEAR(AH$2)-YEAR($I58)&lt;20),$D58,YEAR(AH$2)-YEAR($I58)=20,ROUND((DATE(YEAR($I58),12,31)-$I58+1)/365*$D58,2),YEAR(AH$2)-YEAR($I58)&gt;20,0)</f>
        <v>0</v>
      </c>
      <c r="AI58" s="48" cm="1">
        <f t="array" ref="AI58">_xlfn.IFS(YEAR(AI$2)&lt;YEAR($I58),0,YEAR(AI$2)=YEAR($I58),ROUND(((AI$2-$I58+1)/365)*$D58,2),AND(YEAR(AI$2)&gt;YEAR($I58),YEAR(AI$2)-YEAR($I58)&lt;20),$D58,YEAR(AI$2)-YEAR($I58)=20,ROUND((DATE(YEAR($I58),12,31)-$I58+1)/365*$D58,2),YEAR(AI$2)-YEAR($I58)&gt;20,0)</f>
        <v>0</v>
      </c>
      <c r="AJ58" s="48" cm="1">
        <f t="array" ref="AJ58">_xlfn.IFS(YEAR(AJ$2)&lt;YEAR($I58),0,YEAR(AJ$2)=YEAR($I58),ROUND(((AJ$2-$I58+1)/365)*$D58,2),AND(YEAR(AJ$2)&gt;YEAR($I58),YEAR(AJ$2)-YEAR($I58)&lt;20),$D58,YEAR(AJ$2)-YEAR($I58)=20,ROUND((DATE(YEAR($I58),12,31)-$I58+1)/365*$D58,2),YEAR(AJ$2)-YEAR($I58)&gt;20,0)</f>
        <v>0</v>
      </c>
      <c r="AK58" s="48" cm="1">
        <f t="array" ref="AK58">_xlfn.IFS(YEAR(AK$2)&lt;YEAR($I58),0,YEAR(AK$2)=YEAR($I58),ROUND(((AK$2-$I58+1)/365)*$D58,2),AND(YEAR(AK$2)&gt;YEAR($I58),YEAR(AK$2)-YEAR($I58)&lt;20),$D58,YEAR(AK$2)-YEAR($I58)=20,ROUND((DATE(YEAR($I58),12,31)-$I58+1)/365*$D58,2),YEAR(AK$2)-YEAR($I58)&gt;20,0)</f>
        <v>0</v>
      </c>
      <c r="AL58" s="48" cm="1">
        <f t="array" ref="AL58">_xlfn.IFS(YEAR(AL$2)&lt;YEAR($I58),0,YEAR(AL$2)=YEAR($I58),ROUND(((AL$2-$I58+1)/365)*$D58,2),AND(YEAR(AL$2)&gt;YEAR($I58),YEAR(AL$2)-YEAR($I58)&lt;20),$D58,YEAR(AL$2)-YEAR($I58)=20,ROUND((DATE(YEAR($I58),12,31)-$I58+1)/365*$D58,2),YEAR(AL$2)-YEAR($I58)&gt;20,0)</f>
        <v>0</v>
      </c>
      <c r="AM58" s="48" cm="1">
        <f t="array" ref="AM58">_xlfn.IFS(YEAR(AM$2)&lt;YEAR($I58),0,YEAR(AM$2)=YEAR($I58),ROUND(((AM$2-$I58+1)/365)*$D58,2),AND(YEAR(AM$2)&gt;YEAR($I58),YEAR(AM$2)-YEAR($I58)&lt;20),$D58,YEAR(AM$2)-YEAR($I58)=20,ROUND((DATE(YEAR($I58),12,31)-$I58+1)/365*$D58,2),YEAR(AM$2)-YEAR($I58)&gt;20,0)</f>
        <v>0</v>
      </c>
    </row>
    <row r="59" spans="1:54">
      <c r="A59" s="155" t="str" cm="1">
        <f t="array" ref="A59">_xlfn.IFS(LEFT(C59,3)="PGE","PGE",LEFT(C59,2)="PP","PAC",TRUE,"IP")</f>
        <v>PAC</v>
      </c>
      <c r="B59" s="155" t="str">
        <f>IF(ISNA(MATCH(C59,'Monthly Report July 2025'!E:E,0)),"Missing","Present")</f>
        <v>Present</v>
      </c>
      <c r="C59" s="155" t="s">
        <v>168</v>
      </c>
      <c r="D59" s="176" cm="1">
        <f t="array" ref="D59">INDEX('Monthly Report July 2025'!L:L,MATCH(C59,'Monthly Report July 2025'!E:E,0),0)</f>
        <v>359</v>
      </c>
      <c r="E59" s="176" t="str" cm="1">
        <f t="array" ref="E59">IF(INDEX('PA Fees by Project'!K:K,MATCH(C59,'PA Fees by Project'!E:E,0),0)="No","Non-Carve Out", "Carve Out")</f>
        <v>Carve Out</v>
      </c>
      <c r="F59" s="176" cm="1">
        <f t="array" ref="F59">INDEX('PA Fees by Project'!J:J,MATCH(C59,'PA Fees by Project'!E:E,0),0)</f>
        <v>1</v>
      </c>
      <c r="G59" s="155" t="str" cm="1">
        <f t="array" ref="G59">INDEX('PA Fees by Project'!G:G,MATCH(C59,'PA Fees by Project'!E:E,0),0)</f>
        <v>Operational</v>
      </c>
      <c r="H59" s="175" cm="1">
        <f t="array" ref="H59">INDEX('PA Fees by Project'!Q:Q,MATCH(C59,'PA Fees by Project'!E:E,0),0)</f>
        <v>45665</v>
      </c>
      <c r="I59" s="156" cm="1">
        <f t="array" ref="I59">_xlfn.IFS(G59="Operational",H59,G59="Certified",EDATE(INDEX('PA Fees by Project'!R:R,MATCH(C59,'PA Fees by Project'!E:E,0),0),6),TRUE,EDATE(INDEX('PA Fees by Project'!O:O,MATCH(C59,'PA Fees by Project'!E:E,0),0),6))</f>
        <v>45665</v>
      </c>
      <c r="J59" s="48" cm="1">
        <f t="array" ref="J59">_xlfn.IFS(YEAR(J$2)&lt;YEAR($I59),0,YEAR(J$2)=YEAR($I59),ROUND(((J$2-$I59+1)/365)*$D59,2),AND(YEAR(J$2)&gt;YEAR($I59),YEAR(J$2)-YEAR($I59)&lt;20),$D59,YEAR(J$2)-YEAR($I59)=20,ROUND((DATE(YEAR($I59),12,31)-$I59+1)/365*$D59,2),YEAR(J$2)-YEAR($I59)&gt;20,0)</f>
        <v>0</v>
      </c>
      <c r="K59" s="48" cm="1">
        <f t="array" ref="K59">_xlfn.IFS(YEAR(K$2)&lt;YEAR($I59),0,YEAR(K$2)=YEAR($I59),ROUND(((K$2-$I59+1)/365)*$D59,2),AND(YEAR(K$2)&gt;YEAR($I59),YEAR(K$2)-YEAR($I59)&lt;20),$D59,YEAR(K$2)-YEAR($I59)=20,ROUND((DATE(YEAR($I59),12,31)-$I59+1)/365*$D59,2),YEAR(K$2)-YEAR($I59)&gt;20,0)</f>
        <v>0</v>
      </c>
      <c r="L59" s="48" cm="1">
        <f t="array" ref="L59">_xlfn.IFS(YEAR(L$2)&lt;YEAR($I59),0,YEAR(L$2)=YEAR($I59),ROUND(((L$2-$I59+1)/365)*$D59,2),AND(YEAR(L$2)&gt;YEAR($I59),YEAR(L$2)-YEAR($I59)&lt;20),$D59,YEAR(L$2)-YEAR($I59)=20,ROUND((DATE(YEAR($I59),12,31)-$I59+1)/365*$D59,2),YEAR(L$2)-YEAR($I59)&gt;20,0)</f>
        <v>0</v>
      </c>
      <c r="M59" s="48" cm="1">
        <f t="array" ref="M59">_xlfn.IFS(YEAR(M$2)&lt;YEAR($I59),0,YEAR(M$2)=YEAR($I59),ROUND(((M$2-$I59+1)/365)*$D59,2),AND(YEAR(M$2)&gt;YEAR($I59),YEAR(M$2)-YEAR($I59)&lt;20),$D59,YEAR(M$2)-YEAR($I59)=20,ROUND((DATE(YEAR($I59),12,31)-$I59+1)/365*$D59,2),YEAR(M$2)-YEAR($I59)&gt;20,0)</f>
        <v>0</v>
      </c>
      <c r="N59" s="48" cm="1">
        <f t="array" ref="N59">_xlfn.IFS(YEAR(N$2)&lt;YEAR($I59),0,YEAR(N$2)=YEAR($I59),ROUND(((N$2-$I59+1)/365)*$D59,2),AND(YEAR(N$2)&gt;YEAR($I59),YEAR(N$2)-YEAR($I59)&lt;20),$D59,YEAR(N$2)-YEAR($I59)=20,ROUND((DATE(YEAR($I59),12,31)-$I59+1)/365*$D59,2),YEAR(N$2)-YEAR($I59)&gt;20,0)</f>
        <v>352.12</v>
      </c>
      <c r="O59" s="48" cm="1">
        <f t="array" ref="O59">_xlfn.IFS(YEAR(O$2)&lt;YEAR($I59),0,YEAR(O$2)=YEAR($I59),ROUND(((O$2-$I59+1)/365)*$D59,2),AND(YEAR(O$2)&gt;YEAR($I59),YEAR(O$2)-YEAR($I59)&lt;20),$D59,YEAR(O$2)-YEAR($I59)=20,ROUND((DATE(YEAR($I59),12,31)-$I59+1)/365*$D59,2),YEAR(O$2)-YEAR($I59)&gt;20,0)</f>
        <v>359</v>
      </c>
      <c r="P59" s="48" cm="1">
        <f t="array" ref="P59">_xlfn.IFS(YEAR(P$2)&lt;YEAR($I59),0,YEAR(P$2)=YEAR($I59),ROUND(((P$2-$I59+1)/365)*$D59,2),AND(YEAR(P$2)&gt;YEAR($I59),YEAR(P$2)-YEAR($I59)&lt;20),$D59,YEAR(P$2)-YEAR($I59)=20,ROUND((DATE(YEAR($I59),12,31)-$I59+1)/365*$D59,2),YEAR(P$2)-YEAR($I59)&gt;20,0)</f>
        <v>359</v>
      </c>
      <c r="Q59" s="48" cm="1">
        <f t="array" ref="Q59">_xlfn.IFS(YEAR(Q$2)&lt;YEAR($I59),0,YEAR(Q$2)=YEAR($I59),ROUND(((Q$2-$I59+1)/365)*$D59,2),AND(YEAR(Q$2)&gt;YEAR($I59),YEAR(Q$2)-YEAR($I59)&lt;20),$D59,YEAR(Q$2)-YEAR($I59)=20,ROUND((DATE(YEAR($I59),12,31)-$I59+1)/365*$D59,2),YEAR(Q$2)-YEAR($I59)&gt;20,0)</f>
        <v>359</v>
      </c>
      <c r="R59" s="48" cm="1">
        <f t="array" ref="R59">_xlfn.IFS(YEAR(R$2)&lt;YEAR($I59),0,YEAR(R$2)=YEAR($I59),ROUND(((R$2-$I59+1)/365)*$D59,2),AND(YEAR(R$2)&gt;YEAR($I59),YEAR(R$2)-YEAR($I59)&lt;20),$D59,YEAR(R$2)-YEAR($I59)=20,ROUND((DATE(YEAR($I59),12,31)-$I59+1)/365*$D59,2),YEAR(R$2)-YEAR($I59)&gt;20,0)</f>
        <v>359</v>
      </c>
      <c r="S59" s="48" cm="1">
        <f t="array" ref="S59">_xlfn.IFS(YEAR(S$2)&lt;YEAR($I59),0,YEAR(S$2)=YEAR($I59),ROUND(((S$2-$I59+1)/365)*$D59,2),AND(YEAR(S$2)&gt;YEAR($I59),YEAR(S$2)-YEAR($I59)&lt;20),$D59,YEAR(S$2)-YEAR($I59)=20,ROUND((DATE(YEAR($I59),12,31)-$I59+1)/365*$D59,2),YEAR(S$2)-YEAR($I59)&gt;20,0)</f>
        <v>359</v>
      </c>
      <c r="T59" s="48" cm="1">
        <f t="array" ref="T59">_xlfn.IFS(YEAR(T$2)&lt;YEAR($I59),0,YEAR(T$2)=YEAR($I59),ROUND(((T$2-$I59+1)/365)*$D59,2),AND(YEAR(T$2)&gt;YEAR($I59),YEAR(T$2)-YEAR($I59)&lt;20),$D59,YEAR(T$2)-YEAR($I59)=20,ROUND((DATE(YEAR($I59),12,31)-$I59+1)/365*$D59,2),YEAR(T$2)-YEAR($I59)&gt;20,0)</f>
        <v>359</v>
      </c>
      <c r="U59" s="48" cm="1">
        <f t="array" ref="U59">_xlfn.IFS(YEAR(U$2)&lt;YEAR($I59),0,YEAR(U$2)=YEAR($I59),ROUND(((U$2-$I59+1)/365)*$D59,2),AND(YEAR(U$2)&gt;YEAR($I59),YEAR(U$2)-YEAR($I59)&lt;20),$D59,YEAR(U$2)-YEAR($I59)=20,ROUND((DATE(YEAR($I59),12,31)-$I59+1)/365*$D59,2),YEAR(U$2)-YEAR($I59)&gt;20,0)</f>
        <v>359</v>
      </c>
      <c r="V59" s="48" cm="1">
        <f t="array" ref="V59">_xlfn.IFS(YEAR(V$2)&lt;YEAR($I59),0,YEAR(V$2)=YEAR($I59),ROUND(((V$2-$I59+1)/365)*$D59,2),AND(YEAR(V$2)&gt;YEAR($I59),YEAR(V$2)-YEAR($I59)&lt;20),$D59,YEAR(V$2)-YEAR($I59)=20,ROUND((DATE(YEAR($I59),12,31)-$I59+1)/365*$D59,2),YEAR(V$2)-YEAR($I59)&gt;20,0)</f>
        <v>359</v>
      </c>
      <c r="W59" s="48" cm="1">
        <f t="array" ref="W59">_xlfn.IFS(YEAR(W$2)&lt;YEAR($I59),0,YEAR(W$2)=YEAR($I59),ROUND(((W$2-$I59+1)/365)*$D59,2),AND(YEAR(W$2)&gt;YEAR($I59),YEAR(W$2)-YEAR($I59)&lt;20),$D59,YEAR(W$2)-YEAR($I59)=20,ROUND((DATE(YEAR($I59),12,31)-$I59+1)/365*$D59,2),YEAR(W$2)-YEAR($I59)&gt;20,0)</f>
        <v>359</v>
      </c>
      <c r="X59" s="48" cm="1">
        <f t="array" ref="X59">_xlfn.IFS(YEAR(X$2)&lt;YEAR($I59),0,YEAR(X$2)=YEAR($I59),ROUND(((X$2-$I59+1)/365)*$D59,2),AND(YEAR(X$2)&gt;YEAR($I59),YEAR(X$2)-YEAR($I59)&lt;20),$D59,YEAR(X$2)-YEAR($I59)=20,ROUND((DATE(YEAR($I59),12,31)-$I59+1)/365*$D59,2),YEAR(X$2)-YEAR($I59)&gt;20,0)</f>
        <v>359</v>
      </c>
      <c r="Y59" s="48" cm="1">
        <f t="array" ref="Y59">_xlfn.IFS(YEAR(Y$2)&lt;YEAR($I59),0,YEAR(Y$2)=YEAR($I59),ROUND(((Y$2-$I59+1)/365)*$D59,2),AND(YEAR(Y$2)&gt;YEAR($I59),YEAR(Y$2)-YEAR($I59)&lt;20),$D59,YEAR(Y$2)-YEAR($I59)=20,ROUND((DATE(YEAR($I59),12,31)-$I59+1)/365*$D59,2),YEAR(Y$2)-YEAR($I59)&gt;20,0)</f>
        <v>359</v>
      </c>
      <c r="Z59" s="48" cm="1">
        <f t="array" ref="Z59">_xlfn.IFS(YEAR(Z$2)&lt;YEAR($I59),0,YEAR(Z$2)=YEAR($I59),ROUND(((Z$2-$I59+1)/365)*$D59,2),AND(YEAR(Z$2)&gt;YEAR($I59),YEAR(Z$2)-YEAR($I59)&lt;20),$D59,YEAR(Z$2)-YEAR($I59)=20,ROUND((DATE(YEAR($I59),12,31)-$I59+1)/365*$D59,2),YEAR(Z$2)-YEAR($I59)&gt;20,0)</f>
        <v>359</v>
      </c>
      <c r="AA59" s="48" cm="1">
        <f t="array" ref="AA59">_xlfn.IFS(YEAR(AA$2)&lt;YEAR($I59),0,YEAR(AA$2)=YEAR($I59),ROUND(((AA$2-$I59+1)/365)*$D59,2),AND(YEAR(AA$2)&gt;YEAR($I59),YEAR(AA$2)-YEAR($I59)&lt;20),$D59,YEAR(AA$2)-YEAR($I59)=20,ROUND((DATE(YEAR($I59),12,31)-$I59+1)/365*$D59,2),YEAR(AA$2)-YEAR($I59)&gt;20,0)</f>
        <v>359</v>
      </c>
      <c r="AB59" s="48" cm="1">
        <f t="array" ref="AB59">_xlfn.IFS(YEAR(AB$2)&lt;YEAR($I59),0,YEAR(AB$2)=YEAR($I59),ROUND(((AB$2-$I59+1)/365)*$D59,2),AND(YEAR(AB$2)&gt;YEAR($I59),YEAR(AB$2)-YEAR($I59)&lt;20),$D59,YEAR(AB$2)-YEAR($I59)=20,ROUND((DATE(YEAR($I59),12,31)-$I59+1)/365*$D59,2),YEAR(AB$2)-YEAR($I59)&gt;20,0)</f>
        <v>359</v>
      </c>
      <c r="AC59" s="48" cm="1">
        <f t="array" ref="AC59">_xlfn.IFS(YEAR(AC$2)&lt;YEAR($I59),0,YEAR(AC$2)=YEAR($I59),ROUND(((AC$2-$I59+1)/365)*$D59,2),AND(YEAR(AC$2)&gt;YEAR($I59),YEAR(AC$2)-YEAR($I59)&lt;20),$D59,YEAR(AC$2)-YEAR($I59)=20,ROUND((DATE(YEAR($I59),12,31)-$I59+1)/365*$D59,2),YEAR(AC$2)-YEAR($I59)&gt;20,0)</f>
        <v>359</v>
      </c>
      <c r="AD59" s="48" cm="1">
        <f t="array" ref="AD59">_xlfn.IFS(YEAR(AD$2)&lt;YEAR($I59),0,YEAR(AD$2)=YEAR($I59),ROUND(((AD$2-$I59+1)/365)*$D59,2),AND(YEAR(AD$2)&gt;YEAR($I59),YEAR(AD$2)-YEAR($I59)&lt;20),$D59,YEAR(AD$2)-YEAR($I59)=20,ROUND((DATE(YEAR($I59),12,31)-$I59+1)/365*$D59,2),YEAR(AD$2)-YEAR($I59)&gt;20,0)</f>
        <v>359</v>
      </c>
      <c r="AE59" s="48" cm="1">
        <f t="array" ref="AE59">_xlfn.IFS(YEAR(AE$2)&lt;YEAR($I59),0,YEAR(AE$2)=YEAR($I59),ROUND(((AE$2-$I59+1)/365)*$D59,2),AND(YEAR(AE$2)&gt;YEAR($I59),YEAR(AE$2)-YEAR($I59)&lt;20),$D59,YEAR(AE$2)-YEAR($I59)=20,ROUND((DATE(YEAR($I59),12,31)-$I59+1)/365*$D59,2),YEAR(AE$2)-YEAR($I59)&gt;20,0)</f>
        <v>359</v>
      </c>
      <c r="AF59" s="48" cm="1">
        <f t="array" ref="AF59">_xlfn.IFS(YEAR(AF$2)&lt;YEAR($I59),0,YEAR(AF$2)=YEAR($I59),ROUND(((AF$2-$I59+1)/365)*$D59,2),AND(YEAR(AF$2)&gt;YEAR($I59),YEAR(AF$2)-YEAR($I59)&lt;20),$D59,YEAR(AF$2)-YEAR($I59)=20,ROUND((DATE(YEAR($I59),12,31)-$I59+1)/365*$D59,2),YEAR(AF$2)-YEAR($I59)&gt;20,0)</f>
        <v>359</v>
      </c>
      <c r="AG59" s="48" cm="1">
        <f t="array" ref="AG59">_xlfn.IFS(YEAR(AG$2)&lt;YEAR($I59),0,YEAR(AG$2)=YEAR($I59),ROUND(((AG$2-$I59+1)/365)*$D59,2),AND(YEAR(AG$2)&gt;YEAR($I59),YEAR(AG$2)-YEAR($I59)&lt;20),$D59,YEAR(AG$2)-YEAR($I59)=20,ROUND((DATE(YEAR($I59),12,31)-$I59+1)/365*$D59,2),YEAR(AG$2)-YEAR($I59)&gt;20,0)</f>
        <v>359</v>
      </c>
      <c r="AH59" s="48" cm="1">
        <f t="array" ref="AH59">_xlfn.IFS(YEAR(AH$2)&lt;YEAR($I59),0,YEAR(AH$2)=YEAR($I59),ROUND(((AH$2-$I59+1)/365)*$D59,2),AND(YEAR(AH$2)&gt;YEAR($I59),YEAR(AH$2)-YEAR($I59)&lt;20),$D59,YEAR(AH$2)-YEAR($I59)=20,ROUND((DATE(YEAR($I59),12,31)-$I59+1)/365*$D59,2),YEAR(AH$2)-YEAR($I59)&gt;20,0)</f>
        <v>352.12</v>
      </c>
      <c r="AI59" s="48" cm="1">
        <f t="array" ref="AI59">_xlfn.IFS(YEAR(AI$2)&lt;YEAR($I59),0,YEAR(AI$2)=YEAR($I59),ROUND(((AI$2-$I59+1)/365)*$D59,2),AND(YEAR(AI$2)&gt;YEAR($I59),YEAR(AI$2)-YEAR($I59)&lt;20),$D59,YEAR(AI$2)-YEAR($I59)=20,ROUND((DATE(YEAR($I59),12,31)-$I59+1)/365*$D59,2),YEAR(AI$2)-YEAR($I59)&gt;20,0)</f>
        <v>0</v>
      </c>
      <c r="AJ59" s="48" cm="1">
        <f t="array" ref="AJ59">_xlfn.IFS(YEAR(AJ$2)&lt;YEAR($I59),0,YEAR(AJ$2)=YEAR($I59),ROUND(((AJ$2-$I59+1)/365)*$D59,2),AND(YEAR(AJ$2)&gt;YEAR($I59),YEAR(AJ$2)-YEAR($I59)&lt;20),$D59,YEAR(AJ$2)-YEAR($I59)=20,ROUND((DATE(YEAR($I59),12,31)-$I59+1)/365*$D59,2),YEAR(AJ$2)-YEAR($I59)&gt;20,0)</f>
        <v>0</v>
      </c>
      <c r="AK59" s="48" cm="1">
        <f t="array" ref="AK59">_xlfn.IFS(YEAR(AK$2)&lt;YEAR($I59),0,YEAR(AK$2)=YEAR($I59),ROUND(((AK$2-$I59+1)/365)*$D59,2),AND(YEAR(AK$2)&gt;YEAR($I59),YEAR(AK$2)-YEAR($I59)&lt;20),$D59,YEAR(AK$2)-YEAR($I59)=20,ROUND((DATE(YEAR($I59),12,31)-$I59+1)/365*$D59,2),YEAR(AK$2)-YEAR($I59)&gt;20,0)</f>
        <v>0</v>
      </c>
      <c r="AL59" s="48" cm="1">
        <f t="array" ref="AL59">_xlfn.IFS(YEAR(AL$2)&lt;YEAR($I59),0,YEAR(AL$2)=YEAR($I59),ROUND(((AL$2-$I59+1)/365)*$D59,2),AND(YEAR(AL$2)&gt;YEAR($I59),YEAR(AL$2)-YEAR($I59)&lt;20),$D59,YEAR(AL$2)-YEAR($I59)=20,ROUND((DATE(YEAR($I59),12,31)-$I59+1)/365*$D59,2),YEAR(AL$2)-YEAR($I59)&gt;20,0)</f>
        <v>0</v>
      </c>
      <c r="AM59" s="48" cm="1">
        <f t="array" ref="AM59">_xlfn.IFS(YEAR(AM$2)&lt;YEAR($I59),0,YEAR(AM$2)=YEAR($I59),ROUND(((AM$2-$I59+1)/365)*$D59,2),AND(YEAR(AM$2)&gt;YEAR($I59),YEAR(AM$2)-YEAR($I59)&lt;20),$D59,YEAR(AM$2)-YEAR($I59)=20,ROUND((DATE(YEAR($I59),12,31)-$I59+1)/365*$D59,2),YEAR(AM$2)-YEAR($I59)&gt;20,0)</f>
        <v>0</v>
      </c>
    </row>
    <row r="60" spans="1:54">
      <c r="A60" s="155" t="str" cm="1">
        <f t="array" ref="A60">_xlfn.IFS(LEFT(C60,3)="PGE","PGE",LEFT(C60,2)="PP","PAC",TRUE,"IP")</f>
        <v>PAC</v>
      </c>
      <c r="B60" s="155" t="str">
        <f>IF(ISNA(MATCH(C60,'Monthly Report July 2025'!E:E,0)),"Missing","Present")</f>
        <v>Present</v>
      </c>
      <c r="C60" s="155" t="s">
        <v>169</v>
      </c>
      <c r="D60" s="176" cm="1">
        <f t="array" ref="D60">INDEX('Monthly Report July 2025'!L:L,MATCH(C60,'Monthly Report July 2025'!E:E,0),0)</f>
        <v>2875</v>
      </c>
      <c r="E60" s="176" t="str" cm="1">
        <f t="array" ref="E60">IF(INDEX('PA Fees by Project'!K:K,MATCH(C60,'PA Fees by Project'!E:E,0),0)="No","Non-Carve Out", "Carve Out")</f>
        <v>Non-Carve Out</v>
      </c>
      <c r="F60" s="176" cm="1">
        <f t="array" ref="F60">INDEX('PA Fees by Project'!J:J,MATCH(C60,'PA Fees by Project'!E:E,0),0)</f>
        <v>2</v>
      </c>
      <c r="G60" s="155" t="str" cm="1">
        <f t="array" ref="G60">INDEX('PA Fees by Project'!G:G,MATCH(C60,'PA Fees by Project'!E:E,0),0)</f>
        <v>Operational</v>
      </c>
      <c r="H60" s="175" cm="1">
        <f t="array" ref="H60">INDEX('PA Fees by Project'!Q:Q,MATCH(C60,'PA Fees by Project'!E:E,0),0)</f>
        <v>45474</v>
      </c>
      <c r="I60" s="156" cm="1">
        <f t="array" ref="I60">_xlfn.IFS(G60="Operational",H60,G60="Certified",EDATE(INDEX('PA Fees by Project'!R:R,MATCH(C60,'PA Fees by Project'!E:E,0),0),6),TRUE,EDATE(INDEX('PA Fees by Project'!O:O,MATCH(C60,'PA Fees by Project'!E:E,0),0),6))</f>
        <v>45474</v>
      </c>
      <c r="J60" s="48" cm="1">
        <f t="array" ref="J60">_xlfn.IFS(YEAR(J$2)&lt;YEAR($I60),0,YEAR(J$2)=YEAR($I60),ROUND(((J$2-$I60+1)/365)*$D60,2),AND(YEAR(J$2)&gt;YEAR($I60),YEAR(J$2)-YEAR($I60)&lt;20),$D60,YEAR(J$2)-YEAR($I60)=20,ROUND((DATE(YEAR($I60),12,31)-$I60+1)/365*$D60,2),YEAR(J$2)-YEAR($I60)&gt;20,0)</f>
        <v>0</v>
      </c>
      <c r="K60" s="48" cm="1">
        <f t="array" ref="K60">_xlfn.IFS(YEAR(K$2)&lt;YEAR($I60),0,YEAR(K$2)=YEAR($I60),ROUND(((K$2-$I60+1)/365)*$D60,2),AND(YEAR(K$2)&gt;YEAR($I60),YEAR(K$2)-YEAR($I60)&lt;20),$D60,YEAR(K$2)-YEAR($I60)=20,ROUND((DATE(YEAR($I60),12,31)-$I60+1)/365*$D60,2),YEAR(K$2)-YEAR($I60)&gt;20,0)</f>
        <v>0</v>
      </c>
      <c r="L60" s="48" cm="1">
        <f t="array" ref="L60">_xlfn.IFS(YEAR(L$2)&lt;YEAR($I60),0,YEAR(L$2)=YEAR($I60),ROUND(((L$2-$I60+1)/365)*$D60,2),AND(YEAR(L$2)&gt;YEAR($I60),YEAR(L$2)-YEAR($I60)&lt;20),$D60,YEAR(L$2)-YEAR($I60)=20,ROUND((DATE(YEAR($I60),12,31)-$I60+1)/365*$D60,2),YEAR(L$2)-YEAR($I60)&gt;20,0)</f>
        <v>0</v>
      </c>
      <c r="M60" s="48" cm="1">
        <f t="array" ref="M60">_xlfn.IFS(YEAR(M$2)&lt;YEAR($I60),0,YEAR(M$2)=YEAR($I60),ROUND(((M$2-$I60+1)/365)*$D60,2),AND(YEAR(M$2)&gt;YEAR($I60),YEAR(M$2)-YEAR($I60)&lt;20),$D60,YEAR(M$2)-YEAR($I60)=20,ROUND((DATE(YEAR($I60),12,31)-$I60+1)/365*$D60,2),YEAR(M$2)-YEAR($I60)&gt;20,0)</f>
        <v>1449.32</v>
      </c>
      <c r="N60" s="48" cm="1">
        <f t="array" ref="N60">_xlfn.IFS(YEAR(N$2)&lt;YEAR($I60),0,YEAR(N$2)=YEAR($I60),ROUND(((N$2-$I60+1)/365)*$D60,2),AND(YEAR(N$2)&gt;YEAR($I60),YEAR(N$2)-YEAR($I60)&lt;20),$D60,YEAR(N$2)-YEAR($I60)=20,ROUND((DATE(YEAR($I60),12,31)-$I60+1)/365*$D60,2),YEAR(N$2)-YEAR($I60)&gt;20,0)</f>
        <v>2875</v>
      </c>
      <c r="O60" s="48" cm="1">
        <f t="array" ref="O60">_xlfn.IFS(YEAR(O$2)&lt;YEAR($I60),0,YEAR(O$2)=YEAR($I60),ROUND(((O$2-$I60+1)/365)*$D60,2),AND(YEAR(O$2)&gt;YEAR($I60),YEAR(O$2)-YEAR($I60)&lt;20),$D60,YEAR(O$2)-YEAR($I60)=20,ROUND((DATE(YEAR($I60),12,31)-$I60+1)/365*$D60,2),YEAR(O$2)-YEAR($I60)&gt;20,0)</f>
        <v>2875</v>
      </c>
      <c r="P60" s="48" cm="1">
        <f t="array" ref="P60">_xlfn.IFS(YEAR(P$2)&lt;YEAR($I60),0,YEAR(P$2)=YEAR($I60),ROUND(((P$2-$I60+1)/365)*$D60,2),AND(YEAR(P$2)&gt;YEAR($I60),YEAR(P$2)-YEAR($I60)&lt;20),$D60,YEAR(P$2)-YEAR($I60)=20,ROUND((DATE(YEAR($I60),12,31)-$I60+1)/365*$D60,2),YEAR(P$2)-YEAR($I60)&gt;20,0)</f>
        <v>2875</v>
      </c>
      <c r="Q60" s="48" cm="1">
        <f t="array" ref="Q60">_xlfn.IFS(YEAR(Q$2)&lt;YEAR($I60),0,YEAR(Q$2)=YEAR($I60),ROUND(((Q$2-$I60+1)/365)*$D60,2),AND(YEAR(Q$2)&gt;YEAR($I60),YEAR(Q$2)-YEAR($I60)&lt;20),$D60,YEAR(Q$2)-YEAR($I60)=20,ROUND((DATE(YEAR($I60),12,31)-$I60+1)/365*$D60,2),YEAR(Q$2)-YEAR($I60)&gt;20,0)</f>
        <v>2875</v>
      </c>
      <c r="R60" s="48" cm="1">
        <f t="array" ref="R60">_xlfn.IFS(YEAR(R$2)&lt;YEAR($I60),0,YEAR(R$2)=YEAR($I60),ROUND(((R$2-$I60+1)/365)*$D60,2),AND(YEAR(R$2)&gt;YEAR($I60),YEAR(R$2)-YEAR($I60)&lt;20),$D60,YEAR(R$2)-YEAR($I60)=20,ROUND((DATE(YEAR($I60),12,31)-$I60+1)/365*$D60,2),YEAR(R$2)-YEAR($I60)&gt;20,0)</f>
        <v>2875</v>
      </c>
      <c r="S60" s="48" cm="1">
        <f t="array" ref="S60">_xlfn.IFS(YEAR(S$2)&lt;YEAR($I60),0,YEAR(S$2)=YEAR($I60),ROUND(((S$2-$I60+1)/365)*$D60,2),AND(YEAR(S$2)&gt;YEAR($I60),YEAR(S$2)-YEAR($I60)&lt;20),$D60,YEAR(S$2)-YEAR($I60)=20,ROUND((DATE(YEAR($I60),12,31)-$I60+1)/365*$D60,2),YEAR(S$2)-YEAR($I60)&gt;20,0)</f>
        <v>2875</v>
      </c>
      <c r="T60" s="48" cm="1">
        <f t="array" ref="T60">_xlfn.IFS(YEAR(T$2)&lt;YEAR($I60),0,YEAR(T$2)=YEAR($I60),ROUND(((T$2-$I60+1)/365)*$D60,2),AND(YEAR(T$2)&gt;YEAR($I60),YEAR(T$2)-YEAR($I60)&lt;20),$D60,YEAR(T$2)-YEAR($I60)=20,ROUND((DATE(YEAR($I60),12,31)-$I60+1)/365*$D60,2),YEAR(T$2)-YEAR($I60)&gt;20,0)</f>
        <v>2875</v>
      </c>
      <c r="U60" s="48" cm="1">
        <f t="array" ref="U60">_xlfn.IFS(YEAR(U$2)&lt;YEAR($I60),0,YEAR(U$2)=YEAR($I60),ROUND(((U$2-$I60+1)/365)*$D60,2),AND(YEAR(U$2)&gt;YEAR($I60),YEAR(U$2)-YEAR($I60)&lt;20),$D60,YEAR(U$2)-YEAR($I60)=20,ROUND((DATE(YEAR($I60),12,31)-$I60+1)/365*$D60,2),YEAR(U$2)-YEAR($I60)&gt;20,0)</f>
        <v>2875</v>
      </c>
      <c r="V60" s="48" cm="1">
        <f t="array" ref="V60">_xlfn.IFS(YEAR(V$2)&lt;YEAR($I60),0,YEAR(V$2)=YEAR($I60),ROUND(((V$2-$I60+1)/365)*$D60,2),AND(YEAR(V$2)&gt;YEAR($I60),YEAR(V$2)-YEAR($I60)&lt;20),$D60,YEAR(V$2)-YEAR($I60)=20,ROUND((DATE(YEAR($I60),12,31)-$I60+1)/365*$D60,2),YEAR(V$2)-YEAR($I60)&gt;20,0)</f>
        <v>2875</v>
      </c>
      <c r="W60" s="48" cm="1">
        <f t="array" ref="W60">_xlfn.IFS(YEAR(W$2)&lt;YEAR($I60),0,YEAR(W$2)=YEAR($I60),ROUND(((W$2-$I60+1)/365)*$D60,2),AND(YEAR(W$2)&gt;YEAR($I60),YEAR(W$2)-YEAR($I60)&lt;20),$D60,YEAR(W$2)-YEAR($I60)=20,ROUND((DATE(YEAR($I60),12,31)-$I60+1)/365*$D60,2),YEAR(W$2)-YEAR($I60)&gt;20,0)</f>
        <v>2875</v>
      </c>
      <c r="X60" s="48" cm="1">
        <f t="array" ref="X60">_xlfn.IFS(YEAR(X$2)&lt;YEAR($I60),0,YEAR(X$2)=YEAR($I60),ROUND(((X$2-$I60+1)/365)*$D60,2),AND(YEAR(X$2)&gt;YEAR($I60),YEAR(X$2)-YEAR($I60)&lt;20),$D60,YEAR(X$2)-YEAR($I60)=20,ROUND((DATE(YEAR($I60),12,31)-$I60+1)/365*$D60,2),YEAR(X$2)-YEAR($I60)&gt;20,0)</f>
        <v>2875</v>
      </c>
      <c r="Y60" s="48" cm="1">
        <f t="array" ref="Y60">_xlfn.IFS(YEAR(Y$2)&lt;YEAR($I60),0,YEAR(Y$2)=YEAR($I60),ROUND(((Y$2-$I60+1)/365)*$D60,2),AND(YEAR(Y$2)&gt;YEAR($I60),YEAR(Y$2)-YEAR($I60)&lt;20),$D60,YEAR(Y$2)-YEAR($I60)=20,ROUND((DATE(YEAR($I60),12,31)-$I60+1)/365*$D60,2),YEAR(Y$2)-YEAR($I60)&gt;20,0)</f>
        <v>2875</v>
      </c>
      <c r="Z60" s="48" cm="1">
        <f t="array" ref="Z60">_xlfn.IFS(YEAR(Z$2)&lt;YEAR($I60),0,YEAR(Z$2)=YEAR($I60),ROUND(((Z$2-$I60+1)/365)*$D60,2),AND(YEAR(Z$2)&gt;YEAR($I60),YEAR(Z$2)-YEAR($I60)&lt;20),$D60,YEAR(Z$2)-YEAR($I60)=20,ROUND((DATE(YEAR($I60),12,31)-$I60+1)/365*$D60,2),YEAR(Z$2)-YEAR($I60)&gt;20,0)</f>
        <v>2875</v>
      </c>
      <c r="AA60" s="48" cm="1">
        <f t="array" ref="AA60">_xlfn.IFS(YEAR(AA$2)&lt;YEAR($I60),0,YEAR(AA$2)=YEAR($I60),ROUND(((AA$2-$I60+1)/365)*$D60,2),AND(YEAR(AA$2)&gt;YEAR($I60),YEAR(AA$2)-YEAR($I60)&lt;20),$D60,YEAR(AA$2)-YEAR($I60)=20,ROUND((DATE(YEAR($I60),12,31)-$I60+1)/365*$D60,2),YEAR(AA$2)-YEAR($I60)&gt;20,0)</f>
        <v>2875</v>
      </c>
      <c r="AB60" s="48" cm="1">
        <f t="array" ref="AB60">_xlfn.IFS(YEAR(AB$2)&lt;YEAR($I60),0,YEAR(AB$2)=YEAR($I60),ROUND(((AB$2-$I60+1)/365)*$D60,2),AND(YEAR(AB$2)&gt;YEAR($I60),YEAR(AB$2)-YEAR($I60)&lt;20),$D60,YEAR(AB$2)-YEAR($I60)=20,ROUND((DATE(YEAR($I60),12,31)-$I60+1)/365*$D60,2),YEAR(AB$2)-YEAR($I60)&gt;20,0)</f>
        <v>2875</v>
      </c>
      <c r="AC60" s="48" cm="1">
        <f t="array" ref="AC60">_xlfn.IFS(YEAR(AC$2)&lt;YEAR($I60),0,YEAR(AC$2)=YEAR($I60),ROUND(((AC$2-$I60+1)/365)*$D60,2),AND(YEAR(AC$2)&gt;YEAR($I60),YEAR(AC$2)-YEAR($I60)&lt;20),$D60,YEAR(AC$2)-YEAR($I60)=20,ROUND((DATE(YEAR($I60),12,31)-$I60+1)/365*$D60,2),YEAR(AC$2)-YEAR($I60)&gt;20,0)</f>
        <v>2875</v>
      </c>
      <c r="AD60" s="48" cm="1">
        <f t="array" ref="AD60">_xlfn.IFS(YEAR(AD$2)&lt;YEAR($I60),0,YEAR(AD$2)=YEAR($I60),ROUND(((AD$2-$I60+1)/365)*$D60,2),AND(YEAR(AD$2)&gt;YEAR($I60),YEAR(AD$2)-YEAR($I60)&lt;20),$D60,YEAR(AD$2)-YEAR($I60)=20,ROUND((DATE(YEAR($I60),12,31)-$I60+1)/365*$D60,2),YEAR(AD$2)-YEAR($I60)&gt;20,0)</f>
        <v>2875</v>
      </c>
      <c r="AE60" s="48" cm="1">
        <f t="array" ref="AE60">_xlfn.IFS(YEAR(AE$2)&lt;YEAR($I60),0,YEAR(AE$2)=YEAR($I60),ROUND(((AE$2-$I60+1)/365)*$D60,2),AND(YEAR(AE$2)&gt;YEAR($I60),YEAR(AE$2)-YEAR($I60)&lt;20),$D60,YEAR(AE$2)-YEAR($I60)=20,ROUND((DATE(YEAR($I60),12,31)-$I60+1)/365*$D60,2),YEAR(AE$2)-YEAR($I60)&gt;20,0)</f>
        <v>2875</v>
      </c>
      <c r="AF60" s="48" cm="1">
        <f t="array" ref="AF60">_xlfn.IFS(YEAR(AF$2)&lt;YEAR($I60),0,YEAR(AF$2)=YEAR($I60),ROUND(((AF$2-$I60+1)/365)*$D60,2),AND(YEAR(AF$2)&gt;YEAR($I60),YEAR(AF$2)-YEAR($I60)&lt;20),$D60,YEAR(AF$2)-YEAR($I60)=20,ROUND((DATE(YEAR($I60),12,31)-$I60+1)/365*$D60,2),YEAR(AF$2)-YEAR($I60)&gt;20,0)</f>
        <v>2875</v>
      </c>
      <c r="AG60" s="48" cm="1">
        <f t="array" ref="AG60">_xlfn.IFS(YEAR(AG$2)&lt;YEAR($I60),0,YEAR(AG$2)=YEAR($I60),ROUND(((AG$2-$I60+1)/365)*$D60,2),AND(YEAR(AG$2)&gt;YEAR($I60),YEAR(AG$2)-YEAR($I60)&lt;20),$D60,YEAR(AG$2)-YEAR($I60)=20,ROUND((DATE(YEAR($I60),12,31)-$I60+1)/365*$D60,2),YEAR(AG$2)-YEAR($I60)&gt;20,0)</f>
        <v>1449.32</v>
      </c>
      <c r="AH60" s="48" cm="1">
        <f t="array" ref="AH60">_xlfn.IFS(YEAR(AH$2)&lt;YEAR($I60),0,YEAR(AH$2)=YEAR($I60),ROUND(((AH$2-$I60+1)/365)*$D60,2),AND(YEAR(AH$2)&gt;YEAR($I60),YEAR(AH$2)-YEAR($I60)&lt;20),$D60,YEAR(AH$2)-YEAR($I60)=20,ROUND((DATE(YEAR($I60),12,31)-$I60+1)/365*$D60,2),YEAR(AH$2)-YEAR($I60)&gt;20,0)</f>
        <v>0</v>
      </c>
      <c r="AI60" s="48" cm="1">
        <f t="array" ref="AI60">_xlfn.IFS(YEAR(AI$2)&lt;YEAR($I60),0,YEAR(AI$2)=YEAR($I60),ROUND(((AI$2-$I60+1)/365)*$D60,2),AND(YEAR(AI$2)&gt;YEAR($I60),YEAR(AI$2)-YEAR($I60)&lt;20),$D60,YEAR(AI$2)-YEAR($I60)=20,ROUND((DATE(YEAR($I60),12,31)-$I60+1)/365*$D60,2),YEAR(AI$2)-YEAR($I60)&gt;20,0)</f>
        <v>0</v>
      </c>
      <c r="AJ60" s="48" cm="1">
        <f t="array" ref="AJ60">_xlfn.IFS(YEAR(AJ$2)&lt;YEAR($I60),0,YEAR(AJ$2)=YEAR($I60),ROUND(((AJ$2-$I60+1)/365)*$D60,2),AND(YEAR(AJ$2)&gt;YEAR($I60),YEAR(AJ$2)-YEAR($I60)&lt;20),$D60,YEAR(AJ$2)-YEAR($I60)=20,ROUND((DATE(YEAR($I60),12,31)-$I60+1)/365*$D60,2),YEAR(AJ$2)-YEAR($I60)&gt;20,0)</f>
        <v>0</v>
      </c>
      <c r="AK60" s="48" cm="1">
        <f t="array" ref="AK60">_xlfn.IFS(YEAR(AK$2)&lt;YEAR($I60),0,YEAR(AK$2)=YEAR($I60),ROUND(((AK$2-$I60+1)/365)*$D60,2),AND(YEAR(AK$2)&gt;YEAR($I60),YEAR(AK$2)-YEAR($I60)&lt;20),$D60,YEAR(AK$2)-YEAR($I60)=20,ROUND((DATE(YEAR($I60),12,31)-$I60+1)/365*$D60,2),YEAR(AK$2)-YEAR($I60)&gt;20,0)</f>
        <v>0</v>
      </c>
      <c r="AL60" s="48" cm="1">
        <f t="array" ref="AL60">_xlfn.IFS(YEAR(AL$2)&lt;YEAR($I60),0,YEAR(AL$2)=YEAR($I60),ROUND(((AL$2-$I60+1)/365)*$D60,2),AND(YEAR(AL$2)&gt;YEAR($I60),YEAR(AL$2)-YEAR($I60)&lt;20),$D60,YEAR(AL$2)-YEAR($I60)=20,ROUND((DATE(YEAR($I60),12,31)-$I60+1)/365*$D60,2),YEAR(AL$2)-YEAR($I60)&gt;20,0)</f>
        <v>0</v>
      </c>
      <c r="AM60" s="48" cm="1">
        <f t="array" ref="AM60">_xlfn.IFS(YEAR(AM$2)&lt;YEAR($I60),0,YEAR(AM$2)=YEAR($I60),ROUND(((AM$2-$I60+1)/365)*$D60,2),AND(YEAR(AM$2)&gt;YEAR($I60),YEAR(AM$2)-YEAR($I60)&lt;20),$D60,YEAR(AM$2)-YEAR($I60)=20,ROUND((DATE(YEAR($I60),12,31)-$I60+1)/365*$D60,2),YEAR(AM$2)-YEAR($I60)&gt;20,0)</f>
        <v>0</v>
      </c>
    </row>
    <row r="61" spans="1:54">
      <c r="A61" s="155" t="str" cm="1">
        <f t="array" ref="A61">_xlfn.IFS(LEFT(C61,3)="PGE","PGE",LEFT(C61,2)="PP","PAC",TRUE,"IP")</f>
        <v>PAC</v>
      </c>
      <c r="B61" s="155" t="str">
        <f>IF(ISNA(MATCH(C61,'Monthly Report July 2025'!E:E,0)),"Missing","Present")</f>
        <v>Present</v>
      </c>
      <c r="C61" s="155" t="s">
        <v>170</v>
      </c>
      <c r="D61" s="176" cm="1">
        <f t="array" ref="D61">INDEX('Monthly Report July 2025'!L:L,MATCH(C61,'Monthly Report July 2025'!E:E,0),0)</f>
        <v>951</v>
      </c>
      <c r="E61" s="176" t="str" cm="1">
        <f t="array" ref="E61">IF(INDEX('PA Fees by Project'!K:K,MATCH(C61,'PA Fees by Project'!E:E,0),0)="No","Non-Carve Out", "Carve Out")</f>
        <v>Non-Carve Out</v>
      </c>
      <c r="F61" s="176" cm="1">
        <f t="array" ref="F61">INDEX('PA Fees by Project'!J:J,MATCH(C61,'PA Fees by Project'!E:E,0),0)</f>
        <v>2</v>
      </c>
      <c r="G61" s="155" t="str" cm="1">
        <f t="array" ref="G61">INDEX('PA Fees by Project'!G:G,MATCH(C61,'PA Fees by Project'!E:E,0),0)</f>
        <v>Certified</v>
      </c>
      <c r="H61" s="175" t="str" cm="1">
        <f t="array" ref="H61">INDEX('PA Fees by Project'!Q:Q,MATCH(C61,'PA Fees by Project'!E:E,0),0)</f>
        <v/>
      </c>
      <c r="I61" s="156" cm="1">
        <f t="array" ref="I61">_xlfn.IFS(G61="Operational",H61,G61="Certified",EDATE(INDEX('PA Fees by Project'!R:R,MATCH(C61,'PA Fees by Project'!E:E,0),0),6),TRUE,EDATE(INDEX('PA Fees by Project'!O:O,MATCH(C61,'PA Fees by Project'!E:E,0),0),6))</f>
        <v>45904</v>
      </c>
      <c r="J61" s="48" cm="1">
        <f t="array" ref="J61">_xlfn.IFS(YEAR(J$2)&lt;YEAR($I61),0,YEAR(J$2)=YEAR($I61),ROUND(((J$2-$I61+1)/365)*$D61,2),AND(YEAR(J$2)&gt;YEAR($I61),YEAR(J$2)-YEAR($I61)&lt;20),$D61,YEAR(J$2)-YEAR($I61)=20,ROUND((DATE(YEAR($I61),12,31)-$I61+1)/365*$D61,2),YEAR(J$2)-YEAR($I61)&gt;20,0)</f>
        <v>0</v>
      </c>
      <c r="K61" s="48" cm="1">
        <f t="array" ref="K61">_xlfn.IFS(YEAR(K$2)&lt;YEAR($I61),0,YEAR(K$2)=YEAR($I61),ROUND(((K$2-$I61+1)/365)*$D61,2),AND(YEAR(K$2)&gt;YEAR($I61),YEAR(K$2)-YEAR($I61)&lt;20),$D61,YEAR(K$2)-YEAR($I61)=20,ROUND((DATE(YEAR($I61),12,31)-$I61+1)/365*$D61,2),YEAR(K$2)-YEAR($I61)&gt;20,0)</f>
        <v>0</v>
      </c>
      <c r="L61" s="48" cm="1">
        <f t="array" ref="L61">_xlfn.IFS(YEAR(L$2)&lt;YEAR($I61),0,YEAR(L$2)=YEAR($I61),ROUND(((L$2-$I61+1)/365)*$D61,2),AND(YEAR(L$2)&gt;YEAR($I61),YEAR(L$2)-YEAR($I61)&lt;20),$D61,YEAR(L$2)-YEAR($I61)=20,ROUND((DATE(YEAR($I61),12,31)-$I61+1)/365*$D61,2),YEAR(L$2)-YEAR($I61)&gt;20,0)</f>
        <v>0</v>
      </c>
      <c r="M61" s="48" cm="1">
        <f t="array" ref="M61">_xlfn.IFS(YEAR(M$2)&lt;YEAR($I61),0,YEAR(M$2)=YEAR($I61),ROUND(((M$2-$I61+1)/365)*$D61,2),AND(YEAR(M$2)&gt;YEAR($I61),YEAR(M$2)-YEAR($I61)&lt;20),$D61,YEAR(M$2)-YEAR($I61)=20,ROUND((DATE(YEAR($I61),12,31)-$I61+1)/365*$D61,2),YEAR(M$2)-YEAR($I61)&gt;20,0)</f>
        <v>0</v>
      </c>
      <c r="N61" s="48" cm="1">
        <f t="array" ref="N61">_xlfn.IFS(YEAR(N$2)&lt;YEAR($I61),0,YEAR(N$2)=YEAR($I61),ROUND(((N$2-$I61+1)/365)*$D61,2),AND(YEAR(N$2)&gt;YEAR($I61),YEAR(N$2)-YEAR($I61)&lt;20),$D61,YEAR(N$2)-YEAR($I61)=20,ROUND((DATE(YEAR($I61),12,31)-$I61+1)/365*$D61,2),YEAR(N$2)-YEAR($I61)&gt;20,0)</f>
        <v>310.05</v>
      </c>
      <c r="O61" s="48" cm="1">
        <f t="array" ref="O61">_xlfn.IFS(YEAR(O$2)&lt;YEAR($I61),0,YEAR(O$2)=YEAR($I61),ROUND(((O$2-$I61+1)/365)*$D61,2),AND(YEAR(O$2)&gt;YEAR($I61),YEAR(O$2)-YEAR($I61)&lt;20),$D61,YEAR(O$2)-YEAR($I61)=20,ROUND((DATE(YEAR($I61),12,31)-$I61+1)/365*$D61,2),YEAR(O$2)-YEAR($I61)&gt;20,0)</f>
        <v>951</v>
      </c>
      <c r="P61" s="48" cm="1">
        <f t="array" ref="P61">_xlfn.IFS(YEAR(P$2)&lt;YEAR($I61),0,YEAR(P$2)=YEAR($I61),ROUND(((P$2-$I61+1)/365)*$D61,2),AND(YEAR(P$2)&gt;YEAR($I61),YEAR(P$2)-YEAR($I61)&lt;20),$D61,YEAR(P$2)-YEAR($I61)=20,ROUND((DATE(YEAR($I61),12,31)-$I61+1)/365*$D61,2),YEAR(P$2)-YEAR($I61)&gt;20,0)</f>
        <v>951</v>
      </c>
      <c r="Q61" s="48" cm="1">
        <f t="array" ref="Q61">_xlfn.IFS(YEAR(Q$2)&lt;YEAR($I61),0,YEAR(Q$2)=YEAR($I61),ROUND(((Q$2-$I61+1)/365)*$D61,2),AND(YEAR(Q$2)&gt;YEAR($I61),YEAR(Q$2)-YEAR($I61)&lt;20),$D61,YEAR(Q$2)-YEAR($I61)=20,ROUND((DATE(YEAR($I61),12,31)-$I61+1)/365*$D61,2),YEAR(Q$2)-YEAR($I61)&gt;20,0)</f>
        <v>951</v>
      </c>
      <c r="R61" s="48" cm="1">
        <f t="array" ref="R61">_xlfn.IFS(YEAR(R$2)&lt;YEAR($I61),0,YEAR(R$2)=YEAR($I61),ROUND(((R$2-$I61+1)/365)*$D61,2),AND(YEAR(R$2)&gt;YEAR($I61),YEAR(R$2)-YEAR($I61)&lt;20),$D61,YEAR(R$2)-YEAR($I61)=20,ROUND((DATE(YEAR($I61),12,31)-$I61+1)/365*$D61,2),YEAR(R$2)-YEAR($I61)&gt;20,0)</f>
        <v>951</v>
      </c>
      <c r="S61" s="48" cm="1">
        <f t="array" ref="S61">_xlfn.IFS(YEAR(S$2)&lt;YEAR($I61),0,YEAR(S$2)=YEAR($I61),ROUND(((S$2-$I61+1)/365)*$D61,2),AND(YEAR(S$2)&gt;YEAR($I61),YEAR(S$2)-YEAR($I61)&lt;20),$D61,YEAR(S$2)-YEAR($I61)=20,ROUND((DATE(YEAR($I61),12,31)-$I61+1)/365*$D61,2),YEAR(S$2)-YEAR($I61)&gt;20,0)</f>
        <v>951</v>
      </c>
      <c r="T61" s="48" cm="1">
        <f t="array" ref="T61">_xlfn.IFS(YEAR(T$2)&lt;YEAR($I61),0,YEAR(T$2)=YEAR($I61),ROUND(((T$2-$I61+1)/365)*$D61,2),AND(YEAR(T$2)&gt;YEAR($I61),YEAR(T$2)-YEAR($I61)&lt;20),$D61,YEAR(T$2)-YEAR($I61)=20,ROUND((DATE(YEAR($I61),12,31)-$I61+1)/365*$D61,2),YEAR(T$2)-YEAR($I61)&gt;20,0)</f>
        <v>951</v>
      </c>
      <c r="U61" s="48" cm="1">
        <f t="array" ref="U61">_xlfn.IFS(YEAR(U$2)&lt;YEAR($I61),0,YEAR(U$2)=YEAR($I61),ROUND(((U$2-$I61+1)/365)*$D61,2),AND(YEAR(U$2)&gt;YEAR($I61),YEAR(U$2)-YEAR($I61)&lt;20),$D61,YEAR(U$2)-YEAR($I61)=20,ROUND((DATE(YEAR($I61),12,31)-$I61+1)/365*$D61,2),YEAR(U$2)-YEAR($I61)&gt;20,0)</f>
        <v>951</v>
      </c>
      <c r="V61" s="48" cm="1">
        <f t="array" ref="V61">_xlfn.IFS(YEAR(V$2)&lt;YEAR($I61),0,YEAR(V$2)=YEAR($I61),ROUND(((V$2-$I61+1)/365)*$D61,2),AND(YEAR(V$2)&gt;YEAR($I61),YEAR(V$2)-YEAR($I61)&lt;20),$D61,YEAR(V$2)-YEAR($I61)=20,ROUND((DATE(YEAR($I61),12,31)-$I61+1)/365*$D61,2),YEAR(V$2)-YEAR($I61)&gt;20,0)</f>
        <v>951</v>
      </c>
      <c r="W61" s="48" cm="1">
        <f t="array" ref="W61">_xlfn.IFS(YEAR(W$2)&lt;YEAR($I61),0,YEAR(W$2)=YEAR($I61),ROUND(((W$2-$I61+1)/365)*$D61,2),AND(YEAR(W$2)&gt;YEAR($I61),YEAR(W$2)-YEAR($I61)&lt;20),$D61,YEAR(W$2)-YEAR($I61)=20,ROUND((DATE(YEAR($I61),12,31)-$I61+1)/365*$D61,2),YEAR(W$2)-YEAR($I61)&gt;20,0)</f>
        <v>951</v>
      </c>
      <c r="X61" s="48" cm="1">
        <f t="array" ref="X61">_xlfn.IFS(YEAR(X$2)&lt;YEAR($I61),0,YEAR(X$2)=YEAR($I61),ROUND(((X$2-$I61+1)/365)*$D61,2),AND(YEAR(X$2)&gt;YEAR($I61),YEAR(X$2)-YEAR($I61)&lt;20),$D61,YEAR(X$2)-YEAR($I61)=20,ROUND((DATE(YEAR($I61),12,31)-$I61+1)/365*$D61,2),YEAR(X$2)-YEAR($I61)&gt;20,0)</f>
        <v>951</v>
      </c>
      <c r="Y61" s="48" cm="1">
        <f t="array" ref="Y61">_xlfn.IFS(YEAR(Y$2)&lt;YEAR($I61),0,YEAR(Y$2)=YEAR($I61),ROUND(((Y$2-$I61+1)/365)*$D61,2),AND(YEAR(Y$2)&gt;YEAR($I61),YEAR(Y$2)-YEAR($I61)&lt;20),$D61,YEAR(Y$2)-YEAR($I61)=20,ROUND((DATE(YEAR($I61),12,31)-$I61+1)/365*$D61,2),YEAR(Y$2)-YEAR($I61)&gt;20,0)</f>
        <v>951</v>
      </c>
      <c r="Z61" s="48" cm="1">
        <f t="array" ref="Z61">_xlfn.IFS(YEAR(Z$2)&lt;YEAR($I61),0,YEAR(Z$2)=YEAR($I61),ROUND(((Z$2-$I61+1)/365)*$D61,2),AND(YEAR(Z$2)&gt;YEAR($I61),YEAR(Z$2)-YEAR($I61)&lt;20),$D61,YEAR(Z$2)-YEAR($I61)=20,ROUND((DATE(YEAR($I61),12,31)-$I61+1)/365*$D61,2),YEAR(Z$2)-YEAR($I61)&gt;20,0)</f>
        <v>951</v>
      </c>
      <c r="AA61" s="48" cm="1">
        <f t="array" ref="AA61">_xlfn.IFS(YEAR(AA$2)&lt;YEAR($I61),0,YEAR(AA$2)=YEAR($I61),ROUND(((AA$2-$I61+1)/365)*$D61,2),AND(YEAR(AA$2)&gt;YEAR($I61),YEAR(AA$2)-YEAR($I61)&lt;20),$D61,YEAR(AA$2)-YEAR($I61)=20,ROUND((DATE(YEAR($I61),12,31)-$I61+1)/365*$D61,2),YEAR(AA$2)-YEAR($I61)&gt;20,0)</f>
        <v>951</v>
      </c>
      <c r="AB61" s="48" cm="1">
        <f t="array" ref="AB61">_xlfn.IFS(YEAR(AB$2)&lt;YEAR($I61),0,YEAR(AB$2)=YEAR($I61),ROUND(((AB$2-$I61+1)/365)*$D61,2),AND(YEAR(AB$2)&gt;YEAR($I61),YEAR(AB$2)-YEAR($I61)&lt;20),$D61,YEAR(AB$2)-YEAR($I61)=20,ROUND((DATE(YEAR($I61),12,31)-$I61+1)/365*$D61,2),YEAR(AB$2)-YEAR($I61)&gt;20,0)</f>
        <v>951</v>
      </c>
      <c r="AC61" s="48" cm="1">
        <f t="array" ref="AC61">_xlfn.IFS(YEAR(AC$2)&lt;YEAR($I61),0,YEAR(AC$2)=YEAR($I61),ROUND(((AC$2-$I61+1)/365)*$D61,2),AND(YEAR(AC$2)&gt;YEAR($I61),YEAR(AC$2)-YEAR($I61)&lt;20),$D61,YEAR(AC$2)-YEAR($I61)=20,ROUND((DATE(YEAR($I61),12,31)-$I61+1)/365*$D61,2),YEAR(AC$2)-YEAR($I61)&gt;20,0)</f>
        <v>951</v>
      </c>
      <c r="AD61" s="48" cm="1">
        <f t="array" ref="AD61">_xlfn.IFS(YEAR(AD$2)&lt;YEAR($I61),0,YEAR(AD$2)=YEAR($I61),ROUND(((AD$2-$I61+1)/365)*$D61,2),AND(YEAR(AD$2)&gt;YEAR($I61),YEAR(AD$2)-YEAR($I61)&lt;20),$D61,YEAR(AD$2)-YEAR($I61)=20,ROUND((DATE(YEAR($I61),12,31)-$I61+1)/365*$D61,2),YEAR(AD$2)-YEAR($I61)&gt;20,0)</f>
        <v>951</v>
      </c>
      <c r="AE61" s="48" cm="1">
        <f t="array" ref="AE61">_xlfn.IFS(YEAR(AE$2)&lt;YEAR($I61),0,YEAR(AE$2)=YEAR($I61),ROUND(((AE$2-$I61+1)/365)*$D61,2),AND(YEAR(AE$2)&gt;YEAR($I61),YEAR(AE$2)-YEAR($I61)&lt;20),$D61,YEAR(AE$2)-YEAR($I61)=20,ROUND((DATE(YEAR($I61),12,31)-$I61+1)/365*$D61,2),YEAR(AE$2)-YEAR($I61)&gt;20,0)</f>
        <v>951</v>
      </c>
      <c r="AF61" s="48" cm="1">
        <f t="array" ref="AF61">_xlfn.IFS(YEAR(AF$2)&lt;YEAR($I61),0,YEAR(AF$2)=YEAR($I61),ROUND(((AF$2-$I61+1)/365)*$D61,2),AND(YEAR(AF$2)&gt;YEAR($I61),YEAR(AF$2)-YEAR($I61)&lt;20),$D61,YEAR(AF$2)-YEAR($I61)=20,ROUND((DATE(YEAR($I61),12,31)-$I61+1)/365*$D61,2),YEAR(AF$2)-YEAR($I61)&gt;20,0)</f>
        <v>951</v>
      </c>
      <c r="AG61" s="48" cm="1">
        <f t="array" ref="AG61">_xlfn.IFS(YEAR(AG$2)&lt;YEAR($I61),0,YEAR(AG$2)=YEAR($I61),ROUND(((AG$2-$I61+1)/365)*$D61,2),AND(YEAR(AG$2)&gt;YEAR($I61),YEAR(AG$2)-YEAR($I61)&lt;20),$D61,YEAR(AG$2)-YEAR($I61)=20,ROUND((DATE(YEAR($I61),12,31)-$I61+1)/365*$D61,2),YEAR(AG$2)-YEAR($I61)&gt;20,0)</f>
        <v>951</v>
      </c>
      <c r="AH61" s="48" cm="1">
        <f t="array" ref="AH61">_xlfn.IFS(YEAR(AH$2)&lt;YEAR($I61),0,YEAR(AH$2)=YEAR($I61),ROUND(((AH$2-$I61+1)/365)*$D61,2),AND(YEAR(AH$2)&gt;YEAR($I61),YEAR(AH$2)-YEAR($I61)&lt;20),$D61,YEAR(AH$2)-YEAR($I61)=20,ROUND((DATE(YEAR($I61),12,31)-$I61+1)/365*$D61,2),YEAR(AH$2)-YEAR($I61)&gt;20,0)</f>
        <v>310.05</v>
      </c>
      <c r="AI61" s="48" cm="1">
        <f t="array" ref="AI61">_xlfn.IFS(YEAR(AI$2)&lt;YEAR($I61),0,YEAR(AI$2)=YEAR($I61),ROUND(((AI$2-$I61+1)/365)*$D61,2),AND(YEAR(AI$2)&gt;YEAR($I61),YEAR(AI$2)-YEAR($I61)&lt;20),$D61,YEAR(AI$2)-YEAR($I61)=20,ROUND((DATE(YEAR($I61),12,31)-$I61+1)/365*$D61,2),YEAR(AI$2)-YEAR($I61)&gt;20,0)</f>
        <v>0</v>
      </c>
      <c r="AJ61" s="48" cm="1">
        <f t="array" ref="AJ61">_xlfn.IFS(YEAR(AJ$2)&lt;YEAR($I61),0,YEAR(AJ$2)=YEAR($I61),ROUND(((AJ$2-$I61+1)/365)*$D61,2),AND(YEAR(AJ$2)&gt;YEAR($I61),YEAR(AJ$2)-YEAR($I61)&lt;20),$D61,YEAR(AJ$2)-YEAR($I61)=20,ROUND((DATE(YEAR($I61),12,31)-$I61+1)/365*$D61,2),YEAR(AJ$2)-YEAR($I61)&gt;20,0)</f>
        <v>0</v>
      </c>
      <c r="AK61" s="48" cm="1">
        <f t="array" ref="AK61">_xlfn.IFS(YEAR(AK$2)&lt;YEAR($I61),0,YEAR(AK$2)=YEAR($I61),ROUND(((AK$2-$I61+1)/365)*$D61,2),AND(YEAR(AK$2)&gt;YEAR($I61),YEAR(AK$2)-YEAR($I61)&lt;20),$D61,YEAR(AK$2)-YEAR($I61)=20,ROUND((DATE(YEAR($I61),12,31)-$I61+1)/365*$D61,2),YEAR(AK$2)-YEAR($I61)&gt;20,0)</f>
        <v>0</v>
      </c>
      <c r="AL61" s="48" cm="1">
        <f t="array" ref="AL61">_xlfn.IFS(YEAR(AL$2)&lt;YEAR($I61),0,YEAR(AL$2)=YEAR($I61),ROUND(((AL$2-$I61+1)/365)*$D61,2),AND(YEAR(AL$2)&gt;YEAR($I61),YEAR(AL$2)-YEAR($I61)&lt;20),$D61,YEAR(AL$2)-YEAR($I61)=20,ROUND((DATE(YEAR($I61),12,31)-$I61+1)/365*$D61,2),YEAR(AL$2)-YEAR($I61)&gt;20,0)</f>
        <v>0</v>
      </c>
      <c r="AM61" s="48" cm="1">
        <f t="array" ref="AM61">_xlfn.IFS(YEAR(AM$2)&lt;YEAR($I61),0,YEAR(AM$2)=YEAR($I61),ROUND(((AM$2-$I61+1)/365)*$D61,2),AND(YEAR(AM$2)&gt;YEAR($I61),YEAR(AM$2)-YEAR($I61)&lt;20),$D61,YEAR(AM$2)-YEAR($I61)=20,ROUND((DATE(YEAR($I61),12,31)-$I61+1)/365*$D61,2),YEAR(AM$2)-YEAR($I61)&gt;20,0)</f>
        <v>0</v>
      </c>
    </row>
    <row r="62" spans="1:54">
      <c r="A62" s="155" t="str" cm="1">
        <f t="array" ref="A62">_xlfn.IFS(LEFT(C62,3)="PGE","PGE",LEFT(C62,2)="PP","PAC",TRUE,"IP")</f>
        <v>PAC</v>
      </c>
      <c r="B62" s="155" t="str">
        <f>IF(ISNA(MATCH(C62,'Monthly Report July 2025'!E:E,0)),"Missing","Present")</f>
        <v>Present</v>
      </c>
      <c r="C62" s="155" t="s">
        <v>171</v>
      </c>
      <c r="D62" s="176" cm="1">
        <f t="array" ref="D62">INDEX('Monthly Report July 2025'!L:L,MATCH(C62,'Monthly Report July 2025'!E:E,0),0)</f>
        <v>2250</v>
      </c>
      <c r="E62" s="176" t="str" cm="1">
        <f t="array" ref="E62">IF(INDEX('PA Fees by Project'!K:K,MATCH(C62,'PA Fees by Project'!E:E,0),0)="No","Non-Carve Out", "Carve Out")</f>
        <v>Non-Carve Out</v>
      </c>
      <c r="F62" s="176" cm="1">
        <f t="array" ref="F62">INDEX('PA Fees by Project'!J:J,MATCH(C62,'PA Fees by Project'!E:E,0),0)</f>
        <v>1</v>
      </c>
      <c r="G62" s="155" t="str" cm="1">
        <f t="array" ref="G62">INDEX('PA Fees by Project'!G:G,MATCH(C62,'PA Fees by Project'!E:E,0),0)</f>
        <v>Operational</v>
      </c>
      <c r="H62" s="175" cm="1">
        <f t="array" ref="H62">INDEX('PA Fees by Project'!Q:Q,MATCH(C62,'PA Fees by Project'!E:E,0),0)</f>
        <v>45839</v>
      </c>
      <c r="I62" s="156" cm="1">
        <f t="array" ref="I62">_xlfn.IFS(G62="Operational",H62,G62="Certified",EDATE(INDEX('PA Fees by Project'!R:R,MATCH(C62,'PA Fees by Project'!E:E,0),0),6),TRUE,EDATE(INDEX('PA Fees by Project'!O:O,MATCH(C62,'PA Fees by Project'!E:E,0),0),6))</f>
        <v>45839</v>
      </c>
      <c r="J62" s="48" cm="1">
        <f t="array" ref="J62">_xlfn.IFS(YEAR(J$2)&lt;YEAR($I62),0,YEAR(J$2)=YEAR($I62),ROUND(((J$2-$I62+1)/365)*$D62,2),AND(YEAR(J$2)&gt;YEAR($I62),YEAR(J$2)-YEAR($I62)&lt;20),$D62,YEAR(J$2)-YEAR($I62)=20,ROUND((DATE(YEAR($I62),12,31)-$I62+1)/365*$D62,2),YEAR(J$2)-YEAR($I62)&gt;20,0)</f>
        <v>0</v>
      </c>
      <c r="K62" s="48" cm="1">
        <f t="array" ref="K62">_xlfn.IFS(YEAR(K$2)&lt;YEAR($I62),0,YEAR(K$2)=YEAR($I62),ROUND(((K$2-$I62+1)/365)*$D62,2),AND(YEAR(K$2)&gt;YEAR($I62),YEAR(K$2)-YEAR($I62)&lt;20),$D62,YEAR(K$2)-YEAR($I62)=20,ROUND((DATE(YEAR($I62),12,31)-$I62+1)/365*$D62,2),YEAR(K$2)-YEAR($I62)&gt;20,0)</f>
        <v>0</v>
      </c>
      <c r="L62" s="48" cm="1">
        <f t="array" ref="L62">_xlfn.IFS(YEAR(L$2)&lt;YEAR($I62),0,YEAR(L$2)=YEAR($I62),ROUND(((L$2-$I62+1)/365)*$D62,2),AND(YEAR(L$2)&gt;YEAR($I62),YEAR(L$2)-YEAR($I62)&lt;20),$D62,YEAR(L$2)-YEAR($I62)=20,ROUND((DATE(YEAR($I62),12,31)-$I62+1)/365*$D62,2),YEAR(L$2)-YEAR($I62)&gt;20,0)</f>
        <v>0</v>
      </c>
      <c r="M62" s="48" cm="1">
        <f t="array" ref="M62">_xlfn.IFS(YEAR(M$2)&lt;YEAR($I62),0,YEAR(M$2)=YEAR($I62),ROUND(((M$2-$I62+1)/365)*$D62,2),AND(YEAR(M$2)&gt;YEAR($I62),YEAR(M$2)-YEAR($I62)&lt;20),$D62,YEAR(M$2)-YEAR($I62)=20,ROUND((DATE(YEAR($I62),12,31)-$I62+1)/365*$D62,2),YEAR(M$2)-YEAR($I62)&gt;20,0)</f>
        <v>0</v>
      </c>
      <c r="N62" s="48" cm="1">
        <f t="array" ref="N62">_xlfn.IFS(YEAR(N$2)&lt;YEAR($I62),0,YEAR(N$2)=YEAR($I62),ROUND(((N$2-$I62+1)/365)*$D62,2),AND(YEAR(N$2)&gt;YEAR($I62),YEAR(N$2)-YEAR($I62)&lt;20),$D62,YEAR(N$2)-YEAR($I62)=20,ROUND((DATE(YEAR($I62),12,31)-$I62+1)/365*$D62,2),YEAR(N$2)-YEAR($I62)&gt;20,0)</f>
        <v>1134.25</v>
      </c>
      <c r="O62" s="48" cm="1">
        <f t="array" ref="O62">_xlfn.IFS(YEAR(O$2)&lt;YEAR($I62),0,YEAR(O$2)=YEAR($I62),ROUND(((O$2-$I62+1)/365)*$D62,2),AND(YEAR(O$2)&gt;YEAR($I62),YEAR(O$2)-YEAR($I62)&lt;20),$D62,YEAR(O$2)-YEAR($I62)=20,ROUND((DATE(YEAR($I62),12,31)-$I62+1)/365*$D62,2),YEAR(O$2)-YEAR($I62)&gt;20,0)</f>
        <v>2250</v>
      </c>
      <c r="P62" s="48" cm="1">
        <f t="array" ref="P62">_xlfn.IFS(YEAR(P$2)&lt;YEAR($I62),0,YEAR(P$2)=YEAR($I62),ROUND(((P$2-$I62+1)/365)*$D62,2),AND(YEAR(P$2)&gt;YEAR($I62),YEAR(P$2)-YEAR($I62)&lt;20),$D62,YEAR(P$2)-YEAR($I62)=20,ROUND((DATE(YEAR($I62),12,31)-$I62+1)/365*$D62,2),YEAR(P$2)-YEAR($I62)&gt;20,0)</f>
        <v>2250</v>
      </c>
      <c r="Q62" s="48" cm="1">
        <f t="array" ref="Q62">_xlfn.IFS(YEAR(Q$2)&lt;YEAR($I62),0,YEAR(Q$2)=YEAR($I62),ROUND(((Q$2-$I62+1)/365)*$D62,2),AND(YEAR(Q$2)&gt;YEAR($I62),YEAR(Q$2)-YEAR($I62)&lt;20),$D62,YEAR(Q$2)-YEAR($I62)=20,ROUND((DATE(YEAR($I62),12,31)-$I62+1)/365*$D62,2),YEAR(Q$2)-YEAR($I62)&gt;20,0)</f>
        <v>2250</v>
      </c>
      <c r="R62" s="48" cm="1">
        <f t="array" ref="R62">_xlfn.IFS(YEAR(R$2)&lt;YEAR($I62),0,YEAR(R$2)=YEAR($I62),ROUND(((R$2-$I62+1)/365)*$D62,2),AND(YEAR(R$2)&gt;YEAR($I62),YEAR(R$2)-YEAR($I62)&lt;20),$D62,YEAR(R$2)-YEAR($I62)=20,ROUND((DATE(YEAR($I62),12,31)-$I62+1)/365*$D62,2),YEAR(R$2)-YEAR($I62)&gt;20,0)</f>
        <v>2250</v>
      </c>
      <c r="S62" s="48" cm="1">
        <f t="array" ref="S62">_xlfn.IFS(YEAR(S$2)&lt;YEAR($I62),0,YEAR(S$2)=YEAR($I62),ROUND(((S$2-$I62+1)/365)*$D62,2),AND(YEAR(S$2)&gt;YEAR($I62),YEAR(S$2)-YEAR($I62)&lt;20),$D62,YEAR(S$2)-YEAR($I62)=20,ROUND((DATE(YEAR($I62),12,31)-$I62+1)/365*$D62,2),YEAR(S$2)-YEAR($I62)&gt;20,0)</f>
        <v>2250</v>
      </c>
      <c r="T62" s="48" cm="1">
        <f t="array" ref="T62">_xlfn.IFS(YEAR(T$2)&lt;YEAR($I62),0,YEAR(T$2)=YEAR($I62),ROUND(((T$2-$I62+1)/365)*$D62,2),AND(YEAR(T$2)&gt;YEAR($I62),YEAR(T$2)-YEAR($I62)&lt;20),$D62,YEAR(T$2)-YEAR($I62)=20,ROUND((DATE(YEAR($I62),12,31)-$I62+1)/365*$D62,2),YEAR(T$2)-YEAR($I62)&gt;20,0)</f>
        <v>2250</v>
      </c>
      <c r="U62" s="48" cm="1">
        <f t="array" ref="U62">_xlfn.IFS(YEAR(U$2)&lt;YEAR($I62),0,YEAR(U$2)=YEAR($I62),ROUND(((U$2-$I62+1)/365)*$D62,2),AND(YEAR(U$2)&gt;YEAR($I62),YEAR(U$2)-YEAR($I62)&lt;20),$D62,YEAR(U$2)-YEAR($I62)=20,ROUND((DATE(YEAR($I62),12,31)-$I62+1)/365*$D62,2),YEAR(U$2)-YEAR($I62)&gt;20,0)</f>
        <v>2250</v>
      </c>
      <c r="V62" s="48" cm="1">
        <f t="array" ref="V62">_xlfn.IFS(YEAR(V$2)&lt;YEAR($I62),0,YEAR(V$2)=YEAR($I62),ROUND(((V$2-$I62+1)/365)*$D62,2),AND(YEAR(V$2)&gt;YEAR($I62),YEAR(V$2)-YEAR($I62)&lt;20),$D62,YEAR(V$2)-YEAR($I62)=20,ROUND((DATE(YEAR($I62),12,31)-$I62+1)/365*$D62,2),YEAR(V$2)-YEAR($I62)&gt;20,0)</f>
        <v>2250</v>
      </c>
      <c r="W62" s="48" cm="1">
        <f t="array" ref="W62">_xlfn.IFS(YEAR(W$2)&lt;YEAR($I62),0,YEAR(W$2)=YEAR($I62),ROUND(((W$2-$I62+1)/365)*$D62,2),AND(YEAR(W$2)&gt;YEAR($I62),YEAR(W$2)-YEAR($I62)&lt;20),$D62,YEAR(W$2)-YEAR($I62)=20,ROUND((DATE(YEAR($I62),12,31)-$I62+1)/365*$D62,2),YEAR(W$2)-YEAR($I62)&gt;20,0)</f>
        <v>2250</v>
      </c>
      <c r="X62" s="48" cm="1">
        <f t="array" ref="X62">_xlfn.IFS(YEAR(X$2)&lt;YEAR($I62),0,YEAR(X$2)=YEAR($I62),ROUND(((X$2-$I62+1)/365)*$D62,2),AND(YEAR(X$2)&gt;YEAR($I62),YEAR(X$2)-YEAR($I62)&lt;20),$D62,YEAR(X$2)-YEAR($I62)=20,ROUND((DATE(YEAR($I62),12,31)-$I62+1)/365*$D62,2),YEAR(X$2)-YEAR($I62)&gt;20,0)</f>
        <v>2250</v>
      </c>
      <c r="Y62" s="48" cm="1">
        <f t="array" ref="Y62">_xlfn.IFS(YEAR(Y$2)&lt;YEAR($I62),0,YEAR(Y$2)=YEAR($I62),ROUND(((Y$2-$I62+1)/365)*$D62,2),AND(YEAR(Y$2)&gt;YEAR($I62),YEAR(Y$2)-YEAR($I62)&lt;20),$D62,YEAR(Y$2)-YEAR($I62)=20,ROUND((DATE(YEAR($I62),12,31)-$I62+1)/365*$D62,2),YEAR(Y$2)-YEAR($I62)&gt;20,0)</f>
        <v>2250</v>
      </c>
      <c r="Z62" s="48" cm="1">
        <f t="array" ref="Z62">_xlfn.IFS(YEAR(Z$2)&lt;YEAR($I62),0,YEAR(Z$2)=YEAR($I62),ROUND(((Z$2-$I62+1)/365)*$D62,2),AND(YEAR(Z$2)&gt;YEAR($I62),YEAR(Z$2)-YEAR($I62)&lt;20),$D62,YEAR(Z$2)-YEAR($I62)=20,ROUND((DATE(YEAR($I62),12,31)-$I62+1)/365*$D62,2),YEAR(Z$2)-YEAR($I62)&gt;20,0)</f>
        <v>2250</v>
      </c>
      <c r="AA62" s="48" cm="1">
        <f t="array" ref="AA62">_xlfn.IFS(YEAR(AA$2)&lt;YEAR($I62),0,YEAR(AA$2)=YEAR($I62),ROUND(((AA$2-$I62+1)/365)*$D62,2),AND(YEAR(AA$2)&gt;YEAR($I62),YEAR(AA$2)-YEAR($I62)&lt;20),$D62,YEAR(AA$2)-YEAR($I62)=20,ROUND((DATE(YEAR($I62),12,31)-$I62+1)/365*$D62,2),YEAR(AA$2)-YEAR($I62)&gt;20,0)</f>
        <v>2250</v>
      </c>
      <c r="AB62" s="48" cm="1">
        <f t="array" ref="AB62">_xlfn.IFS(YEAR(AB$2)&lt;YEAR($I62),0,YEAR(AB$2)=YEAR($I62),ROUND(((AB$2-$I62+1)/365)*$D62,2),AND(YEAR(AB$2)&gt;YEAR($I62),YEAR(AB$2)-YEAR($I62)&lt;20),$D62,YEAR(AB$2)-YEAR($I62)=20,ROUND((DATE(YEAR($I62),12,31)-$I62+1)/365*$D62,2),YEAR(AB$2)-YEAR($I62)&gt;20,0)</f>
        <v>2250</v>
      </c>
      <c r="AC62" s="48" cm="1">
        <f t="array" ref="AC62">_xlfn.IFS(YEAR(AC$2)&lt;YEAR($I62),0,YEAR(AC$2)=YEAR($I62),ROUND(((AC$2-$I62+1)/365)*$D62,2),AND(YEAR(AC$2)&gt;YEAR($I62),YEAR(AC$2)-YEAR($I62)&lt;20),$D62,YEAR(AC$2)-YEAR($I62)=20,ROUND((DATE(YEAR($I62),12,31)-$I62+1)/365*$D62,2),YEAR(AC$2)-YEAR($I62)&gt;20,0)</f>
        <v>2250</v>
      </c>
      <c r="AD62" s="48" cm="1">
        <f t="array" ref="AD62">_xlfn.IFS(YEAR(AD$2)&lt;YEAR($I62),0,YEAR(AD$2)=YEAR($I62),ROUND(((AD$2-$I62+1)/365)*$D62,2),AND(YEAR(AD$2)&gt;YEAR($I62),YEAR(AD$2)-YEAR($I62)&lt;20),$D62,YEAR(AD$2)-YEAR($I62)=20,ROUND((DATE(YEAR($I62),12,31)-$I62+1)/365*$D62,2),YEAR(AD$2)-YEAR($I62)&gt;20,0)</f>
        <v>2250</v>
      </c>
      <c r="AE62" s="48" cm="1">
        <f t="array" ref="AE62">_xlfn.IFS(YEAR(AE$2)&lt;YEAR($I62),0,YEAR(AE$2)=YEAR($I62),ROUND(((AE$2-$I62+1)/365)*$D62,2),AND(YEAR(AE$2)&gt;YEAR($I62),YEAR(AE$2)-YEAR($I62)&lt;20),$D62,YEAR(AE$2)-YEAR($I62)=20,ROUND((DATE(YEAR($I62),12,31)-$I62+1)/365*$D62,2),YEAR(AE$2)-YEAR($I62)&gt;20,0)</f>
        <v>2250</v>
      </c>
      <c r="AF62" s="48" cm="1">
        <f t="array" ref="AF62">_xlfn.IFS(YEAR(AF$2)&lt;YEAR($I62),0,YEAR(AF$2)=YEAR($I62),ROUND(((AF$2-$I62+1)/365)*$D62,2),AND(YEAR(AF$2)&gt;YEAR($I62),YEAR(AF$2)-YEAR($I62)&lt;20),$D62,YEAR(AF$2)-YEAR($I62)=20,ROUND((DATE(YEAR($I62),12,31)-$I62+1)/365*$D62,2),YEAR(AF$2)-YEAR($I62)&gt;20,0)</f>
        <v>2250</v>
      </c>
      <c r="AG62" s="48" cm="1">
        <f t="array" ref="AG62">_xlfn.IFS(YEAR(AG$2)&lt;YEAR($I62),0,YEAR(AG$2)=YEAR($I62),ROUND(((AG$2-$I62+1)/365)*$D62,2),AND(YEAR(AG$2)&gt;YEAR($I62),YEAR(AG$2)-YEAR($I62)&lt;20),$D62,YEAR(AG$2)-YEAR($I62)=20,ROUND((DATE(YEAR($I62),12,31)-$I62+1)/365*$D62,2),YEAR(AG$2)-YEAR($I62)&gt;20,0)</f>
        <v>2250</v>
      </c>
      <c r="AH62" s="48" cm="1">
        <f t="array" ref="AH62">_xlfn.IFS(YEAR(AH$2)&lt;YEAR($I62),0,YEAR(AH$2)=YEAR($I62),ROUND(((AH$2-$I62+1)/365)*$D62,2),AND(YEAR(AH$2)&gt;YEAR($I62),YEAR(AH$2)-YEAR($I62)&lt;20),$D62,YEAR(AH$2)-YEAR($I62)=20,ROUND((DATE(YEAR($I62),12,31)-$I62+1)/365*$D62,2),YEAR(AH$2)-YEAR($I62)&gt;20,0)</f>
        <v>1134.25</v>
      </c>
      <c r="AI62" s="48" cm="1">
        <f t="array" ref="AI62">_xlfn.IFS(YEAR(AI$2)&lt;YEAR($I62),0,YEAR(AI$2)=YEAR($I62),ROUND(((AI$2-$I62+1)/365)*$D62,2),AND(YEAR(AI$2)&gt;YEAR($I62),YEAR(AI$2)-YEAR($I62)&lt;20),$D62,YEAR(AI$2)-YEAR($I62)=20,ROUND((DATE(YEAR($I62),12,31)-$I62+1)/365*$D62,2),YEAR(AI$2)-YEAR($I62)&gt;20,0)</f>
        <v>0</v>
      </c>
      <c r="AJ62" s="48" cm="1">
        <f t="array" ref="AJ62">_xlfn.IFS(YEAR(AJ$2)&lt;YEAR($I62),0,YEAR(AJ$2)=YEAR($I62),ROUND(((AJ$2-$I62+1)/365)*$D62,2),AND(YEAR(AJ$2)&gt;YEAR($I62),YEAR(AJ$2)-YEAR($I62)&lt;20),$D62,YEAR(AJ$2)-YEAR($I62)=20,ROUND((DATE(YEAR($I62),12,31)-$I62+1)/365*$D62,2),YEAR(AJ$2)-YEAR($I62)&gt;20,0)</f>
        <v>0</v>
      </c>
      <c r="AK62" s="48" cm="1">
        <f t="array" ref="AK62">_xlfn.IFS(YEAR(AK$2)&lt;YEAR($I62),0,YEAR(AK$2)=YEAR($I62),ROUND(((AK$2-$I62+1)/365)*$D62,2),AND(YEAR(AK$2)&gt;YEAR($I62),YEAR(AK$2)-YEAR($I62)&lt;20),$D62,YEAR(AK$2)-YEAR($I62)=20,ROUND((DATE(YEAR($I62),12,31)-$I62+1)/365*$D62,2),YEAR(AK$2)-YEAR($I62)&gt;20,0)</f>
        <v>0</v>
      </c>
      <c r="AL62" s="48" cm="1">
        <f t="array" ref="AL62">_xlfn.IFS(YEAR(AL$2)&lt;YEAR($I62),0,YEAR(AL$2)=YEAR($I62),ROUND(((AL$2-$I62+1)/365)*$D62,2),AND(YEAR(AL$2)&gt;YEAR($I62),YEAR(AL$2)-YEAR($I62)&lt;20),$D62,YEAR(AL$2)-YEAR($I62)=20,ROUND((DATE(YEAR($I62),12,31)-$I62+1)/365*$D62,2),YEAR(AL$2)-YEAR($I62)&gt;20,0)</f>
        <v>0</v>
      </c>
      <c r="AM62" s="48" cm="1">
        <f t="array" ref="AM62">_xlfn.IFS(YEAR(AM$2)&lt;YEAR($I62),0,YEAR(AM$2)=YEAR($I62),ROUND(((AM$2-$I62+1)/365)*$D62,2),AND(YEAR(AM$2)&gt;YEAR($I62),YEAR(AM$2)-YEAR($I62)&lt;20),$D62,YEAR(AM$2)-YEAR($I62)=20,ROUND((DATE(YEAR($I62),12,31)-$I62+1)/365*$D62,2),YEAR(AM$2)-YEAR($I62)&gt;20,0)</f>
        <v>0</v>
      </c>
    </row>
    <row r="63" spans="1:54">
      <c r="A63" s="155" t="str" cm="1">
        <f t="array" ref="A63">_xlfn.IFS(LEFT(C63,3)="PGE","PGE",LEFT(C63,2)="PP","PAC",TRUE,"IP")</f>
        <v>PAC</v>
      </c>
      <c r="B63" s="155" t="str">
        <f>IF(ISNA(MATCH(C63,'Monthly Report July 2025'!E:E,0)),"Missing","Present")</f>
        <v>Present</v>
      </c>
      <c r="C63" s="155" t="s">
        <v>172</v>
      </c>
      <c r="D63" s="176" cm="1">
        <f t="array" ref="D63">INDEX('Monthly Report July 2025'!L:L,MATCH(C63,'Monthly Report July 2025'!E:E,0),0)</f>
        <v>1350</v>
      </c>
      <c r="E63" s="176" t="str" cm="1">
        <f t="array" ref="E63">IF(INDEX('PA Fees by Project'!K:K,MATCH(C63,'PA Fees by Project'!E:E,0),0)="No","Non-Carve Out", "Carve Out")</f>
        <v>Non-Carve Out</v>
      </c>
      <c r="F63" s="176" cm="1">
        <f t="array" ref="F63">INDEX('PA Fees by Project'!J:J,MATCH(C63,'PA Fees by Project'!E:E,0),0)</f>
        <v>2</v>
      </c>
      <c r="G63" s="155" t="str" cm="1">
        <f t="array" ref="G63">INDEX('PA Fees by Project'!G:G,MATCH(C63,'PA Fees by Project'!E:E,0),0)</f>
        <v>Operational</v>
      </c>
      <c r="H63" s="175" cm="1">
        <f t="array" ref="H63">INDEX('PA Fees by Project'!Q:Q,MATCH(C63,'PA Fees by Project'!E:E,0),0)</f>
        <v>45665</v>
      </c>
      <c r="I63" s="156" cm="1">
        <f t="array" ref="I63">_xlfn.IFS(G63="Operational",H63,G63="Certified",EDATE(INDEX('PA Fees by Project'!R:R,MATCH(C63,'PA Fees by Project'!E:E,0),0),6),TRUE,EDATE(INDEX('PA Fees by Project'!O:O,MATCH(C63,'PA Fees by Project'!E:E,0),0),6))</f>
        <v>45665</v>
      </c>
      <c r="J63" s="48" cm="1">
        <f t="array" ref="J63">_xlfn.IFS(YEAR(J$2)&lt;YEAR($I63),0,YEAR(J$2)=YEAR($I63),ROUND(((J$2-$I63+1)/365)*$D63,2),AND(YEAR(J$2)&gt;YEAR($I63),YEAR(J$2)-YEAR($I63)&lt;20),$D63,YEAR(J$2)-YEAR($I63)=20,ROUND((DATE(YEAR($I63),12,31)-$I63+1)/365*$D63,2),YEAR(J$2)-YEAR($I63)&gt;20,0)</f>
        <v>0</v>
      </c>
      <c r="K63" s="48" cm="1">
        <f t="array" ref="K63">_xlfn.IFS(YEAR(K$2)&lt;YEAR($I63),0,YEAR(K$2)=YEAR($I63),ROUND(((K$2-$I63+1)/365)*$D63,2),AND(YEAR(K$2)&gt;YEAR($I63),YEAR(K$2)-YEAR($I63)&lt;20),$D63,YEAR(K$2)-YEAR($I63)=20,ROUND((DATE(YEAR($I63),12,31)-$I63+1)/365*$D63,2),YEAR(K$2)-YEAR($I63)&gt;20,0)</f>
        <v>0</v>
      </c>
      <c r="L63" s="48" cm="1">
        <f t="array" ref="L63">_xlfn.IFS(YEAR(L$2)&lt;YEAR($I63),0,YEAR(L$2)=YEAR($I63),ROUND(((L$2-$I63+1)/365)*$D63,2),AND(YEAR(L$2)&gt;YEAR($I63),YEAR(L$2)-YEAR($I63)&lt;20),$D63,YEAR(L$2)-YEAR($I63)=20,ROUND((DATE(YEAR($I63),12,31)-$I63+1)/365*$D63,2),YEAR(L$2)-YEAR($I63)&gt;20,0)</f>
        <v>0</v>
      </c>
      <c r="M63" s="48" cm="1">
        <f t="array" ref="M63">_xlfn.IFS(YEAR(M$2)&lt;YEAR($I63),0,YEAR(M$2)=YEAR($I63),ROUND(((M$2-$I63+1)/365)*$D63,2),AND(YEAR(M$2)&gt;YEAR($I63),YEAR(M$2)-YEAR($I63)&lt;20),$D63,YEAR(M$2)-YEAR($I63)=20,ROUND((DATE(YEAR($I63),12,31)-$I63+1)/365*$D63,2),YEAR(M$2)-YEAR($I63)&gt;20,0)</f>
        <v>0</v>
      </c>
      <c r="N63" s="48" cm="1">
        <f t="array" ref="N63">_xlfn.IFS(YEAR(N$2)&lt;YEAR($I63),0,YEAR(N$2)=YEAR($I63),ROUND(((N$2-$I63+1)/365)*$D63,2),AND(YEAR(N$2)&gt;YEAR($I63),YEAR(N$2)-YEAR($I63)&lt;20),$D63,YEAR(N$2)-YEAR($I63)=20,ROUND((DATE(YEAR($I63),12,31)-$I63+1)/365*$D63,2),YEAR(N$2)-YEAR($I63)&gt;20,0)</f>
        <v>1324.11</v>
      </c>
      <c r="O63" s="48" cm="1">
        <f t="array" ref="O63">_xlfn.IFS(YEAR(O$2)&lt;YEAR($I63),0,YEAR(O$2)=YEAR($I63),ROUND(((O$2-$I63+1)/365)*$D63,2),AND(YEAR(O$2)&gt;YEAR($I63),YEAR(O$2)-YEAR($I63)&lt;20),$D63,YEAR(O$2)-YEAR($I63)=20,ROUND((DATE(YEAR($I63),12,31)-$I63+1)/365*$D63,2),YEAR(O$2)-YEAR($I63)&gt;20,0)</f>
        <v>1350</v>
      </c>
      <c r="P63" s="48" cm="1">
        <f t="array" ref="P63">_xlfn.IFS(YEAR(P$2)&lt;YEAR($I63),0,YEAR(P$2)=YEAR($I63),ROUND(((P$2-$I63+1)/365)*$D63,2),AND(YEAR(P$2)&gt;YEAR($I63),YEAR(P$2)-YEAR($I63)&lt;20),$D63,YEAR(P$2)-YEAR($I63)=20,ROUND((DATE(YEAR($I63),12,31)-$I63+1)/365*$D63,2),YEAR(P$2)-YEAR($I63)&gt;20,0)</f>
        <v>1350</v>
      </c>
      <c r="Q63" s="48" cm="1">
        <f t="array" ref="Q63">_xlfn.IFS(YEAR(Q$2)&lt;YEAR($I63),0,YEAR(Q$2)=YEAR($I63),ROUND(((Q$2-$I63+1)/365)*$D63,2),AND(YEAR(Q$2)&gt;YEAR($I63),YEAR(Q$2)-YEAR($I63)&lt;20),$D63,YEAR(Q$2)-YEAR($I63)=20,ROUND((DATE(YEAR($I63),12,31)-$I63+1)/365*$D63,2),YEAR(Q$2)-YEAR($I63)&gt;20,0)</f>
        <v>1350</v>
      </c>
      <c r="R63" s="48" cm="1">
        <f t="array" ref="R63">_xlfn.IFS(YEAR(R$2)&lt;YEAR($I63),0,YEAR(R$2)=YEAR($I63),ROUND(((R$2-$I63+1)/365)*$D63,2),AND(YEAR(R$2)&gt;YEAR($I63),YEAR(R$2)-YEAR($I63)&lt;20),$D63,YEAR(R$2)-YEAR($I63)=20,ROUND((DATE(YEAR($I63),12,31)-$I63+1)/365*$D63,2),YEAR(R$2)-YEAR($I63)&gt;20,0)</f>
        <v>1350</v>
      </c>
      <c r="S63" s="48" cm="1">
        <f t="array" ref="S63">_xlfn.IFS(YEAR(S$2)&lt;YEAR($I63),0,YEAR(S$2)=YEAR($I63),ROUND(((S$2-$I63+1)/365)*$D63,2),AND(YEAR(S$2)&gt;YEAR($I63),YEAR(S$2)-YEAR($I63)&lt;20),$D63,YEAR(S$2)-YEAR($I63)=20,ROUND((DATE(YEAR($I63),12,31)-$I63+1)/365*$D63,2),YEAR(S$2)-YEAR($I63)&gt;20,0)</f>
        <v>1350</v>
      </c>
      <c r="T63" s="48" cm="1">
        <f t="array" ref="T63">_xlfn.IFS(YEAR(T$2)&lt;YEAR($I63),0,YEAR(T$2)=YEAR($I63),ROUND(((T$2-$I63+1)/365)*$D63,2),AND(YEAR(T$2)&gt;YEAR($I63),YEAR(T$2)-YEAR($I63)&lt;20),$D63,YEAR(T$2)-YEAR($I63)=20,ROUND((DATE(YEAR($I63),12,31)-$I63+1)/365*$D63,2),YEAR(T$2)-YEAR($I63)&gt;20,0)</f>
        <v>1350</v>
      </c>
      <c r="U63" s="48" cm="1">
        <f t="array" ref="U63">_xlfn.IFS(YEAR(U$2)&lt;YEAR($I63),0,YEAR(U$2)=YEAR($I63),ROUND(((U$2-$I63+1)/365)*$D63,2),AND(YEAR(U$2)&gt;YEAR($I63),YEAR(U$2)-YEAR($I63)&lt;20),$D63,YEAR(U$2)-YEAR($I63)=20,ROUND((DATE(YEAR($I63),12,31)-$I63+1)/365*$D63,2),YEAR(U$2)-YEAR($I63)&gt;20,0)</f>
        <v>1350</v>
      </c>
      <c r="V63" s="48" cm="1">
        <f t="array" ref="V63">_xlfn.IFS(YEAR(V$2)&lt;YEAR($I63),0,YEAR(V$2)=YEAR($I63),ROUND(((V$2-$I63+1)/365)*$D63,2),AND(YEAR(V$2)&gt;YEAR($I63),YEAR(V$2)-YEAR($I63)&lt;20),$D63,YEAR(V$2)-YEAR($I63)=20,ROUND((DATE(YEAR($I63),12,31)-$I63+1)/365*$D63,2),YEAR(V$2)-YEAR($I63)&gt;20,0)</f>
        <v>1350</v>
      </c>
      <c r="W63" s="48" cm="1">
        <f t="array" ref="W63">_xlfn.IFS(YEAR(W$2)&lt;YEAR($I63),0,YEAR(W$2)=YEAR($I63),ROUND(((W$2-$I63+1)/365)*$D63,2),AND(YEAR(W$2)&gt;YEAR($I63),YEAR(W$2)-YEAR($I63)&lt;20),$D63,YEAR(W$2)-YEAR($I63)=20,ROUND((DATE(YEAR($I63),12,31)-$I63+1)/365*$D63,2),YEAR(W$2)-YEAR($I63)&gt;20,0)</f>
        <v>1350</v>
      </c>
      <c r="X63" s="48" cm="1">
        <f t="array" ref="X63">_xlfn.IFS(YEAR(X$2)&lt;YEAR($I63),0,YEAR(X$2)=YEAR($I63),ROUND(((X$2-$I63+1)/365)*$D63,2),AND(YEAR(X$2)&gt;YEAR($I63),YEAR(X$2)-YEAR($I63)&lt;20),$D63,YEAR(X$2)-YEAR($I63)=20,ROUND((DATE(YEAR($I63),12,31)-$I63+1)/365*$D63,2),YEAR(X$2)-YEAR($I63)&gt;20,0)</f>
        <v>1350</v>
      </c>
      <c r="Y63" s="48" cm="1">
        <f t="array" ref="Y63">_xlfn.IFS(YEAR(Y$2)&lt;YEAR($I63),0,YEAR(Y$2)=YEAR($I63),ROUND(((Y$2-$I63+1)/365)*$D63,2),AND(YEAR(Y$2)&gt;YEAR($I63),YEAR(Y$2)-YEAR($I63)&lt;20),$D63,YEAR(Y$2)-YEAR($I63)=20,ROUND((DATE(YEAR($I63),12,31)-$I63+1)/365*$D63,2),YEAR(Y$2)-YEAR($I63)&gt;20,0)</f>
        <v>1350</v>
      </c>
      <c r="Z63" s="48" cm="1">
        <f t="array" ref="Z63">_xlfn.IFS(YEAR(Z$2)&lt;YEAR($I63),0,YEAR(Z$2)=YEAR($I63),ROUND(((Z$2-$I63+1)/365)*$D63,2),AND(YEAR(Z$2)&gt;YEAR($I63),YEAR(Z$2)-YEAR($I63)&lt;20),$D63,YEAR(Z$2)-YEAR($I63)=20,ROUND((DATE(YEAR($I63),12,31)-$I63+1)/365*$D63,2),YEAR(Z$2)-YEAR($I63)&gt;20,0)</f>
        <v>1350</v>
      </c>
      <c r="AA63" s="48" cm="1">
        <f t="array" ref="AA63">_xlfn.IFS(YEAR(AA$2)&lt;YEAR($I63),0,YEAR(AA$2)=YEAR($I63),ROUND(((AA$2-$I63+1)/365)*$D63,2),AND(YEAR(AA$2)&gt;YEAR($I63),YEAR(AA$2)-YEAR($I63)&lt;20),$D63,YEAR(AA$2)-YEAR($I63)=20,ROUND((DATE(YEAR($I63),12,31)-$I63+1)/365*$D63,2),YEAR(AA$2)-YEAR($I63)&gt;20,0)</f>
        <v>1350</v>
      </c>
      <c r="AB63" s="48" cm="1">
        <f t="array" ref="AB63">_xlfn.IFS(YEAR(AB$2)&lt;YEAR($I63),0,YEAR(AB$2)=YEAR($I63),ROUND(((AB$2-$I63+1)/365)*$D63,2),AND(YEAR(AB$2)&gt;YEAR($I63),YEAR(AB$2)-YEAR($I63)&lt;20),$D63,YEAR(AB$2)-YEAR($I63)=20,ROUND((DATE(YEAR($I63),12,31)-$I63+1)/365*$D63,2),YEAR(AB$2)-YEAR($I63)&gt;20,0)</f>
        <v>1350</v>
      </c>
      <c r="AC63" s="48" cm="1">
        <f t="array" ref="AC63">_xlfn.IFS(YEAR(AC$2)&lt;YEAR($I63),0,YEAR(AC$2)=YEAR($I63),ROUND(((AC$2-$I63+1)/365)*$D63,2),AND(YEAR(AC$2)&gt;YEAR($I63),YEAR(AC$2)-YEAR($I63)&lt;20),$D63,YEAR(AC$2)-YEAR($I63)=20,ROUND((DATE(YEAR($I63),12,31)-$I63+1)/365*$D63,2),YEAR(AC$2)-YEAR($I63)&gt;20,0)</f>
        <v>1350</v>
      </c>
      <c r="AD63" s="48" cm="1">
        <f t="array" ref="AD63">_xlfn.IFS(YEAR(AD$2)&lt;YEAR($I63),0,YEAR(AD$2)=YEAR($I63),ROUND(((AD$2-$I63+1)/365)*$D63,2),AND(YEAR(AD$2)&gt;YEAR($I63),YEAR(AD$2)-YEAR($I63)&lt;20),$D63,YEAR(AD$2)-YEAR($I63)=20,ROUND((DATE(YEAR($I63),12,31)-$I63+1)/365*$D63,2),YEAR(AD$2)-YEAR($I63)&gt;20,0)</f>
        <v>1350</v>
      </c>
      <c r="AE63" s="48" cm="1">
        <f t="array" ref="AE63">_xlfn.IFS(YEAR(AE$2)&lt;YEAR($I63),0,YEAR(AE$2)=YEAR($I63),ROUND(((AE$2-$I63+1)/365)*$D63,2),AND(YEAR(AE$2)&gt;YEAR($I63),YEAR(AE$2)-YEAR($I63)&lt;20),$D63,YEAR(AE$2)-YEAR($I63)=20,ROUND((DATE(YEAR($I63),12,31)-$I63+1)/365*$D63,2),YEAR(AE$2)-YEAR($I63)&gt;20,0)</f>
        <v>1350</v>
      </c>
      <c r="AF63" s="48" cm="1">
        <f t="array" ref="AF63">_xlfn.IFS(YEAR(AF$2)&lt;YEAR($I63),0,YEAR(AF$2)=YEAR($I63),ROUND(((AF$2-$I63+1)/365)*$D63,2),AND(YEAR(AF$2)&gt;YEAR($I63),YEAR(AF$2)-YEAR($I63)&lt;20),$D63,YEAR(AF$2)-YEAR($I63)=20,ROUND((DATE(YEAR($I63),12,31)-$I63+1)/365*$D63,2),YEAR(AF$2)-YEAR($I63)&gt;20,0)</f>
        <v>1350</v>
      </c>
      <c r="AG63" s="48" cm="1">
        <f t="array" ref="AG63">_xlfn.IFS(YEAR(AG$2)&lt;YEAR($I63),0,YEAR(AG$2)=YEAR($I63),ROUND(((AG$2-$I63+1)/365)*$D63,2),AND(YEAR(AG$2)&gt;YEAR($I63),YEAR(AG$2)-YEAR($I63)&lt;20),$D63,YEAR(AG$2)-YEAR($I63)=20,ROUND((DATE(YEAR($I63),12,31)-$I63+1)/365*$D63,2),YEAR(AG$2)-YEAR($I63)&gt;20,0)</f>
        <v>1350</v>
      </c>
      <c r="AH63" s="48" cm="1">
        <f t="array" ref="AH63">_xlfn.IFS(YEAR(AH$2)&lt;YEAR($I63),0,YEAR(AH$2)=YEAR($I63),ROUND(((AH$2-$I63+1)/365)*$D63,2),AND(YEAR(AH$2)&gt;YEAR($I63),YEAR(AH$2)-YEAR($I63)&lt;20),$D63,YEAR(AH$2)-YEAR($I63)=20,ROUND((DATE(YEAR($I63),12,31)-$I63+1)/365*$D63,2),YEAR(AH$2)-YEAR($I63)&gt;20,0)</f>
        <v>1324.11</v>
      </c>
      <c r="AI63" s="48" cm="1">
        <f t="array" ref="AI63">_xlfn.IFS(YEAR(AI$2)&lt;YEAR($I63),0,YEAR(AI$2)=YEAR($I63),ROUND(((AI$2-$I63+1)/365)*$D63,2),AND(YEAR(AI$2)&gt;YEAR($I63),YEAR(AI$2)-YEAR($I63)&lt;20),$D63,YEAR(AI$2)-YEAR($I63)=20,ROUND((DATE(YEAR($I63),12,31)-$I63+1)/365*$D63,2),YEAR(AI$2)-YEAR($I63)&gt;20,0)</f>
        <v>0</v>
      </c>
      <c r="AJ63" s="48" cm="1">
        <f t="array" ref="AJ63">_xlfn.IFS(YEAR(AJ$2)&lt;YEAR($I63),0,YEAR(AJ$2)=YEAR($I63),ROUND(((AJ$2-$I63+1)/365)*$D63,2),AND(YEAR(AJ$2)&gt;YEAR($I63),YEAR(AJ$2)-YEAR($I63)&lt;20),$D63,YEAR(AJ$2)-YEAR($I63)=20,ROUND((DATE(YEAR($I63),12,31)-$I63+1)/365*$D63,2),YEAR(AJ$2)-YEAR($I63)&gt;20,0)</f>
        <v>0</v>
      </c>
      <c r="AK63" s="48" cm="1">
        <f t="array" ref="AK63">_xlfn.IFS(YEAR(AK$2)&lt;YEAR($I63),0,YEAR(AK$2)=YEAR($I63),ROUND(((AK$2-$I63+1)/365)*$D63,2),AND(YEAR(AK$2)&gt;YEAR($I63),YEAR(AK$2)-YEAR($I63)&lt;20),$D63,YEAR(AK$2)-YEAR($I63)=20,ROUND((DATE(YEAR($I63),12,31)-$I63+1)/365*$D63,2),YEAR(AK$2)-YEAR($I63)&gt;20,0)</f>
        <v>0</v>
      </c>
      <c r="AL63" s="48" cm="1">
        <f t="array" ref="AL63">_xlfn.IFS(YEAR(AL$2)&lt;YEAR($I63),0,YEAR(AL$2)=YEAR($I63),ROUND(((AL$2-$I63+1)/365)*$D63,2),AND(YEAR(AL$2)&gt;YEAR($I63),YEAR(AL$2)-YEAR($I63)&lt;20),$D63,YEAR(AL$2)-YEAR($I63)=20,ROUND((DATE(YEAR($I63),12,31)-$I63+1)/365*$D63,2),YEAR(AL$2)-YEAR($I63)&gt;20,0)</f>
        <v>0</v>
      </c>
      <c r="AM63" s="48" cm="1">
        <f t="array" ref="AM63">_xlfn.IFS(YEAR(AM$2)&lt;YEAR($I63),0,YEAR(AM$2)=YEAR($I63),ROUND(((AM$2-$I63+1)/365)*$D63,2),AND(YEAR(AM$2)&gt;YEAR($I63),YEAR(AM$2)-YEAR($I63)&lt;20),$D63,YEAR(AM$2)-YEAR($I63)=20,ROUND((DATE(YEAR($I63),12,31)-$I63+1)/365*$D63,2),YEAR(AM$2)-YEAR($I63)&gt;20,0)</f>
        <v>0</v>
      </c>
    </row>
    <row r="64" spans="1:54">
      <c r="A64" s="155" t="str" cm="1">
        <f t="array" ref="A64">_xlfn.IFS(LEFT(C64,3)="PGE","PGE",LEFT(C64,2)="PP","PAC",TRUE,"IP")</f>
        <v>PAC</v>
      </c>
      <c r="B64" s="155" t="str">
        <f>IF(ISNA(MATCH(C64,'Monthly Report July 2025'!E:E,0)),"Missing","Present")</f>
        <v>Present</v>
      </c>
      <c r="C64" s="155" t="s">
        <v>173</v>
      </c>
      <c r="D64" s="176" cm="1">
        <f t="array" ref="D64">INDEX('Monthly Report July 2025'!L:L,MATCH(C64,'Monthly Report July 2025'!E:E,0),0)</f>
        <v>1250</v>
      </c>
      <c r="E64" s="176" t="str" cm="1">
        <f t="array" ref="E64">IF(INDEX('PA Fees by Project'!K:K,MATCH(C64,'PA Fees by Project'!E:E,0),0)="No","Non-Carve Out", "Carve Out")</f>
        <v>Non-Carve Out</v>
      </c>
      <c r="F64" s="176" cm="1">
        <f t="array" ref="F64">INDEX('PA Fees by Project'!J:J,MATCH(C64,'PA Fees by Project'!E:E,0),0)</f>
        <v>2</v>
      </c>
      <c r="G64" s="155" t="str" cm="1">
        <f t="array" ref="G64">INDEX('PA Fees by Project'!G:G,MATCH(C64,'PA Fees by Project'!E:E,0),0)</f>
        <v>Pre-Certified</v>
      </c>
      <c r="H64" s="175" t="str" cm="1">
        <f t="array" ref="H64">INDEX('PA Fees by Project'!Q:Q,MATCH(C64,'PA Fees by Project'!E:E,0),0)</f>
        <v/>
      </c>
      <c r="I64" s="156" cm="1">
        <f t="array" ref="I64">_xlfn.IFS(G64="Operational",H64,G64="Certified",EDATE(INDEX('PA Fees by Project'!R:R,MATCH(C64,'PA Fees by Project'!E:E,0),0),6),TRUE,EDATE(INDEX('PA Fees by Project'!O:O,MATCH(C64,'PA Fees by Project'!E:E,0),0),6))</f>
        <v>46267</v>
      </c>
      <c r="J64" s="48" cm="1">
        <f t="array" ref="J64">_xlfn.IFS(YEAR(J$2)&lt;YEAR($I64),0,YEAR(J$2)=YEAR($I64),ROUND(((J$2-$I64+1)/365)*$D64,2),AND(YEAR(J$2)&gt;YEAR($I64),YEAR(J$2)-YEAR($I64)&lt;20),$D64,YEAR(J$2)-YEAR($I64)=20,ROUND((DATE(YEAR($I64),12,31)-$I64+1)/365*$D64,2),YEAR(J$2)-YEAR($I64)&gt;20,0)</f>
        <v>0</v>
      </c>
      <c r="K64" s="48" cm="1">
        <f t="array" ref="K64">_xlfn.IFS(YEAR(K$2)&lt;YEAR($I64),0,YEAR(K$2)=YEAR($I64),ROUND(((K$2-$I64+1)/365)*$D64,2),AND(YEAR(K$2)&gt;YEAR($I64),YEAR(K$2)-YEAR($I64)&lt;20),$D64,YEAR(K$2)-YEAR($I64)=20,ROUND((DATE(YEAR($I64),12,31)-$I64+1)/365*$D64,2),YEAR(K$2)-YEAR($I64)&gt;20,0)</f>
        <v>0</v>
      </c>
      <c r="L64" s="48" cm="1">
        <f t="array" ref="L64">_xlfn.IFS(YEAR(L$2)&lt;YEAR($I64),0,YEAR(L$2)=YEAR($I64),ROUND(((L$2-$I64+1)/365)*$D64,2),AND(YEAR(L$2)&gt;YEAR($I64),YEAR(L$2)-YEAR($I64)&lt;20),$D64,YEAR(L$2)-YEAR($I64)=20,ROUND((DATE(YEAR($I64),12,31)-$I64+1)/365*$D64,2),YEAR(L$2)-YEAR($I64)&gt;20,0)</f>
        <v>0</v>
      </c>
      <c r="M64" s="48" cm="1">
        <f t="array" ref="M64">_xlfn.IFS(YEAR(M$2)&lt;YEAR($I64),0,YEAR(M$2)=YEAR($I64),ROUND(((M$2-$I64+1)/365)*$D64,2),AND(YEAR(M$2)&gt;YEAR($I64),YEAR(M$2)-YEAR($I64)&lt;20),$D64,YEAR(M$2)-YEAR($I64)=20,ROUND((DATE(YEAR($I64),12,31)-$I64+1)/365*$D64,2),YEAR(M$2)-YEAR($I64)&gt;20,0)</f>
        <v>0</v>
      </c>
      <c r="N64" s="48" cm="1">
        <f t="array" ref="N64">_xlfn.IFS(YEAR(N$2)&lt;YEAR($I64),0,YEAR(N$2)=YEAR($I64),ROUND(((N$2-$I64+1)/365)*$D64,2),AND(YEAR(N$2)&gt;YEAR($I64),YEAR(N$2)-YEAR($I64)&lt;20),$D64,YEAR(N$2)-YEAR($I64)=20,ROUND((DATE(YEAR($I64),12,31)-$I64+1)/365*$D64,2),YEAR(N$2)-YEAR($I64)&gt;20,0)</f>
        <v>0</v>
      </c>
      <c r="O64" s="48" cm="1">
        <f t="array" ref="O64">_xlfn.IFS(YEAR(O$2)&lt;YEAR($I64),0,YEAR(O$2)=YEAR($I64),ROUND(((O$2-$I64+1)/365)*$D64,2),AND(YEAR(O$2)&gt;YEAR($I64),YEAR(O$2)-YEAR($I64)&lt;20),$D64,YEAR(O$2)-YEAR($I64)=20,ROUND((DATE(YEAR($I64),12,31)-$I64+1)/365*$D64,2),YEAR(O$2)-YEAR($I64)&gt;20,0)</f>
        <v>414.38</v>
      </c>
      <c r="P64" s="48" cm="1">
        <f t="array" ref="P64">_xlfn.IFS(YEAR(P$2)&lt;YEAR($I64),0,YEAR(P$2)=YEAR($I64),ROUND(((P$2-$I64+1)/365)*$D64,2),AND(YEAR(P$2)&gt;YEAR($I64),YEAR(P$2)-YEAR($I64)&lt;20),$D64,YEAR(P$2)-YEAR($I64)=20,ROUND((DATE(YEAR($I64),12,31)-$I64+1)/365*$D64,2),YEAR(P$2)-YEAR($I64)&gt;20,0)</f>
        <v>1250</v>
      </c>
      <c r="Q64" s="48" cm="1">
        <f t="array" ref="Q64">_xlfn.IFS(YEAR(Q$2)&lt;YEAR($I64),0,YEAR(Q$2)=YEAR($I64),ROUND(((Q$2-$I64+1)/365)*$D64,2),AND(YEAR(Q$2)&gt;YEAR($I64),YEAR(Q$2)-YEAR($I64)&lt;20),$D64,YEAR(Q$2)-YEAR($I64)=20,ROUND((DATE(YEAR($I64),12,31)-$I64+1)/365*$D64,2),YEAR(Q$2)-YEAR($I64)&gt;20,0)</f>
        <v>1250</v>
      </c>
      <c r="R64" s="48" cm="1">
        <f t="array" ref="R64">_xlfn.IFS(YEAR(R$2)&lt;YEAR($I64),0,YEAR(R$2)=YEAR($I64),ROUND(((R$2-$I64+1)/365)*$D64,2),AND(YEAR(R$2)&gt;YEAR($I64),YEAR(R$2)-YEAR($I64)&lt;20),$D64,YEAR(R$2)-YEAR($I64)=20,ROUND((DATE(YEAR($I64),12,31)-$I64+1)/365*$D64,2),YEAR(R$2)-YEAR($I64)&gt;20,0)</f>
        <v>1250</v>
      </c>
      <c r="S64" s="48" cm="1">
        <f t="array" ref="S64">_xlfn.IFS(YEAR(S$2)&lt;YEAR($I64),0,YEAR(S$2)=YEAR($I64),ROUND(((S$2-$I64+1)/365)*$D64,2),AND(YEAR(S$2)&gt;YEAR($I64),YEAR(S$2)-YEAR($I64)&lt;20),$D64,YEAR(S$2)-YEAR($I64)=20,ROUND((DATE(YEAR($I64),12,31)-$I64+1)/365*$D64,2),YEAR(S$2)-YEAR($I64)&gt;20,0)</f>
        <v>1250</v>
      </c>
      <c r="T64" s="48" cm="1">
        <f t="array" ref="T64">_xlfn.IFS(YEAR(T$2)&lt;YEAR($I64),0,YEAR(T$2)=YEAR($I64),ROUND(((T$2-$I64+1)/365)*$D64,2),AND(YEAR(T$2)&gt;YEAR($I64),YEAR(T$2)-YEAR($I64)&lt;20),$D64,YEAR(T$2)-YEAR($I64)=20,ROUND((DATE(YEAR($I64),12,31)-$I64+1)/365*$D64,2),YEAR(T$2)-YEAR($I64)&gt;20,0)</f>
        <v>1250</v>
      </c>
      <c r="U64" s="48" cm="1">
        <f t="array" ref="U64">_xlfn.IFS(YEAR(U$2)&lt;YEAR($I64),0,YEAR(U$2)=YEAR($I64),ROUND(((U$2-$I64+1)/365)*$D64,2),AND(YEAR(U$2)&gt;YEAR($I64),YEAR(U$2)-YEAR($I64)&lt;20),$D64,YEAR(U$2)-YEAR($I64)=20,ROUND((DATE(YEAR($I64),12,31)-$I64+1)/365*$D64,2),YEAR(U$2)-YEAR($I64)&gt;20,0)</f>
        <v>1250</v>
      </c>
      <c r="V64" s="48" cm="1">
        <f t="array" ref="V64">_xlfn.IFS(YEAR(V$2)&lt;YEAR($I64),0,YEAR(V$2)=YEAR($I64),ROUND(((V$2-$I64+1)/365)*$D64,2),AND(YEAR(V$2)&gt;YEAR($I64),YEAR(V$2)-YEAR($I64)&lt;20),$D64,YEAR(V$2)-YEAR($I64)=20,ROUND((DATE(YEAR($I64),12,31)-$I64+1)/365*$D64,2),YEAR(V$2)-YEAR($I64)&gt;20,0)</f>
        <v>1250</v>
      </c>
      <c r="W64" s="48" cm="1">
        <f t="array" ref="W64">_xlfn.IFS(YEAR(W$2)&lt;YEAR($I64),0,YEAR(W$2)=YEAR($I64),ROUND(((W$2-$I64+1)/365)*$D64,2),AND(YEAR(W$2)&gt;YEAR($I64),YEAR(W$2)-YEAR($I64)&lt;20),$D64,YEAR(W$2)-YEAR($I64)=20,ROUND((DATE(YEAR($I64),12,31)-$I64+1)/365*$D64,2),YEAR(W$2)-YEAR($I64)&gt;20,0)</f>
        <v>1250</v>
      </c>
      <c r="X64" s="48" cm="1">
        <f t="array" ref="X64">_xlfn.IFS(YEAR(X$2)&lt;YEAR($I64),0,YEAR(X$2)=YEAR($I64),ROUND(((X$2-$I64+1)/365)*$D64,2),AND(YEAR(X$2)&gt;YEAR($I64),YEAR(X$2)-YEAR($I64)&lt;20),$D64,YEAR(X$2)-YEAR($I64)=20,ROUND((DATE(YEAR($I64),12,31)-$I64+1)/365*$D64,2),YEAR(X$2)-YEAR($I64)&gt;20,0)</f>
        <v>1250</v>
      </c>
      <c r="Y64" s="48" cm="1">
        <f t="array" ref="Y64">_xlfn.IFS(YEAR(Y$2)&lt;YEAR($I64),0,YEAR(Y$2)=YEAR($I64),ROUND(((Y$2-$I64+1)/365)*$D64,2),AND(YEAR(Y$2)&gt;YEAR($I64),YEAR(Y$2)-YEAR($I64)&lt;20),$D64,YEAR(Y$2)-YEAR($I64)=20,ROUND((DATE(YEAR($I64),12,31)-$I64+1)/365*$D64,2),YEAR(Y$2)-YEAR($I64)&gt;20,0)</f>
        <v>1250</v>
      </c>
      <c r="Z64" s="48" cm="1">
        <f t="array" ref="Z64">_xlfn.IFS(YEAR(Z$2)&lt;YEAR($I64),0,YEAR(Z$2)=YEAR($I64),ROUND(((Z$2-$I64+1)/365)*$D64,2),AND(YEAR(Z$2)&gt;YEAR($I64),YEAR(Z$2)-YEAR($I64)&lt;20),$D64,YEAR(Z$2)-YEAR($I64)=20,ROUND((DATE(YEAR($I64),12,31)-$I64+1)/365*$D64,2),YEAR(Z$2)-YEAR($I64)&gt;20,0)</f>
        <v>1250</v>
      </c>
      <c r="AA64" s="48" cm="1">
        <f t="array" ref="AA64">_xlfn.IFS(YEAR(AA$2)&lt;YEAR($I64),0,YEAR(AA$2)=YEAR($I64),ROUND(((AA$2-$I64+1)/365)*$D64,2),AND(YEAR(AA$2)&gt;YEAR($I64),YEAR(AA$2)-YEAR($I64)&lt;20),$D64,YEAR(AA$2)-YEAR($I64)=20,ROUND((DATE(YEAR($I64),12,31)-$I64+1)/365*$D64,2),YEAR(AA$2)-YEAR($I64)&gt;20,0)</f>
        <v>1250</v>
      </c>
      <c r="AB64" s="48" cm="1">
        <f t="array" ref="AB64">_xlfn.IFS(YEAR(AB$2)&lt;YEAR($I64),0,YEAR(AB$2)=YEAR($I64),ROUND(((AB$2-$I64+1)/365)*$D64,2),AND(YEAR(AB$2)&gt;YEAR($I64),YEAR(AB$2)-YEAR($I64)&lt;20),$D64,YEAR(AB$2)-YEAR($I64)=20,ROUND((DATE(YEAR($I64),12,31)-$I64+1)/365*$D64,2),YEAR(AB$2)-YEAR($I64)&gt;20,0)</f>
        <v>1250</v>
      </c>
      <c r="AC64" s="48" cm="1">
        <f t="array" ref="AC64">_xlfn.IFS(YEAR(AC$2)&lt;YEAR($I64),0,YEAR(AC$2)=YEAR($I64),ROUND(((AC$2-$I64+1)/365)*$D64,2),AND(YEAR(AC$2)&gt;YEAR($I64),YEAR(AC$2)-YEAR($I64)&lt;20),$D64,YEAR(AC$2)-YEAR($I64)=20,ROUND((DATE(YEAR($I64),12,31)-$I64+1)/365*$D64,2),YEAR(AC$2)-YEAR($I64)&gt;20,0)</f>
        <v>1250</v>
      </c>
      <c r="AD64" s="48" cm="1">
        <f t="array" ref="AD64">_xlfn.IFS(YEAR(AD$2)&lt;YEAR($I64),0,YEAR(AD$2)=YEAR($I64),ROUND(((AD$2-$I64+1)/365)*$D64,2),AND(YEAR(AD$2)&gt;YEAR($I64),YEAR(AD$2)-YEAR($I64)&lt;20),$D64,YEAR(AD$2)-YEAR($I64)=20,ROUND((DATE(YEAR($I64),12,31)-$I64+1)/365*$D64,2),YEAR(AD$2)-YEAR($I64)&gt;20,0)</f>
        <v>1250</v>
      </c>
      <c r="AE64" s="48" cm="1">
        <f t="array" ref="AE64">_xlfn.IFS(YEAR(AE$2)&lt;YEAR($I64),0,YEAR(AE$2)=YEAR($I64),ROUND(((AE$2-$I64+1)/365)*$D64,2),AND(YEAR(AE$2)&gt;YEAR($I64),YEAR(AE$2)-YEAR($I64)&lt;20),$D64,YEAR(AE$2)-YEAR($I64)=20,ROUND((DATE(YEAR($I64),12,31)-$I64+1)/365*$D64,2),YEAR(AE$2)-YEAR($I64)&gt;20,0)</f>
        <v>1250</v>
      </c>
      <c r="AF64" s="48" cm="1">
        <f t="array" ref="AF64">_xlfn.IFS(YEAR(AF$2)&lt;YEAR($I64),0,YEAR(AF$2)=YEAR($I64),ROUND(((AF$2-$I64+1)/365)*$D64,2),AND(YEAR(AF$2)&gt;YEAR($I64),YEAR(AF$2)-YEAR($I64)&lt;20),$D64,YEAR(AF$2)-YEAR($I64)=20,ROUND((DATE(YEAR($I64),12,31)-$I64+1)/365*$D64,2),YEAR(AF$2)-YEAR($I64)&gt;20,0)</f>
        <v>1250</v>
      </c>
      <c r="AG64" s="48" cm="1">
        <f t="array" ref="AG64">_xlfn.IFS(YEAR(AG$2)&lt;YEAR($I64),0,YEAR(AG$2)=YEAR($I64),ROUND(((AG$2-$I64+1)/365)*$D64,2),AND(YEAR(AG$2)&gt;YEAR($I64),YEAR(AG$2)-YEAR($I64)&lt;20),$D64,YEAR(AG$2)-YEAR($I64)=20,ROUND((DATE(YEAR($I64),12,31)-$I64+1)/365*$D64,2),YEAR(AG$2)-YEAR($I64)&gt;20,0)</f>
        <v>1250</v>
      </c>
      <c r="AH64" s="48" cm="1">
        <f t="array" ref="AH64">_xlfn.IFS(YEAR(AH$2)&lt;YEAR($I64),0,YEAR(AH$2)=YEAR($I64),ROUND(((AH$2-$I64+1)/365)*$D64,2),AND(YEAR(AH$2)&gt;YEAR($I64),YEAR(AH$2)-YEAR($I64)&lt;20),$D64,YEAR(AH$2)-YEAR($I64)=20,ROUND((DATE(YEAR($I64),12,31)-$I64+1)/365*$D64,2),YEAR(AH$2)-YEAR($I64)&gt;20,0)</f>
        <v>1250</v>
      </c>
      <c r="AI64" s="48" cm="1">
        <f t="array" ref="AI64">_xlfn.IFS(YEAR(AI$2)&lt;YEAR($I64),0,YEAR(AI$2)=YEAR($I64),ROUND(((AI$2-$I64+1)/365)*$D64,2),AND(YEAR(AI$2)&gt;YEAR($I64),YEAR(AI$2)-YEAR($I64)&lt;20),$D64,YEAR(AI$2)-YEAR($I64)=20,ROUND((DATE(YEAR($I64),12,31)-$I64+1)/365*$D64,2),YEAR(AI$2)-YEAR($I64)&gt;20,0)</f>
        <v>414.38</v>
      </c>
      <c r="AJ64" s="48" cm="1">
        <f t="array" ref="AJ64">_xlfn.IFS(YEAR(AJ$2)&lt;YEAR($I64),0,YEAR(AJ$2)=YEAR($I64),ROUND(((AJ$2-$I64+1)/365)*$D64,2),AND(YEAR(AJ$2)&gt;YEAR($I64),YEAR(AJ$2)-YEAR($I64)&lt;20),$D64,YEAR(AJ$2)-YEAR($I64)=20,ROUND((DATE(YEAR($I64),12,31)-$I64+1)/365*$D64,2),YEAR(AJ$2)-YEAR($I64)&gt;20,0)</f>
        <v>0</v>
      </c>
      <c r="AK64" s="48" cm="1">
        <f t="array" ref="AK64">_xlfn.IFS(YEAR(AK$2)&lt;YEAR($I64),0,YEAR(AK$2)=YEAR($I64),ROUND(((AK$2-$I64+1)/365)*$D64,2),AND(YEAR(AK$2)&gt;YEAR($I64),YEAR(AK$2)-YEAR($I64)&lt;20),$D64,YEAR(AK$2)-YEAR($I64)=20,ROUND((DATE(YEAR($I64),12,31)-$I64+1)/365*$D64,2),YEAR(AK$2)-YEAR($I64)&gt;20,0)</f>
        <v>0</v>
      </c>
      <c r="AL64" s="48" cm="1">
        <f t="array" ref="AL64">_xlfn.IFS(YEAR(AL$2)&lt;YEAR($I64),0,YEAR(AL$2)=YEAR($I64),ROUND(((AL$2-$I64+1)/365)*$D64,2),AND(YEAR(AL$2)&gt;YEAR($I64),YEAR(AL$2)-YEAR($I64)&lt;20),$D64,YEAR(AL$2)-YEAR($I64)=20,ROUND((DATE(YEAR($I64),12,31)-$I64+1)/365*$D64,2),YEAR(AL$2)-YEAR($I64)&gt;20,0)</f>
        <v>0</v>
      </c>
      <c r="AM64" s="48" cm="1">
        <f t="array" ref="AM64">_xlfn.IFS(YEAR(AM$2)&lt;YEAR($I64),0,YEAR(AM$2)=YEAR($I64),ROUND(((AM$2-$I64+1)/365)*$D64,2),AND(YEAR(AM$2)&gt;YEAR($I64),YEAR(AM$2)-YEAR($I64)&lt;20),$D64,YEAR(AM$2)-YEAR($I64)=20,ROUND((DATE(YEAR($I64),12,31)-$I64+1)/365*$D64,2),YEAR(AM$2)-YEAR($I64)&gt;20,0)</f>
        <v>0</v>
      </c>
    </row>
    <row r="65" spans="1:39">
      <c r="A65" s="155" t="str" cm="1">
        <f t="array" ref="A65">_xlfn.IFS(LEFT(C65,3)="PGE","PGE",LEFT(C65,2)="PP","PAC",TRUE,"IP")</f>
        <v>PGE</v>
      </c>
      <c r="B65" s="155" t="str">
        <f>IF(ISNA(MATCH(C65,'Monthly Report July 2025'!E:E,0)),"Missing","Present")</f>
        <v>Present</v>
      </c>
      <c r="C65" s="155" t="s">
        <v>174</v>
      </c>
      <c r="D65" s="176" cm="1">
        <f t="array" ref="D65">INDEX('Monthly Report July 2025'!L:L,MATCH(C65,'Monthly Report July 2025'!E:E,0),0)</f>
        <v>3000</v>
      </c>
      <c r="E65" s="176" t="str" cm="1">
        <f t="array" ref="E65">IF(INDEX('PA Fees by Project'!K:K,MATCH(C65,'PA Fees by Project'!E:E,0),0)="No","Non-Carve Out", "Carve Out")</f>
        <v>Non-Carve Out</v>
      </c>
      <c r="F65" s="176" cm="1">
        <f t="array" ref="F65">INDEX('PA Fees by Project'!J:J,MATCH(C65,'PA Fees by Project'!E:E,0),0)</f>
        <v>2</v>
      </c>
      <c r="G65" s="155" t="str" cm="1">
        <f t="array" ref="G65">INDEX('PA Fees by Project'!G:G,MATCH(C65,'PA Fees by Project'!E:E,0),0)</f>
        <v>Operational</v>
      </c>
      <c r="H65" s="175" cm="1">
        <f t="array" ref="H65">INDEX('PA Fees by Project'!Q:Q,MATCH(C65,'PA Fees by Project'!E:E,0),0)</f>
        <v>45474</v>
      </c>
      <c r="I65" s="156" cm="1">
        <f t="array" ref="I65">_xlfn.IFS(G65="Operational",H65,G65="Certified",EDATE(INDEX('PA Fees by Project'!R:R,MATCH(C65,'PA Fees by Project'!E:E,0),0),6),TRUE,EDATE(INDEX('PA Fees by Project'!O:O,MATCH(C65,'PA Fees by Project'!E:E,0),0),6))</f>
        <v>45474</v>
      </c>
      <c r="J65" s="48" cm="1">
        <f t="array" ref="J65">_xlfn.IFS(YEAR(J$2)&lt;YEAR($I65),0,YEAR(J$2)=YEAR($I65),ROUND(((J$2-$I65+1)/365)*$D65,2),AND(YEAR(J$2)&gt;YEAR($I65),YEAR(J$2)-YEAR($I65)&lt;20),$D65,YEAR(J$2)-YEAR($I65)=20,ROUND((DATE(YEAR($I65),12,31)-$I65+1)/365*$D65,2),YEAR(J$2)-YEAR($I65)&gt;20,0)</f>
        <v>0</v>
      </c>
      <c r="K65" s="48" cm="1">
        <f t="array" ref="K65">_xlfn.IFS(YEAR(K$2)&lt;YEAR($I65),0,YEAR(K$2)=YEAR($I65),ROUND(((K$2-$I65+1)/365)*$D65,2),AND(YEAR(K$2)&gt;YEAR($I65),YEAR(K$2)-YEAR($I65)&lt;20),$D65,YEAR(K$2)-YEAR($I65)=20,ROUND((DATE(YEAR($I65),12,31)-$I65+1)/365*$D65,2),YEAR(K$2)-YEAR($I65)&gt;20,0)</f>
        <v>0</v>
      </c>
      <c r="L65" s="48" cm="1">
        <f t="array" ref="L65">_xlfn.IFS(YEAR(L$2)&lt;YEAR($I65),0,YEAR(L$2)=YEAR($I65),ROUND(((L$2-$I65+1)/365)*$D65,2),AND(YEAR(L$2)&gt;YEAR($I65),YEAR(L$2)-YEAR($I65)&lt;20),$D65,YEAR(L$2)-YEAR($I65)=20,ROUND((DATE(YEAR($I65),12,31)-$I65+1)/365*$D65,2),YEAR(L$2)-YEAR($I65)&gt;20,0)</f>
        <v>0</v>
      </c>
      <c r="M65" s="48" cm="1">
        <f t="array" ref="M65">_xlfn.IFS(YEAR(M$2)&lt;YEAR($I65),0,YEAR(M$2)=YEAR($I65),ROUND(((M$2-$I65+1)/365)*$D65,2),AND(YEAR(M$2)&gt;YEAR($I65),YEAR(M$2)-YEAR($I65)&lt;20),$D65,YEAR(M$2)-YEAR($I65)=20,ROUND((DATE(YEAR($I65),12,31)-$I65+1)/365*$D65,2),YEAR(M$2)-YEAR($I65)&gt;20,0)</f>
        <v>1512.33</v>
      </c>
      <c r="N65" s="48" cm="1">
        <f t="array" ref="N65">_xlfn.IFS(YEAR(N$2)&lt;YEAR($I65),0,YEAR(N$2)=YEAR($I65),ROUND(((N$2-$I65+1)/365)*$D65,2),AND(YEAR(N$2)&gt;YEAR($I65),YEAR(N$2)-YEAR($I65)&lt;20),$D65,YEAR(N$2)-YEAR($I65)=20,ROUND((DATE(YEAR($I65),12,31)-$I65+1)/365*$D65,2),YEAR(N$2)-YEAR($I65)&gt;20,0)</f>
        <v>3000</v>
      </c>
      <c r="O65" s="48" cm="1">
        <f t="array" ref="O65">_xlfn.IFS(YEAR(O$2)&lt;YEAR($I65),0,YEAR(O$2)=YEAR($I65),ROUND(((O$2-$I65+1)/365)*$D65,2),AND(YEAR(O$2)&gt;YEAR($I65),YEAR(O$2)-YEAR($I65)&lt;20),$D65,YEAR(O$2)-YEAR($I65)=20,ROUND((DATE(YEAR($I65),12,31)-$I65+1)/365*$D65,2),YEAR(O$2)-YEAR($I65)&gt;20,0)</f>
        <v>3000</v>
      </c>
      <c r="P65" s="48" cm="1">
        <f t="array" ref="P65">_xlfn.IFS(YEAR(P$2)&lt;YEAR($I65),0,YEAR(P$2)=YEAR($I65),ROUND(((P$2-$I65+1)/365)*$D65,2),AND(YEAR(P$2)&gt;YEAR($I65),YEAR(P$2)-YEAR($I65)&lt;20),$D65,YEAR(P$2)-YEAR($I65)=20,ROUND((DATE(YEAR($I65),12,31)-$I65+1)/365*$D65,2),YEAR(P$2)-YEAR($I65)&gt;20,0)</f>
        <v>3000</v>
      </c>
      <c r="Q65" s="48" cm="1">
        <f t="array" ref="Q65">_xlfn.IFS(YEAR(Q$2)&lt;YEAR($I65),0,YEAR(Q$2)=YEAR($I65),ROUND(((Q$2-$I65+1)/365)*$D65,2),AND(YEAR(Q$2)&gt;YEAR($I65),YEAR(Q$2)-YEAR($I65)&lt;20),$D65,YEAR(Q$2)-YEAR($I65)=20,ROUND((DATE(YEAR($I65),12,31)-$I65+1)/365*$D65,2),YEAR(Q$2)-YEAR($I65)&gt;20,0)</f>
        <v>3000</v>
      </c>
      <c r="R65" s="48" cm="1">
        <f t="array" ref="R65">_xlfn.IFS(YEAR(R$2)&lt;YEAR($I65),0,YEAR(R$2)=YEAR($I65),ROUND(((R$2-$I65+1)/365)*$D65,2),AND(YEAR(R$2)&gt;YEAR($I65),YEAR(R$2)-YEAR($I65)&lt;20),$D65,YEAR(R$2)-YEAR($I65)=20,ROUND((DATE(YEAR($I65),12,31)-$I65+1)/365*$D65,2),YEAR(R$2)-YEAR($I65)&gt;20,0)</f>
        <v>3000</v>
      </c>
      <c r="S65" s="48" cm="1">
        <f t="array" ref="S65">_xlfn.IFS(YEAR(S$2)&lt;YEAR($I65),0,YEAR(S$2)=YEAR($I65),ROUND(((S$2-$I65+1)/365)*$D65,2),AND(YEAR(S$2)&gt;YEAR($I65),YEAR(S$2)-YEAR($I65)&lt;20),$D65,YEAR(S$2)-YEAR($I65)=20,ROUND((DATE(YEAR($I65),12,31)-$I65+1)/365*$D65,2),YEAR(S$2)-YEAR($I65)&gt;20,0)</f>
        <v>3000</v>
      </c>
      <c r="T65" s="48" cm="1">
        <f t="array" ref="T65">_xlfn.IFS(YEAR(T$2)&lt;YEAR($I65),0,YEAR(T$2)=YEAR($I65),ROUND(((T$2-$I65+1)/365)*$D65,2),AND(YEAR(T$2)&gt;YEAR($I65),YEAR(T$2)-YEAR($I65)&lt;20),$D65,YEAR(T$2)-YEAR($I65)=20,ROUND((DATE(YEAR($I65),12,31)-$I65+1)/365*$D65,2),YEAR(T$2)-YEAR($I65)&gt;20,0)</f>
        <v>3000</v>
      </c>
      <c r="U65" s="48" cm="1">
        <f t="array" ref="U65">_xlfn.IFS(YEAR(U$2)&lt;YEAR($I65),0,YEAR(U$2)=YEAR($I65),ROUND(((U$2-$I65+1)/365)*$D65,2),AND(YEAR(U$2)&gt;YEAR($I65),YEAR(U$2)-YEAR($I65)&lt;20),$D65,YEAR(U$2)-YEAR($I65)=20,ROUND((DATE(YEAR($I65),12,31)-$I65+1)/365*$D65,2),YEAR(U$2)-YEAR($I65)&gt;20,0)</f>
        <v>3000</v>
      </c>
      <c r="V65" s="48" cm="1">
        <f t="array" ref="V65">_xlfn.IFS(YEAR(V$2)&lt;YEAR($I65),0,YEAR(V$2)=YEAR($I65),ROUND(((V$2-$I65+1)/365)*$D65,2),AND(YEAR(V$2)&gt;YEAR($I65),YEAR(V$2)-YEAR($I65)&lt;20),$D65,YEAR(V$2)-YEAR($I65)=20,ROUND((DATE(YEAR($I65),12,31)-$I65+1)/365*$D65,2),YEAR(V$2)-YEAR($I65)&gt;20,0)</f>
        <v>3000</v>
      </c>
      <c r="W65" s="48" cm="1">
        <f t="array" ref="W65">_xlfn.IFS(YEAR(W$2)&lt;YEAR($I65),0,YEAR(W$2)=YEAR($I65),ROUND(((W$2-$I65+1)/365)*$D65,2),AND(YEAR(W$2)&gt;YEAR($I65),YEAR(W$2)-YEAR($I65)&lt;20),$D65,YEAR(W$2)-YEAR($I65)=20,ROUND((DATE(YEAR($I65),12,31)-$I65+1)/365*$D65,2),YEAR(W$2)-YEAR($I65)&gt;20,0)</f>
        <v>3000</v>
      </c>
      <c r="X65" s="48" cm="1">
        <f t="array" ref="X65">_xlfn.IFS(YEAR(X$2)&lt;YEAR($I65),0,YEAR(X$2)=YEAR($I65),ROUND(((X$2-$I65+1)/365)*$D65,2),AND(YEAR(X$2)&gt;YEAR($I65),YEAR(X$2)-YEAR($I65)&lt;20),$D65,YEAR(X$2)-YEAR($I65)=20,ROUND((DATE(YEAR($I65),12,31)-$I65+1)/365*$D65,2),YEAR(X$2)-YEAR($I65)&gt;20,0)</f>
        <v>3000</v>
      </c>
      <c r="Y65" s="48" cm="1">
        <f t="array" ref="Y65">_xlfn.IFS(YEAR(Y$2)&lt;YEAR($I65),0,YEAR(Y$2)=YEAR($I65),ROUND(((Y$2-$I65+1)/365)*$D65,2),AND(YEAR(Y$2)&gt;YEAR($I65),YEAR(Y$2)-YEAR($I65)&lt;20),$D65,YEAR(Y$2)-YEAR($I65)=20,ROUND((DATE(YEAR($I65),12,31)-$I65+1)/365*$D65,2),YEAR(Y$2)-YEAR($I65)&gt;20,0)</f>
        <v>3000</v>
      </c>
      <c r="Z65" s="48" cm="1">
        <f t="array" ref="Z65">_xlfn.IFS(YEAR(Z$2)&lt;YEAR($I65),0,YEAR(Z$2)=YEAR($I65),ROUND(((Z$2-$I65+1)/365)*$D65,2),AND(YEAR(Z$2)&gt;YEAR($I65),YEAR(Z$2)-YEAR($I65)&lt;20),$D65,YEAR(Z$2)-YEAR($I65)=20,ROUND((DATE(YEAR($I65),12,31)-$I65+1)/365*$D65,2),YEAR(Z$2)-YEAR($I65)&gt;20,0)</f>
        <v>3000</v>
      </c>
      <c r="AA65" s="48" cm="1">
        <f t="array" ref="AA65">_xlfn.IFS(YEAR(AA$2)&lt;YEAR($I65),0,YEAR(AA$2)=YEAR($I65),ROUND(((AA$2-$I65+1)/365)*$D65,2),AND(YEAR(AA$2)&gt;YEAR($I65),YEAR(AA$2)-YEAR($I65)&lt;20),$D65,YEAR(AA$2)-YEAR($I65)=20,ROUND((DATE(YEAR($I65),12,31)-$I65+1)/365*$D65,2),YEAR(AA$2)-YEAR($I65)&gt;20,0)</f>
        <v>3000</v>
      </c>
      <c r="AB65" s="48" cm="1">
        <f t="array" ref="AB65">_xlfn.IFS(YEAR(AB$2)&lt;YEAR($I65),0,YEAR(AB$2)=YEAR($I65),ROUND(((AB$2-$I65+1)/365)*$D65,2),AND(YEAR(AB$2)&gt;YEAR($I65),YEAR(AB$2)-YEAR($I65)&lt;20),$D65,YEAR(AB$2)-YEAR($I65)=20,ROUND((DATE(YEAR($I65),12,31)-$I65+1)/365*$D65,2),YEAR(AB$2)-YEAR($I65)&gt;20,0)</f>
        <v>3000</v>
      </c>
      <c r="AC65" s="48" cm="1">
        <f t="array" ref="AC65">_xlfn.IFS(YEAR(AC$2)&lt;YEAR($I65),0,YEAR(AC$2)=YEAR($I65),ROUND(((AC$2-$I65+1)/365)*$D65,2),AND(YEAR(AC$2)&gt;YEAR($I65),YEAR(AC$2)-YEAR($I65)&lt;20),$D65,YEAR(AC$2)-YEAR($I65)=20,ROUND((DATE(YEAR($I65),12,31)-$I65+1)/365*$D65,2),YEAR(AC$2)-YEAR($I65)&gt;20,0)</f>
        <v>3000</v>
      </c>
      <c r="AD65" s="48" cm="1">
        <f t="array" ref="AD65">_xlfn.IFS(YEAR(AD$2)&lt;YEAR($I65),0,YEAR(AD$2)=YEAR($I65),ROUND(((AD$2-$I65+1)/365)*$D65,2),AND(YEAR(AD$2)&gt;YEAR($I65),YEAR(AD$2)-YEAR($I65)&lt;20),$D65,YEAR(AD$2)-YEAR($I65)=20,ROUND((DATE(YEAR($I65),12,31)-$I65+1)/365*$D65,2),YEAR(AD$2)-YEAR($I65)&gt;20,0)</f>
        <v>3000</v>
      </c>
      <c r="AE65" s="48" cm="1">
        <f t="array" ref="AE65">_xlfn.IFS(YEAR(AE$2)&lt;YEAR($I65),0,YEAR(AE$2)=YEAR($I65),ROUND(((AE$2-$I65+1)/365)*$D65,2),AND(YEAR(AE$2)&gt;YEAR($I65),YEAR(AE$2)-YEAR($I65)&lt;20),$D65,YEAR(AE$2)-YEAR($I65)=20,ROUND((DATE(YEAR($I65),12,31)-$I65+1)/365*$D65,2),YEAR(AE$2)-YEAR($I65)&gt;20,0)</f>
        <v>3000</v>
      </c>
      <c r="AF65" s="48" cm="1">
        <f t="array" ref="AF65">_xlfn.IFS(YEAR(AF$2)&lt;YEAR($I65),0,YEAR(AF$2)=YEAR($I65),ROUND(((AF$2-$I65+1)/365)*$D65,2),AND(YEAR(AF$2)&gt;YEAR($I65),YEAR(AF$2)-YEAR($I65)&lt;20),$D65,YEAR(AF$2)-YEAR($I65)=20,ROUND((DATE(YEAR($I65),12,31)-$I65+1)/365*$D65,2),YEAR(AF$2)-YEAR($I65)&gt;20,0)</f>
        <v>3000</v>
      </c>
      <c r="AG65" s="48" cm="1">
        <f t="array" ref="AG65">_xlfn.IFS(YEAR(AG$2)&lt;YEAR($I65),0,YEAR(AG$2)=YEAR($I65),ROUND(((AG$2-$I65+1)/365)*$D65,2),AND(YEAR(AG$2)&gt;YEAR($I65),YEAR(AG$2)-YEAR($I65)&lt;20),$D65,YEAR(AG$2)-YEAR($I65)=20,ROUND((DATE(YEAR($I65),12,31)-$I65+1)/365*$D65,2),YEAR(AG$2)-YEAR($I65)&gt;20,0)</f>
        <v>1512.33</v>
      </c>
      <c r="AH65" s="48" cm="1">
        <f t="array" ref="AH65">_xlfn.IFS(YEAR(AH$2)&lt;YEAR($I65),0,YEAR(AH$2)=YEAR($I65),ROUND(((AH$2-$I65+1)/365)*$D65,2),AND(YEAR(AH$2)&gt;YEAR($I65),YEAR(AH$2)-YEAR($I65)&lt;20),$D65,YEAR(AH$2)-YEAR($I65)=20,ROUND((DATE(YEAR($I65),12,31)-$I65+1)/365*$D65,2),YEAR(AH$2)-YEAR($I65)&gt;20,0)</f>
        <v>0</v>
      </c>
      <c r="AI65" s="48" cm="1">
        <f t="array" ref="AI65">_xlfn.IFS(YEAR(AI$2)&lt;YEAR($I65),0,YEAR(AI$2)=YEAR($I65),ROUND(((AI$2-$I65+1)/365)*$D65,2),AND(YEAR(AI$2)&gt;YEAR($I65),YEAR(AI$2)-YEAR($I65)&lt;20),$D65,YEAR(AI$2)-YEAR($I65)=20,ROUND((DATE(YEAR($I65),12,31)-$I65+1)/365*$D65,2),YEAR(AI$2)-YEAR($I65)&gt;20,0)</f>
        <v>0</v>
      </c>
      <c r="AJ65" s="48" cm="1">
        <f t="array" ref="AJ65">_xlfn.IFS(YEAR(AJ$2)&lt;YEAR($I65),0,YEAR(AJ$2)=YEAR($I65),ROUND(((AJ$2-$I65+1)/365)*$D65,2),AND(YEAR(AJ$2)&gt;YEAR($I65),YEAR(AJ$2)-YEAR($I65)&lt;20),$D65,YEAR(AJ$2)-YEAR($I65)=20,ROUND((DATE(YEAR($I65),12,31)-$I65+1)/365*$D65,2),YEAR(AJ$2)-YEAR($I65)&gt;20,0)</f>
        <v>0</v>
      </c>
      <c r="AK65" s="48" cm="1">
        <f t="array" ref="AK65">_xlfn.IFS(YEAR(AK$2)&lt;YEAR($I65),0,YEAR(AK$2)=YEAR($I65),ROUND(((AK$2-$I65+1)/365)*$D65,2),AND(YEAR(AK$2)&gt;YEAR($I65),YEAR(AK$2)-YEAR($I65)&lt;20),$D65,YEAR(AK$2)-YEAR($I65)=20,ROUND((DATE(YEAR($I65),12,31)-$I65+1)/365*$D65,2),YEAR(AK$2)-YEAR($I65)&gt;20,0)</f>
        <v>0</v>
      </c>
      <c r="AL65" s="48" cm="1">
        <f t="array" ref="AL65">_xlfn.IFS(YEAR(AL$2)&lt;YEAR($I65),0,YEAR(AL$2)=YEAR($I65),ROUND(((AL$2-$I65+1)/365)*$D65,2),AND(YEAR(AL$2)&gt;YEAR($I65),YEAR(AL$2)-YEAR($I65)&lt;20),$D65,YEAR(AL$2)-YEAR($I65)=20,ROUND((DATE(YEAR($I65),12,31)-$I65+1)/365*$D65,2),YEAR(AL$2)-YEAR($I65)&gt;20,0)</f>
        <v>0</v>
      </c>
      <c r="AM65" s="48" cm="1">
        <f t="array" ref="AM65">_xlfn.IFS(YEAR(AM$2)&lt;YEAR($I65),0,YEAR(AM$2)=YEAR($I65),ROUND(((AM$2-$I65+1)/365)*$D65,2),AND(YEAR(AM$2)&gt;YEAR($I65),YEAR(AM$2)-YEAR($I65)&lt;20),$D65,YEAR(AM$2)-YEAR($I65)=20,ROUND((DATE(YEAR($I65),12,31)-$I65+1)/365*$D65,2),YEAR(AM$2)-YEAR($I65)&gt;20,0)</f>
        <v>0</v>
      </c>
    </row>
    <row r="66" spans="1:39">
      <c r="A66" s="155" t="str" cm="1">
        <f t="array" ref="A66">_xlfn.IFS(LEFT(C66,3)="PGE","PGE",LEFT(C66,2)="PP","PAC",TRUE,"IP")</f>
        <v>PAC</v>
      </c>
      <c r="B66" s="155" t="str">
        <f>IF(ISNA(MATCH(C66,'Monthly Report July 2025'!E:E,0)),"Missing","Present")</f>
        <v>Present</v>
      </c>
      <c r="C66" s="155" t="s">
        <v>175</v>
      </c>
      <c r="D66" s="176" cm="1">
        <f t="array" ref="D66">INDEX('Monthly Report July 2025'!L:L,MATCH(C66,'Monthly Report July 2025'!E:E,0),0)</f>
        <v>1375</v>
      </c>
      <c r="E66" s="176" t="str" cm="1">
        <f t="array" ref="E66">IF(INDEX('PA Fees by Project'!K:K,MATCH(C66,'PA Fees by Project'!E:E,0),0)="No","Non-Carve Out", "Carve Out")</f>
        <v>Carve Out</v>
      </c>
      <c r="F66" s="176" cm="1">
        <f t="array" ref="F66">INDEX('PA Fees by Project'!J:J,MATCH(C66,'PA Fees by Project'!E:E,0),0)</f>
        <v>2</v>
      </c>
      <c r="G66" s="155" t="str" cm="1">
        <f t="array" ref="G66">INDEX('PA Fees by Project'!G:G,MATCH(C66,'PA Fees by Project'!E:E,0),0)</f>
        <v>Pre-Certified</v>
      </c>
      <c r="H66" s="175" t="str" cm="1">
        <f t="array" ref="H66">INDEX('PA Fees by Project'!Q:Q,MATCH(C66,'PA Fees by Project'!E:E,0),0)</f>
        <v/>
      </c>
      <c r="I66" s="156" cm="1">
        <f t="array" ref="I66">_xlfn.IFS(G66="Operational",H66,G66="Certified",EDATE(INDEX('PA Fees by Project'!R:R,MATCH(C66,'PA Fees by Project'!E:E,0),0),6),TRUE,EDATE(INDEX('PA Fees by Project'!O:O,MATCH(C66,'PA Fees by Project'!E:E,0),0),6))</f>
        <v>46334</v>
      </c>
      <c r="J66" s="48" cm="1">
        <f t="array" ref="J66">_xlfn.IFS(YEAR(J$2)&lt;YEAR($I66),0,YEAR(J$2)=YEAR($I66),ROUND(((J$2-$I66+1)/365)*$D66,2),AND(YEAR(J$2)&gt;YEAR($I66),YEAR(J$2)-YEAR($I66)&lt;20),$D66,YEAR(J$2)-YEAR($I66)=20,ROUND((DATE(YEAR($I66),12,31)-$I66+1)/365*$D66,2),YEAR(J$2)-YEAR($I66)&gt;20,0)</f>
        <v>0</v>
      </c>
      <c r="K66" s="48" cm="1">
        <f t="array" ref="K66">_xlfn.IFS(YEAR(K$2)&lt;YEAR($I66),0,YEAR(K$2)=YEAR($I66),ROUND(((K$2-$I66+1)/365)*$D66,2),AND(YEAR(K$2)&gt;YEAR($I66),YEAR(K$2)-YEAR($I66)&lt;20),$D66,YEAR(K$2)-YEAR($I66)=20,ROUND((DATE(YEAR($I66),12,31)-$I66+1)/365*$D66,2),YEAR(K$2)-YEAR($I66)&gt;20,0)</f>
        <v>0</v>
      </c>
      <c r="L66" s="48" cm="1">
        <f t="array" ref="L66">_xlfn.IFS(YEAR(L$2)&lt;YEAR($I66),0,YEAR(L$2)=YEAR($I66),ROUND(((L$2-$I66+1)/365)*$D66,2),AND(YEAR(L$2)&gt;YEAR($I66),YEAR(L$2)-YEAR($I66)&lt;20),$D66,YEAR(L$2)-YEAR($I66)=20,ROUND((DATE(YEAR($I66),12,31)-$I66+1)/365*$D66,2),YEAR(L$2)-YEAR($I66)&gt;20,0)</f>
        <v>0</v>
      </c>
      <c r="M66" s="48" cm="1">
        <f t="array" ref="M66">_xlfn.IFS(YEAR(M$2)&lt;YEAR($I66),0,YEAR(M$2)=YEAR($I66),ROUND(((M$2-$I66+1)/365)*$D66,2),AND(YEAR(M$2)&gt;YEAR($I66),YEAR(M$2)-YEAR($I66)&lt;20),$D66,YEAR(M$2)-YEAR($I66)=20,ROUND((DATE(YEAR($I66),12,31)-$I66+1)/365*$D66,2),YEAR(M$2)-YEAR($I66)&gt;20,0)</f>
        <v>0</v>
      </c>
      <c r="N66" s="48" cm="1">
        <f t="array" ref="N66">_xlfn.IFS(YEAR(N$2)&lt;YEAR($I66),0,YEAR(N$2)=YEAR($I66),ROUND(((N$2-$I66+1)/365)*$D66,2),AND(YEAR(N$2)&gt;YEAR($I66),YEAR(N$2)-YEAR($I66)&lt;20),$D66,YEAR(N$2)-YEAR($I66)=20,ROUND((DATE(YEAR($I66),12,31)-$I66+1)/365*$D66,2),YEAR(N$2)-YEAR($I66)&gt;20,0)</f>
        <v>0</v>
      </c>
      <c r="O66" s="48" cm="1">
        <f t="array" ref="O66">_xlfn.IFS(YEAR(O$2)&lt;YEAR($I66),0,YEAR(O$2)=YEAR($I66),ROUND(((O$2-$I66+1)/365)*$D66,2),AND(YEAR(O$2)&gt;YEAR($I66),YEAR(O$2)-YEAR($I66)&lt;20),$D66,YEAR(O$2)-YEAR($I66)=20,ROUND((DATE(YEAR($I66),12,31)-$I66+1)/365*$D66,2),YEAR(O$2)-YEAR($I66)&gt;20,0)</f>
        <v>203.42</v>
      </c>
      <c r="P66" s="48" cm="1">
        <f t="array" ref="P66">_xlfn.IFS(YEAR(P$2)&lt;YEAR($I66),0,YEAR(P$2)=YEAR($I66),ROUND(((P$2-$I66+1)/365)*$D66,2),AND(YEAR(P$2)&gt;YEAR($I66),YEAR(P$2)-YEAR($I66)&lt;20),$D66,YEAR(P$2)-YEAR($I66)=20,ROUND((DATE(YEAR($I66),12,31)-$I66+1)/365*$D66,2),YEAR(P$2)-YEAR($I66)&gt;20,0)</f>
        <v>1375</v>
      </c>
      <c r="Q66" s="48" cm="1">
        <f t="array" ref="Q66">_xlfn.IFS(YEAR(Q$2)&lt;YEAR($I66),0,YEAR(Q$2)=YEAR($I66),ROUND(((Q$2-$I66+1)/365)*$D66,2),AND(YEAR(Q$2)&gt;YEAR($I66),YEAR(Q$2)-YEAR($I66)&lt;20),$D66,YEAR(Q$2)-YEAR($I66)=20,ROUND((DATE(YEAR($I66),12,31)-$I66+1)/365*$D66,2),YEAR(Q$2)-YEAR($I66)&gt;20,0)</f>
        <v>1375</v>
      </c>
      <c r="R66" s="48" cm="1">
        <f t="array" ref="R66">_xlfn.IFS(YEAR(R$2)&lt;YEAR($I66),0,YEAR(R$2)=YEAR($I66),ROUND(((R$2-$I66+1)/365)*$D66,2),AND(YEAR(R$2)&gt;YEAR($I66),YEAR(R$2)-YEAR($I66)&lt;20),$D66,YEAR(R$2)-YEAR($I66)=20,ROUND((DATE(YEAR($I66),12,31)-$I66+1)/365*$D66,2),YEAR(R$2)-YEAR($I66)&gt;20,0)</f>
        <v>1375</v>
      </c>
      <c r="S66" s="48" cm="1">
        <f t="array" ref="S66">_xlfn.IFS(YEAR(S$2)&lt;YEAR($I66),0,YEAR(S$2)=YEAR($I66),ROUND(((S$2-$I66+1)/365)*$D66,2),AND(YEAR(S$2)&gt;YEAR($I66),YEAR(S$2)-YEAR($I66)&lt;20),$D66,YEAR(S$2)-YEAR($I66)=20,ROUND((DATE(YEAR($I66),12,31)-$I66+1)/365*$D66,2),YEAR(S$2)-YEAR($I66)&gt;20,0)</f>
        <v>1375</v>
      </c>
      <c r="T66" s="48" cm="1">
        <f t="array" ref="T66">_xlfn.IFS(YEAR(T$2)&lt;YEAR($I66),0,YEAR(T$2)=YEAR($I66),ROUND(((T$2-$I66+1)/365)*$D66,2),AND(YEAR(T$2)&gt;YEAR($I66),YEAR(T$2)-YEAR($I66)&lt;20),$D66,YEAR(T$2)-YEAR($I66)=20,ROUND((DATE(YEAR($I66),12,31)-$I66+1)/365*$D66,2),YEAR(T$2)-YEAR($I66)&gt;20,0)</f>
        <v>1375</v>
      </c>
      <c r="U66" s="48" cm="1">
        <f t="array" ref="U66">_xlfn.IFS(YEAR(U$2)&lt;YEAR($I66),0,YEAR(U$2)=YEAR($I66),ROUND(((U$2-$I66+1)/365)*$D66,2),AND(YEAR(U$2)&gt;YEAR($I66),YEAR(U$2)-YEAR($I66)&lt;20),$D66,YEAR(U$2)-YEAR($I66)=20,ROUND((DATE(YEAR($I66),12,31)-$I66+1)/365*$D66,2),YEAR(U$2)-YEAR($I66)&gt;20,0)</f>
        <v>1375</v>
      </c>
      <c r="V66" s="48" cm="1">
        <f t="array" ref="V66">_xlfn.IFS(YEAR(V$2)&lt;YEAR($I66),0,YEAR(V$2)=YEAR($I66),ROUND(((V$2-$I66+1)/365)*$D66,2),AND(YEAR(V$2)&gt;YEAR($I66),YEAR(V$2)-YEAR($I66)&lt;20),$D66,YEAR(V$2)-YEAR($I66)=20,ROUND((DATE(YEAR($I66),12,31)-$I66+1)/365*$D66,2),YEAR(V$2)-YEAR($I66)&gt;20,0)</f>
        <v>1375</v>
      </c>
      <c r="W66" s="48" cm="1">
        <f t="array" ref="W66">_xlfn.IFS(YEAR(W$2)&lt;YEAR($I66),0,YEAR(W$2)=YEAR($I66),ROUND(((W$2-$I66+1)/365)*$D66,2),AND(YEAR(W$2)&gt;YEAR($I66),YEAR(W$2)-YEAR($I66)&lt;20),$D66,YEAR(W$2)-YEAR($I66)=20,ROUND((DATE(YEAR($I66),12,31)-$I66+1)/365*$D66,2),YEAR(W$2)-YEAR($I66)&gt;20,0)</f>
        <v>1375</v>
      </c>
      <c r="X66" s="48" cm="1">
        <f t="array" ref="X66">_xlfn.IFS(YEAR(X$2)&lt;YEAR($I66),0,YEAR(X$2)=YEAR($I66),ROUND(((X$2-$I66+1)/365)*$D66,2),AND(YEAR(X$2)&gt;YEAR($I66),YEAR(X$2)-YEAR($I66)&lt;20),$D66,YEAR(X$2)-YEAR($I66)=20,ROUND((DATE(YEAR($I66),12,31)-$I66+1)/365*$D66,2),YEAR(X$2)-YEAR($I66)&gt;20,0)</f>
        <v>1375</v>
      </c>
      <c r="Y66" s="48" cm="1">
        <f t="array" ref="Y66">_xlfn.IFS(YEAR(Y$2)&lt;YEAR($I66),0,YEAR(Y$2)=YEAR($I66),ROUND(((Y$2-$I66+1)/365)*$D66,2),AND(YEAR(Y$2)&gt;YEAR($I66),YEAR(Y$2)-YEAR($I66)&lt;20),$D66,YEAR(Y$2)-YEAR($I66)=20,ROUND((DATE(YEAR($I66),12,31)-$I66+1)/365*$D66,2),YEAR(Y$2)-YEAR($I66)&gt;20,0)</f>
        <v>1375</v>
      </c>
      <c r="Z66" s="48" cm="1">
        <f t="array" ref="Z66">_xlfn.IFS(YEAR(Z$2)&lt;YEAR($I66),0,YEAR(Z$2)=YEAR($I66),ROUND(((Z$2-$I66+1)/365)*$D66,2),AND(YEAR(Z$2)&gt;YEAR($I66),YEAR(Z$2)-YEAR($I66)&lt;20),$D66,YEAR(Z$2)-YEAR($I66)=20,ROUND((DATE(YEAR($I66),12,31)-$I66+1)/365*$D66,2),YEAR(Z$2)-YEAR($I66)&gt;20,0)</f>
        <v>1375</v>
      </c>
      <c r="AA66" s="48" cm="1">
        <f t="array" ref="AA66">_xlfn.IFS(YEAR(AA$2)&lt;YEAR($I66),0,YEAR(AA$2)=YEAR($I66),ROUND(((AA$2-$I66+1)/365)*$D66,2),AND(YEAR(AA$2)&gt;YEAR($I66),YEAR(AA$2)-YEAR($I66)&lt;20),$D66,YEAR(AA$2)-YEAR($I66)=20,ROUND((DATE(YEAR($I66),12,31)-$I66+1)/365*$D66,2),YEAR(AA$2)-YEAR($I66)&gt;20,0)</f>
        <v>1375</v>
      </c>
      <c r="AB66" s="48" cm="1">
        <f t="array" ref="AB66">_xlfn.IFS(YEAR(AB$2)&lt;YEAR($I66),0,YEAR(AB$2)=YEAR($I66),ROUND(((AB$2-$I66+1)/365)*$D66,2),AND(YEAR(AB$2)&gt;YEAR($I66),YEAR(AB$2)-YEAR($I66)&lt;20),$D66,YEAR(AB$2)-YEAR($I66)=20,ROUND((DATE(YEAR($I66),12,31)-$I66+1)/365*$D66,2),YEAR(AB$2)-YEAR($I66)&gt;20,0)</f>
        <v>1375</v>
      </c>
      <c r="AC66" s="48" cm="1">
        <f t="array" ref="AC66">_xlfn.IFS(YEAR(AC$2)&lt;YEAR($I66),0,YEAR(AC$2)=YEAR($I66),ROUND(((AC$2-$I66+1)/365)*$D66,2),AND(YEAR(AC$2)&gt;YEAR($I66),YEAR(AC$2)-YEAR($I66)&lt;20),$D66,YEAR(AC$2)-YEAR($I66)=20,ROUND((DATE(YEAR($I66),12,31)-$I66+1)/365*$D66,2),YEAR(AC$2)-YEAR($I66)&gt;20,0)</f>
        <v>1375</v>
      </c>
      <c r="AD66" s="48" cm="1">
        <f t="array" ref="AD66">_xlfn.IFS(YEAR(AD$2)&lt;YEAR($I66),0,YEAR(AD$2)=YEAR($I66),ROUND(((AD$2-$I66+1)/365)*$D66,2),AND(YEAR(AD$2)&gt;YEAR($I66),YEAR(AD$2)-YEAR($I66)&lt;20),$D66,YEAR(AD$2)-YEAR($I66)=20,ROUND((DATE(YEAR($I66),12,31)-$I66+1)/365*$D66,2),YEAR(AD$2)-YEAR($I66)&gt;20,0)</f>
        <v>1375</v>
      </c>
      <c r="AE66" s="48" cm="1">
        <f t="array" ref="AE66">_xlfn.IFS(YEAR(AE$2)&lt;YEAR($I66),0,YEAR(AE$2)=YEAR($I66),ROUND(((AE$2-$I66+1)/365)*$D66,2),AND(YEAR(AE$2)&gt;YEAR($I66),YEAR(AE$2)-YEAR($I66)&lt;20),$D66,YEAR(AE$2)-YEAR($I66)=20,ROUND((DATE(YEAR($I66),12,31)-$I66+1)/365*$D66,2),YEAR(AE$2)-YEAR($I66)&gt;20,0)</f>
        <v>1375</v>
      </c>
      <c r="AF66" s="48" cm="1">
        <f t="array" ref="AF66">_xlfn.IFS(YEAR(AF$2)&lt;YEAR($I66),0,YEAR(AF$2)=YEAR($I66),ROUND(((AF$2-$I66+1)/365)*$D66,2),AND(YEAR(AF$2)&gt;YEAR($I66),YEAR(AF$2)-YEAR($I66)&lt;20),$D66,YEAR(AF$2)-YEAR($I66)=20,ROUND((DATE(YEAR($I66),12,31)-$I66+1)/365*$D66,2),YEAR(AF$2)-YEAR($I66)&gt;20,0)</f>
        <v>1375</v>
      </c>
      <c r="AG66" s="48" cm="1">
        <f t="array" ref="AG66">_xlfn.IFS(YEAR(AG$2)&lt;YEAR($I66),0,YEAR(AG$2)=YEAR($I66),ROUND(((AG$2-$I66+1)/365)*$D66,2),AND(YEAR(AG$2)&gt;YEAR($I66),YEAR(AG$2)-YEAR($I66)&lt;20),$D66,YEAR(AG$2)-YEAR($I66)=20,ROUND((DATE(YEAR($I66),12,31)-$I66+1)/365*$D66,2),YEAR(AG$2)-YEAR($I66)&gt;20,0)</f>
        <v>1375</v>
      </c>
      <c r="AH66" s="48" cm="1">
        <f t="array" ref="AH66">_xlfn.IFS(YEAR(AH$2)&lt;YEAR($I66),0,YEAR(AH$2)=YEAR($I66),ROUND(((AH$2-$I66+1)/365)*$D66,2),AND(YEAR(AH$2)&gt;YEAR($I66),YEAR(AH$2)-YEAR($I66)&lt;20),$D66,YEAR(AH$2)-YEAR($I66)=20,ROUND((DATE(YEAR($I66),12,31)-$I66+1)/365*$D66,2),YEAR(AH$2)-YEAR($I66)&gt;20,0)</f>
        <v>1375</v>
      </c>
      <c r="AI66" s="48" cm="1">
        <f t="array" ref="AI66">_xlfn.IFS(YEAR(AI$2)&lt;YEAR($I66),0,YEAR(AI$2)=YEAR($I66),ROUND(((AI$2-$I66+1)/365)*$D66,2),AND(YEAR(AI$2)&gt;YEAR($I66),YEAR(AI$2)-YEAR($I66)&lt;20),$D66,YEAR(AI$2)-YEAR($I66)=20,ROUND((DATE(YEAR($I66),12,31)-$I66+1)/365*$D66,2),YEAR(AI$2)-YEAR($I66)&gt;20,0)</f>
        <v>203.42</v>
      </c>
      <c r="AJ66" s="48" cm="1">
        <f t="array" ref="AJ66">_xlfn.IFS(YEAR(AJ$2)&lt;YEAR($I66),0,YEAR(AJ$2)=YEAR($I66),ROUND(((AJ$2-$I66+1)/365)*$D66,2),AND(YEAR(AJ$2)&gt;YEAR($I66),YEAR(AJ$2)-YEAR($I66)&lt;20),$D66,YEAR(AJ$2)-YEAR($I66)=20,ROUND((DATE(YEAR($I66),12,31)-$I66+1)/365*$D66,2),YEAR(AJ$2)-YEAR($I66)&gt;20,0)</f>
        <v>0</v>
      </c>
      <c r="AK66" s="48" cm="1">
        <f t="array" ref="AK66">_xlfn.IFS(YEAR(AK$2)&lt;YEAR($I66),0,YEAR(AK$2)=YEAR($I66),ROUND(((AK$2-$I66+1)/365)*$D66,2),AND(YEAR(AK$2)&gt;YEAR($I66),YEAR(AK$2)-YEAR($I66)&lt;20),$D66,YEAR(AK$2)-YEAR($I66)=20,ROUND((DATE(YEAR($I66),12,31)-$I66+1)/365*$D66,2),YEAR(AK$2)-YEAR($I66)&gt;20,0)</f>
        <v>0</v>
      </c>
      <c r="AL66" s="48" cm="1">
        <f t="array" ref="AL66">_xlfn.IFS(YEAR(AL$2)&lt;YEAR($I66),0,YEAR(AL$2)=YEAR($I66),ROUND(((AL$2-$I66+1)/365)*$D66,2),AND(YEAR(AL$2)&gt;YEAR($I66),YEAR(AL$2)-YEAR($I66)&lt;20),$D66,YEAR(AL$2)-YEAR($I66)=20,ROUND((DATE(YEAR($I66),12,31)-$I66+1)/365*$D66,2),YEAR(AL$2)-YEAR($I66)&gt;20,0)</f>
        <v>0</v>
      </c>
      <c r="AM66" s="48" cm="1">
        <f t="array" ref="AM66">_xlfn.IFS(YEAR(AM$2)&lt;YEAR($I66),0,YEAR(AM$2)=YEAR($I66),ROUND(((AM$2-$I66+1)/365)*$D66,2),AND(YEAR(AM$2)&gt;YEAR($I66),YEAR(AM$2)-YEAR($I66)&lt;20),$D66,YEAR(AM$2)-YEAR($I66)=20,ROUND((DATE(YEAR($I66),12,31)-$I66+1)/365*$D66,2),YEAR(AM$2)-YEAR($I66)&gt;20,0)</f>
        <v>0</v>
      </c>
    </row>
    <row r="67" spans="1:39">
      <c r="A67" s="155" t="str" cm="1">
        <f t="array" ref="A67">_xlfn.IFS(LEFT(C67,3)="PGE","PGE",LEFT(C67,2)="PP","PAC",TRUE,"IP")</f>
        <v>PAC</v>
      </c>
      <c r="B67" s="155" t="str">
        <f>IF(ISNA(MATCH(C67,'Monthly Report July 2025'!E:E,0)),"Missing","Present")</f>
        <v>Present</v>
      </c>
      <c r="C67" s="155" t="s">
        <v>176</v>
      </c>
      <c r="D67" s="176" cm="1">
        <f t="array" ref="D67">INDEX('Monthly Report July 2025'!L:L,MATCH(C67,'Monthly Report July 2025'!E:E,0),0)</f>
        <v>332</v>
      </c>
      <c r="E67" s="176" t="str" cm="1">
        <f t="array" ref="E67">IF(INDEX('PA Fees by Project'!K:K,MATCH(C67,'PA Fees by Project'!E:E,0),0)="No","Non-Carve Out", "Carve Out")</f>
        <v>Carve Out</v>
      </c>
      <c r="F67" s="176" cm="1">
        <f t="array" ref="F67">INDEX('PA Fees by Project'!J:J,MATCH(C67,'PA Fees by Project'!E:E,0),0)</f>
        <v>2</v>
      </c>
      <c r="G67" s="155" t="str" cm="1">
        <f t="array" ref="G67">INDEX('PA Fees by Project'!G:G,MATCH(C67,'PA Fees by Project'!E:E,0),0)</f>
        <v>Pre-Certified</v>
      </c>
      <c r="H67" s="175" t="str" cm="1">
        <f t="array" ref="H67">INDEX('PA Fees by Project'!Q:Q,MATCH(C67,'PA Fees by Project'!E:E,0),0)</f>
        <v/>
      </c>
      <c r="I67" s="156" cm="1">
        <f t="array" ref="I67">_xlfn.IFS(G67="Operational",H67,G67="Certified",EDATE(INDEX('PA Fees by Project'!R:R,MATCH(C67,'PA Fees by Project'!E:E,0),0),6),TRUE,EDATE(INDEX('PA Fees by Project'!O:O,MATCH(C67,'PA Fees by Project'!E:E,0),0),6))</f>
        <v>46463</v>
      </c>
      <c r="J67" s="48" cm="1">
        <f t="array" ref="J67">_xlfn.IFS(YEAR(J$2)&lt;YEAR($I67),0,YEAR(J$2)=YEAR($I67),ROUND(((J$2-$I67+1)/365)*$D67,2),AND(YEAR(J$2)&gt;YEAR($I67),YEAR(J$2)-YEAR($I67)&lt;20),$D67,YEAR(J$2)-YEAR($I67)=20,ROUND((DATE(YEAR($I67),12,31)-$I67+1)/365*$D67,2),YEAR(J$2)-YEAR($I67)&gt;20,0)</f>
        <v>0</v>
      </c>
      <c r="K67" s="48" cm="1">
        <f t="array" ref="K67">_xlfn.IFS(YEAR(K$2)&lt;YEAR($I67),0,YEAR(K$2)=YEAR($I67),ROUND(((K$2-$I67+1)/365)*$D67,2),AND(YEAR(K$2)&gt;YEAR($I67),YEAR(K$2)-YEAR($I67)&lt;20),$D67,YEAR(K$2)-YEAR($I67)=20,ROUND((DATE(YEAR($I67),12,31)-$I67+1)/365*$D67,2),YEAR(K$2)-YEAR($I67)&gt;20,0)</f>
        <v>0</v>
      </c>
      <c r="L67" s="48" cm="1">
        <f t="array" ref="L67">_xlfn.IFS(YEAR(L$2)&lt;YEAR($I67),0,YEAR(L$2)=YEAR($I67),ROUND(((L$2-$I67+1)/365)*$D67,2),AND(YEAR(L$2)&gt;YEAR($I67),YEAR(L$2)-YEAR($I67)&lt;20),$D67,YEAR(L$2)-YEAR($I67)=20,ROUND((DATE(YEAR($I67),12,31)-$I67+1)/365*$D67,2),YEAR(L$2)-YEAR($I67)&gt;20,0)</f>
        <v>0</v>
      </c>
      <c r="M67" s="48" cm="1">
        <f t="array" ref="M67">_xlfn.IFS(YEAR(M$2)&lt;YEAR($I67),0,YEAR(M$2)=YEAR($I67),ROUND(((M$2-$I67+1)/365)*$D67,2),AND(YEAR(M$2)&gt;YEAR($I67),YEAR(M$2)-YEAR($I67)&lt;20),$D67,YEAR(M$2)-YEAR($I67)=20,ROUND((DATE(YEAR($I67),12,31)-$I67+1)/365*$D67,2),YEAR(M$2)-YEAR($I67)&gt;20,0)</f>
        <v>0</v>
      </c>
      <c r="N67" s="48" cm="1">
        <f t="array" ref="N67">_xlfn.IFS(YEAR(N$2)&lt;YEAR($I67),0,YEAR(N$2)=YEAR($I67),ROUND(((N$2-$I67+1)/365)*$D67,2),AND(YEAR(N$2)&gt;YEAR($I67),YEAR(N$2)-YEAR($I67)&lt;20),$D67,YEAR(N$2)-YEAR($I67)=20,ROUND((DATE(YEAR($I67),12,31)-$I67+1)/365*$D67,2),YEAR(N$2)-YEAR($I67)&gt;20,0)</f>
        <v>0</v>
      </c>
      <c r="O67" s="48" cm="1">
        <f t="array" ref="O67">_xlfn.IFS(YEAR(O$2)&lt;YEAR($I67),0,YEAR(O$2)=YEAR($I67),ROUND(((O$2-$I67+1)/365)*$D67,2),AND(YEAR(O$2)&gt;YEAR($I67),YEAR(O$2)-YEAR($I67)&lt;20),$D67,YEAR(O$2)-YEAR($I67)=20,ROUND((DATE(YEAR($I67),12,31)-$I67+1)/365*$D67,2),YEAR(O$2)-YEAR($I67)&gt;20,0)</f>
        <v>0</v>
      </c>
      <c r="P67" s="48" cm="1">
        <f t="array" ref="P67">_xlfn.IFS(YEAR(P$2)&lt;YEAR($I67),0,YEAR(P$2)=YEAR($I67),ROUND(((P$2-$I67+1)/365)*$D67,2),AND(YEAR(P$2)&gt;YEAR($I67),YEAR(P$2)-YEAR($I67)&lt;20),$D67,YEAR(P$2)-YEAR($I67)=20,ROUND((DATE(YEAR($I67),12,31)-$I67+1)/365*$D67,2),YEAR(P$2)-YEAR($I67)&gt;20,0)</f>
        <v>263.77999999999997</v>
      </c>
      <c r="Q67" s="48" cm="1">
        <f t="array" ref="Q67">_xlfn.IFS(YEAR(Q$2)&lt;YEAR($I67),0,YEAR(Q$2)=YEAR($I67),ROUND(((Q$2-$I67+1)/365)*$D67,2),AND(YEAR(Q$2)&gt;YEAR($I67),YEAR(Q$2)-YEAR($I67)&lt;20),$D67,YEAR(Q$2)-YEAR($I67)=20,ROUND((DATE(YEAR($I67),12,31)-$I67+1)/365*$D67,2),YEAR(Q$2)-YEAR($I67)&gt;20,0)</f>
        <v>332</v>
      </c>
      <c r="R67" s="48" cm="1">
        <f t="array" ref="R67">_xlfn.IFS(YEAR(R$2)&lt;YEAR($I67),0,YEAR(R$2)=YEAR($I67),ROUND(((R$2-$I67+1)/365)*$D67,2),AND(YEAR(R$2)&gt;YEAR($I67),YEAR(R$2)-YEAR($I67)&lt;20),$D67,YEAR(R$2)-YEAR($I67)=20,ROUND((DATE(YEAR($I67),12,31)-$I67+1)/365*$D67,2),YEAR(R$2)-YEAR($I67)&gt;20,0)</f>
        <v>332</v>
      </c>
      <c r="S67" s="48" cm="1">
        <f t="array" ref="S67">_xlfn.IFS(YEAR(S$2)&lt;YEAR($I67),0,YEAR(S$2)=YEAR($I67),ROUND(((S$2-$I67+1)/365)*$D67,2),AND(YEAR(S$2)&gt;YEAR($I67),YEAR(S$2)-YEAR($I67)&lt;20),$D67,YEAR(S$2)-YEAR($I67)=20,ROUND((DATE(YEAR($I67),12,31)-$I67+1)/365*$D67,2),YEAR(S$2)-YEAR($I67)&gt;20,0)</f>
        <v>332</v>
      </c>
      <c r="T67" s="48" cm="1">
        <f t="array" ref="T67">_xlfn.IFS(YEAR(T$2)&lt;YEAR($I67),0,YEAR(T$2)=YEAR($I67),ROUND(((T$2-$I67+1)/365)*$D67,2),AND(YEAR(T$2)&gt;YEAR($I67),YEAR(T$2)-YEAR($I67)&lt;20),$D67,YEAR(T$2)-YEAR($I67)=20,ROUND((DATE(YEAR($I67),12,31)-$I67+1)/365*$D67,2),YEAR(T$2)-YEAR($I67)&gt;20,0)</f>
        <v>332</v>
      </c>
      <c r="U67" s="48" cm="1">
        <f t="array" ref="U67">_xlfn.IFS(YEAR(U$2)&lt;YEAR($I67),0,YEAR(U$2)=YEAR($I67),ROUND(((U$2-$I67+1)/365)*$D67,2),AND(YEAR(U$2)&gt;YEAR($I67),YEAR(U$2)-YEAR($I67)&lt;20),$D67,YEAR(U$2)-YEAR($I67)=20,ROUND((DATE(YEAR($I67),12,31)-$I67+1)/365*$D67,2),YEAR(U$2)-YEAR($I67)&gt;20,0)</f>
        <v>332</v>
      </c>
      <c r="V67" s="48" cm="1">
        <f t="array" ref="V67">_xlfn.IFS(YEAR(V$2)&lt;YEAR($I67),0,YEAR(V$2)=YEAR($I67),ROUND(((V$2-$I67+1)/365)*$D67,2),AND(YEAR(V$2)&gt;YEAR($I67),YEAR(V$2)-YEAR($I67)&lt;20),$D67,YEAR(V$2)-YEAR($I67)=20,ROUND((DATE(YEAR($I67),12,31)-$I67+1)/365*$D67,2),YEAR(V$2)-YEAR($I67)&gt;20,0)</f>
        <v>332</v>
      </c>
      <c r="W67" s="48" cm="1">
        <f t="array" ref="W67">_xlfn.IFS(YEAR(W$2)&lt;YEAR($I67),0,YEAR(W$2)=YEAR($I67),ROUND(((W$2-$I67+1)/365)*$D67,2),AND(YEAR(W$2)&gt;YEAR($I67),YEAR(W$2)-YEAR($I67)&lt;20),$D67,YEAR(W$2)-YEAR($I67)=20,ROUND((DATE(YEAR($I67),12,31)-$I67+1)/365*$D67,2),YEAR(W$2)-YEAR($I67)&gt;20,0)</f>
        <v>332</v>
      </c>
      <c r="X67" s="48" cm="1">
        <f t="array" ref="X67">_xlfn.IFS(YEAR(X$2)&lt;YEAR($I67),0,YEAR(X$2)=YEAR($I67),ROUND(((X$2-$I67+1)/365)*$D67,2),AND(YEAR(X$2)&gt;YEAR($I67),YEAR(X$2)-YEAR($I67)&lt;20),$D67,YEAR(X$2)-YEAR($I67)=20,ROUND((DATE(YEAR($I67),12,31)-$I67+1)/365*$D67,2),YEAR(X$2)-YEAR($I67)&gt;20,0)</f>
        <v>332</v>
      </c>
      <c r="Y67" s="48" cm="1">
        <f t="array" ref="Y67">_xlfn.IFS(YEAR(Y$2)&lt;YEAR($I67),0,YEAR(Y$2)=YEAR($I67),ROUND(((Y$2-$I67+1)/365)*$D67,2),AND(YEAR(Y$2)&gt;YEAR($I67),YEAR(Y$2)-YEAR($I67)&lt;20),$D67,YEAR(Y$2)-YEAR($I67)=20,ROUND((DATE(YEAR($I67),12,31)-$I67+1)/365*$D67,2),YEAR(Y$2)-YEAR($I67)&gt;20,0)</f>
        <v>332</v>
      </c>
      <c r="Z67" s="48" cm="1">
        <f t="array" ref="Z67">_xlfn.IFS(YEAR(Z$2)&lt;YEAR($I67),0,YEAR(Z$2)=YEAR($I67),ROUND(((Z$2-$I67+1)/365)*$D67,2),AND(YEAR(Z$2)&gt;YEAR($I67),YEAR(Z$2)-YEAR($I67)&lt;20),$D67,YEAR(Z$2)-YEAR($I67)=20,ROUND((DATE(YEAR($I67),12,31)-$I67+1)/365*$D67,2),YEAR(Z$2)-YEAR($I67)&gt;20,0)</f>
        <v>332</v>
      </c>
      <c r="AA67" s="48" cm="1">
        <f t="array" ref="AA67">_xlfn.IFS(YEAR(AA$2)&lt;YEAR($I67),0,YEAR(AA$2)=YEAR($I67),ROUND(((AA$2-$I67+1)/365)*$D67,2),AND(YEAR(AA$2)&gt;YEAR($I67),YEAR(AA$2)-YEAR($I67)&lt;20),$D67,YEAR(AA$2)-YEAR($I67)=20,ROUND((DATE(YEAR($I67),12,31)-$I67+1)/365*$D67,2),YEAR(AA$2)-YEAR($I67)&gt;20,0)</f>
        <v>332</v>
      </c>
      <c r="AB67" s="48" cm="1">
        <f t="array" ref="AB67">_xlfn.IFS(YEAR(AB$2)&lt;YEAR($I67),0,YEAR(AB$2)=YEAR($I67),ROUND(((AB$2-$I67+1)/365)*$D67,2),AND(YEAR(AB$2)&gt;YEAR($I67),YEAR(AB$2)-YEAR($I67)&lt;20),$D67,YEAR(AB$2)-YEAR($I67)=20,ROUND((DATE(YEAR($I67),12,31)-$I67+1)/365*$D67,2),YEAR(AB$2)-YEAR($I67)&gt;20,0)</f>
        <v>332</v>
      </c>
      <c r="AC67" s="48" cm="1">
        <f t="array" ref="AC67">_xlfn.IFS(YEAR(AC$2)&lt;YEAR($I67),0,YEAR(AC$2)=YEAR($I67),ROUND(((AC$2-$I67+1)/365)*$D67,2),AND(YEAR(AC$2)&gt;YEAR($I67),YEAR(AC$2)-YEAR($I67)&lt;20),$D67,YEAR(AC$2)-YEAR($I67)=20,ROUND((DATE(YEAR($I67),12,31)-$I67+1)/365*$D67,2),YEAR(AC$2)-YEAR($I67)&gt;20,0)</f>
        <v>332</v>
      </c>
      <c r="AD67" s="48" cm="1">
        <f t="array" ref="AD67">_xlfn.IFS(YEAR(AD$2)&lt;YEAR($I67),0,YEAR(AD$2)=YEAR($I67),ROUND(((AD$2-$I67+1)/365)*$D67,2),AND(YEAR(AD$2)&gt;YEAR($I67),YEAR(AD$2)-YEAR($I67)&lt;20),$D67,YEAR(AD$2)-YEAR($I67)=20,ROUND((DATE(YEAR($I67),12,31)-$I67+1)/365*$D67,2),YEAR(AD$2)-YEAR($I67)&gt;20,0)</f>
        <v>332</v>
      </c>
      <c r="AE67" s="48" cm="1">
        <f t="array" ref="AE67">_xlfn.IFS(YEAR(AE$2)&lt;YEAR($I67),0,YEAR(AE$2)=YEAR($I67),ROUND(((AE$2-$I67+1)/365)*$D67,2),AND(YEAR(AE$2)&gt;YEAR($I67),YEAR(AE$2)-YEAR($I67)&lt;20),$D67,YEAR(AE$2)-YEAR($I67)=20,ROUND((DATE(YEAR($I67),12,31)-$I67+1)/365*$D67,2),YEAR(AE$2)-YEAR($I67)&gt;20,0)</f>
        <v>332</v>
      </c>
      <c r="AF67" s="48" cm="1">
        <f t="array" ref="AF67">_xlfn.IFS(YEAR(AF$2)&lt;YEAR($I67),0,YEAR(AF$2)=YEAR($I67),ROUND(((AF$2-$I67+1)/365)*$D67,2),AND(YEAR(AF$2)&gt;YEAR($I67),YEAR(AF$2)-YEAR($I67)&lt;20),$D67,YEAR(AF$2)-YEAR($I67)=20,ROUND((DATE(YEAR($I67),12,31)-$I67+1)/365*$D67,2),YEAR(AF$2)-YEAR($I67)&gt;20,0)</f>
        <v>332</v>
      </c>
      <c r="AG67" s="48" cm="1">
        <f t="array" ref="AG67">_xlfn.IFS(YEAR(AG$2)&lt;YEAR($I67),0,YEAR(AG$2)=YEAR($I67),ROUND(((AG$2-$I67+1)/365)*$D67,2),AND(YEAR(AG$2)&gt;YEAR($I67),YEAR(AG$2)-YEAR($I67)&lt;20),$D67,YEAR(AG$2)-YEAR($I67)=20,ROUND((DATE(YEAR($I67),12,31)-$I67+1)/365*$D67,2),YEAR(AG$2)-YEAR($I67)&gt;20,0)</f>
        <v>332</v>
      </c>
      <c r="AH67" s="48" cm="1">
        <f t="array" ref="AH67">_xlfn.IFS(YEAR(AH$2)&lt;YEAR($I67),0,YEAR(AH$2)=YEAR($I67),ROUND(((AH$2-$I67+1)/365)*$D67,2),AND(YEAR(AH$2)&gt;YEAR($I67),YEAR(AH$2)-YEAR($I67)&lt;20),$D67,YEAR(AH$2)-YEAR($I67)=20,ROUND((DATE(YEAR($I67),12,31)-$I67+1)/365*$D67,2),YEAR(AH$2)-YEAR($I67)&gt;20,0)</f>
        <v>332</v>
      </c>
      <c r="AI67" s="48" cm="1">
        <f t="array" ref="AI67">_xlfn.IFS(YEAR(AI$2)&lt;YEAR($I67),0,YEAR(AI$2)=YEAR($I67),ROUND(((AI$2-$I67+1)/365)*$D67,2),AND(YEAR(AI$2)&gt;YEAR($I67),YEAR(AI$2)-YEAR($I67)&lt;20),$D67,YEAR(AI$2)-YEAR($I67)=20,ROUND((DATE(YEAR($I67),12,31)-$I67+1)/365*$D67,2),YEAR(AI$2)-YEAR($I67)&gt;20,0)</f>
        <v>332</v>
      </c>
      <c r="AJ67" s="48" cm="1">
        <f t="array" ref="AJ67">_xlfn.IFS(YEAR(AJ$2)&lt;YEAR($I67),0,YEAR(AJ$2)=YEAR($I67),ROUND(((AJ$2-$I67+1)/365)*$D67,2),AND(YEAR(AJ$2)&gt;YEAR($I67),YEAR(AJ$2)-YEAR($I67)&lt;20),$D67,YEAR(AJ$2)-YEAR($I67)=20,ROUND((DATE(YEAR($I67),12,31)-$I67+1)/365*$D67,2),YEAR(AJ$2)-YEAR($I67)&gt;20,0)</f>
        <v>263.77999999999997</v>
      </c>
      <c r="AK67" s="48" cm="1">
        <f t="array" ref="AK67">_xlfn.IFS(YEAR(AK$2)&lt;YEAR($I67),0,YEAR(AK$2)=YEAR($I67),ROUND(((AK$2-$I67+1)/365)*$D67,2),AND(YEAR(AK$2)&gt;YEAR($I67),YEAR(AK$2)-YEAR($I67)&lt;20),$D67,YEAR(AK$2)-YEAR($I67)=20,ROUND((DATE(YEAR($I67),12,31)-$I67+1)/365*$D67,2),YEAR(AK$2)-YEAR($I67)&gt;20,0)</f>
        <v>0</v>
      </c>
      <c r="AL67" s="48" cm="1">
        <f t="array" ref="AL67">_xlfn.IFS(YEAR(AL$2)&lt;YEAR($I67),0,YEAR(AL$2)=YEAR($I67),ROUND(((AL$2-$I67+1)/365)*$D67,2),AND(YEAR(AL$2)&gt;YEAR($I67),YEAR(AL$2)-YEAR($I67)&lt;20),$D67,YEAR(AL$2)-YEAR($I67)=20,ROUND((DATE(YEAR($I67),12,31)-$I67+1)/365*$D67,2),YEAR(AL$2)-YEAR($I67)&gt;20,0)</f>
        <v>0</v>
      </c>
      <c r="AM67" s="48" cm="1">
        <f t="array" ref="AM67">_xlfn.IFS(YEAR(AM$2)&lt;YEAR($I67),0,YEAR(AM$2)=YEAR($I67),ROUND(((AM$2-$I67+1)/365)*$D67,2),AND(YEAR(AM$2)&gt;YEAR($I67),YEAR(AM$2)-YEAR($I67)&lt;20),$D67,YEAR(AM$2)-YEAR($I67)=20,ROUND((DATE(YEAR($I67),12,31)-$I67+1)/365*$D67,2),YEAR(AM$2)-YEAR($I67)&gt;20,0)</f>
        <v>0</v>
      </c>
    </row>
    <row r="68" spans="1:39">
      <c r="A68" s="155" t="str" cm="1">
        <f t="array" ref="A68">_xlfn.IFS(LEFT(C68,3)="PGE","PGE",LEFT(C68,2)="PP","PAC",TRUE,"IP")</f>
        <v>PAC</v>
      </c>
      <c r="B68" s="155" t="str">
        <f>IF(ISNA(MATCH(C68,'Monthly Report July 2025'!E:E,0)),"Missing","Present")</f>
        <v>Present</v>
      </c>
      <c r="C68" s="155" t="s">
        <v>177</v>
      </c>
      <c r="D68" s="176" cm="1">
        <f t="array" ref="D68">INDEX('Monthly Report July 2025'!L:L,MATCH(C68,'Monthly Report July 2025'!E:E,0),0)</f>
        <v>1000</v>
      </c>
      <c r="E68" s="176" t="str" cm="1">
        <f t="array" ref="E68">IF(INDEX('PA Fees by Project'!K:K,MATCH(C68,'PA Fees by Project'!E:E,0),0)="No","Non-Carve Out", "Carve Out")</f>
        <v>Non-Carve Out</v>
      </c>
      <c r="F68" s="176" cm="1">
        <f t="array" ref="F68">INDEX('PA Fees by Project'!J:J,MATCH(C68,'PA Fees by Project'!E:E,0),0)</f>
        <v>2</v>
      </c>
      <c r="G68" s="155" t="str" cm="1">
        <f t="array" ref="G68">INDEX('PA Fees by Project'!G:G,MATCH(C68,'PA Fees by Project'!E:E,0),0)</f>
        <v>Pre-Certified</v>
      </c>
      <c r="H68" s="175" t="str" cm="1">
        <f t="array" ref="H68">INDEX('PA Fees by Project'!Q:Q,MATCH(C68,'PA Fees by Project'!E:E,0),0)</f>
        <v/>
      </c>
      <c r="I68" s="156" cm="1">
        <f t="array" ref="I68">_xlfn.IFS(G68="Operational",H68,G68="Certified",EDATE(INDEX('PA Fees by Project'!R:R,MATCH(C68,'PA Fees by Project'!E:E,0),0),6),TRUE,EDATE(INDEX('PA Fees by Project'!O:O,MATCH(C68,'PA Fees by Project'!E:E,0),0),6))</f>
        <v>46349</v>
      </c>
      <c r="J68" s="48" cm="1">
        <f t="array" ref="J68">_xlfn.IFS(YEAR(J$2)&lt;YEAR($I68),0,YEAR(J$2)=YEAR($I68),ROUND(((J$2-$I68+1)/365)*$D68,2),AND(YEAR(J$2)&gt;YEAR($I68),YEAR(J$2)-YEAR($I68)&lt;20),$D68,YEAR(J$2)-YEAR($I68)=20,ROUND((DATE(YEAR($I68),12,31)-$I68+1)/365*$D68,2),YEAR(J$2)-YEAR($I68)&gt;20,0)</f>
        <v>0</v>
      </c>
      <c r="K68" s="48" cm="1">
        <f t="array" ref="K68">_xlfn.IFS(YEAR(K$2)&lt;YEAR($I68),0,YEAR(K$2)=YEAR($I68),ROUND(((K$2-$I68+1)/365)*$D68,2),AND(YEAR(K$2)&gt;YEAR($I68),YEAR(K$2)-YEAR($I68)&lt;20),$D68,YEAR(K$2)-YEAR($I68)=20,ROUND((DATE(YEAR($I68),12,31)-$I68+1)/365*$D68,2),YEAR(K$2)-YEAR($I68)&gt;20,0)</f>
        <v>0</v>
      </c>
      <c r="L68" s="48" cm="1">
        <f t="array" ref="L68">_xlfn.IFS(YEAR(L$2)&lt;YEAR($I68),0,YEAR(L$2)=YEAR($I68),ROUND(((L$2-$I68+1)/365)*$D68,2),AND(YEAR(L$2)&gt;YEAR($I68),YEAR(L$2)-YEAR($I68)&lt;20),$D68,YEAR(L$2)-YEAR($I68)=20,ROUND((DATE(YEAR($I68),12,31)-$I68+1)/365*$D68,2),YEAR(L$2)-YEAR($I68)&gt;20,0)</f>
        <v>0</v>
      </c>
      <c r="M68" s="48" cm="1">
        <f t="array" ref="M68">_xlfn.IFS(YEAR(M$2)&lt;YEAR($I68),0,YEAR(M$2)=YEAR($I68),ROUND(((M$2-$I68+1)/365)*$D68,2),AND(YEAR(M$2)&gt;YEAR($I68),YEAR(M$2)-YEAR($I68)&lt;20),$D68,YEAR(M$2)-YEAR($I68)=20,ROUND((DATE(YEAR($I68),12,31)-$I68+1)/365*$D68,2),YEAR(M$2)-YEAR($I68)&gt;20,0)</f>
        <v>0</v>
      </c>
      <c r="N68" s="48" cm="1">
        <f t="array" ref="N68">_xlfn.IFS(YEAR(N$2)&lt;YEAR($I68),0,YEAR(N$2)=YEAR($I68),ROUND(((N$2-$I68+1)/365)*$D68,2),AND(YEAR(N$2)&gt;YEAR($I68),YEAR(N$2)-YEAR($I68)&lt;20),$D68,YEAR(N$2)-YEAR($I68)=20,ROUND((DATE(YEAR($I68),12,31)-$I68+1)/365*$D68,2),YEAR(N$2)-YEAR($I68)&gt;20,0)</f>
        <v>0</v>
      </c>
      <c r="O68" s="48" cm="1">
        <f t="array" ref="O68">_xlfn.IFS(YEAR(O$2)&lt;YEAR($I68),0,YEAR(O$2)=YEAR($I68),ROUND(((O$2-$I68+1)/365)*$D68,2),AND(YEAR(O$2)&gt;YEAR($I68),YEAR(O$2)-YEAR($I68)&lt;20),$D68,YEAR(O$2)-YEAR($I68)=20,ROUND((DATE(YEAR($I68),12,31)-$I68+1)/365*$D68,2),YEAR(O$2)-YEAR($I68)&gt;20,0)</f>
        <v>106.85</v>
      </c>
      <c r="P68" s="48" cm="1">
        <f t="array" ref="P68">_xlfn.IFS(YEAR(P$2)&lt;YEAR($I68),0,YEAR(P$2)=YEAR($I68),ROUND(((P$2-$I68+1)/365)*$D68,2),AND(YEAR(P$2)&gt;YEAR($I68),YEAR(P$2)-YEAR($I68)&lt;20),$D68,YEAR(P$2)-YEAR($I68)=20,ROUND((DATE(YEAR($I68),12,31)-$I68+1)/365*$D68,2),YEAR(P$2)-YEAR($I68)&gt;20,0)</f>
        <v>1000</v>
      </c>
      <c r="Q68" s="48" cm="1">
        <f t="array" ref="Q68">_xlfn.IFS(YEAR(Q$2)&lt;YEAR($I68),0,YEAR(Q$2)=YEAR($I68),ROUND(((Q$2-$I68+1)/365)*$D68,2),AND(YEAR(Q$2)&gt;YEAR($I68),YEAR(Q$2)-YEAR($I68)&lt;20),$D68,YEAR(Q$2)-YEAR($I68)=20,ROUND((DATE(YEAR($I68),12,31)-$I68+1)/365*$D68,2),YEAR(Q$2)-YEAR($I68)&gt;20,0)</f>
        <v>1000</v>
      </c>
      <c r="R68" s="48" cm="1">
        <f t="array" ref="R68">_xlfn.IFS(YEAR(R$2)&lt;YEAR($I68),0,YEAR(R$2)=YEAR($I68),ROUND(((R$2-$I68+1)/365)*$D68,2),AND(YEAR(R$2)&gt;YEAR($I68),YEAR(R$2)-YEAR($I68)&lt;20),$D68,YEAR(R$2)-YEAR($I68)=20,ROUND((DATE(YEAR($I68),12,31)-$I68+1)/365*$D68,2),YEAR(R$2)-YEAR($I68)&gt;20,0)</f>
        <v>1000</v>
      </c>
      <c r="S68" s="48" cm="1">
        <f t="array" ref="S68">_xlfn.IFS(YEAR(S$2)&lt;YEAR($I68),0,YEAR(S$2)=YEAR($I68),ROUND(((S$2-$I68+1)/365)*$D68,2),AND(YEAR(S$2)&gt;YEAR($I68),YEAR(S$2)-YEAR($I68)&lt;20),$D68,YEAR(S$2)-YEAR($I68)=20,ROUND((DATE(YEAR($I68),12,31)-$I68+1)/365*$D68,2),YEAR(S$2)-YEAR($I68)&gt;20,0)</f>
        <v>1000</v>
      </c>
      <c r="T68" s="48" cm="1">
        <f t="array" ref="T68">_xlfn.IFS(YEAR(T$2)&lt;YEAR($I68),0,YEAR(T$2)=YEAR($I68),ROUND(((T$2-$I68+1)/365)*$D68,2),AND(YEAR(T$2)&gt;YEAR($I68),YEAR(T$2)-YEAR($I68)&lt;20),$D68,YEAR(T$2)-YEAR($I68)=20,ROUND((DATE(YEAR($I68),12,31)-$I68+1)/365*$D68,2),YEAR(T$2)-YEAR($I68)&gt;20,0)</f>
        <v>1000</v>
      </c>
      <c r="U68" s="48" cm="1">
        <f t="array" ref="U68">_xlfn.IFS(YEAR(U$2)&lt;YEAR($I68),0,YEAR(U$2)=YEAR($I68),ROUND(((U$2-$I68+1)/365)*$D68,2),AND(YEAR(U$2)&gt;YEAR($I68),YEAR(U$2)-YEAR($I68)&lt;20),$D68,YEAR(U$2)-YEAR($I68)=20,ROUND((DATE(YEAR($I68),12,31)-$I68+1)/365*$D68,2),YEAR(U$2)-YEAR($I68)&gt;20,0)</f>
        <v>1000</v>
      </c>
      <c r="V68" s="48" cm="1">
        <f t="array" ref="V68">_xlfn.IFS(YEAR(V$2)&lt;YEAR($I68),0,YEAR(V$2)=YEAR($I68),ROUND(((V$2-$I68+1)/365)*$D68,2),AND(YEAR(V$2)&gt;YEAR($I68),YEAR(V$2)-YEAR($I68)&lt;20),$D68,YEAR(V$2)-YEAR($I68)=20,ROUND((DATE(YEAR($I68),12,31)-$I68+1)/365*$D68,2),YEAR(V$2)-YEAR($I68)&gt;20,0)</f>
        <v>1000</v>
      </c>
      <c r="W68" s="48" cm="1">
        <f t="array" ref="W68">_xlfn.IFS(YEAR(W$2)&lt;YEAR($I68),0,YEAR(W$2)=YEAR($I68),ROUND(((W$2-$I68+1)/365)*$D68,2),AND(YEAR(W$2)&gt;YEAR($I68),YEAR(W$2)-YEAR($I68)&lt;20),$D68,YEAR(W$2)-YEAR($I68)=20,ROUND((DATE(YEAR($I68),12,31)-$I68+1)/365*$D68,2),YEAR(W$2)-YEAR($I68)&gt;20,0)</f>
        <v>1000</v>
      </c>
      <c r="X68" s="48" cm="1">
        <f t="array" ref="X68">_xlfn.IFS(YEAR(X$2)&lt;YEAR($I68),0,YEAR(X$2)=YEAR($I68),ROUND(((X$2-$I68+1)/365)*$D68,2),AND(YEAR(X$2)&gt;YEAR($I68),YEAR(X$2)-YEAR($I68)&lt;20),$D68,YEAR(X$2)-YEAR($I68)=20,ROUND((DATE(YEAR($I68),12,31)-$I68+1)/365*$D68,2),YEAR(X$2)-YEAR($I68)&gt;20,0)</f>
        <v>1000</v>
      </c>
      <c r="Y68" s="48" cm="1">
        <f t="array" ref="Y68">_xlfn.IFS(YEAR(Y$2)&lt;YEAR($I68),0,YEAR(Y$2)=YEAR($I68),ROUND(((Y$2-$I68+1)/365)*$D68,2),AND(YEAR(Y$2)&gt;YEAR($I68),YEAR(Y$2)-YEAR($I68)&lt;20),$D68,YEAR(Y$2)-YEAR($I68)=20,ROUND((DATE(YEAR($I68),12,31)-$I68+1)/365*$D68,2),YEAR(Y$2)-YEAR($I68)&gt;20,0)</f>
        <v>1000</v>
      </c>
      <c r="Z68" s="48" cm="1">
        <f t="array" ref="Z68">_xlfn.IFS(YEAR(Z$2)&lt;YEAR($I68),0,YEAR(Z$2)=YEAR($I68),ROUND(((Z$2-$I68+1)/365)*$D68,2),AND(YEAR(Z$2)&gt;YEAR($I68),YEAR(Z$2)-YEAR($I68)&lt;20),$D68,YEAR(Z$2)-YEAR($I68)=20,ROUND((DATE(YEAR($I68),12,31)-$I68+1)/365*$D68,2),YEAR(Z$2)-YEAR($I68)&gt;20,0)</f>
        <v>1000</v>
      </c>
      <c r="AA68" s="48" cm="1">
        <f t="array" ref="AA68">_xlfn.IFS(YEAR(AA$2)&lt;YEAR($I68),0,YEAR(AA$2)=YEAR($I68),ROUND(((AA$2-$I68+1)/365)*$D68,2),AND(YEAR(AA$2)&gt;YEAR($I68),YEAR(AA$2)-YEAR($I68)&lt;20),$D68,YEAR(AA$2)-YEAR($I68)=20,ROUND((DATE(YEAR($I68),12,31)-$I68+1)/365*$D68,2),YEAR(AA$2)-YEAR($I68)&gt;20,0)</f>
        <v>1000</v>
      </c>
      <c r="AB68" s="48" cm="1">
        <f t="array" ref="AB68">_xlfn.IFS(YEAR(AB$2)&lt;YEAR($I68),0,YEAR(AB$2)=YEAR($I68),ROUND(((AB$2-$I68+1)/365)*$D68,2),AND(YEAR(AB$2)&gt;YEAR($I68),YEAR(AB$2)-YEAR($I68)&lt;20),$D68,YEAR(AB$2)-YEAR($I68)=20,ROUND((DATE(YEAR($I68),12,31)-$I68+1)/365*$D68,2),YEAR(AB$2)-YEAR($I68)&gt;20,0)</f>
        <v>1000</v>
      </c>
      <c r="AC68" s="48" cm="1">
        <f t="array" ref="AC68">_xlfn.IFS(YEAR(AC$2)&lt;YEAR($I68),0,YEAR(AC$2)=YEAR($I68),ROUND(((AC$2-$I68+1)/365)*$D68,2),AND(YEAR(AC$2)&gt;YEAR($I68),YEAR(AC$2)-YEAR($I68)&lt;20),$D68,YEAR(AC$2)-YEAR($I68)=20,ROUND((DATE(YEAR($I68),12,31)-$I68+1)/365*$D68,2),YEAR(AC$2)-YEAR($I68)&gt;20,0)</f>
        <v>1000</v>
      </c>
      <c r="AD68" s="48" cm="1">
        <f t="array" ref="AD68">_xlfn.IFS(YEAR(AD$2)&lt;YEAR($I68),0,YEAR(AD$2)=YEAR($I68),ROUND(((AD$2-$I68+1)/365)*$D68,2),AND(YEAR(AD$2)&gt;YEAR($I68),YEAR(AD$2)-YEAR($I68)&lt;20),$D68,YEAR(AD$2)-YEAR($I68)=20,ROUND((DATE(YEAR($I68),12,31)-$I68+1)/365*$D68,2),YEAR(AD$2)-YEAR($I68)&gt;20,0)</f>
        <v>1000</v>
      </c>
      <c r="AE68" s="48" cm="1">
        <f t="array" ref="AE68">_xlfn.IFS(YEAR(AE$2)&lt;YEAR($I68),0,YEAR(AE$2)=YEAR($I68),ROUND(((AE$2-$I68+1)/365)*$D68,2),AND(YEAR(AE$2)&gt;YEAR($I68),YEAR(AE$2)-YEAR($I68)&lt;20),$D68,YEAR(AE$2)-YEAR($I68)=20,ROUND((DATE(YEAR($I68),12,31)-$I68+1)/365*$D68,2),YEAR(AE$2)-YEAR($I68)&gt;20,0)</f>
        <v>1000</v>
      </c>
      <c r="AF68" s="48" cm="1">
        <f t="array" ref="AF68">_xlfn.IFS(YEAR(AF$2)&lt;YEAR($I68),0,YEAR(AF$2)=YEAR($I68),ROUND(((AF$2-$I68+1)/365)*$D68,2),AND(YEAR(AF$2)&gt;YEAR($I68),YEAR(AF$2)-YEAR($I68)&lt;20),$D68,YEAR(AF$2)-YEAR($I68)=20,ROUND((DATE(YEAR($I68),12,31)-$I68+1)/365*$D68,2),YEAR(AF$2)-YEAR($I68)&gt;20,0)</f>
        <v>1000</v>
      </c>
      <c r="AG68" s="48" cm="1">
        <f t="array" ref="AG68">_xlfn.IFS(YEAR(AG$2)&lt;YEAR($I68),0,YEAR(AG$2)=YEAR($I68),ROUND(((AG$2-$I68+1)/365)*$D68,2),AND(YEAR(AG$2)&gt;YEAR($I68),YEAR(AG$2)-YEAR($I68)&lt;20),$D68,YEAR(AG$2)-YEAR($I68)=20,ROUND((DATE(YEAR($I68),12,31)-$I68+1)/365*$D68,2),YEAR(AG$2)-YEAR($I68)&gt;20,0)</f>
        <v>1000</v>
      </c>
      <c r="AH68" s="48" cm="1">
        <f t="array" ref="AH68">_xlfn.IFS(YEAR(AH$2)&lt;YEAR($I68),0,YEAR(AH$2)=YEAR($I68),ROUND(((AH$2-$I68+1)/365)*$D68,2),AND(YEAR(AH$2)&gt;YEAR($I68),YEAR(AH$2)-YEAR($I68)&lt;20),$D68,YEAR(AH$2)-YEAR($I68)=20,ROUND((DATE(YEAR($I68),12,31)-$I68+1)/365*$D68,2),YEAR(AH$2)-YEAR($I68)&gt;20,0)</f>
        <v>1000</v>
      </c>
      <c r="AI68" s="48" cm="1">
        <f t="array" ref="AI68">_xlfn.IFS(YEAR(AI$2)&lt;YEAR($I68),0,YEAR(AI$2)=YEAR($I68),ROUND(((AI$2-$I68+1)/365)*$D68,2),AND(YEAR(AI$2)&gt;YEAR($I68),YEAR(AI$2)-YEAR($I68)&lt;20),$D68,YEAR(AI$2)-YEAR($I68)=20,ROUND((DATE(YEAR($I68),12,31)-$I68+1)/365*$D68,2),YEAR(AI$2)-YEAR($I68)&gt;20,0)</f>
        <v>106.85</v>
      </c>
      <c r="AJ68" s="48" cm="1">
        <f t="array" ref="AJ68">_xlfn.IFS(YEAR(AJ$2)&lt;YEAR($I68),0,YEAR(AJ$2)=YEAR($I68),ROUND(((AJ$2-$I68+1)/365)*$D68,2),AND(YEAR(AJ$2)&gt;YEAR($I68),YEAR(AJ$2)-YEAR($I68)&lt;20),$D68,YEAR(AJ$2)-YEAR($I68)=20,ROUND((DATE(YEAR($I68),12,31)-$I68+1)/365*$D68,2),YEAR(AJ$2)-YEAR($I68)&gt;20,0)</f>
        <v>0</v>
      </c>
      <c r="AK68" s="48" cm="1">
        <f t="array" ref="AK68">_xlfn.IFS(YEAR(AK$2)&lt;YEAR($I68),0,YEAR(AK$2)=YEAR($I68),ROUND(((AK$2-$I68+1)/365)*$D68,2),AND(YEAR(AK$2)&gt;YEAR($I68),YEAR(AK$2)-YEAR($I68)&lt;20),$D68,YEAR(AK$2)-YEAR($I68)=20,ROUND((DATE(YEAR($I68),12,31)-$I68+1)/365*$D68,2),YEAR(AK$2)-YEAR($I68)&gt;20,0)</f>
        <v>0</v>
      </c>
      <c r="AL68" s="48" cm="1">
        <f t="array" ref="AL68">_xlfn.IFS(YEAR(AL$2)&lt;YEAR($I68),0,YEAR(AL$2)=YEAR($I68),ROUND(((AL$2-$I68+1)/365)*$D68,2),AND(YEAR(AL$2)&gt;YEAR($I68),YEAR(AL$2)-YEAR($I68)&lt;20),$D68,YEAR(AL$2)-YEAR($I68)=20,ROUND((DATE(YEAR($I68),12,31)-$I68+1)/365*$D68,2),YEAR(AL$2)-YEAR($I68)&gt;20,0)</f>
        <v>0</v>
      </c>
      <c r="AM68" s="48" cm="1">
        <f t="array" ref="AM68">_xlfn.IFS(YEAR(AM$2)&lt;YEAR($I68),0,YEAR(AM$2)=YEAR($I68),ROUND(((AM$2-$I68+1)/365)*$D68,2),AND(YEAR(AM$2)&gt;YEAR($I68),YEAR(AM$2)-YEAR($I68)&lt;20),$D68,YEAR(AM$2)-YEAR($I68)=20,ROUND((DATE(YEAR($I68),12,31)-$I68+1)/365*$D68,2),YEAR(AM$2)-YEAR($I68)&gt;20,0)</f>
        <v>0</v>
      </c>
    </row>
    <row r="69" spans="1:39">
      <c r="A69" s="155" t="str" cm="1">
        <f t="array" ref="A69">_xlfn.IFS(LEFT(C69,3)="PGE","PGE",LEFT(C69,2)="PP","PAC",TRUE,"IP")</f>
        <v>PGE</v>
      </c>
      <c r="B69" s="155" t="str">
        <f>IF(ISNA(MATCH(C69,'Monthly Report July 2025'!E:E,0)),"Missing","Present")</f>
        <v>Present</v>
      </c>
      <c r="C69" s="155" t="s">
        <v>178</v>
      </c>
      <c r="D69" s="176" cm="1">
        <f t="array" ref="D69">INDEX('Monthly Report July 2025'!L:L,MATCH(C69,'Monthly Report July 2025'!E:E,0),0)</f>
        <v>2800</v>
      </c>
      <c r="E69" s="176" t="str" cm="1">
        <f t="array" ref="E69">IF(INDEX('PA Fees by Project'!K:K,MATCH(C69,'PA Fees by Project'!E:E,0),0)="No","Non-Carve Out", "Carve Out")</f>
        <v>Carve Out</v>
      </c>
      <c r="F69" s="176" cm="1">
        <f t="array" ref="F69">INDEX('PA Fees by Project'!J:J,MATCH(C69,'PA Fees by Project'!E:E,0),0)</f>
        <v>2</v>
      </c>
      <c r="G69" s="155" t="str" cm="1">
        <f t="array" ref="G69">INDEX('PA Fees by Project'!G:G,MATCH(C69,'PA Fees by Project'!E:E,0),0)</f>
        <v>Pre-Certified</v>
      </c>
      <c r="H69" s="175" t="str" cm="1">
        <f t="array" ref="H69">INDEX('PA Fees by Project'!Q:Q,MATCH(C69,'PA Fees by Project'!E:E,0),0)</f>
        <v/>
      </c>
      <c r="I69" s="156" cm="1">
        <f t="array" ref="I69">_xlfn.IFS(G69="Operational",H69,G69="Certified",EDATE(INDEX('PA Fees by Project'!R:R,MATCH(C69,'PA Fees by Project'!E:E,0),0),6),TRUE,EDATE(INDEX('PA Fees by Project'!O:O,MATCH(C69,'PA Fees by Project'!E:E,0),0),6))</f>
        <v>46174</v>
      </c>
      <c r="J69" s="48" cm="1">
        <f t="array" ref="J69">_xlfn.IFS(YEAR(J$2)&lt;YEAR($I69),0,YEAR(J$2)=YEAR($I69),ROUND(((J$2-$I69+1)/365)*$D69,2),AND(YEAR(J$2)&gt;YEAR($I69),YEAR(J$2)-YEAR($I69)&lt;20),$D69,YEAR(J$2)-YEAR($I69)=20,ROUND((DATE(YEAR($I69),12,31)-$I69+1)/365*$D69,2),YEAR(J$2)-YEAR($I69)&gt;20,0)</f>
        <v>0</v>
      </c>
      <c r="K69" s="48" cm="1">
        <f t="array" ref="K69">_xlfn.IFS(YEAR(K$2)&lt;YEAR($I69),0,YEAR(K$2)=YEAR($I69),ROUND(((K$2-$I69+1)/365)*$D69,2),AND(YEAR(K$2)&gt;YEAR($I69),YEAR(K$2)-YEAR($I69)&lt;20),$D69,YEAR(K$2)-YEAR($I69)=20,ROUND((DATE(YEAR($I69),12,31)-$I69+1)/365*$D69,2),YEAR(K$2)-YEAR($I69)&gt;20,0)</f>
        <v>0</v>
      </c>
      <c r="L69" s="48" cm="1">
        <f t="array" ref="L69">_xlfn.IFS(YEAR(L$2)&lt;YEAR($I69),0,YEAR(L$2)=YEAR($I69),ROUND(((L$2-$I69+1)/365)*$D69,2),AND(YEAR(L$2)&gt;YEAR($I69),YEAR(L$2)-YEAR($I69)&lt;20),$D69,YEAR(L$2)-YEAR($I69)=20,ROUND((DATE(YEAR($I69),12,31)-$I69+1)/365*$D69,2),YEAR(L$2)-YEAR($I69)&gt;20,0)</f>
        <v>0</v>
      </c>
      <c r="M69" s="48" cm="1">
        <f t="array" ref="M69">_xlfn.IFS(YEAR(M$2)&lt;YEAR($I69),0,YEAR(M$2)=YEAR($I69),ROUND(((M$2-$I69+1)/365)*$D69,2),AND(YEAR(M$2)&gt;YEAR($I69),YEAR(M$2)-YEAR($I69)&lt;20),$D69,YEAR(M$2)-YEAR($I69)=20,ROUND((DATE(YEAR($I69),12,31)-$I69+1)/365*$D69,2),YEAR(M$2)-YEAR($I69)&gt;20,0)</f>
        <v>0</v>
      </c>
      <c r="N69" s="48" cm="1">
        <f t="array" ref="N69">_xlfn.IFS(YEAR(N$2)&lt;YEAR($I69),0,YEAR(N$2)=YEAR($I69),ROUND(((N$2-$I69+1)/365)*$D69,2),AND(YEAR(N$2)&gt;YEAR($I69),YEAR(N$2)-YEAR($I69)&lt;20),$D69,YEAR(N$2)-YEAR($I69)=20,ROUND((DATE(YEAR($I69),12,31)-$I69+1)/365*$D69,2),YEAR(N$2)-YEAR($I69)&gt;20,0)</f>
        <v>0</v>
      </c>
      <c r="O69" s="48" cm="1">
        <f t="array" ref="O69">_xlfn.IFS(YEAR(O$2)&lt;YEAR($I69),0,YEAR(O$2)=YEAR($I69),ROUND(((O$2-$I69+1)/365)*$D69,2),AND(YEAR(O$2)&gt;YEAR($I69),YEAR(O$2)-YEAR($I69)&lt;20),$D69,YEAR(O$2)-YEAR($I69)=20,ROUND((DATE(YEAR($I69),12,31)-$I69+1)/365*$D69,2),YEAR(O$2)-YEAR($I69)&gt;20,0)</f>
        <v>1641.64</v>
      </c>
      <c r="P69" s="48" cm="1">
        <f t="array" ref="P69">_xlfn.IFS(YEAR(P$2)&lt;YEAR($I69),0,YEAR(P$2)=YEAR($I69),ROUND(((P$2-$I69+1)/365)*$D69,2),AND(YEAR(P$2)&gt;YEAR($I69),YEAR(P$2)-YEAR($I69)&lt;20),$D69,YEAR(P$2)-YEAR($I69)=20,ROUND((DATE(YEAR($I69),12,31)-$I69+1)/365*$D69,2),YEAR(P$2)-YEAR($I69)&gt;20,0)</f>
        <v>2800</v>
      </c>
      <c r="Q69" s="48" cm="1">
        <f t="array" ref="Q69">_xlfn.IFS(YEAR(Q$2)&lt;YEAR($I69),0,YEAR(Q$2)=YEAR($I69),ROUND(((Q$2-$I69+1)/365)*$D69,2),AND(YEAR(Q$2)&gt;YEAR($I69),YEAR(Q$2)-YEAR($I69)&lt;20),$D69,YEAR(Q$2)-YEAR($I69)=20,ROUND((DATE(YEAR($I69),12,31)-$I69+1)/365*$D69,2),YEAR(Q$2)-YEAR($I69)&gt;20,0)</f>
        <v>2800</v>
      </c>
      <c r="R69" s="48" cm="1">
        <f t="array" ref="R69">_xlfn.IFS(YEAR(R$2)&lt;YEAR($I69),0,YEAR(R$2)=YEAR($I69),ROUND(((R$2-$I69+1)/365)*$D69,2),AND(YEAR(R$2)&gt;YEAR($I69),YEAR(R$2)-YEAR($I69)&lt;20),$D69,YEAR(R$2)-YEAR($I69)=20,ROUND((DATE(YEAR($I69),12,31)-$I69+1)/365*$D69,2),YEAR(R$2)-YEAR($I69)&gt;20,0)</f>
        <v>2800</v>
      </c>
      <c r="S69" s="48" cm="1">
        <f t="array" ref="S69">_xlfn.IFS(YEAR(S$2)&lt;YEAR($I69),0,YEAR(S$2)=YEAR($I69),ROUND(((S$2-$I69+1)/365)*$D69,2),AND(YEAR(S$2)&gt;YEAR($I69),YEAR(S$2)-YEAR($I69)&lt;20),$D69,YEAR(S$2)-YEAR($I69)=20,ROUND((DATE(YEAR($I69),12,31)-$I69+1)/365*$D69,2),YEAR(S$2)-YEAR($I69)&gt;20,0)</f>
        <v>2800</v>
      </c>
      <c r="T69" s="48" cm="1">
        <f t="array" ref="T69">_xlfn.IFS(YEAR(T$2)&lt;YEAR($I69),0,YEAR(T$2)=YEAR($I69),ROUND(((T$2-$I69+1)/365)*$D69,2),AND(YEAR(T$2)&gt;YEAR($I69),YEAR(T$2)-YEAR($I69)&lt;20),$D69,YEAR(T$2)-YEAR($I69)=20,ROUND((DATE(YEAR($I69),12,31)-$I69+1)/365*$D69,2),YEAR(T$2)-YEAR($I69)&gt;20,0)</f>
        <v>2800</v>
      </c>
      <c r="U69" s="48" cm="1">
        <f t="array" ref="U69">_xlfn.IFS(YEAR(U$2)&lt;YEAR($I69),0,YEAR(U$2)=YEAR($I69),ROUND(((U$2-$I69+1)/365)*$D69,2),AND(YEAR(U$2)&gt;YEAR($I69),YEAR(U$2)-YEAR($I69)&lt;20),$D69,YEAR(U$2)-YEAR($I69)=20,ROUND((DATE(YEAR($I69),12,31)-$I69+1)/365*$D69,2),YEAR(U$2)-YEAR($I69)&gt;20,0)</f>
        <v>2800</v>
      </c>
      <c r="V69" s="48" cm="1">
        <f t="array" ref="V69">_xlfn.IFS(YEAR(V$2)&lt;YEAR($I69),0,YEAR(V$2)=YEAR($I69),ROUND(((V$2-$I69+1)/365)*$D69,2),AND(YEAR(V$2)&gt;YEAR($I69),YEAR(V$2)-YEAR($I69)&lt;20),$D69,YEAR(V$2)-YEAR($I69)=20,ROUND((DATE(YEAR($I69),12,31)-$I69+1)/365*$D69,2),YEAR(V$2)-YEAR($I69)&gt;20,0)</f>
        <v>2800</v>
      </c>
      <c r="W69" s="48" cm="1">
        <f t="array" ref="W69">_xlfn.IFS(YEAR(W$2)&lt;YEAR($I69),0,YEAR(W$2)=YEAR($I69),ROUND(((W$2-$I69+1)/365)*$D69,2),AND(YEAR(W$2)&gt;YEAR($I69),YEAR(W$2)-YEAR($I69)&lt;20),$D69,YEAR(W$2)-YEAR($I69)=20,ROUND((DATE(YEAR($I69),12,31)-$I69+1)/365*$D69,2),YEAR(W$2)-YEAR($I69)&gt;20,0)</f>
        <v>2800</v>
      </c>
      <c r="X69" s="48" cm="1">
        <f t="array" ref="X69">_xlfn.IFS(YEAR(X$2)&lt;YEAR($I69),0,YEAR(X$2)=YEAR($I69),ROUND(((X$2-$I69+1)/365)*$D69,2),AND(YEAR(X$2)&gt;YEAR($I69),YEAR(X$2)-YEAR($I69)&lt;20),$D69,YEAR(X$2)-YEAR($I69)=20,ROUND((DATE(YEAR($I69),12,31)-$I69+1)/365*$D69,2),YEAR(X$2)-YEAR($I69)&gt;20,0)</f>
        <v>2800</v>
      </c>
      <c r="Y69" s="48" cm="1">
        <f t="array" ref="Y69">_xlfn.IFS(YEAR(Y$2)&lt;YEAR($I69),0,YEAR(Y$2)=YEAR($I69),ROUND(((Y$2-$I69+1)/365)*$D69,2),AND(YEAR(Y$2)&gt;YEAR($I69),YEAR(Y$2)-YEAR($I69)&lt;20),$D69,YEAR(Y$2)-YEAR($I69)=20,ROUND((DATE(YEAR($I69),12,31)-$I69+1)/365*$D69,2),YEAR(Y$2)-YEAR($I69)&gt;20,0)</f>
        <v>2800</v>
      </c>
      <c r="Z69" s="48" cm="1">
        <f t="array" ref="Z69">_xlfn.IFS(YEAR(Z$2)&lt;YEAR($I69),0,YEAR(Z$2)=YEAR($I69),ROUND(((Z$2-$I69+1)/365)*$D69,2),AND(YEAR(Z$2)&gt;YEAR($I69),YEAR(Z$2)-YEAR($I69)&lt;20),$D69,YEAR(Z$2)-YEAR($I69)=20,ROUND((DATE(YEAR($I69),12,31)-$I69+1)/365*$D69,2),YEAR(Z$2)-YEAR($I69)&gt;20,0)</f>
        <v>2800</v>
      </c>
      <c r="AA69" s="48" cm="1">
        <f t="array" ref="AA69">_xlfn.IFS(YEAR(AA$2)&lt;YEAR($I69),0,YEAR(AA$2)=YEAR($I69),ROUND(((AA$2-$I69+1)/365)*$D69,2),AND(YEAR(AA$2)&gt;YEAR($I69),YEAR(AA$2)-YEAR($I69)&lt;20),$D69,YEAR(AA$2)-YEAR($I69)=20,ROUND((DATE(YEAR($I69),12,31)-$I69+1)/365*$D69,2),YEAR(AA$2)-YEAR($I69)&gt;20,0)</f>
        <v>2800</v>
      </c>
      <c r="AB69" s="48" cm="1">
        <f t="array" ref="AB69">_xlfn.IFS(YEAR(AB$2)&lt;YEAR($I69),0,YEAR(AB$2)=YEAR($I69),ROUND(((AB$2-$I69+1)/365)*$D69,2),AND(YEAR(AB$2)&gt;YEAR($I69),YEAR(AB$2)-YEAR($I69)&lt;20),$D69,YEAR(AB$2)-YEAR($I69)=20,ROUND((DATE(YEAR($I69),12,31)-$I69+1)/365*$D69,2),YEAR(AB$2)-YEAR($I69)&gt;20,0)</f>
        <v>2800</v>
      </c>
      <c r="AC69" s="48" cm="1">
        <f t="array" ref="AC69">_xlfn.IFS(YEAR(AC$2)&lt;YEAR($I69),0,YEAR(AC$2)=YEAR($I69),ROUND(((AC$2-$I69+1)/365)*$D69,2),AND(YEAR(AC$2)&gt;YEAR($I69),YEAR(AC$2)-YEAR($I69)&lt;20),$D69,YEAR(AC$2)-YEAR($I69)=20,ROUND((DATE(YEAR($I69),12,31)-$I69+1)/365*$D69,2),YEAR(AC$2)-YEAR($I69)&gt;20,0)</f>
        <v>2800</v>
      </c>
      <c r="AD69" s="48" cm="1">
        <f t="array" ref="AD69">_xlfn.IFS(YEAR(AD$2)&lt;YEAR($I69),0,YEAR(AD$2)=YEAR($I69),ROUND(((AD$2-$I69+1)/365)*$D69,2),AND(YEAR(AD$2)&gt;YEAR($I69),YEAR(AD$2)-YEAR($I69)&lt;20),$D69,YEAR(AD$2)-YEAR($I69)=20,ROUND((DATE(YEAR($I69),12,31)-$I69+1)/365*$D69,2),YEAR(AD$2)-YEAR($I69)&gt;20,0)</f>
        <v>2800</v>
      </c>
      <c r="AE69" s="48" cm="1">
        <f t="array" ref="AE69">_xlfn.IFS(YEAR(AE$2)&lt;YEAR($I69),0,YEAR(AE$2)=YEAR($I69),ROUND(((AE$2-$I69+1)/365)*$D69,2),AND(YEAR(AE$2)&gt;YEAR($I69),YEAR(AE$2)-YEAR($I69)&lt;20),$D69,YEAR(AE$2)-YEAR($I69)=20,ROUND((DATE(YEAR($I69),12,31)-$I69+1)/365*$D69,2),YEAR(AE$2)-YEAR($I69)&gt;20,0)</f>
        <v>2800</v>
      </c>
      <c r="AF69" s="48" cm="1">
        <f t="array" ref="AF69">_xlfn.IFS(YEAR(AF$2)&lt;YEAR($I69),0,YEAR(AF$2)=YEAR($I69),ROUND(((AF$2-$I69+1)/365)*$D69,2),AND(YEAR(AF$2)&gt;YEAR($I69),YEAR(AF$2)-YEAR($I69)&lt;20),$D69,YEAR(AF$2)-YEAR($I69)=20,ROUND((DATE(YEAR($I69),12,31)-$I69+1)/365*$D69,2),YEAR(AF$2)-YEAR($I69)&gt;20,0)</f>
        <v>2800</v>
      </c>
      <c r="AG69" s="48" cm="1">
        <f t="array" ref="AG69">_xlfn.IFS(YEAR(AG$2)&lt;YEAR($I69),0,YEAR(AG$2)=YEAR($I69),ROUND(((AG$2-$I69+1)/365)*$D69,2),AND(YEAR(AG$2)&gt;YEAR($I69),YEAR(AG$2)-YEAR($I69)&lt;20),$D69,YEAR(AG$2)-YEAR($I69)=20,ROUND((DATE(YEAR($I69),12,31)-$I69+1)/365*$D69,2),YEAR(AG$2)-YEAR($I69)&gt;20,0)</f>
        <v>2800</v>
      </c>
      <c r="AH69" s="48" cm="1">
        <f t="array" ref="AH69">_xlfn.IFS(YEAR(AH$2)&lt;YEAR($I69),0,YEAR(AH$2)=YEAR($I69),ROUND(((AH$2-$I69+1)/365)*$D69,2),AND(YEAR(AH$2)&gt;YEAR($I69),YEAR(AH$2)-YEAR($I69)&lt;20),$D69,YEAR(AH$2)-YEAR($I69)=20,ROUND((DATE(YEAR($I69),12,31)-$I69+1)/365*$D69,2),YEAR(AH$2)-YEAR($I69)&gt;20,0)</f>
        <v>2800</v>
      </c>
      <c r="AI69" s="48" cm="1">
        <f t="array" ref="AI69">_xlfn.IFS(YEAR(AI$2)&lt;YEAR($I69),0,YEAR(AI$2)=YEAR($I69),ROUND(((AI$2-$I69+1)/365)*$D69,2),AND(YEAR(AI$2)&gt;YEAR($I69),YEAR(AI$2)-YEAR($I69)&lt;20),$D69,YEAR(AI$2)-YEAR($I69)=20,ROUND((DATE(YEAR($I69),12,31)-$I69+1)/365*$D69,2),YEAR(AI$2)-YEAR($I69)&gt;20,0)</f>
        <v>1641.64</v>
      </c>
      <c r="AJ69" s="48" cm="1">
        <f t="array" ref="AJ69">_xlfn.IFS(YEAR(AJ$2)&lt;YEAR($I69),0,YEAR(AJ$2)=YEAR($I69),ROUND(((AJ$2-$I69+1)/365)*$D69,2),AND(YEAR(AJ$2)&gt;YEAR($I69),YEAR(AJ$2)-YEAR($I69)&lt;20),$D69,YEAR(AJ$2)-YEAR($I69)=20,ROUND((DATE(YEAR($I69),12,31)-$I69+1)/365*$D69,2),YEAR(AJ$2)-YEAR($I69)&gt;20,0)</f>
        <v>0</v>
      </c>
      <c r="AK69" s="48" cm="1">
        <f t="array" ref="AK69">_xlfn.IFS(YEAR(AK$2)&lt;YEAR($I69),0,YEAR(AK$2)=YEAR($I69),ROUND(((AK$2-$I69+1)/365)*$D69,2),AND(YEAR(AK$2)&gt;YEAR($I69),YEAR(AK$2)-YEAR($I69)&lt;20),$D69,YEAR(AK$2)-YEAR($I69)=20,ROUND((DATE(YEAR($I69),12,31)-$I69+1)/365*$D69,2),YEAR(AK$2)-YEAR($I69)&gt;20,0)</f>
        <v>0</v>
      </c>
      <c r="AL69" s="48" cm="1">
        <f t="array" ref="AL69">_xlfn.IFS(YEAR(AL$2)&lt;YEAR($I69),0,YEAR(AL$2)=YEAR($I69),ROUND(((AL$2-$I69+1)/365)*$D69,2),AND(YEAR(AL$2)&gt;YEAR($I69),YEAR(AL$2)-YEAR($I69)&lt;20),$D69,YEAR(AL$2)-YEAR($I69)=20,ROUND((DATE(YEAR($I69),12,31)-$I69+1)/365*$D69,2),YEAR(AL$2)-YEAR($I69)&gt;20,0)</f>
        <v>0</v>
      </c>
      <c r="AM69" s="48" cm="1">
        <f t="array" ref="AM69">_xlfn.IFS(YEAR(AM$2)&lt;YEAR($I69),0,YEAR(AM$2)=YEAR($I69),ROUND(((AM$2-$I69+1)/365)*$D69,2),AND(YEAR(AM$2)&gt;YEAR($I69),YEAR(AM$2)-YEAR($I69)&lt;20),$D69,YEAR(AM$2)-YEAR($I69)=20,ROUND((DATE(YEAR($I69),12,31)-$I69+1)/365*$D69,2),YEAR(AM$2)-YEAR($I69)&gt;20,0)</f>
        <v>0</v>
      </c>
    </row>
    <row r="70" spans="1:39">
      <c r="A70" s="155" t="str" cm="1">
        <f t="array" ref="A70">_xlfn.IFS(LEFT(C70,3)="PGE","PGE",LEFT(C70,2)="PP","PAC",TRUE,"IP")</f>
        <v>PGE</v>
      </c>
      <c r="B70" s="155" t="str">
        <f>IF(ISNA(MATCH(C70,'Monthly Report July 2025'!E:E,0)),"Missing","Present")</f>
        <v>Present</v>
      </c>
      <c r="C70" s="155" t="s">
        <v>179</v>
      </c>
      <c r="D70" s="176" cm="1">
        <f t="array" ref="D70">INDEX('Monthly Report July 2025'!L:L,MATCH(C70,'Monthly Report July 2025'!E:E,0),0)</f>
        <v>2750</v>
      </c>
      <c r="E70" s="176" t="str" cm="1">
        <f t="array" ref="E70">IF(INDEX('PA Fees by Project'!K:K,MATCH(C70,'PA Fees by Project'!E:E,0),0)="No","Non-Carve Out", "Carve Out")</f>
        <v>Non-Carve Out</v>
      </c>
      <c r="F70" s="176" cm="1">
        <f t="array" ref="F70">INDEX('PA Fees by Project'!J:J,MATCH(C70,'PA Fees by Project'!E:E,0),0)</f>
        <v>2</v>
      </c>
      <c r="G70" s="155" t="str" cm="1">
        <f t="array" ref="G70">INDEX('PA Fees by Project'!G:G,MATCH(C70,'PA Fees by Project'!E:E,0),0)</f>
        <v>Pre-Certified</v>
      </c>
      <c r="H70" s="175" t="str" cm="1">
        <f t="array" ref="H70">INDEX('PA Fees by Project'!Q:Q,MATCH(C70,'PA Fees by Project'!E:E,0),0)</f>
        <v/>
      </c>
      <c r="I70" s="156" cm="1">
        <f t="array" ref="I70">_xlfn.IFS(G70="Operational",H70,G70="Certified",EDATE(INDEX('PA Fees by Project'!R:R,MATCH(C70,'PA Fees by Project'!E:E,0),0),6),TRUE,EDATE(INDEX('PA Fees by Project'!O:O,MATCH(C70,'PA Fees by Project'!E:E,0),0),6))</f>
        <v>46319</v>
      </c>
      <c r="J70" s="48" cm="1">
        <f t="array" ref="J70">_xlfn.IFS(YEAR(J$2)&lt;YEAR($I70),0,YEAR(J$2)=YEAR($I70),ROUND(((J$2-$I70+1)/365)*$D70,2),AND(YEAR(J$2)&gt;YEAR($I70),YEAR(J$2)-YEAR($I70)&lt;20),$D70,YEAR(J$2)-YEAR($I70)=20,ROUND((DATE(YEAR($I70),12,31)-$I70+1)/365*$D70,2),YEAR(J$2)-YEAR($I70)&gt;20,0)</f>
        <v>0</v>
      </c>
      <c r="K70" s="48" cm="1">
        <f t="array" ref="K70">_xlfn.IFS(YEAR(K$2)&lt;YEAR($I70),0,YEAR(K$2)=YEAR($I70),ROUND(((K$2-$I70+1)/365)*$D70,2),AND(YEAR(K$2)&gt;YEAR($I70),YEAR(K$2)-YEAR($I70)&lt;20),$D70,YEAR(K$2)-YEAR($I70)=20,ROUND((DATE(YEAR($I70),12,31)-$I70+1)/365*$D70,2),YEAR(K$2)-YEAR($I70)&gt;20,0)</f>
        <v>0</v>
      </c>
      <c r="L70" s="48" cm="1">
        <f t="array" ref="L70">_xlfn.IFS(YEAR(L$2)&lt;YEAR($I70),0,YEAR(L$2)=YEAR($I70),ROUND(((L$2-$I70+1)/365)*$D70,2),AND(YEAR(L$2)&gt;YEAR($I70),YEAR(L$2)-YEAR($I70)&lt;20),$D70,YEAR(L$2)-YEAR($I70)=20,ROUND((DATE(YEAR($I70),12,31)-$I70+1)/365*$D70,2),YEAR(L$2)-YEAR($I70)&gt;20,0)</f>
        <v>0</v>
      </c>
      <c r="M70" s="48" cm="1">
        <f t="array" ref="M70">_xlfn.IFS(YEAR(M$2)&lt;YEAR($I70),0,YEAR(M$2)=YEAR($I70),ROUND(((M$2-$I70+1)/365)*$D70,2),AND(YEAR(M$2)&gt;YEAR($I70),YEAR(M$2)-YEAR($I70)&lt;20),$D70,YEAR(M$2)-YEAR($I70)=20,ROUND((DATE(YEAR($I70),12,31)-$I70+1)/365*$D70,2),YEAR(M$2)-YEAR($I70)&gt;20,0)</f>
        <v>0</v>
      </c>
      <c r="N70" s="48" cm="1">
        <f t="array" ref="N70">_xlfn.IFS(YEAR(N$2)&lt;YEAR($I70),0,YEAR(N$2)=YEAR($I70),ROUND(((N$2-$I70+1)/365)*$D70,2),AND(YEAR(N$2)&gt;YEAR($I70),YEAR(N$2)-YEAR($I70)&lt;20),$D70,YEAR(N$2)-YEAR($I70)=20,ROUND((DATE(YEAR($I70),12,31)-$I70+1)/365*$D70,2),YEAR(N$2)-YEAR($I70)&gt;20,0)</f>
        <v>0</v>
      </c>
      <c r="O70" s="48" cm="1">
        <f t="array" ref="O70">_xlfn.IFS(YEAR(O$2)&lt;YEAR($I70),0,YEAR(O$2)=YEAR($I70),ROUND(((O$2-$I70+1)/365)*$D70,2),AND(YEAR(O$2)&gt;YEAR($I70),YEAR(O$2)-YEAR($I70)&lt;20),$D70,YEAR(O$2)-YEAR($I70)=20,ROUND((DATE(YEAR($I70),12,31)-$I70+1)/365*$D70,2),YEAR(O$2)-YEAR($I70)&gt;20,0)</f>
        <v>519.86</v>
      </c>
      <c r="P70" s="48" cm="1">
        <f t="array" ref="P70">_xlfn.IFS(YEAR(P$2)&lt;YEAR($I70),0,YEAR(P$2)=YEAR($I70),ROUND(((P$2-$I70+1)/365)*$D70,2),AND(YEAR(P$2)&gt;YEAR($I70),YEAR(P$2)-YEAR($I70)&lt;20),$D70,YEAR(P$2)-YEAR($I70)=20,ROUND((DATE(YEAR($I70),12,31)-$I70+1)/365*$D70,2),YEAR(P$2)-YEAR($I70)&gt;20,0)</f>
        <v>2750</v>
      </c>
      <c r="Q70" s="48" cm="1">
        <f t="array" ref="Q70">_xlfn.IFS(YEAR(Q$2)&lt;YEAR($I70),0,YEAR(Q$2)=YEAR($I70),ROUND(((Q$2-$I70+1)/365)*$D70,2),AND(YEAR(Q$2)&gt;YEAR($I70),YEAR(Q$2)-YEAR($I70)&lt;20),$D70,YEAR(Q$2)-YEAR($I70)=20,ROUND((DATE(YEAR($I70),12,31)-$I70+1)/365*$D70,2),YEAR(Q$2)-YEAR($I70)&gt;20,0)</f>
        <v>2750</v>
      </c>
      <c r="R70" s="48" cm="1">
        <f t="array" ref="R70">_xlfn.IFS(YEAR(R$2)&lt;YEAR($I70),0,YEAR(R$2)=YEAR($I70),ROUND(((R$2-$I70+1)/365)*$D70,2),AND(YEAR(R$2)&gt;YEAR($I70),YEAR(R$2)-YEAR($I70)&lt;20),$D70,YEAR(R$2)-YEAR($I70)=20,ROUND((DATE(YEAR($I70),12,31)-$I70+1)/365*$D70,2),YEAR(R$2)-YEAR($I70)&gt;20,0)</f>
        <v>2750</v>
      </c>
      <c r="S70" s="48" cm="1">
        <f t="array" ref="S70">_xlfn.IFS(YEAR(S$2)&lt;YEAR($I70),0,YEAR(S$2)=YEAR($I70),ROUND(((S$2-$I70+1)/365)*$D70,2),AND(YEAR(S$2)&gt;YEAR($I70),YEAR(S$2)-YEAR($I70)&lt;20),$D70,YEAR(S$2)-YEAR($I70)=20,ROUND((DATE(YEAR($I70),12,31)-$I70+1)/365*$D70,2),YEAR(S$2)-YEAR($I70)&gt;20,0)</f>
        <v>2750</v>
      </c>
      <c r="T70" s="48" cm="1">
        <f t="array" ref="T70">_xlfn.IFS(YEAR(T$2)&lt;YEAR($I70),0,YEAR(T$2)=YEAR($I70),ROUND(((T$2-$I70+1)/365)*$D70,2),AND(YEAR(T$2)&gt;YEAR($I70),YEAR(T$2)-YEAR($I70)&lt;20),$D70,YEAR(T$2)-YEAR($I70)=20,ROUND((DATE(YEAR($I70),12,31)-$I70+1)/365*$D70,2),YEAR(T$2)-YEAR($I70)&gt;20,0)</f>
        <v>2750</v>
      </c>
      <c r="U70" s="48" cm="1">
        <f t="array" ref="U70">_xlfn.IFS(YEAR(U$2)&lt;YEAR($I70),0,YEAR(U$2)=YEAR($I70),ROUND(((U$2-$I70+1)/365)*$D70,2),AND(YEAR(U$2)&gt;YEAR($I70),YEAR(U$2)-YEAR($I70)&lt;20),$D70,YEAR(U$2)-YEAR($I70)=20,ROUND((DATE(YEAR($I70),12,31)-$I70+1)/365*$D70,2),YEAR(U$2)-YEAR($I70)&gt;20,0)</f>
        <v>2750</v>
      </c>
      <c r="V70" s="48" cm="1">
        <f t="array" ref="V70">_xlfn.IFS(YEAR(V$2)&lt;YEAR($I70),0,YEAR(V$2)=YEAR($I70),ROUND(((V$2-$I70+1)/365)*$D70,2),AND(YEAR(V$2)&gt;YEAR($I70),YEAR(V$2)-YEAR($I70)&lt;20),$D70,YEAR(V$2)-YEAR($I70)=20,ROUND((DATE(YEAR($I70),12,31)-$I70+1)/365*$D70,2),YEAR(V$2)-YEAR($I70)&gt;20,0)</f>
        <v>2750</v>
      </c>
      <c r="W70" s="48" cm="1">
        <f t="array" ref="W70">_xlfn.IFS(YEAR(W$2)&lt;YEAR($I70),0,YEAR(W$2)=YEAR($I70),ROUND(((W$2-$I70+1)/365)*$D70,2),AND(YEAR(W$2)&gt;YEAR($I70),YEAR(W$2)-YEAR($I70)&lt;20),$D70,YEAR(W$2)-YEAR($I70)=20,ROUND((DATE(YEAR($I70),12,31)-$I70+1)/365*$D70,2),YEAR(W$2)-YEAR($I70)&gt;20,0)</f>
        <v>2750</v>
      </c>
      <c r="X70" s="48" cm="1">
        <f t="array" ref="X70">_xlfn.IFS(YEAR(X$2)&lt;YEAR($I70),0,YEAR(X$2)=YEAR($I70),ROUND(((X$2-$I70+1)/365)*$D70,2),AND(YEAR(X$2)&gt;YEAR($I70),YEAR(X$2)-YEAR($I70)&lt;20),$D70,YEAR(X$2)-YEAR($I70)=20,ROUND((DATE(YEAR($I70),12,31)-$I70+1)/365*$D70,2),YEAR(X$2)-YEAR($I70)&gt;20,0)</f>
        <v>2750</v>
      </c>
      <c r="Y70" s="48" cm="1">
        <f t="array" ref="Y70">_xlfn.IFS(YEAR(Y$2)&lt;YEAR($I70),0,YEAR(Y$2)=YEAR($I70),ROUND(((Y$2-$I70+1)/365)*$D70,2),AND(YEAR(Y$2)&gt;YEAR($I70),YEAR(Y$2)-YEAR($I70)&lt;20),$D70,YEAR(Y$2)-YEAR($I70)=20,ROUND((DATE(YEAR($I70),12,31)-$I70+1)/365*$D70,2),YEAR(Y$2)-YEAR($I70)&gt;20,0)</f>
        <v>2750</v>
      </c>
      <c r="Z70" s="48" cm="1">
        <f t="array" ref="Z70">_xlfn.IFS(YEAR(Z$2)&lt;YEAR($I70),0,YEAR(Z$2)=YEAR($I70),ROUND(((Z$2-$I70+1)/365)*$D70,2),AND(YEAR(Z$2)&gt;YEAR($I70),YEAR(Z$2)-YEAR($I70)&lt;20),$D70,YEAR(Z$2)-YEAR($I70)=20,ROUND((DATE(YEAR($I70),12,31)-$I70+1)/365*$D70,2),YEAR(Z$2)-YEAR($I70)&gt;20,0)</f>
        <v>2750</v>
      </c>
      <c r="AA70" s="48" cm="1">
        <f t="array" ref="AA70">_xlfn.IFS(YEAR(AA$2)&lt;YEAR($I70),0,YEAR(AA$2)=YEAR($I70),ROUND(((AA$2-$I70+1)/365)*$D70,2),AND(YEAR(AA$2)&gt;YEAR($I70),YEAR(AA$2)-YEAR($I70)&lt;20),$D70,YEAR(AA$2)-YEAR($I70)=20,ROUND((DATE(YEAR($I70),12,31)-$I70+1)/365*$D70,2),YEAR(AA$2)-YEAR($I70)&gt;20,0)</f>
        <v>2750</v>
      </c>
      <c r="AB70" s="48" cm="1">
        <f t="array" ref="AB70">_xlfn.IFS(YEAR(AB$2)&lt;YEAR($I70),0,YEAR(AB$2)=YEAR($I70),ROUND(((AB$2-$I70+1)/365)*$D70,2),AND(YEAR(AB$2)&gt;YEAR($I70),YEAR(AB$2)-YEAR($I70)&lt;20),$D70,YEAR(AB$2)-YEAR($I70)=20,ROUND((DATE(YEAR($I70),12,31)-$I70+1)/365*$D70,2),YEAR(AB$2)-YEAR($I70)&gt;20,0)</f>
        <v>2750</v>
      </c>
      <c r="AC70" s="48" cm="1">
        <f t="array" ref="AC70">_xlfn.IFS(YEAR(AC$2)&lt;YEAR($I70),0,YEAR(AC$2)=YEAR($I70),ROUND(((AC$2-$I70+1)/365)*$D70,2),AND(YEAR(AC$2)&gt;YEAR($I70),YEAR(AC$2)-YEAR($I70)&lt;20),$D70,YEAR(AC$2)-YEAR($I70)=20,ROUND((DATE(YEAR($I70),12,31)-$I70+1)/365*$D70,2),YEAR(AC$2)-YEAR($I70)&gt;20,0)</f>
        <v>2750</v>
      </c>
      <c r="AD70" s="48" cm="1">
        <f t="array" ref="AD70">_xlfn.IFS(YEAR(AD$2)&lt;YEAR($I70),0,YEAR(AD$2)=YEAR($I70),ROUND(((AD$2-$I70+1)/365)*$D70,2),AND(YEAR(AD$2)&gt;YEAR($I70),YEAR(AD$2)-YEAR($I70)&lt;20),$D70,YEAR(AD$2)-YEAR($I70)=20,ROUND((DATE(YEAR($I70),12,31)-$I70+1)/365*$D70,2),YEAR(AD$2)-YEAR($I70)&gt;20,0)</f>
        <v>2750</v>
      </c>
      <c r="AE70" s="48" cm="1">
        <f t="array" ref="AE70">_xlfn.IFS(YEAR(AE$2)&lt;YEAR($I70),0,YEAR(AE$2)=YEAR($I70),ROUND(((AE$2-$I70+1)/365)*$D70,2),AND(YEAR(AE$2)&gt;YEAR($I70),YEAR(AE$2)-YEAR($I70)&lt;20),$D70,YEAR(AE$2)-YEAR($I70)=20,ROUND((DATE(YEAR($I70),12,31)-$I70+1)/365*$D70,2),YEAR(AE$2)-YEAR($I70)&gt;20,0)</f>
        <v>2750</v>
      </c>
      <c r="AF70" s="48" cm="1">
        <f t="array" ref="AF70">_xlfn.IFS(YEAR(AF$2)&lt;YEAR($I70),0,YEAR(AF$2)=YEAR($I70),ROUND(((AF$2-$I70+1)/365)*$D70,2),AND(YEAR(AF$2)&gt;YEAR($I70),YEAR(AF$2)-YEAR($I70)&lt;20),$D70,YEAR(AF$2)-YEAR($I70)=20,ROUND((DATE(YEAR($I70),12,31)-$I70+1)/365*$D70,2),YEAR(AF$2)-YEAR($I70)&gt;20,0)</f>
        <v>2750</v>
      </c>
      <c r="AG70" s="48" cm="1">
        <f t="array" ref="AG70">_xlfn.IFS(YEAR(AG$2)&lt;YEAR($I70),0,YEAR(AG$2)=YEAR($I70),ROUND(((AG$2-$I70+1)/365)*$D70,2),AND(YEAR(AG$2)&gt;YEAR($I70),YEAR(AG$2)-YEAR($I70)&lt;20),$D70,YEAR(AG$2)-YEAR($I70)=20,ROUND((DATE(YEAR($I70),12,31)-$I70+1)/365*$D70,2),YEAR(AG$2)-YEAR($I70)&gt;20,0)</f>
        <v>2750</v>
      </c>
      <c r="AH70" s="48" cm="1">
        <f t="array" ref="AH70">_xlfn.IFS(YEAR(AH$2)&lt;YEAR($I70),0,YEAR(AH$2)=YEAR($I70),ROUND(((AH$2-$I70+1)/365)*$D70,2),AND(YEAR(AH$2)&gt;YEAR($I70),YEAR(AH$2)-YEAR($I70)&lt;20),$D70,YEAR(AH$2)-YEAR($I70)=20,ROUND((DATE(YEAR($I70),12,31)-$I70+1)/365*$D70,2),YEAR(AH$2)-YEAR($I70)&gt;20,0)</f>
        <v>2750</v>
      </c>
      <c r="AI70" s="48" cm="1">
        <f t="array" ref="AI70">_xlfn.IFS(YEAR(AI$2)&lt;YEAR($I70),0,YEAR(AI$2)=YEAR($I70),ROUND(((AI$2-$I70+1)/365)*$D70,2),AND(YEAR(AI$2)&gt;YEAR($I70),YEAR(AI$2)-YEAR($I70)&lt;20),$D70,YEAR(AI$2)-YEAR($I70)=20,ROUND((DATE(YEAR($I70),12,31)-$I70+1)/365*$D70,2),YEAR(AI$2)-YEAR($I70)&gt;20,0)</f>
        <v>519.86</v>
      </c>
      <c r="AJ70" s="48" cm="1">
        <f t="array" ref="AJ70">_xlfn.IFS(YEAR(AJ$2)&lt;YEAR($I70),0,YEAR(AJ$2)=YEAR($I70),ROUND(((AJ$2-$I70+1)/365)*$D70,2),AND(YEAR(AJ$2)&gt;YEAR($I70),YEAR(AJ$2)-YEAR($I70)&lt;20),$D70,YEAR(AJ$2)-YEAR($I70)=20,ROUND((DATE(YEAR($I70),12,31)-$I70+1)/365*$D70,2),YEAR(AJ$2)-YEAR($I70)&gt;20,0)</f>
        <v>0</v>
      </c>
      <c r="AK70" s="48" cm="1">
        <f t="array" ref="AK70">_xlfn.IFS(YEAR(AK$2)&lt;YEAR($I70),0,YEAR(AK$2)=YEAR($I70),ROUND(((AK$2-$I70+1)/365)*$D70,2),AND(YEAR(AK$2)&gt;YEAR($I70),YEAR(AK$2)-YEAR($I70)&lt;20),$D70,YEAR(AK$2)-YEAR($I70)=20,ROUND((DATE(YEAR($I70),12,31)-$I70+1)/365*$D70,2),YEAR(AK$2)-YEAR($I70)&gt;20,0)</f>
        <v>0</v>
      </c>
      <c r="AL70" s="48" cm="1">
        <f t="array" ref="AL70">_xlfn.IFS(YEAR(AL$2)&lt;YEAR($I70),0,YEAR(AL$2)=YEAR($I70),ROUND(((AL$2-$I70+1)/365)*$D70,2),AND(YEAR(AL$2)&gt;YEAR($I70),YEAR(AL$2)-YEAR($I70)&lt;20),$D70,YEAR(AL$2)-YEAR($I70)=20,ROUND((DATE(YEAR($I70),12,31)-$I70+1)/365*$D70,2),YEAR(AL$2)-YEAR($I70)&gt;20,0)</f>
        <v>0</v>
      </c>
      <c r="AM70" s="48" cm="1">
        <f t="array" ref="AM70">_xlfn.IFS(YEAR(AM$2)&lt;YEAR($I70),0,YEAR(AM$2)=YEAR($I70),ROUND(((AM$2-$I70+1)/365)*$D70,2),AND(YEAR(AM$2)&gt;YEAR($I70),YEAR(AM$2)-YEAR($I70)&lt;20),$D70,YEAR(AM$2)-YEAR($I70)=20,ROUND((DATE(YEAR($I70),12,31)-$I70+1)/365*$D70,2),YEAR(AM$2)-YEAR($I70)&gt;20,0)</f>
        <v>0</v>
      </c>
    </row>
    <row r="71" spans="1:39">
      <c r="A71" s="155" t="str" cm="1">
        <f t="array" ref="A71">_xlfn.IFS(LEFT(C71,3)="PGE","PGE",LEFT(C71,2)="PP","PAC",TRUE,"IP")</f>
        <v>PAC</v>
      </c>
      <c r="B71" s="155" t="str">
        <f>IF(ISNA(MATCH(C71,'Monthly Report July 2025'!E:E,0)),"Missing","Present")</f>
        <v>Present</v>
      </c>
      <c r="C71" s="155" t="s">
        <v>180</v>
      </c>
      <c r="D71" s="176" cm="1">
        <f t="array" ref="D71">INDEX('Monthly Report July 2025'!L:L,MATCH(C71,'Monthly Report July 2025'!E:E,0),0)</f>
        <v>332</v>
      </c>
      <c r="E71" s="176" t="str" cm="1">
        <f t="array" ref="E71">IF(INDEX('PA Fees by Project'!K:K,MATCH(C71,'PA Fees by Project'!E:E,0),0)="No","Non-Carve Out", "Carve Out")</f>
        <v>Carve Out</v>
      </c>
      <c r="F71" s="176" cm="1">
        <f t="array" ref="F71">INDEX('PA Fees by Project'!J:J,MATCH(C71,'PA Fees by Project'!E:E,0),0)</f>
        <v>2</v>
      </c>
      <c r="G71" s="155" t="str" cm="1">
        <f t="array" ref="G71">INDEX('PA Fees by Project'!G:G,MATCH(C71,'PA Fees by Project'!E:E,0),0)</f>
        <v>Pre-Certified</v>
      </c>
      <c r="H71" s="175" t="str" cm="1">
        <f t="array" ref="H71">INDEX('PA Fees by Project'!Q:Q,MATCH(C71,'PA Fees by Project'!E:E,0),0)</f>
        <v/>
      </c>
      <c r="I71" s="156" cm="1">
        <f t="array" ref="I71">_xlfn.IFS(G71="Operational",H71,G71="Certified",EDATE(INDEX('PA Fees by Project'!R:R,MATCH(C71,'PA Fees by Project'!E:E,0),0),6),TRUE,EDATE(INDEX('PA Fees by Project'!O:O,MATCH(C71,'PA Fees by Project'!E:E,0),0),6))</f>
        <v>46463</v>
      </c>
      <c r="J71" s="48" cm="1">
        <f t="array" ref="J71">_xlfn.IFS(YEAR(J$2)&lt;YEAR($I71),0,YEAR(J$2)=YEAR($I71),ROUND(((J$2-$I71+1)/365)*$D71,2),AND(YEAR(J$2)&gt;YEAR($I71),YEAR(J$2)-YEAR($I71)&lt;20),$D71,YEAR(J$2)-YEAR($I71)=20,ROUND((DATE(YEAR($I71),12,31)-$I71+1)/365*$D71,2),YEAR(J$2)-YEAR($I71)&gt;20,0)</f>
        <v>0</v>
      </c>
      <c r="K71" s="48" cm="1">
        <f t="array" ref="K71">_xlfn.IFS(YEAR(K$2)&lt;YEAR($I71),0,YEAR(K$2)=YEAR($I71),ROUND(((K$2-$I71+1)/365)*$D71,2),AND(YEAR(K$2)&gt;YEAR($I71),YEAR(K$2)-YEAR($I71)&lt;20),$D71,YEAR(K$2)-YEAR($I71)=20,ROUND((DATE(YEAR($I71),12,31)-$I71+1)/365*$D71,2),YEAR(K$2)-YEAR($I71)&gt;20,0)</f>
        <v>0</v>
      </c>
      <c r="L71" s="48" cm="1">
        <f t="array" ref="L71">_xlfn.IFS(YEAR(L$2)&lt;YEAR($I71),0,YEAR(L$2)=YEAR($I71),ROUND(((L$2-$I71+1)/365)*$D71,2),AND(YEAR(L$2)&gt;YEAR($I71),YEAR(L$2)-YEAR($I71)&lt;20),$D71,YEAR(L$2)-YEAR($I71)=20,ROUND((DATE(YEAR($I71),12,31)-$I71+1)/365*$D71,2),YEAR(L$2)-YEAR($I71)&gt;20,0)</f>
        <v>0</v>
      </c>
      <c r="M71" s="48" cm="1">
        <f t="array" ref="M71">_xlfn.IFS(YEAR(M$2)&lt;YEAR($I71),0,YEAR(M$2)=YEAR($I71),ROUND(((M$2-$I71+1)/365)*$D71,2),AND(YEAR(M$2)&gt;YEAR($I71),YEAR(M$2)-YEAR($I71)&lt;20),$D71,YEAR(M$2)-YEAR($I71)=20,ROUND((DATE(YEAR($I71),12,31)-$I71+1)/365*$D71,2),YEAR(M$2)-YEAR($I71)&gt;20,0)</f>
        <v>0</v>
      </c>
      <c r="N71" s="48" cm="1">
        <f t="array" ref="N71">_xlfn.IFS(YEAR(N$2)&lt;YEAR($I71),0,YEAR(N$2)=YEAR($I71),ROUND(((N$2-$I71+1)/365)*$D71,2),AND(YEAR(N$2)&gt;YEAR($I71),YEAR(N$2)-YEAR($I71)&lt;20),$D71,YEAR(N$2)-YEAR($I71)=20,ROUND((DATE(YEAR($I71),12,31)-$I71+1)/365*$D71,2),YEAR(N$2)-YEAR($I71)&gt;20,0)</f>
        <v>0</v>
      </c>
      <c r="O71" s="48" cm="1">
        <f t="array" ref="O71">_xlfn.IFS(YEAR(O$2)&lt;YEAR($I71),0,YEAR(O$2)=YEAR($I71),ROUND(((O$2-$I71+1)/365)*$D71,2),AND(YEAR(O$2)&gt;YEAR($I71),YEAR(O$2)-YEAR($I71)&lt;20),$D71,YEAR(O$2)-YEAR($I71)=20,ROUND((DATE(YEAR($I71),12,31)-$I71+1)/365*$D71,2),YEAR(O$2)-YEAR($I71)&gt;20,0)</f>
        <v>0</v>
      </c>
      <c r="P71" s="48" cm="1">
        <f t="array" ref="P71">_xlfn.IFS(YEAR(P$2)&lt;YEAR($I71),0,YEAR(P$2)=YEAR($I71),ROUND(((P$2-$I71+1)/365)*$D71,2),AND(YEAR(P$2)&gt;YEAR($I71),YEAR(P$2)-YEAR($I71)&lt;20),$D71,YEAR(P$2)-YEAR($I71)=20,ROUND((DATE(YEAR($I71),12,31)-$I71+1)/365*$D71,2),YEAR(P$2)-YEAR($I71)&gt;20,0)</f>
        <v>263.77999999999997</v>
      </c>
      <c r="Q71" s="48" cm="1">
        <f t="array" ref="Q71">_xlfn.IFS(YEAR(Q$2)&lt;YEAR($I71),0,YEAR(Q$2)=YEAR($I71),ROUND(((Q$2-$I71+1)/365)*$D71,2),AND(YEAR(Q$2)&gt;YEAR($I71),YEAR(Q$2)-YEAR($I71)&lt;20),$D71,YEAR(Q$2)-YEAR($I71)=20,ROUND((DATE(YEAR($I71),12,31)-$I71+1)/365*$D71,2),YEAR(Q$2)-YEAR($I71)&gt;20,0)</f>
        <v>332</v>
      </c>
      <c r="R71" s="48" cm="1">
        <f t="array" ref="R71">_xlfn.IFS(YEAR(R$2)&lt;YEAR($I71),0,YEAR(R$2)=YEAR($I71),ROUND(((R$2-$I71+1)/365)*$D71,2),AND(YEAR(R$2)&gt;YEAR($I71),YEAR(R$2)-YEAR($I71)&lt;20),$D71,YEAR(R$2)-YEAR($I71)=20,ROUND((DATE(YEAR($I71),12,31)-$I71+1)/365*$D71,2),YEAR(R$2)-YEAR($I71)&gt;20,0)</f>
        <v>332</v>
      </c>
      <c r="S71" s="48" cm="1">
        <f t="array" ref="S71">_xlfn.IFS(YEAR(S$2)&lt;YEAR($I71),0,YEAR(S$2)=YEAR($I71),ROUND(((S$2-$I71+1)/365)*$D71,2),AND(YEAR(S$2)&gt;YEAR($I71),YEAR(S$2)-YEAR($I71)&lt;20),$D71,YEAR(S$2)-YEAR($I71)=20,ROUND((DATE(YEAR($I71),12,31)-$I71+1)/365*$D71,2),YEAR(S$2)-YEAR($I71)&gt;20,0)</f>
        <v>332</v>
      </c>
      <c r="T71" s="48" cm="1">
        <f t="array" ref="T71">_xlfn.IFS(YEAR(T$2)&lt;YEAR($I71),0,YEAR(T$2)=YEAR($I71),ROUND(((T$2-$I71+1)/365)*$D71,2),AND(YEAR(T$2)&gt;YEAR($I71),YEAR(T$2)-YEAR($I71)&lt;20),$D71,YEAR(T$2)-YEAR($I71)=20,ROUND((DATE(YEAR($I71),12,31)-$I71+1)/365*$D71,2),YEAR(T$2)-YEAR($I71)&gt;20,0)</f>
        <v>332</v>
      </c>
      <c r="U71" s="48" cm="1">
        <f t="array" ref="U71">_xlfn.IFS(YEAR(U$2)&lt;YEAR($I71),0,YEAR(U$2)=YEAR($I71),ROUND(((U$2-$I71+1)/365)*$D71,2),AND(YEAR(U$2)&gt;YEAR($I71),YEAR(U$2)-YEAR($I71)&lt;20),$D71,YEAR(U$2)-YEAR($I71)=20,ROUND((DATE(YEAR($I71),12,31)-$I71+1)/365*$D71,2),YEAR(U$2)-YEAR($I71)&gt;20,0)</f>
        <v>332</v>
      </c>
      <c r="V71" s="48" cm="1">
        <f t="array" ref="V71">_xlfn.IFS(YEAR(V$2)&lt;YEAR($I71),0,YEAR(V$2)=YEAR($I71),ROUND(((V$2-$I71+1)/365)*$D71,2),AND(YEAR(V$2)&gt;YEAR($I71),YEAR(V$2)-YEAR($I71)&lt;20),$D71,YEAR(V$2)-YEAR($I71)=20,ROUND((DATE(YEAR($I71),12,31)-$I71+1)/365*$D71,2),YEAR(V$2)-YEAR($I71)&gt;20,0)</f>
        <v>332</v>
      </c>
      <c r="W71" s="48" cm="1">
        <f t="array" ref="W71">_xlfn.IFS(YEAR(W$2)&lt;YEAR($I71),0,YEAR(W$2)=YEAR($I71),ROUND(((W$2-$I71+1)/365)*$D71,2),AND(YEAR(W$2)&gt;YEAR($I71),YEAR(W$2)-YEAR($I71)&lt;20),$D71,YEAR(W$2)-YEAR($I71)=20,ROUND((DATE(YEAR($I71),12,31)-$I71+1)/365*$D71,2),YEAR(W$2)-YEAR($I71)&gt;20,0)</f>
        <v>332</v>
      </c>
      <c r="X71" s="48" cm="1">
        <f t="array" ref="X71">_xlfn.IFS(YEAR(X$2)&lt;YEAR($I71),0,YEAR(X$2)=YEAR($I71),ROUND(((X$2-$I71+1)/365)*$D71,2),AND(YEAR(X$2)&gt;YEAR($I71),YEAR(X$2)-YEAR($I71)&lt;20),$D71,YEAR(X$2)-YEAR($I71)=20,ROUND((DATE(YEAR($I71),12,31)-$I71+1)/365*$D71,2),YEAR(X$2)-YEAR($I71)&gt;20,0)</f>
        <v>332</v>
      </c>
      <c r="Y71" s="48" cm="1">
        <f t="array" ref="Y71">_xlfn.IFS(YEAR(Y$2)&lt;YEAR($I71),0,YEAR(Y$2)=YEAR($I71),ROUND(((Y$2-$I71+1)/365)*$D71,2),AND(YEAR(Y$2)&gt;YEAR($I71),YEAR(Y$2)-YEAR($I71)&lt;20),$D71,YEAR(Y$2)-YEAR($I71)=20,ROUND((DATE(YEAR($I71),12,31)-$I71+1)/365*$D71,2),YEAR(Y$2)-YEAR($I71)&gt;20,0)</f>
        <v>332</v>
      </c>
      <c r="Z71" s="48" cm="1">
        <f t="array" ref="Z71">_xlfn.IFS(YEAR(Z$2)&lt;YEAR($I71),0,YEAR(Z$2)=YEAR($I71),ROUND(((Z$2-$I71+1)/365)*$D71,2),AND(YEAR(Z$2)&gt;YEAR($I71),YEAR(Z$2)-YEAR($I71)&lt;20),$D71,YEAR(Z$2)-YEAR($I71)=20,ROUND((DATE(YEAR($I71),12,31)-$I71+1)/365*$D71,2),YEAR(Z$2)-YEAR($I71)&gt;20,0)</f>
        <v>332</v>
      </c>
      <c r="AA71" s="48" cm="1">
        <f t="array" ref="AA71">_xlfn.IFS(YEAR(AA$2)&lt;YEAR($I71),0,YEAR(AA$2)=YEAR($I71),ROUND(((AA$2-$I71+1)/365)*$D71,2),AND(YEAR(AA$2)&gt;YEAR($I71),YEAR(AA$2)-YEAR($I71)&lt;20),$D71,YEAR(AA$2)-YEAR($I71)=20,ROUND((DATE(YEAR($I71),12,31)-$I71+1)/365*$D71,2),YEAR(AA$2)-YEAR($I71)&gt;20,0)</f>
        <v>332</v>
      </c>
      <c r="AB71" s="48" cm="1">
        <f t="array" ref="AB71">_xlfn.IFS(YEAR(AB$2)&lt;YEAR($I71),0,YEAR(AB$2)=YEAR($I71),ROUND(((AB$2-$I71+1)/365)*$D71,2),AND(YEAR(AB$2)&gt;YEAR($I71),YEAR(AB$2)-YEAR($I71)&lt;20),$D71,YEAR(AB$2)-YEAR($I71)=20,ROUND((DATE(YEAR($I71),12,31)-$I71+1)/365*$D71,2),YEAR(AB$2)-YEAR($I71)&gt;20,0)</f>
        <v>332</v>
      </c>
      <c r="AC71" s="48" cm="1">
        <f t="array" ref="AC71">_xlfn.IFS(YEAR(AC$2)&lt;YEAR($I71),0,YEAR(AC$2)=YEAR($I71),ROUND(((AC$2-$I71+1)/365)*$D71,2),AND(YEAR(AC$2)&gt;YEAR($I71),YEAR(AC$2)-YEAR($I71)&lt;20),$D71,YEAR(AC$2)-YEAR($I71)=20,ROUND((DATE(YEAR($I71),12,31)-$I71+1)/365*$D71,2),YEAR(AC$2)-YEAR($I71)&gt;20,0)</f>
        <v>332</v>
      </c>
      <c r="AD71" s="48" cm="1">
        <f t="array" ref="AD71">_xlfn.IFS(YEAR(AD$2)&lt;YEAR($I71),0,YEAR(AD$2)=YEAR($I71),ROUND(((AD$2-$I71+1)/365)*$D71,2),AND(YEAR(AD$2)&gt;YEAR($I71),YEAR(AD$2)-YEAR($I71)&lt;20),$D71,YEAR(AD$2)-YEAR($I71)=20,ROUND((DATE(YEAR($I71),12,31)-$I71+1)/365*$D71,2),YEAR(AD$2)-YEAR($I71)&gt;20,0)</f>
        <v>332</v>
      </c>
      <c r="AE71" s="48" cm="1">
        <f t="array" ref="AE71">_xlfn.IFS(YEAR(AE$2)&lt;YEAR($I71),0,YEAR(AE$2)=YEAR($I71),ROUND(((AE$2-$I71+1)/365)*$D71,2),AND(YEAR(AE$2)&gt;YEAR($I71),YEAR(AE$2)-YEAR($I71)&lt;20),$D71,YEAR(AE$2)-YEAR($I71)=20,ROUND((DATE(YEAR($I71),12,31)-$I71+1)/365*$D71,2),YEAR(AE$2)-YEAR($I71)&gt;20,0)</f>
        <v>332</v>
      </c>
      <c r="AF71" s="48" cm="1">
        <f t="array" ref="AF71">_xlfn.IFS(YEAR(AF$2)&lt;YEAR($I71),0,YEAR(AF$2)=YEAR($I71),ROUND(((AF$2-$I71+1)/365)*$D71,2),AND(YEAR(AF$2)&gt;YEAR($I71),YEAR(AF$2)-YEAR($I71)&lt;20),$D71,YEAR(AF$2)-YEAR($I71)=20,ROUND((DATE(YEAR($I71),12,31)-$I71+1)/365*$D71,2),YEAR(AF$2)-YEAR($I71)&gt;20,0)</f>
        <v>332</v>
      </c>
      <c r="AG71" s="48" cm="1">
        <f t="array" ref="AG71">_xlfn.IFS(YEAR(AG$2)&lt;YEAR($I71),0,YEAR(AG$2)=YEAR($I71),ROUND(((AG$2-$I71+1)/365)*$D71,2),AND(YEAR(AG$2)&gt;YEAR($I71),YEAR(AG$2)-YEAR($I71)&lt;20),$D71,YEAR(AG$2)-YEAR($I71)=20,ROUND((DATE(YEAR($I71),12,31)-$I71+1)/365*$D71,2),YEAR(AG$2)-YEAR($I71)&gt;20,0)</f>
        <v>332</v>
      </c>
      <c r="AH71" s="48" cm="1">
        <f t="array" ref="AH71">_xlfn.IFS(YEAR(AH$2)&lt;YEAR($I71),0,YEAR(AH$2)=YEAR($I71),ROUND(((AH$2-$I71+1)/365)*$D71,2),AND(YEAR(AH$2)&gt;YEAR($I71),YEAR(AH$2)-YEAR($I71)&lt;20),$D71,YEAR(AH$2)-YEAR($I71)=20,ROUND((DATE(YEAR($I71),12,31)-$I71+1)/365*$D71,2),YEAR(AH$2)-YEAR($I71)&gt;20,0)</f>
        <v>332</v>
      </c>
      <c r="AI71" s="48" cm="1">
        <f t="array" ref="AI71">_xlfn.IFS(YEAR(AI$2)&lt;YEAR($I71),0,YEAR(AI$2)=YEAR($I71),ROUND(((AI$2-$I71+1)/365)*$D71,2),AND(YEAR(AI$2)&gt;YEAR($I71),YEAR(AI$2)-YEAR($I71)&lt;20),$D71,YEAR(AI$2)-YEAR($I71)=20,ROUND((DATE(YEAR($I71),12,31)-$I71+1)/365*$D71,2),YEAR(AI$2)-YEAR($I71)&gt;20,0)</f>
        <v>332</v>
      </c>
      <c r="AJ71" s="48" cm="1">
        <f t="array" ref="AJ71">_xlfn.IFS(YEAR(AJ$2)&lt;YEAR($I71),0,YEAR(AJ$2)=YEAR($I71),ROUND(((AJ$2-$I71+1)/365)*$D71,2),AND(YEAR(AJ$2)&gt;YEAR($I71),YEAR(AJ$2)-YEAR($I71)&lt;20),$D71,YEAR(AJ$2)-YEAR($I71)=20,ROUND((DATE(YEAR($I71),12,31)-$I71+1)/365*$D71,2),YEAR(AJ$2)-YEAR($I71)&gt;20,0)</f>
        <v>263.77999999999997</v>
      </c>
      <c r="AK71" s="48" cm="1">
        <f t="array" ref="AK71">_xlfn.IFS(YEAR(AK$2)&lt;YEAR($I71),0,YEAR(AK$2)=YEAR($I71),ROUND(((AK$2-$I71+1)/365)*$D71,2),AND(YEAR(AK$2)&gt;YEAR($I71),YEAR(AK$2)-YEAR($I71)&lt;20),$D71,YEAR(AK$2)-YEAR($I71)=20,ROUND((DATE(YEAR($I71),12,31)-$I71+1)/365*$D71,2),YEAR(AK$2)-YEAR($I71)&gt;20,0)</f>
        <v>0</v>
      </c>
      <c r="AL71" s="48" cm="1">
        <f t="array" ref="AL71">_xlfn.IFS(YEAR(AL$2)&lt;YEAR($I71),0,YEAR(AL$2)=YEAR($I71),ROUND(((AL$2-$I71+1)/365)*$D71,2),AND(YEAR(AL$2)&gt;YEAR($I71),YEAR(AL$2)-YEAR($I71)&lt;20),$D71,YEAR(AL$2)-YEAR($I71)=20,ROUND((DATE(YEAR($I71),12,31)-$I71+1)/365*$D71,2),YEAR(AL$2)-YEAR($I71)&gt;20,0)</f>
        <v>0</v>
      </c>
      <c r="AM71" s="48" cm="1">
        <f t="array" ref="AM71">_xlfn.IFS(YEAR(AM$2)&lt;YEAR($I71),0,YEAR(AM$2)=YEAR($I71),ROUND(((AM$2-$I71+1)/365)*$D71,2),AND(YEAR(AM$2)&gt;YEAR($I71),YEAR(AM$2)-YEAR($I71)&lt;20),$D71,YEAR(AM$2)-YEAR($I71)=20,ROUND((DATE(YEAR($I71),12,31)-$I71+1)/365*$D71,2),YEAR(AM$2)-YEAR($I71)&gt;20,0)</f>
        <v>0</v>
      </c>
    </row>
    <row r="72" spans="1:39">
      <c r="A72" s="155" t="str" cm="1">
        <f t="array" ref="A72">_xlfn.IFS(LEFT(C72,3)="PGE","PGE",LEFT(C72,2)="PP","PAC",TRUE,"IP")</f>
        <v>PGE</v>
      </c>
      <c r="B72" s="155" t="str">
        <f>IF(ISNA(MATCH(C72,'Monthly Report July 2025'!E:E,0)),"Missing","Present")</f>
        <v>Present</v>
      </c>
      <c r="C72" s="155" t="s">
        <v>181</v>
      </c>
      <c r="D72" s="176" cm="1">
        <f t="array" ref="D72">INDEX('Monthly Report July 2025'!L:L,MATCH(C72,'Monthly Report July 2025'!E:E,0),0)</f>
        <v>3000</v>
      </c>
      <c r="E72" s="176" t="str" cm="1">
        <f t="array" ref="E72">IF(INDEX('PA Fees by Project'!K:K,MATCH(C72,'PA Fees by Project'!E:E,0),0)="No","Non-Carve Out", "Carve Out")</f>
        <v>Carve Out</v>
      </c>
      <c r="F72" s="176" cm="1">
        <f t="array" ref="F72">INDEX('PA Fees by Project'!J:J,MATCH(C72,'PA Fees by Project'!E:E,0),0)</f>
        <v>2</v>
      </c>
      <c r="G72" s="155" t="str" cm="1">
        <f t="array" ref="G72">INDEX('PA Fees by Project'!G:G,MATCH(C72,'PA Fees by Project'!E:E,0),0)</f>
        <v>Pre-Certified</v>
      </c>
      <c r="H72" s="175" t="str" cm="1">
        <f t="array" ref="H72">INDEX('PA Fees by Project'!Q:Q,MATCH(C72,'PA Fees by Project'!E:E,0),0)</f>
        <v/>
      </c>
      <c r="I72" s="156" cm="1">
        <f t="array" ref="I72">_xlfn.IFS(G72="Operational",H72,G72="Certified",EDATE(INDEX('PA Fees by Project'!R:R,MATCH(C72,'PA Fees by Project'!E:E,0),0),6),TRUE,EDATE(INDEX('PA Fees by Project'!O:O,MATCH(C72,'PA Fees by Project'!E:E,0),0),6))</f>
        <v>46463</v>
      </c>
      <c r="J72" s="48" cm="1">
        <f t="array" ref="J72">_xlfn.IFS(YEAR(J$2)&lt;YEAR($I72),0,YEAR(J$2)=YEAR($I72),ROUND(((J$2-$I72+1)/365)*$D72,2),AND(YEAR(J$2)&gt;YEAR($I72),YEAR(J$2)-YEAR($I72)&lt;20),$D72,YEAR(J$2)-YEAR($I72)=20,ROUND((DATE(YEAR($I72),12,31)-$I72+1)/365*$D72,2),YEAR(J$2)-YEAR($I72)&gt;20,0)</f>
        <v>0</v>
      </c>
      <c r="K72" s="48" cm="1">
        <f t="array" ref="K72">_xlfn.IFS(YEAR(K$2)&lt;YEAR($I72),0,YEAR(K$2)=YEAR($I72),ROUND(((K$2-$I72+1)/365)*$D72,2),AND(YEAR(K$2)&gt;YEAR($I72),YEAR(K$2)-YEAR($I72)&lt;20),$D72,YEAR(K$2)-YEAR($I72)=20,ROUND((DATE(YEAR($I72),12,31)-$I72+1)/365*$D72,2),YEAR(K$2)-YEAR($I72)&gt;20,0)</f>
        <v>0</v>
      </c>
      <c r="L72" s="48" cm="1">
        <f t="array" ref="L72">_xlfn.IFS(YEAR(L$2)&lt;YEAR($I72),0,YEAR(L$2)=YEAR($I72),ROUND(((L$2-$I72+1)/365)*$D72,2),AND(YEAR(L$2)&gt;YEAR($I72),YEAR(L$2)-YEAR($I72)&lt;20),$D72,YEAR(L$2)-YEAR($I72)=20,ROUND((DATE(YEAR($I72),12,31)-$I72+1)/365*$D72,2),YEAR(L$2)-YEAR($I72)&gt;20,0)</f>
        <v>0</v>
      </c>
      <c r="M72" s="48" cm="1">
        <f t="array" ref="M72">_xlfn.IFS(YEAR(M$2)&lt;YEAR($I72),0,YEAR(M$2)=YEAR($I72),ROUND(((M$2-$I72+1)/365)*$D72,2),AND(YEAR(M$2)&gt;YEAR($I72),YEAR(M$2)-YEAR($I72)&lt;20),$D72,YEAR(M$2)-YEAR($I72)=20,ROUND((DATE(YEAR($I72),12,31)-$I72+1)/365*$D72,2),YEAR(M$2)-YEAR($I72)&gt;20,0)</f>
        <v>0</v>
      </c>
      <c r="N72" s="48" cm="1">
        <f t="array" ref="N72">_xlfn.IFS(YEAR(N$2)&lt;YEAR($I72),0,YEAR(N$2)=YEAR($I72),ROUND(((N$2-$I72+1)/365)*$D72,2),AND(YEAR(N$2)&gt;YEAR($I72),YEAR(N$2)-YEAR($I72)&lt;20),$D72,YEAR(N$2)-YEAR($I72)=20,ROUND((DATE(YEAR($I72),12,31)-$I72+1)/365*$D72,2),YEAR(N$2)-YEAR($I72)&gt;20,0)</f>
        <v>0</v>
      </c>
      <c r="O72" s="48" cm="1">
        <f t="array" ref="O72">_xlfn.IFS(YEAR(O$2)&lt;YEAR($I72),0,YEAR(O$2)=YEAR($I72),ROUND(((O$2-$I72+1)/365)*$D72,2),AND(YEAR(O$2)&gt;YEAR($I72),YEAR(O$2)-YEAR($I72)&lt;20),$D72,YEAR(O$2)-YEAR($I72)=20,ROUND((DATE(YEAR($I72),12,31)-$I72+1)/365*$D72,2),YEAR(O$2)-YEAR($I72)&gt;20,0)</f>
        <v>0</v>
      </c>
      <c r="P72" s="48" cm="1">
        <f t="array" ref="P72">_xlfn.IFS(YEAR(P$2)&lt;YEAR($I72),0,YEAR(P$2)=YEAR($I72),ROUND(((P$2-$I72+1)/365)*$D72,2),AND(YEAR(P$2)&gt;YEAR($I72),YEAR(P$2)-YEAR($I72)&lt;20),$D72,YEAR(P$2)-YEAR($I72)=20,ROUND((DATE(YEAR($I72),12,31)-$I72+1)/365*$D72,2),YEAR(P$2)-YEAR($I72)&gt;20,0)</f>
        <v>2383.56</v>
      </c>
      <c r="Q72" s="48" cm="1">
        <f t="array" ref="Q72">_xlfn.IFS(YEAR(Q$2)&lt;YEAR($I72),0,YEAR(Q$2)=YEAR($I72),ROUND(((Q$2-$I72+1)/365)*$D72,2),AND(YEAR(Q$2)&gt;YEAR($I72),YEAR(Q$2)-YEAR($I72)&lt;20),$D72,YEAR(Q$2)-YEAR($I72)=20,ROUND((DATE(YEAR($I72),12,31)-$I72+1)/365*$D72,2),YEAR(Q$2)-YEAR($I72)&gt;20,0)</f>
        <v>3000</v>
      </c>
      <c r="R72" s="48" cm="1">
        <f t="array" ref="R72">_xlfn.IFS(YEAR(R$2)&lt;YEAR($I72),0,YEAR(R$2)=YEAR($I72),ROUND(((R$2-$I72+1)/365)*$D72,2),AND(YEAR(R$2)&gt;YEAR($I72),YEAR(R$2)-YEAR($I72)&lt;20),$D72,YEAR(R$2)-YEAR($I72)=20,ROUND((DATE(YEAR($I72),12,31)-$I72+1)/365*$D72,2),YEAR(R$2)-YEAR($I72)&gt;20,0)</f>
        <v>3000</v>
      </c>
      <c r="S72" s="48" cm="1">
        <f t="array" ref="S72">_xlfn.IFS(YEAR(S$2)&lt;YEAR($I72),0,YEAR(S$2)=YEAR($I72),ROUND(((S$2-$I72+1)/365)*$D72,2),AND(YEAR(S$2)&gt;YEAR($I72),YEAR(S$2)-YEAR($I72)&lt;20),$D72,YEAR(S$2)-YEAR($I72)=20,ROUND((DATE(YEAR($I72),12,31)-$I72+1)/365*$D72,2),YEAR(S$2)-YEAR($I72)&gt;20,0)</f>
        <v>3000</v>
      </c>
      <c r="T72" s="48" cm="1">
        <f t="array" ref="T72">_xlfn.IFS(YEAR(T$2)&lt;YEAR($I72),0,YEAR(T$2)=YEAR($I72),ROUND(((T$2-$I72+1)/365)*$D72,2),AND(YEAR(T$2)&gt;YEAR($I72),YEAR(T$2)-YEAR($I72)&lt;20),$D72,YEAR(T$2)-YEAR($I72)=20,ROUND((DATE(YEAR($I72),12,31)-$I72+1)/365*$D72,2),YEAR(T$2)-YEAR($I72)&gt;20,0)</f>
        <v>3000</v>
      </c>
      <c r="U72" s="48" cm="1">
        <f t="array" ref="U72">_xlfn.IFS(YEAR(U$2)&lt;YEAR($I72),0,YEAR(U$2)=YEAR($I72),ROUND(((U$2-$I72+1)/365)*$D72,2),AND(YEAR(U$2)&gt;YEAR($I72),YEAR(U$2)-YEAR($I72)&lt;20),$D72,YEAR(U$2)-YEAR($I72)=20,ROUND((DATE(YEAR($I72),12,31)-$I72+1)/365*$D72,2),YEAR(U$2)-YEAR($I72)&gt;20,0)</f>
        <v>3000</v>
      </c>
      <c r="V72" s="48" cm="1">
        <f t="array" ref="V72">_xlfn.IFS(YEAR(V$2)&lt;YEAR($I72),0,YEAR(V$2)=YEAR($I72),ROUND(((V$2-$I72+1)/365)*$D72,2),AND(YEAR(V$2)&gt;YEAR($I72),YEAR(V$2)-YEAR($I72)&lt;20),$D72,YEAR(V$2)-YEAR($I72)=20,ROUND((DATE(YEAR($I72),12,31)-$I72+1)/365*$D72,2),YEAR(V$2)-YEAR($I72)&gt;20,0)</f>
        <v>3000</v>
      </c>
      <c r="W72" s="48" cm="1">
        <f t="array" ref="W72">_xlfn.IFS(YEAR(W$2)&lt;YEAR($I72),0,YEAR(W$2)=YEAR($I72),ROUND(((W$2-$I72+1)/365)*$D72,2),AND(YEAR(W$2)&gt;YEAR($I72),YEAR(W$2)-YEAR($I72)&lt;20),$D72,YEAR(W$2)-YEAR($I72)=20,ROUND((DATE(YEAR($I72),12,31)-$I72+1)/365*$D72,2),YEAR(W$2)-YEAR($I72)&gt;20,0)</f>
        <v>3000</v>
      </c>
      <c r="X72" s="48" cm="1">
        <f t="array" ref="X72">_xlfn.IFS(YEAR(X$2)&lt;YEAR($I72),0,YEAR(X$2)=YEAR($I72),ROUND(((X$2-$I72+1)/365)*$D72,2),AND(YEAR(X$2)&gt;YEAR($I72),YEAR(X$2)-YEAR($I72)&lt;20),$D72,YEAR(X$2)-YEAR($I72)=20,ROUND((DATE(YEAR($I72),12,31)-$I72+1)/365*$D72,2),YEAR(X$2)-YEAR($I72)&gt;20,0)</f>
        <v>3000</v>
      </c>
      <c r="Y72" s="48" cm="1">
        <f t="array" ref="Y72">_xlfn.IFS(YEAR(Y$2)&lt;YEAR($I72),0,YEAR(Y$2)=YEAR($I72),ROUND(((Y$2-$I72+1)/365)*$D72,2),AND(YEAR(Y$2)&gt;YEAR($I72),YEAR(Y$2)-YEAR($I72)&lt;20),$D72,YEAR(Y$2)-YEAR($I72)=20,ROUND((DATE(YEAR($I72),12,31)-$I72+1)/365*$D72,2),YEAR(Y$2)-YEAR($I72)&gt;20,0)</f>
        <v>3000</v>
      </c>
      <c r="Z72" s="48" cm="1">
        <f t="array" ref="Z72">_xlfn.IFS(YEAR(Z$2)&lt;YEAR($I72),0,YEAR(Z$2)=YEAR($I72),ROUND(((Z$2-$I72+1)/365)*$D72,2),AND(YEAR(Z$2)&gt;YEAR($I72),YEAR(Z$2)-YEAR($I72)&lt;20),$D72,YEAR(Z$2)-YEAR($I72)=20,ROUND((DATE(YEAR($I72),12,31)-$I72+1)/365*$D72,2),YEAR(Z$2)-YEAR($I72)&gt;20,0)</f>
        <v>3000</v>
      </c>
      <c r="AA72" s="48" cm="1">
        <f t="array" ref="AA72">_xlfn.IFS(YEAR(AA$2)&lt;YEAR($I72),0,YEAR(AA$2)=YEAR($I72),ROUND(((AA$2-$I72+1)/365)*$D72,2),AND(YEAR(AA$2)&gt;YEAR($I72),YEAR(AA$2)-YEAR($I72)&lt;20),$D72,YEAR(AA$2)-YEAR($I72)=20,ROUND((DATE(YEAR($I72),12,31)-$I72+1)/365*$D72,2),YEAR(AA$2)-YEAR($I72)&gt;20,0)</f>
        <v>3000</v>
      </c>
      <c r="AB72" s="48" cm="1">
        <f t="array" ref="AB72">_xlfn.IFS(YEAR(AB$2)&lt;YEAR($I72),0,YEAR(AB$2)=YEAR($I72),ROUND(((AB$2-$I72+1)/365)*$D72,2),AND(YEAR(AB$2)&gt;YEAR($I72),YEAR(AB$2)-YEAR($I72)&lt;20),$D72,YEAR(AB$2)-YEAR($I72)=20,ROUND((DATE(YEAR($I72),12,31)-$I72+1)/365*$D72,2),YEAR(AB$2)-YEAR($I72)&gt;20,0)</f>
        <v>3000</v>
      </c>
      <c r="AC72" s="48" cm="1">
        <f t="array" ref="AC72">_xlfn.IFS(YEAR(AC$2)&lt;YEAR($I72),0,YEAR(AC$2)=YEAR($I72),ROUND(((AC$2-$I72+1)/365)*$D72,2),AND(YEAR(AC$2)&gt;YEAR($I72),YEAR(AC$2)-YEAR($I72)&lt;20),$D72,YEAR(AC$2)-YEAR($I72)=20,ROUND((DATE(YEAR($I72),12,31)-$I72+1)/365*$D72,2),YEAR(AC$2)-YEAR($I72)&gt;20,0)</f>
        <v>3000</v>
      </c>
      <c r="AD72" s="48" cm="1">
        <f t="array" ref="AD72">_xlfn.IFS(YEAR(AD$2)&lt;YEAR($I72),0,YEAR(AD$2)=YEAR($I72),ROUND(((AD$2-$I72+1)/365)*$D72,2),AND(YEAR(AD$2)&gt;YEAR($I72),YEAR(AD$2)-YEAR($I72)&lt;20),$D72,YEAR(AD$2)-YEAR($I72)=20,ROUND((DATE(YEAR($I72),12,31)-$I72+1)/365*$D72,2),YEAR(AD$2)-YEAR($I72)&gt;20,0)</f>
        <v>3000</v>
      </c>
      <c r="AE72" s="48" cm="1">
        <f t="array" ref="AE72">_xlfn.IFS(YEAR(AE$2)&lt;YEAR($I72),0,YEAR(AE$2)=YEAR($I72),ROUND(((AE$2-$I72+1)/365)*$D72,2),AND(YEAR(AE$2)&gt;YEAR($I72),YEAR(AE$2)-YEAR($I72)&lt;20),$D72,YEAR(AE$2)-YEAR($I72)=20,ROUND((DATE(YEAR($I72),12,31)-$I72+1)/365*$D72,2),YEAR(AE$2)-YEAR($I72)&gt;20,0)</f>
        <v>3000</v>
      </c>
      <c r="AF72" s="48" cm="1">
        <f t="array" ref="AF72">_xlfn.IFS(YEAR(AF$2)&lt;YEAR($I72),0,YEAR(AF$2)=YEAR($I72),ROUND(((AF$2-$I72+1)/365)*$D72,2),AND(YEAR(AF$2)&gt;YEAR($I72),YEAR(AF$2)-YEAR($I72)&lt;20),$D72,YEAR(AF$2)-YEAR($I72)=20,ROUND((DATE(YEAR($I72),12,31)-$I72+1)/365*$D72,2),YEAR(AF$2)-YEAR($I72)&gt;20,0)</f>
        <v>3000</v>
      </c>
      <c r="AG72" s="48" cm="1">
        <f t="array" ref="AG72">_xlfn.IFS(YEAR(AG$2)&lt;YEAR($I72),0,YEAR(AG$2)=YEAR($I72),ROUND(((AG$2-$I72+1)/365)*$D72,2),AND(YEAR(AG$2)&gt;YEAR($I72),YEAR(AG$2)-YEAR($I72)&lt;20),$D72,YEAR(AG$2)-YEAR($I72)=20,ROUND((DATE(YEAR($I72),12,31)-$I72+1)/365*$D72,2),YEAR(AG$2)-YEAR($I72)&gt;20,0)</f>
        <v>3000</v>
      </c>
      <c r="AH72" s="48" cm="1">
        <f t="array" ref="AH72">_xlfn.IFS(YEAR(AH$2)&lt;YEAR($I72),0,YEAR(AH$2)=YEAR($I72),ROUND(((AH$2-$I72+1)/365)*$D72,2),AND(YEAR(AH$2)&gt;YEAR($I72),YEAR(AH$2)-YEAR($I72)&lt;20),$D72,YEAR(AH$2)-YEAR($I72)=20,ROUND((DATE(YEAR($I72),12,31)-$I72+1)/365*$D72,2),YEAR(AH$2)-YEAR($I72)&gt;20,0)</f>
        <v>3000</v>
      </c>
      <c r="AI72" s="48" cm="1">
        <f t="array" ref="AI72">_xlfn.IFS(YEAR(AI$2)&lt;YEAR($I72),0,YEAR(AI$2)=YEAR($I72),ROUND(((AI$2-$I72+1)/365)*$D72,2),AND(YEAR(AI$2)&gt;YEAR($I72),YEAR(AI$2)-YEAR($I72)&lt;20),$D72,YEAR(AI$2)-YEAR($I72)=20,ROUND((DATE(YEAR($I72),12,31)-$I72+1)/365*$D72,2),YEAR(AI$2)-YEAR($I72)&gt;20,0)</f>
        <v>3000</v>
      </c>
      <c r="AJ72" s="48" cm="1">
        <f t="array" ref="AJ72">_xlfn.IFS(YEAR(AJ$2)&lt;YEAR($I72),0,YEAR(AJ$2)=YEAR($I72),ROUND(((AJ$2-$I72+1)/365)*$D72,2),AND(YEAR(AJ$2)&gt;YEAR($I72),YEAR(AJ$2)-YEAR($I72)&lt;20),$D72,YEAR(AJ$2)-YEAR($I72)=20,ROUND((DATE(YEAR($I72),12,31)-$I72+1)/365*$D72,2),YEAR(AJ$2)-YEAR($I72)&gt;20,0)</f>
        <v>2383.56</v>
      </c>
      <c r="AK72" s="48" cm="1">
        <f t="array" ref="AK72">_xlfn.IFS(YEAR(AK$2)&lt;YEAR($I72),0,YEAR(AK$2)=YEAR($I72),ROUND(((AK$2-$I72+1)/365)*$D72,2),AND(YEAR(AK$2)&gt;YEAR($I72),YEAR(AK$2)-YEAR($I72)&lt;20),$D72,YEAR(AK$2)-YEAR($I72)=20,ROUND((DATE(YEAR($I72),12,31)-$I72+1)/365*$D72,2),YEAR(AK$2)-YEAR($I72)&gt;20,0)</f>
        <v>0</v>
      </c>
      <c r="AL72" s="48" cm="1">
        <f t="array" ref="AL72">_xlfn.IFS(YEAR(AL$2)&lt;YEAR($I72),0,YEAR(AL$2)=YEAR($I72),ROUND(((AL$2-$I72+1)/365)*$D72,2),AND(YEAR(AL$2)&gt;YEAR($I72),YEAR(AL$2)-YEAR($I72)&lt;20),$D72,YEAR(AL$2)-YEAR($I72)=20,ROUND((DATE(YEAR($I72),12,31)-$I72+1)/365*$D72,2),YEAR(AL$2)-YEAR($I72)&gt;20,0)</f>
        <v>0</v>
      </c>
      <c r="AM72" s="48" cm="1">
        <f t="array" ref="AM72">_xlfn.IFS(YEAR(AM$2)&lt;YEAR($I72),0,YEAR(AM$2)=YEAR($I72),ROUND(((AM$2-$I72+1)/365)*$D72,2),AND(YEAR(AM$2)&gt;YEAR($I72),YEAR(AM$2)-YEAR($I72)&lt;20),$D72,YEAR(AM$2)-YEAR($I72)=20,ROUND((DATE(YEAR($I72),12,31)-$I72+1)/365*$D72,2),YEAR(AM$2)-YEAR($I72)&gt;20,0)</f>
        <v>0</v>
      </c>
    </row>
    <row r="73" spans="1:39">
      <c r="A73" s="155" t="str" cm="1">
        <f t="array" ref="A73">_xlfn.IFS(LEFT(C73,3)="PGE","PGE",LEFT(C73,2)="PP","PAC",TRUE,"IP")</f>
        <v>PAC</v>
      </c>
      <c r="B73" s="155" t="str">
        <f>IF(ISNA(MATCH(C73,'Monthly Report July 2025'!E:E,0)),"Missing","Present")</f>
        <v>Present</v>
      </c>
      <c r="C73" s="155" t="s">
        <v>182</v>
      </c>
      <c r="D73" s="176" cm="1">
        <f t="array" ref="D73">INDEX('Monthly Report July 2025'!L:L,MATCH(C73,'Monthly Report July 2025'!E:E,0),0)</f>
        <v>332</v>
      </c>
      <c r="E73" s="176" t="str" cm="1">
        <f t="array" ref="E73">IF(INDEX('PA Fees by Project'!K:K,MATCH(C73,'PA Fees by Project'!E:E,0),0)="No","Non-Carve Out", "Carve Out")</f>
        <v>Carve Out</v>
      </c>
      <c r="F73" s="176" cm="1">
        <f t="array" ref="F73">INDEX('PA Fees by Project'!J:J,MATCH(C73,'PA Fees by Project'!E:E,0),0)</f>
        <v>2</v>
      </c>
      <c r="G73" s="155" t="str" cm="1">
        <f t="array" ref="G73">INDEX('PA Fees by Project'!G:G,MATCH(C73,'PA Fees by Project'!E:E,0),0)</f>
        <v>Pre-Certified</v>
      </c>
      <c r="H73" s="175" t="str" cm="1">
        <f t="array" ref="H73">INDEX('PA Fees by Project'!Q:Q,MATCH(C73,'PA Fees by Project'!E:E,0),0)</f>
        <v/>
      </c>
      <c r="I73" s="156" cm="1">
        <f t="array" ref="I73">_xlfn.IFS(G73="Operational",H73,G73="Certified",EDATE(INDEX('PA Fees by Project'!R:R,MATCH(C73,'PA Fees by Project'!E:E,0),0),6),TRUE,EDATE(INDEX('PA Fees by Project'!O:O,MATCH(C73,'PA Fees by Project'!E:E,0),0),6))</f>
        <v>46463</v>
      </c>
      <c r="J73" s="48" cm="1">
        <f t="array" ref="J73">_xlfn.IFS(YEAR(J$2)&lt;YEAR($I73),0,YEAR(J$2)=YEAR($I73),ROUND(((J$2-$I73+1)/365)*$D73,2),AND(YEAR(J$2)&gt;YEAR($I73),YEAR(J$2)-YEAR($I73)&lt;20),$D73,YEAR(J$2)-YEAR($I73)=20,ROUND((DATE(YEAR($I73),12,31)-$I73+1)/365*$D73,2),YEAR(J$2)-YEAR($I73)&gt;20,0)</f>
        <v>0</v>
      </c>
      <c r="K73" s="48" cm="1">
        <f t="array" ref="K73">_xlfn.IFS(YEAR(K$2)&lt;YEAR($I73),0,YEAR(K$2)=YEAR($I73),ROUND(((K$2-$I73+1)/365)*$D73,2),AND(YEAR(K$2)&gt;YEAR($I73),YEAR(K$2)-YEAR($I73)&lt;20),$D73,YEAR(K$2)-YEAR($I73)=20,ROUND((DATE(YEAR($I73),12,31)-$I73+1)/365*$D73,2),YEAR(K$2)-YEAR($I73)&gt;20,0)</f>
        <v>0</v>
      </c>
      <c r="L73" s="48" cm="1">
        <f t="array" ref="L73">_xlfn.IFS(YEAR(L$2)&lt;YEAR($I73),0,YEAR(L$2)=YEAR($I73),ROUND(((L$2-$I73+1)/365)*$D73,2),AND(YEAR(L$2)&gt;YEAR($I73),YEAR(L$2)-YEAR($I73)&lt;20),$D73,YEAR(L$2)-YEAR($I73)=20,ROUND((DATE(YEAR($I73),12,31)-$I73+1)/365*$D73,2),YEAR(L$2)-YEAR($I73)&gt;20,0)</f>
        <v>0</v>
      </c>
      <c r="M73" s="48" cm="1">
        <f t="array" ref="M73">_xlfn.IFS(YEAR(M$2)&lt;YEAR($I73),0,YEAR(M$2)=YEAR($I73),ROUND(((M$2-$I73+1)/365)*$D73,2),AND(YEAR(M$2)&gt;YEAR($I73),YEAR(M$2)-YEAR($I73)&lt;20),$D73,YEAR(M$2)-YEAR($I73)=20,ROUND((DATE(YEAR($I73),12,31)-$I73+1)/365*$D73,2),YEAR(M$2)-YEAR($I73)&gt;20,0)</f>
        <v>0</v>
      </c>
      <c r="N73" s="48" cm="1">
        <f t="array" ref="N73">_xlfn.IFS(YEAR(N$2)&lt;YEAR($I73),0,YEAR(N$2)=YEAR($I73),ROUND(((N$2-$I73+1)/365)*$D73,2),AND(YEAR(N$2)&gt;YEAR($I73),YEAR(N$2)-YEAR($I73)&lt;20),$D73,YEAR(N$2)-YEAR($I73)=20,ROUND((DATE(YEAR($I73),12,31)-$I73+1)/365*$D73,2),YEAR(N$2)-YEAR($I73)&gt;20,0)</f>
        <v>0</v>
      </c>
      <c r="O73" s="48" cm="1">
        <f t="array" ref="O73">_xlfn.IFS(YEAR(O$2)&lt;YEAR($I73),0,YEAR(O$2)=YEAR($I73),ROUND(((O$2-$I73+1)/365)*$D73,2),AND(YEAR(O$2)&gt;YEAR($I73),YEAR(O$2)-YEAR($I73)&lt;20),$D73,YEAR(O$2)-YEAR($I73)=20,ROUND((DATE(YEAR($I73),12,31)-$I73+1)/365*$D73,2),YEAR(O$2)-YEAR($I73)&gt;20,0)</f>
        <v>0</v>
      </c>
      <c r="P73" s="48" cm="1">
        <f t="array" ref="P73">_xlfn.IFS(YEAR(P$2)&lt;YEAR($I73),0,YEAR(P$2)=YEAR($I73),ROUND(((P$2-$I73+1)/365)*$D73,2),AND(YEAR(P$2)&gt;YEAR($I73),YEAR(P$2)-YEAR($I73)&lt;20),$D73,YEAR(P$2)-YEAR($I73)=20,ROUND((DATE(YEAR($I73),12,31)-$I73+1)/365*$D73,2),YEAR(P$2)-YEAR($I73)&gt;20,0)</f>
        <v>263.77999999999997</v>
      </c>
      <c r="Q73" s="48" cm="1">
        <f t="array" ref="Q73">_xlfn.IFS(YEAR(Q$2)&lt;YEAR($I73),0,YEAR(Q$2)=YEAR($I73),ROUND(((Q$2-$I73+1)/365)*$D73,2),AND(YEAR(Q$2)&gt;YEAR($I73),YEAR(Q$2)-YEAR($I73)&lt;20),$D73,YEAR(Q$2)-YEAR($I73)=20,ROUND((DATE(YEAR($I73),12,31)-$I73+1)/365*$D73,2),YEAR(Q$2)-YEAR($I73)&gt;20,0)</f>
        <v>332</v>
      </c>
      <c r="R73" s="48" cm="1">
        <f t="array" ref="R73">_xlfn.IFS(YEAR(R$2)&lt;YEAR($I73),0,YEAR(R$2)=YEAR($I73),ROUND(((R$2-$I73+1)/365)*$D73,2),AND(YEAR(R$2)&gt;YEAR($I73),YEAR(R$2)-YEAR($I73)&lt;20),$D73,YEAR(R$2)-YEAR($I73)=20,ROUND((DATE(YEAR($I73),12,31)-$I73+1)/365*$D73,2),YEAR(R$2)-YEAR($I73)&gt;20,0)</f>
        <v>332</v>
      </c>
      <c r="S73" s="48" cm="1">
        <f t="array" ref="S73">_xlfn.IFS(YEAR(S$2)&lt;YEAR($I73),0,YEAR(S$2)=YEAR($I73),ROUND(((S$2-$I73+1)/365)*$D73,2),AND(YEAR(S$2)&gt;YEAR($I73),YEAR(S$2)-YEAR($I73)&lt;20),$D73,YEAR(S$2)-YEAR($I73)=20,ROUND((DATE(YEAR($I73),12,31)-$I73+1)/365*$D73,2),YEAR(S$2)-YEAR($I73)&gt;20,0)</f>
        <v>332</v>
      </c>
      <c r="T73" s="48" cm="1">
        <f t="array" ref="T73">_xlfn.IFS(YEAR(T$2)&lt;YEAR($I73),0,YEAR(T$2)=YEAR($I73),ROUND(((T$2-$I73+1)/365)*$D73,2),AND(YEAR(T$2)&gt;YEAR($I73),YEAR(T$2)-YEAR($I73)&lt;20),$D73,YEAR(T$2)-YEAR($I73)=20,ROUND((DATE(YEAR($I73),12,31)-$I73+1)/365*$D73,2),YEAR(T$2)-YEAR($I73)&gt;20,0)</f>
        <v>332</v>
      </c>
      <c r="U73" s="48" cm="1">
        <f t="array" ref="U73">_xlfn.IFS(YEAR(U$2)&lt;YEAR($I73),0,YEAR(U$2)=YEAR($I73),ROUND(((U$2-$I73+1)/365)*$D73,2),AND(YEAR(U$2)&gt;YEAR($I73),YEAR(U$2)-YEAR($I73)&lt;20),$D73,YEAR(U$2)-YEAR($I73)=20,ROUND((DATE(YEAR($I73),12,31)-$I73+1)/365*$D73,2),YEAR(U$2)-YEAR($I73)&gt;20,0)</f>
        <v>332</v>
      </c>
      <c r="V73" s="48" cm="1">
        <f t="array" ref="V73">_xlfn.IFS(YEAR(V$2)&lt;YEAR($I73),0,YEAR(V$2)=YEAR($I73),ROUND(((V$2-$I73+1)/365)*$D73,2),AND(YEAR(V$2)&gt;YEAR($I73),YEAR(V$2)-YEAR($I73)&lt;20),$D73,YEAR(V$2)-YEAR($I73)=20,ROUND((DATE(YEAR($I73),12,31)-$I73+1)/365*$D73,2),YEAR(V$2)-YEAR($I73)&gt;20,0)</f>
        <v>332</v>
      </c>
      <c r="W73" s="48" cm="1">
        <f t="array" ref="W73">_xlfn.IFS(YEAR(W$2)&lt;YEAR($I73),0,YEAR(W$2)=YEAR($I73),ROUND(((W$2-$I73+1)/365)*$D73,2),AND(YEAR(W$2)&gt;YEAR($I73),YEAR(W$2)-YEAR($I73)&lt;20),$D73,YEAR(W$2)-YEAR($I73)=20,ROUND((DATE(YEAR($I73),12,31)-$I73+1)/365*$D73,2),YEAR(W$2)-YEAR($I73)&gt;20,0)</f>
        <v>332</v>
      </c>
      <c r="X73" s="48" cm="1">
        <f t="array" ref="X73">_xlfn.IFS(YEAR(X$2)&lt;YEAR($I73),0,YEAR(X$2)=YEAR($I73),ROUND(((X$2-$I73+1)/365)*$D73,2),AND(YEAR(X$2)&gt;YEAR($I73),YEAR(X$2)-YEAR($I73)&lt;20),$D73,YEAR(X$2)-YEAR($I73)=20,ROUND((DATE(YEAR($I73),12,31)-$I73+1)/365*$D73,2),YEAR(X$2)-YEAR($I73)&gt;20,0)</f>
        <v>332</v>
      </c>
      <c r="Y73" s="48" cm="1">
        <f t="array" ref="Y73">_xlfn.IFS(YEAR(Y$2)&lt;YEAR($I73),0,YEAR(Y$2)=YEAR($I73),ROUND(((Y$2-$I73+1)/365)*$D73,2),AND(YEAR(Y$2)&gt;YEAR($I73),YEAR(Y$2)-YEAR($I73)&lt;20),$D73,YEAR(Y$2)-YEAR($I73)=20,ROUND((DATE(YEAR($I73),12,31)-$I73+1)/365*$D73,2),YEAR(Y$2)-YEAR($I73)&gt;20,0)</f>
        <v>332</v>
      </c>
      <c r="Z73" s="48" cm="1">
        <f t="array" ref="Z73">_xlfn.IFS(YEAR(Z$2)&lt;YEAR($I73),0,YEAR(Z$2)=YEAR($I73),ROUND(((Z$2-$I73+1)/365)*$D73,2),AND(YEAR(Z$2)&gt;YEAR($I73),YEAR(Z$2)-YEAR($I73)&lt;20),$D73,YEAR(Z$2)-YEAR($I73)=20,ROUND((DATE(YEAR($I73),12,31)-$I73+1)/365*$D73,2),YEAR(Z$2)-YEAR($I73)&gt;20,0)</f>
        <v>332</v>
      </c>
      <c r="AA73" s="48" cm="1">
        <f t="array" ref="AA73">_xlfn.IFS(YEAR(AA$2)&lt;YEAR($I73),0,YEAR(AA$2)=YEAR($I73),ROUND(((AA$2-$I73+1)/365)*$D73,2),AND(YEAR(AA$2)&gt;YEAR($I73),YEAR(AA$2)-YEAR($I73)&lt;20),$D73,YEAR(AA$2)-YEAR($I73)=20,ROUND((DATE(YEAR($I73),12,31)-$I73+1)/365*$D73,2),YEAR(AA$2)-YEAR($I73)&gt;20,0)</f>
        <v>332</v>
      </c>
      <c r="AB73" s="48" cm="1">
        <f t="array" ref="AB73">_xlfn.IFS(YEAR(AB$2)&lt;YEAR($I73),0,YEAR(AB$2)=YEAR($I73),ROUND(((AB$2-$I73+1)/365)*$D73,2),AND(YEAR(AB$2)&gt;YEAR($I73),YEAR(AB$2)-YEAR($I73)&lt;20),$D73,YEAR(AB$2)-YEAR($I73)=20,ROUND((DATE(YEAR($I73),12,31)-$I73+1)/365*$D73,2),YEAR(AB$2)-YEAR($I73)&gt;20,0)</f>
        <v>332</v>
      </c>
      <c r="AC73" s="48" cm="1">
        <f t="array" ref="AC73">_xlfn.IFS(YEAR(AC$2)&lt;YEAR($I73),0,YEAR(AC$2)=YEAR($I73),ROUND(((AC$2-$I73+1)/365)*$D73,2),AND(YEAR(AC$2)&gt;YEAR($I73),YEAR(AC$2)-YEAR($I73)&lt;20),$D73,YEAR(AC$2)-YEAR($I73)=20,ROUND((DATE(YEAR($I73),12,31)-$I73+1)/365*$D73,2),YEAR(AC$2)-YEAR($I73)&gt;20,0)</f>
        <v>332</v>
      </c>
      <c r="AD73" s="48" cm="1">
        <f t="array" ref="AD73">_xlfn.IFS(YEAR(AD$2)&lt;YEAR($I73),0,YEAR(AD$2)=YEAR($I73),ROUND(((AD$2-$I73+1)/365)*$D73,2),AND(YEAR(AD$2)&gt;YEAR($I73),YEAR(AD$2)-YEAR($I73)&lt;20),$D73,YEAR(AD$2)-YEAR($I73)=20,ROUND((DATE(YEAR($I73),12,31)-$I73+1)/365*$D73,2),YEAR(AD$2)-YEAR($I73)&gt;20,0)</f>
        <v>332</v>
      </c>
      <c r="AE73" s="48" cm="1">
        <f t="array" ref="AE73">_xlfn.IFS(YEAR(AE$2)&lt;YEAR($I73),0,YEAR(AE$2)=YEAR($I73),ROUND(((AE$2-$I73+1)/365)*$D73,2),AND(YEAR(AE$2)&gt;YEAR($I73),YEAR(AE$2)-YEAR($I73)&lt;20),$D73,YEAR(AE$2)-YEAR($I73)=20,ROUND((DATE(YEAR($I73),12,31)-$I73+1)/365*$D73,2),YEAR(AE$2)-YEAR($I73)&gt;20,0)</f>
        <v>332</v>
      </c>
      <c r="AF73" s="48" cm="1">
        <f t="array" ref="AF73">_xlfn.IFS(YEAR(AF$2)&lt;YEAR($I73),0,YEAR(AF$2)=YEAR($I73),ROUND(((AF$2-$I73+1)/365)*$D73,2),AND(YEAR(AF$2)&gt;YEAR($I73),YEAR(AF$2)-YEAR($I73)&lt;20),$D73,YEAR(AF$2)-YEAR($I73)=20,ROUND((DATE(YEAR($I73),12,31)-$I73+1)/365*$D73,2),YEAR(AF$2)-YEAR($I73)&gt;20,0)</f>
        <v>332</v>
      </c>
      <c r="AG73" s="48" cm="1">
        <f t="array" ref="AG73">_xlfn.IFS(YEAR(AG$2)&lt;YEAR($I73),0,YEAR(AG$2)=YEAR($I73),ROUND(((AG$2-$I73+1)/365)*$D73,2),AND(YEAR(AG$2)&gt;YEAR($I73),YEAR(AG$2)-YEAR($I73)&lt;20),$D73,YEAR(AG$2)-YEAR($I73)=20,ROUND((DATE(YEAR($I73),12,31)-$I73+1)/365*$D73,2),YEAR(AG$2)-YEAR($I73)&gt;20,0)</f>
        <v>332</v>
      </c>
      <c r="AH73" s="48" cm="1">
        <f t="array" ref="AH73">_xlfn.IFS(YEAR(AH$2)&lt;YEAR($I73),0,YEAR(AH$2)=YEAR($I73),ROUND(((AH$2-$I73+1)/365)*$D73,2),AND(YEAR(AH$2)&gt;YEAR($I73),YEAR(AH$2)-YEAR($I73)&lt;20),$D73,YEAR(AH$2)-YEAR($I73)=20,ROUND((DATE(YEAR($I73),12,31)-$I73+1)/365*$D73,2),YEAR(AH$2)-YEAR($I73)&gt;20,0)</f>
        <v>332</v>
      </c>
      <c r="AI73" s="48" cm="1">
        <f t="array" ref="AI73">_xlfn.IFS(YEAR(AI$2)&lt;YEAR($I73),0,YEAR(AI$2)=YEAR($I73),ROUND(((AI$2-$I73+1)/365)*$D73,2),AND(YEAR(AI$2)&gt;YEAR($I73),YEAR(AI$2)-YEAR($I73)&lt;20),$D73,YEAR(AI$2)-YEAR($I73)=20,ROUND((DATE(YEAR($I73),12,31)-$I73+1)/365*$D73,2),YEAR(AI$2)-YEAR($I73)&gt;20,0)</f>
        <v>332</v>
      </c>
      <c r="AJ73" s="48" cm="1">
        <f t="array" ref="AJ73">_xlfn.IFS(YEAR(AJ$2)&lt;YEAR($I73),0,YEAR(AJ$2)=YEAR($I73),ROUND(((AJ$2-$I73+1)/365)*$D73,2),AND(YEAR(AJ$2)&gt;YEAR($I73),YEAR(AJ$2)-YEAR($I73)&lt;20),$D73,YEAR(AJ$2)-YEAR($I73)=20,ROUND((DATE(YEAR($I73),12,31)-$I73+1)/365*$D73,2),YEAR(AJ$2)-YEAR($I73)&gt;20,0)</f>
        <v>263.77999999999997</v>
      </c>
      <c r="AK73" s="48" cm="1">
        <f t="array" ref="AK73">_xlfn.IFS(YEAR(AK$2)&lt;YEAR($I73),0,YEAR(AK$2)=YEAR($I73),ROUND(((AK$2-$I73+1)/365)*$D73,2),AND(YEAR(AK$2)&gt;YEAR($I73),YEAR(AK$2)-YEAR($I73)&lt;20),$D73,YEAR(AK$2)-YEAR($I73)=20,ROUND((DATE(YEAR($I73),12,31)-$I73+1)/365*$D73,2),YEAR(AK$2)-YEAR($I73)&gt;20,0)</f>
        <v>0</v>
      </c>
      <c r="AL73" s="48" cm="1">
        <f t="array" ref="AL73">_xlfn.IFS(YEAR(AL$2)&lt;YEAR($I73),0,YEAR(AL$2)=YEAR($I73),ROUND(((AL$2-$I73+1)/365)*$D73,2),AND(YEAR(AL$2)&gt;YEAR($I73),YEAR(AL$2)-YEAR($I73)&lt;20),$D73,YEAR(AL$2)-YEAR($I73)=20,ROUND((DATE(YEAR($I73),12,31)-$I73+1)/365*$D73,2),YEAR(AL$2)-YEAR($I73)&gt;20,0)</f>
        <v>0</v>
      </c>
      <c r="AM73" s="48" cm="1">
        <f t="array" ref="AM73">_xlfn.IFS(YEAR(AM$2)&lt;YEAR($I73),0,YEAR(AM$2)=YEAR($I73),ROUND(((AM$2-$I73+1)/365)*$D73,2),AND(YEAR(AM$2)&gt;YEAR($I73),YEAR(AM$2)-YEAR($I73)&lt;20),$D73,YEAR(AM$2)-YEAR($I73)=20,ROUND((DATE(YEAR($I73),12,31)-$I73+1)/365*$D73,2),YEAR(AM$2)-YEAR($I73)&gt;20,0)</f>
        <v>0</v>
      </c>
    </row>
    <row r="74" spans="1:39">
      <c r="A74" s="155" t="str" cm="1">
        <f t="array" ref="A74">_xlfn.IFS(LEFT(C74,3)="PGE","PGE",LEFT(C74,2)="PP","PAC",TRUE,"IP")</f>
        <v>PAC</v>
      </c>
      <c r="B74" s="155" t="str">
        <f>IF(ISNA(MATCH(C74,'Monthly Report July 2025'!E:E,0)),"Missing","Present")</f>
        <v>Present</v>
      </c>
      <c r="C74" s="155" t="s">
        <v>183</v>
      </c>
      <c r="D74" s="176" cm="1">
        <f t="array" ref="D74">INDEX('Monthly Report July 2025'!L:L,MATCH(C74,'Monthly Report July 2025'!E:E,0),0)</f>
        <v>250</v>
      </c>
      <c r="E74" s="176" t="str" cm="1">
        <f t="array" ref="E74">IF(INDEX('PA Fees by Project'!K:K,MATCH(C74,'PA Fees by Project'!E:E,0),0)="No","Non-Carve Out", "Carve Out")</f>
        <v>Carve Out</v>
      </c>
      <c r="F74" s="176" cm="1">
        <f t="array" ref="F74">INDEX('PA Fees by Project'!J:J,MATCH(C74,'PA Fees by Project'!E:E,0),0)</f>
        <v>2</v>
      </c>
      <c r="G74" s="155" t="str" cm="1">
        <f t="array" ref="G74">INDEX('PA Fees by Project'!G:G,MATCH(C74,'PA Fees by Project'!E:E,0),0)</f>
        <v>Pre-Certified</v>
      </c>
      <c r="H74" s="175" t="str" cm="1">
        <f t="array" ref="H74">INDEX('PA Fees by Project'!Q:Q,MATCH(C74,'PA Fees by Project'!E:E,0),0)</f>
        <v/>
      </c>
      <c r="I74" s="156" cm="1">
        <f t="array" ref="I74">_xlfn.IFS(G74="Operational",H74,G74="Certified",EDATE(INDEX('PA Fees by Project'!R:R,MATCH(C74,'PA Fees by Project'!E:E,0),0),6),TRUE,EDATE(INDEX('PA Fees by Project'!O:O,MATCH(C74,'PA Fees by Project'!E:E,0),0),6))</f>
        <v>46463</v>
      </c>
      <c r="J74" s="48" cm="1">
        <f t="array" ref="J74">_xlfn.IFS(YEAR(J$2)&lt;YEAR($I74),0,YEAR(J$2)=YEAR($I74),ROUND(((J$2-$I74+1)/365)*$D74,2),AND(YEAR(J$2)&gt;YEAR($I74),YEAR(J$2)-YEAR($I74)&lt;20),$D74,YEAR(J$2)-YEAR($I74)=20,ROUND((DATE(YEAR($I74),12,31)-$I74+1)/365*$D74,2),YEAR(J$2)-YEAR($I74)&gt;20,0)</f>
        <v>0</v>
      </c>
      <c r="K74" s="48" cm="1">
        <f t="array" ref="K74">_xlfn.IFS(YEAR(K$2)&lt;YEAR($I74),0,YEAR(K$2)=YEAR($I74),ROUND(((K$2-$I74+1)/365)*$D74,2),AND(YEAR(K$2)&gt;YEAR($I74),YEAR(K$2)-YEAR($I74)&lt;20),$D74,YEAR(K$2)-YEAR($I74)=20,ROUND((DATE(YEAR($I74),12,31)-$I74+1)/365*$D74,2),YEAR(K$2)-YEAR($I74)&gt;20,0)</f>
        <v>0</v>
      </c>
      <c r="L74" s="48" cm="1">
        <f t="array" ref="L74">_xlfn.IFS(YEAR(L$2)&lt;YEAR($I74),0,YEAR(L$2)=YEAR($I74),ROUND(((L$2-$I74+1)/365)*$D74,2),AND(YEAR(L$2)&gt;YEAR($I74),YEAR(L$2)-YEAR($I74)&lt;20),$D74,YEAR(L$2)-YEAR($I74)=20,ROUND((DATE(YEAR($I74),12,31)-$I74+1)/365*$D74,2),YEAR(L$2)-YEAR($I74)&gt;20,0)</f>
        <v>0</v>
      </c>
      <c r="M74" s="48" cm="1">
        <f t="array" ref="M74">_xlfn.IFS(YEAR(M$2)&lt;YEAR($I74),0,YEAR(M$2)=YEAR($I74),ROUND(((M$2-$I74+1)/365)*$D74,2),AND(YEAR(M$2)&gt;YEAR($I74),YEAR(M$2)-YEAR($I74)&lt;20),$D74,YEAR(M$2)-YEAR($I74)=20,ROUND((DATE(YEAR($I74),12,31)-$I74+1)/365*$D74,2),YEAR(M$2)-YEAR($I74)&gt;20,0)</f>
        <v>0</v>
      </c>
      <c r="N74" s="48" cm="1">
        <f t="array" ref="N74">_xlfn.IFS(YEAR(N$2)&lt;YEAR($I74),0,YEAR(N$2)=YEAR($I74),ROUND(((N$2-$I74+1)/365)*$D74,2),AND(YEAR(N$2)&gt;YEAR($I74),YEAR(N$2)-YEAR($I74)&lt;20),$D74,YEAR(N$2)-YEAR($I74)=20,ROUND((DATE(YEAR($I74),12,31)-$I74+1)/365*$D74,2),YEAR(N$2)-YEAR($I74)&gt;20,0)</f>
        <v>0</v>
      </c>
      <c r="O74" s="48" cm="1">
        <f t="array" ref="O74">_xlfn.IFS(YEAR(O$2)&lt;YEAR($I74),0,YEAR(O$2)=YEAR($I74),ROUND(((O$2-$I74+1)/365)*$D74,2),AND(YEAR(O$2)&gt;YEAR($I74),YEAR(O$2)-YEAR($I74)&lt;20),$D74,YEAR(O$2)-YEAR($I74)=20,ROUND((DATE(YEAR($I74),12,31)-$I74+1)/365*$D74,2),YEAR(O$2)-YEAR($I74)&gt;20,0)</f>
        <v>0</v>
      </c>
      <c r="P74" s="48" cm="1">
        <f t="array" ref="P74">_xlfn.IFS(YEAR(P$2)&lt;YEAR($I74),0,YEAR(P$2)=YEAR($I74),ROUND(((P$2-$I74+1)/365)*$D74,2),AND(YEAR(P$2)&gt;YEAR($I74),YEAR(P$2)-YEAR($I74)&lt;20),$D74,YEAR(P$2)-YEAR($I74)=20,ROUND((DATE(YEAR($I74),12,31)-$I74+1)/365*$D74,2),YEAR(P$2)-YEAR($I74)&gt;20,0)</f>
        <v>198.63</v>
      </c>
      <c r="Q74" s="48" cm="1">
        <f t="array" ref="Q74">_xlfn.IFS(YEAR(Q$2)&lt;YEAR($I74),0,YEAR(Q$2)=YEAR($I74),ROUND(((Q$2-$I74+1)/365)*$D74,2),AND(YEAR(Q$2)&gt;YEAR($I74),YEAR(Q$2)-YEAR($I74)&lt;20),$D74,YEAR(Q$2)-YEAR($I74)=20,ROUND((DATE(YEAR($I74),12,31)-$I74+1)/365*$D74,2),YEAR(Q$2)-YEAR($I74)&gt;20,0)</f>
        <v>250</v>
      </c>
      <c r="R74" s="48" cm="1">
        <f t="array" ref="R74">_xlfn.IFS(YEAR(R$2)&lt;YEAR($I74),0,YEAR(R$2)=YEAR($I74),ROUND(((R$2-$I74+1)/365)*$D74,2),AND(YEAR(R$2)&gt;YEAR($I74),YEAR(R$2)-YEAR($I74)&lt;20),$D74,YEAR(R$2)-YEAR($I74)=20,ROUND((DATE(YEAR($I74),12,31)-$I74+1)/365*$D74,2),YEAR(R$2)-YEAR($I74)&gt;20,0)</f>
        <v>250</v>
      </c>
      <c r="S74" s="48" cm="1">
        <f t="array" ref="S74">_xlfn.IFS(YEAR(S$2)&lt;YEAR($I74),0,YEAR(S$2)=YEAR($I74),ROUND(((S$2-$I74+1)/365)*$D74,2),AND(YEAR(S$2)&gt;YEAR($I74),YEAR(S$2)-YEAR($I74)&lt;20),$D74,YEAR(S$2)-YEAR($I74)=20,ROUND((DATE(YEAR($I74),12,31)-$I74+1)/365*$D74,2),YEAR(S$2)-YEAR($I74)&gt;20,0)</f>
        <v>250</v>
      </c>
      <c r="T74" s="48" cm="1">
        <f t="array" ref="T74">_xlfn.IFS(YEAR(T$2)&lt;YEAR($I74),0,YEAR(T$2)=YEAR($I74),ROUND(((T$2-$I74+1)/365)*$D74,2),AND(YEAR(T$2)&gt;YEAR($I74),YEAR(T$2)-YEAR($I74)&lt;20),$D74,YEAR(T$2)-YEAR($I74)=20,ROUND((DATE(YEAR($I74),12,31)-$I74+1)/365*$D74,2),YEAR(T$2)-YEAR($I74)&gt;20,0)</f>
        <v>250</v>
      </c>
      <c r="U74" s="48" cm="1">
        <f t="array" ref="U74">_xlfn.IFS(YEAR(U$2)&lt;YEAR($I74),0,YEAR(U$2)=YEAR($I74),ROUND(((U$2-$I74+1)/365)*$D74,2),AND(YEAR(U$2)&gt;YEAR($I74),YEAR(U$2)-YEAR($I74)&lt;20),$D74,YEAR(U$2)-YEAR($I74)=20,ROUND((DATE(YEAR($I74),12,31)-$I74+1)/365*$D74,2),YEAR(U$2)-YEAR($I74)&gt;20,0)</f>
        <v>250</v>
      </c>
      <c r="V74" s="48" cm="1">
        <f t="array" ref="V74">_xlfn.IFS(YEAR(V$2)&lt;YEAR($I74),0,YEAR(V$2)=YEAR($I74),ROUND(((V$2-$I74+1)/365)*$D74,2),AND(YEAR(V$2)&gt;YEAR($I74),YEAR(V$2)-YEAR($I74)&lt;20),$D74,YEAR(V$2)-YEAR($I74)=20,ROUND((DATE(YEAR($I74),12,31)-$I74+1)/365*$D74,2),YEAR(V$2)-YEAR($I74)&gt;20,0)</f>
        <v>250</v>
      </c>
      <c r="W74" s="48" cm="1">
        <f t="array" ref="W74">_xlfn.IFS(YEAR(W$2)&lt;YEAR($I74),0,YEAR(W$2)=YEAR($I74),ROUND(((W$2-$I74+1)/365)*$D74,2),AND(YEAR(W$2)&gt;YEAR($I74),YEAR(W$2)-YEAR($I74)&lt;20),$D74,YEAR(W$2)-YEAR($I74)=20,ROUND((DATE(YEAR($I74),12,31)-$I74+1)/365*$D74,2),YEAR(W$2)-YEAR($I74)&gt;20,0)</f>
        <v>250</v>
      </c>
      <c r="X74" s="48" cm="1">
        <f t="array" ref="X74">_xlfn.IFS(YEAR(X$2)&lt;YEAR($I74),0,YEAR(X$2)=YEAR($I74),ROUND(((X$2-$I74+1)/365)*$D74,2),AND(YEAR(X$2)&gt;YEAR($I74),YEAR(X$2)-YEAR($I74)&lt;20),$D74,YEAR(X$2)-YEAR($I74)=20,ROUND((DATE(YEAR($I74),12,31)-$I74+1)/365*$D74,2),YEAR(X$2)-YEAR($I74)&gt;20,0)</f>
        <v>250</v>
      </c>
      <c r="Y74" s="48" cm="1">
        <f t="array" ref="Y74">_xlfn.IFS(YEAR(Y$2)&lt;YEAR($I74),0,YEAR(Y$2)=YEAR($I74),ROUND(((Y$2-$I74+1)/365)*$D74,2),AND(YEAR(Y$2)&gt;YEAR($I74),YEAR(Y$2)-YEAR($I74)&lt;20),$D74,YEAR(Y$2)-YEAR($I74)=20,ROUND((DATE(YEAR($I74),12,31)-$I74+1)/365*$D74,2),YEAR(Y$2)-YEAR($I74)&gt;20,0)</f>
        <v>250</v>
      </c>
      <c r="Z74" s="48" cm="1">
        <f t="array" ref="Z74">_xlfn.IFS(YEAR(Z$2)&lt;YEAR($I74),0,YEAR(Z$2)=YEAR($I74),ROUND(((Z$2-$I74+1)/365)*$D74,2),AND(YEAR(Z$2)&gt;YEAR($I74),YEAR(Z$2)-YEAR($I74)&lt;20),$D74,YEAR(Z$2)-YEAR($I74)=20,ROUND((DATE(YEAR($I74),12,31)-$I74+1)/365*$D74,2),YEAR(Z$2)-YEAR($I74)&gt;20,0)</f>
        <v>250</v>
      </c>
      <c r="AA74" s="48" cm="1">
        <f t="array" ref="AA74">_xlfn.IFS(YEAR(AA$2)&lt;YEAR($I74),0,YEAR(AA$2)=YEAR($I74),ROUND(((AA$2-$I74+1)/365)*$D74,2),AND(YEAR(AA$2)&gt;YEAR($I74),YEAR(AA$2)-YEAR($I74)&lt;20),$D74,YEAR(AA$2)-YEAR($I74)=20,ROUND((DATE(YEAR($I74),12,31)-$I74+1)/365*$D74,2),YEAR(AA$2)-YEAR($I74)&gt;20,0)</f>
        <v>250</v>
      </c>
      <c r="AB74" s="48" cm="1">
        <f t="array" ref="AB74">_xlfn.IFS(YEAR(AB$2)&lt;YEAR($I74),0,YEAR(AB$2)=YEAR($I74),ROUND(((AB$2-$I74+1)/365)*$D74,2),AND(YEAR(AB$2)&gt;YEAR($I74),YEAR(AB$2)-YEAR($I74)&lt;20),$D74,YEAR(AB$2)-YEAR($I74)=20,ROUND((DATE(YEAR($I74),12,31)-$I74+1)/365*$D74,2),YEAR(AB$2)-YEAR($I74)&gt;20,0)</f>
        <v>250</v>
      </c>
      <c r="AC74" s="48" cm="1">
        <f t="array" ref="AC74">_xlfn.IFS(YEAR(AC$2)&lt;YEAR($I74),0,YEAR(AC$2)=YEAR($I74),ROUND(((AC$2-$I74+1)/365)*$D74,2),AND(YEAR(AC$2)&gt;YEAR($I74),YEAR(AC$2)-YEAR($I74)&lt;20),$D74,YEAR(AC$2)-YEAR($I74)=20,ROUND((DATE(YEAR($I74),12,31)-$I74+1)/365*$D74,2),YEAR(AC$2)-YEAR($I74)&gt;20,0)</f>
        <v>250</v>
      </c>
      <c r="AD74" s="48" cm="1">
        <f t="array" ref="AD74">_xlfn.IFS(YEAR(AD$2)&lt;YEAR($I74),0,YEAR(AD$2)=YEAR($I74),ROUND(((AD$2-$I74+1)/365)*$D74,2),AND(YEAR(AD$2)&gt;YEAR($I74),YEAR(AD$2)-YEAR($I74)&lt;20),$D74,YEAR(AD$2)-YEAR($I74)=20,ROUND((DATE(YEAR($I74),12,31)-$I74+1)/365*$D74,2),YEAR(AD$2)-YEAR($I74)&gt;20,0)</f>
        <v>250</v>
      </c>
      <c r="AE74" s="48" cm="1">
        <f t="array" ref="AE74">_xlfn.IFS(YEAR(AE$2)&lt;YEAR($I74),0,YEAR(AE$2)=YEAR($I74),ROUND(((AE$2-$I74+1)/365)*$D74,2),AND(YEAR(AE$2)&gt;YEAR($I74),YEAR(AE$2)-YEAR($I74)&lt;20),$D74,YEAR(AE$2)-YEAR($I74)=20,ROUND((DATE(YEAR($I74),12,31)-$I74+1)/365*$D74,2),YEAR(AE$2)-YEAR($I74)&gt;20,0)</f>
        <v>250</v>
      </c>
      <c r="AF74" s="48" cm="1">
        <f t="array" ref="AF74">_xlfn.IFS(YEAR(AF$2)&lt;YEAR($I74),0,YEAR(AF$2)=YEAR($I74),ROUND(((AF$2-$I74+1)/365)*$D74,2),AND(YEAR(AF$2)&gt;YEAR($I74),YEAR(AF$2)-YEAR($I74)&lt;20),$D74,YEAR(AF$2)-YEAR($I74)=20,ROUND((DATE(YEAR($I74),12,31)-$I74+1)/365*$D74,2),YEAR(AF$2)-YEAR($I74)&gt;20,0)</f>
        <v>250</v>
      </c>
      <c r="AG74" s="48" cm="1">
        <f t="array" ref="AG74">_xlfn.IFS(YEAR(AG$2)&lt;YEAR($I74),0,YEAR(AG$2)=YEAR($I74),ROUND(((AG$2-$I74+1)/365)*$D74,2),AND(YEAR(AG$2)&gt;YEAR($I74),YEAR(AG$2)-YEAR($I74)&lt;20),$D74,YEAR(AG$2)-YEAR($I74)=20,ROUND((DATE(YEAR($I74),12,31)-$I74+1)/365*$D74,2),YEAR(AG$2)-YEAR($I74)&gt;20,0)</f>
        <v>250</v>
      </c>
      <c r="AH74" s="48" cm="1">
        <f t="array" ref="AH74">_xlfn.IFS(YEAR(AH$2)&lt;YEAR($I74),0,YEAR(AH$2)=YEAR($I74),ROUND(((AH$2-$I74+1)/365)*$D74,2),AND(YEAR(AH$2)&gt;YEAR($I74),YEAR(AH$2)-YEAR($I74)&lt;20),$D74,YEAR(AH$2)-YEAR($I74)=20,ROUND((DATE(YEAR($I74),12,31)-$I74+1)/365*$D74,2),YEAR(AH$2)-YEAR($I74)&gt;20,0)</f>
        <v>250</v>
      </c>
      <c r="AI74" s="48" cm="1">
        <f t="array" ref="AI74">_xlfn.IFS(YEAR(AI$2)&lt;YEAR($I74),0,YEAR(AI$2)=YEAR($I74),ROUND(((AI$2-$I74+1)/365)*$D74,2),AND(YEAR(AI$2)&gt;YEAR($I74),YEAR(AI$2)-YEAR($I74)&lt;20),$D74,YEAR(AI$2)-YEAR($I74)=20,ROUND((DATE(YEAR($I74),12,31)-$I74+1)/365*$D74,2),YEAR(AI$2)-YEAR($I74)&gt;20,0)</f>
        <v>250</v>
      </c>
      <c r="AJ74" s="48" cm="1">
        <f t="array" ref="AJ74">_xlfn.IFS(YEAR(AJ$2)&lt;YEAR($I74),0,YEAR(AJ$2)=YEAR($I74),ROUND(((AJ$2-$I74+1)/365)*$D74,2),AND(YEAR(AJ$2)&gt;YEAR($I74),YEAR(AJ$2)-YEAR($I74)&lt;20),$D74,YEAR(AJ$2)-YEAR($I74)=20,ROUND((DATE(YEAR($I74),12,31)-$I74+1)/365*$D74,2),YEAR(AJ$2)-YEAR($I74)&gt;20,0)</f>
        <v>198.63</v>
      </c>
      <c r="AK74" s="48" cm="1">
        <f t="array" ref="AK74">_xlfn.IFS(YEAR(AK$2)&lt;YEAR($I74),0,YEAR(AK$2)=YEAR($I74),ROUND(((AK$2-$I74+1)/365)*$D74,2),AND(YEAR(AK$2)&gt;YEAR($I74),YEAR(AK$2)-YEAR($I74)&lt;20),$D74,YEAR(AK$2)-YEAR($I74)=20,ROUND((DATE(YEAR($I74),12,31)-$I74+1)/365*$D74,2),YEAR(AK$2)-YEAR($I74)&gt;20,0)</f>
        <v>0</v>
      </c>
      <c r="AL74" s="48" cm="1">
        <f t="array" ref="AL74">_xlfn.IFS(YEAR(AL$2)&lt;YEAR($I74),0,YEAR(AL$2)=YEAR($I74),ROUND(((AL$2-$I74+1)/365)*$D74,2),AND(YEAR(AL$2)&gt;YEAR($I74),YEAR(AL$2)-YEAR($I74)&lt;20),$D74,YEAR(AL$2)-YEAR($I74)=20,ROUND((DATE(YEAR($I74),12,31)-$I74+1)/365*$D74,2),YEAR(AL$2)-YEAR($I74)&gt;20,0)</f>
        <v>0</v>
      </c>
      <c r="AM74" s="48" cm="1">
        <f t="array" ref="AM74">_xlfn.IFS(YEAR(AM$2)&lt;YEAR($I74),0,YEAR(AM$2)=YEAR($I74),ROUND(((AM$2-$I74+1)/365)*$D74,2),AND(YEAR(AM$2)&gt;YEAR($I74),YEAR(AM$2)-YEAR($I74)&lt;20),$D74,YEAR(AM$2)-YEAR($I74)=20,ROUND((DATE(YEAR($I74),12,31)-$I74+1)/365*$D74,2),YEAR(AM$2)-YEAR($I74)&gt;20,0)</f>
        <v>0</v>
      </c>
    </row>
    <row r="75" spans="1:39">
      <c r="A75" s="155" t="str" cm="1">
        <f t="array" ref="A75">_xlfn.IFS(LEFT(C75,3)="PGE","PGE",LEFT(C75,2)="PP","PAC",TRUE,"IP")</f>
        <v>PAC</v>
      </c>
      <c r="B75" s="155" t="str">
        <f>IF(ISNA(MATCH(C75,'Monthly Report July 2025'!E:E,0)),"Missing","Present")</f>
        <v>Present</v>
      </c>
      <c r="C75" s="155" t="s">
        <v>184</v>
      </c>
      <c r="D75" s="176" cm="1">
        <f t="array" ref="D75">INDEX('Monthly Report July 2025'!L:L,MATCH(C75,'Monthly Report July 2025'!E:E,0),0)</f>
        <v>1100</v>
      </c>
      <c r="E75" s="176" t="str" cm="1">
        <f t="array" ref="E75">IF(INDEX('PA Fees by Project'!K:K,MATCH(C75,'PA Fees by Project'!E:E,0),0)="No","Non-Carve Out", "Carve Out")</f>
        <v>Carve Out</v>
      </c>
      <c r="F75" s="176" cm="1">
        <f t="array" ref="F75">INDEX('PA Fees by Project'!J:J,MATCH(C75,'PA Fees by Project'!E:E,0),0)</f>
        <v>2</v>
      </c>
      <c r="G75" s="155" t="str" cm="1">
        <f t="array" ref="G75">INDEX('PA Fees by Project'!G:G,MATCH(C75,'PA Fees by Project'!E:E,0),0)</f>
        <v>Pre-Certified</v>
      </c>
      <c r="H75" s="175" t="str" cm="1">
        <f t="array" ref="H75">INDEX('PA Fees by Project'!Q:Q,MATCH(C75,'PA Fees by Project'!E:E,0),0)</f>
        <v/>
      </c>
      <c r="I75" s="156" cm="1">
        <f t="array" ref="I75">_xlfn.IFS(G75="Operational",H75,G75="Certified",EDATE(INDEX('PA Fees by Project'!R:R,MATCH(C75,'PA Fees by Project'!E:E,0),0),6),TRUE,EDATE(INDEX('PA Fees by Project'!O:O,MATCH(C75,'PA Fees by Project'!E:E,0),0),6))</f>
        <v>46334</v>
      </c>
      <c r="J75" s="48" cm="1">
        <f t="array" ref="J75">_xlfn.IFS(YEAR(J$2)&lt;YEAR($I75),0,YEAR(J$2)=YEAR($I75),ROUND(((J$2-$I75+1)/365)*$D75,2),AND(YEAR(J$2)&gt;YEAR($I75),YEAR(J$2)-YEAR($I75)&lt;20),$D75,YEAR(J$2)-YEAR($I75)=20,ROUND((DATE(YEAR($I75),12,31)-$I75+1)/365*$D75,2),YEAR(J$2)-YEAR($I75)&gt;20,0)</f>
        <v>0</v>
      </c>
      <c r="K75" s="48" cm="1">
        <f t="array" ref="K75">_xlfn.IFS(YEAR(K$2)&lt;YEAR($I75),0,YEAR(K$2)=YEAR($I75),ROUND(((K$2-$I75+1)/365)*$D75,2),AND(YEAR(K$2)&gt;YEAR($I75),YEAR(K$2)-YEAR($I75)&lt;20),$D75,YEAR(K$2)-YEAR($I75)=20,ROUND((DATE(YEAR($I75),12,31)-$I75+1)/365*$D75,2),YEAR(K$2)-YEAR($I75)&gt;20,0)</f>
        <v>0</v>
      </c>
      <c r="L75" s="48" cm="1">
        <f t="array" ref="L75">_xlfn.IFS(YEAR(L$2)&lt;YEAR($I75),0,YEAR(L$2)=YEAR($I75),ROUND(((L$2-$I75+1)/365)*$D75,2),AND(YEAR(L$2)&gt;YEAR($I75),YEAR(L$2)-YEAR($I75)&lt;20),$D75,YEAR(L$2)-YEAR($I75)=20,ROUND((DATE(YEAR($I75),12,31)-$I75+1)/365*$D75,2),YEAR(L$2)-YEAR($I75)&gt;20,0)</f>
        <v>0</v>
      </c>
      <c r="M75" s="48" cm="1">
        <f t="array" ref="M75">_xlfn.IFS(YEAR(M$2)&lt;YEAR($I75),0,YEAR(M$2)=YEAR($I75),ROUND(((M$2-$I75+1)/365)*$D75,2),AND(YEAR(M$2)&gt;YEAR($I75),YEAR(M$2)-YEAR($I75)&lt;20),$D75,YEAR(M$2)-YEAR($I75)=20,ROUND((DATE(YEAR($I75),12,31)-$I75+1)/365*$D75,2),YEAR(M$2)-YEAR($I75)&gt;20,0)</f>
        <v>0</v>
      </c>
      <c r="N75" s="48" cm="1">
        <f t="array" ref="N75">_xlfn.IFS(YEAR(N$2)&lt;YEAR($I75),0,YEAR(N$2)=YEAR($I75),ROUND(((N$2-$I75+1)/365)*$D75,2),AND(YEAR(N$2)&gt;YEAR($I75),YEAR(N$2)-YEAR($I75)&lt;20),$D75,YEAR(N$2)-YEAR($I75)=20,ROUND((DATE(YEAR($I75),12,31)-$I75+1)/365*$D75,2),YEAR(N$2)-YEAR($I75)&gt;20,0)</f>
        <v>0</v>
      </c>
      <c r="O75" s="48" cm="1">
        <f t="array" ref="O75">_xlfn.IFS(YEAR(O$2)&lt;YEAR($I75),0,YEAR(O$2)=YEAR($I75),ROUND(((O$2-$I75+1)/365)*$D75,2),AND(YEAR(O$2)&gt;YEAR($I75),YEAR(O$2)-YEAR($I75)&lt;20),$D75,YEAR(O$2)-YEAR($I75)=20,ROUND((DATE(YEAR($I75),12,31)-$I75+1)/365*$D75,2),YEAR(O$2)-YEAR($I75)&gt;20,0)</f>
        <v>162.74</v>
      </c>
      <c r="P75" s="48" cm="1">
        <f t="array" ref="P75">_xlfn.IFS(YEAR(P$2)&lt;YEAR($I75),0,YEAR(P$2)=YEAR($I75),ROUND(((P$2-$I75+1)/365)*$D75,2),AND(YEAR(P$2)&gt;YEAR($I75),YEAR(P$2)-YEAR($I75)&lt;20),$D75,YEAR(P$2)-YEAR($I75)=20,ROUND((DATE(YEAR($I75),12,31)-$I75+1)/365*$D75,2),YEAR(P$2)-YEAR($I75)&gt;20,0)</f>
        <v>1100</v>
      </c>
      <c r="Q75" s="48" cm="1">
        <f t="array" ref="Q75">_xlfn.IFS(YEAR(Q$2)&lt;YEAR($I75),0,YEAR(Q$2)=YEAR($I75),ROUND(((Q$2-$I75+1)/365)*$D75,2),AND(YEAR(Q$2)&gt;YEAR($I75),YEAR(Q$2)-YEAR($I75)&lt;20),$D75,YEAR(Q$2)-YEAR($I75)=20,ROUND((DATE(YEAR($I75),12,31)-$I75+1)/365*$D75,2),YEAR(Q$2)-YEAR($I75)&gt;20,0)</f>
        <v>1100</v>
      </c>
      <c r="R75" s="48" cm="1">
        <f t="array" ref="R75">_xlfn.IFS(YEAR(R$2)&lt;YEAR($I75),0,YEAR(R$2)=YEAR($I75),ROUND(((R$2-$I75+1)/365)*$D75,2),AND(YEAR(R$2)&gt;YEAR($I75),YEAR(R$2)-YEAR($I75)&lt;20),$D75,YEAR(R$2)-YEAR($I75)=20,ROUND((DATE(YEAR($I75),12,31)-$I75+1)/365*$D75,2),YEAR(R$2)-YEAR($I75)&gt;20,0)</f>
        <v>1100</v>
      </c>
      <c r="S75" s="48" cm="1">
        <f t="array" ref="S75">_xlfn.IFS(YEAR(S$2)&lt;YEAR($I75),0,YEAR(S$2)=YEAR($I75),ROUND(((S$2-$I75+1)/365)*$D75,2),AND(YEAR(S$2)&gt;YEAR($I75),YEAR(S$2)-YEAR($I75)&lt;20),$D75,YEAR(S$2)-YEAR($I75)=20,ROUND((DATE(YEAR($I75),12,31)-$I75+1)/365*$D75,2),YEAR(S$2)-YEAR($I75)&gt;20,0)</f>
        <v>1100</v>
      </c>
      <c r="T75" s="48" cm="1">
        <f t="array" ref="T75">_xlfn.IFS(YEAR(T$2)&lt;YEAR($I75),0,YEAR(T$2)=YEAR($I75),ROUND(((T$2-$I75+1)/365)*$D75,2),AND(YEAR(T$2)&gt;YEAR($I75),YEAR(T$2)-YEAR($I75)&lt;20),$D75,YEAR(T$2)-YEAR($I75)=20,ROUND((DATE(YEAR($I75),12,31)-$I75+1)/365*$D75,2),YEAR(T$2)-YEAR($I75)&gt;20,0)</f>
        <v>1100</v>
      </c>
      <c r="U75" s="48" cm="1">
        <f t="array" ref="U75">_xlfn.IFS(YEAR(U$2)&lt;YEAR($I75),0,YEAR(U$2)=YEAR($I75),ROUND(((U$2-$I75+1)/365)*$D75,2),AND(YEAR(U$2)&gt;YEAR($I75),YEAR(U$2)-YEAR($I75)&lt;20),$D75,YEAR(U$2)-YEAR($I75)=20,ROUND((DATE(YEAR($I75),12,31)-$I75+1)/365*$D75,2),YEAR(U$2)-YEAR($I75)&gt;20,0)</f>
        <v>1100</v>
      </c>
      <c r="V75" s="48" cm="1">
        <f t="array" ref="V75">_xlfn.IFS(YEAR(V$2)&lt;YEAR($I75),0,YEAR(V$2)=YEAR($I75),ROUND(((V$2-$I75+1)/365)*$D75,2),AND(YEAR(V$2)&gt;YEAR($I75),YEAR(V$2)-YEAR($I75)&lt;20),$D75,YEAR(V$2)-YEAR($I75)=20,ROUND((DATE(YEAR($I75),12,31)-$I75+1)/365*$D75,2),YEAR(V$2)-YEAR($I75)&gt;20,0)</f>
        <v>1100</v>
      </c>
      <c r="W75" s="48" cm="1">
        <f t="array" ref="W75">_xlfn.IFS(YEAR(W$2)&lt;YEAR($I75),0,YEAR(W$2)=YEAR($I75),ROUND(((W$2-$I75+1)/365)*$D75,2),AND(YEAR(W$2)&gt;YEAR($I75),YEAR(W$2)-YEAR($I75)&lt;20),$D75,YEAR(W$2)-YEAR($I75)=20,ROUND((DATE(YEAR($I75),12,31)-$I75+1)/365*$D75,2),YEAR(W$2)-YEAR($I75)&gt;20,0)</f>
        <v>1100</v>
      </c>
      <c r="X75" s="48" cm="1">
        <f t="array" ref="X75">_xlfn.IFS(YEAR(X$2)&lt;YEAR($I75),0,YEAR(X$2)=YEAR($I75),ROUND(((X$2-$I75+1)/365)*$D75,2),AND(YEAR(X$2)&gt;YEAR($I75),YEAR(X$2)-YEAR($I75)&lt;20),$D75,YEAR(X$2)-YEAR($I75)=20,ROUND((DATE(YEAR($I75),12,31)-$I75+1)/365*$D75,2),YEAR(X$2)-YEAR($I75)&gt;20,0)</f>
        <v>1100</v>
      </c>
      <c r="Y75" s="48" cm="1">
        <f t="array" ref="Y75">_xlfn.IFS(YEAR(Y$2)&lt;YEAR($I75),0,YEAR(Y$2)=YEAR($I75),ROUND(((Y$2-$I75+1)/365)*$D75,2),AND(YEAR(Y$2)&gt;YEAR($I75),YEAR(Y$2)-YEAR($I75)&lt;20),$D75,YEAR(Y$2)-YEAR($I75)=20,ROUND((DATE(YEAR($I75),12,31)-$I75+1)/365*$D75,2),YEAR(Y$2)-YEAR($I75)&gt;20,0)</f>
        <v>1100</v>
      </c>
      <c r="Z75" s="48" cm="1">
        <f t="array" ref="Z75">_xlfn.IFS(YEAR(Z$2)&lt;YEAR($I75),0,YEAR(Z$2)=YEAR($I75),ROUND(((Z$2-$I75+1)/365)*$D75,2),AND(YEAR(Z$2)&gt;YEAR($I75),YEAR(Z$2)-YEAR($I75)&lt;20),$D75,YEAR(Z$2)-YEAR($I75)=20,ROUND((DATE(YEAR($I75),12,31)-$I75+1)/365*$D75,2),YEAR(Z$2)-YEAR($I75)&gt;20,0)</f>
        <v>1100</v>
      </c>
      <c r="AA75" s="48" cm="1">
        <f t="array" ref="AA75">_xlfn.IFS(YEAR(AA$2)&lt;YEAR($I75),0,YEAR(AA$2)=YEAR($I75),ROUND(((AA$2-$I75+1)/365)*$D75,2),AND(YEAR(AA$2)&gt;YEAR($I75),YEAR(AA$2)-YEAR($I75)&lt;20),$D75,YEAR(AA$2)-YEAR($I75)=20,ROUND((DATE(YEAR($I75),12,31)-$I75+1)/365*$D75,2),YEAR(AA$2)-YEAR($I75)&gt;20,0)</f>
        <v>1100</v>
      </c>
      <c r="AB75" s="48" cm="1">
        <f t="array" ref="AB75">_xlfn.IFS(YEAR(AB$2)&lt;YEAR($I75),0,YEAR(AB$2)=YEAR($I75),ROUND(((AB$2-$I75+1)/365)*$D75,2),AND(YEAR(AB$2)&gt;YEAR($I75),YEAR(AB$2)-YEAR($I75)&lt;20),$D75,YEAR(AB$2)-YEAR($I75)=20,ROUND((DATE(YEAR($I75),12,31)-$I75+1)/365*$D75,2),YEAR(AB$2)-YEAR($I75)&gt;20,0)</f>
        <v>1100</v>
      </c>
      <c r="AC75" s="48" cm="1">
        <f t="array" ref="AC75">_xlfn.IFS(YEAR(AC$2)&lt;YEAR($I75),0,YEAR(AC$2)=YEAR($I75),ROUND(((AC$2-$I75+1)/365)*$D75,2),AND(YEAR(AC$2)&gt;YEAR($I75),YEAR(AC$2)-YEAR($I75)&lt;20),$D75,YEAR(AC$2)-YEAR($I75)=20,ROUND((DATE(YEAR($I75),12,31)-$I75+1)/365*$D75,2),YEAR(AC$2)-YEAR($I75)&gt;20,0)</f>
        <v>1100</v>
      </c>
      <c r="AD75" s="48" cm="1">
        <f t="array" ref="AD75">_xlfn.IFS(YEAR(AD$2)&lt;YEAR($I75),0,YEAR(AD$2)=YEAR($I75),ROUND(((AD$2-$I75+1)/365)*$D75,2),AND(YEAR(AD$2)&gt;YEAR($I75),YEAR(AD$2)-YEAR($I75)&lt;20),$D75,YEAR(AD$2)-YEAR($I75)=20,ROUND((DATE(YEAR($I75),12,31)-$I75+1)/365*$D75,2),YEAR(AD$2)-YEAR($I75)&gt;20,0)</f>
        <v>1100</v>
      </c>
      <c r="AE75" s="48" cm="1">
        <f t="array" ref="AE75">_xlfn.IFS(YEAR(AE$2)&lt;YEAR($I75),0,YEAR(AE$2)=YEAR($I75),ROUND(((AE$2-$I75+1)/365)*$D75,2),AND(YEAR(AE$2)&gt;YEAR($I75),YEAR(AE$2)-YEAR($I75)&lt;20),$D75,YEAR(AE$2)-YEAR($I75)=20,ROUND((DATE(YEAR($I75),12,31)-$I75+1)/365*$D75,2),YEAR(AE$2)-YEAR($I75)&gt;20,0)</f>
        <v>1100</v>
      </c>
      <c r="AF75" s="48" cm="1">
        <f t="array" ref="AF75">_xlfn.IFS(YEAR(AF$2)&lt;YEAR($I75),0,YEAR(AF$2)=YEAR($I75),ROUND(((AF$2-$I75+1)/365)*$D75,2),AND(YEAR(AF$2)&gt;YEAR($I75),YEAR(AF$2)-YEAR($I75)&lt;20),$D75,YEAR(AF$2)-YEAR($I75)=20,ROUND((DATE(YEAR($I75),12,31)-$I75+1)/365*$D75,2),YEAR(AF$2)-YEAR($I75)&gt;20,0)</f>
        <v>1100</v>
      </c>
      <c r="AG75" s="48" cm="1">
        <f t="array" ref="AG75">_xlfn.IFS(YEAR(AG$2)&lt;YEAR($I75),0,YEAR(AG$2)=YEAR($I75),ROUND(((AG$2-$I75+1)/365)*$D75,2),AND(YEAR(AG$2)&gt;YEAR($I75),YEAR(AG$2)-YEAR($I75)&lt;20),$D75,YEAR(AG$2)-YEAR($I75)=20,ROUND((DATE(YEAR($I75),12,31)-$I75+1)/365*$D75,2),YEAR(AG$2)-YEAR($I75)&gt;20,0)</f>
        <v>1100</v>
      </c>
      <c r="AH75" s="48" cm="1">
        <f t="array" ref="AH75">_xlfn.IFS(YEAR(AH$2)&lt;YEAR($I75),0,YEAR(AH$2)=YEAR($I75),ROUND(((AH$2-$I75+1)/365)*$D75,2),AND(YEAR(AH$2)&gt;YEAR($I75),YEAR(AH$2)-YEAR($I75)&lt;20),$D75,YEAR(AH$2)-YEAR($I75)=20,ROUND((DATE(YEAR($I75),12,31)-$I75+1)/365*$D75,2),YEAR(AH$2)-YEAR($I75)&gt;20,0)</f>
        <v>1100</v>
      </c>
      <c r="AI75" s="48" cm="1">
        <f t="array" ref="AI75">_xlfn.IFS(YEAR(AI$2)&lt;YEAR($I75),0,YEAR(AI$2)=YEAR($I75),ROUND(((AI$2-$I75+1)/365)*$D75,2),AND(YEAR(AI$2)&gt;YEAR($I75),YEAR(AI$2)-YEAR($I75)&lt;20),$D75,YEAR(AI$2)-YEAR($I75)=20,ROUND((DATE(YEAR($I75),12,31)-$I75+1)/365*$D75,2),YEAR(AI$2)-YEAR($I75)&gt;20,0)</f>
        <v>162.74</v>
      </c>
      <c r="AJ75" s="48" cm="1">
        <f t="array" ref="AJ75">_xlfn.IFS(YEAR(AJ$2)&lt;YEAR($I75),0,YEAR(AJ$2)=YEAR($I75),ROUND(((AJ$2-$I75+1)/365)*$D75,2),AND(YEAR(AJ$2)&gt;YEAR($I75),YEAR(AJ$2)-YEAR($I75)&lt;20),$D75,YEAR(AJ$2)-YEAR($I75)=20,ROUND((DATE(YEAR($I75),12,31)-$I75+1)/365*$D75,2),YEAR(AJ$2)-YEAR($I75)&gt;20,0)</f>
        <v>0</v>
      </c>
      <c r="AK75" s="48" cm="1">
        <f t="array" ref="AK75">_xlfn.IFS(YEAR(AK$2)&lt;YEAR($I75),0,YEAR(AK$2)=YEAR($I75),ROUND(((AK$2-$I75+1)/365)*$D75,2),AND(YEAR(AK$2)&gt;YEAR($I75),YEAR(AK$2)-YEAR($I75)&lt;20),$D75,YEAR(AK$2)-YEAR($I75)=20,ROUND((DATE(YEAR($I75),12,31)-$I75+1)/365*$D75,2),YEAR(AK$2)-YEAR($I75)&gt;20,0)</f>
        <v>0</v>
      </c>
      <c r="AL75" s="48" cm="1">
        <f t="array" ref="AL75">_xlfn.IFS(YEAR(AL$2)&lt;YEAR($I75),0,YEAR(AL$2)=YEAR($I75),ROUND(((AL$2-$I75+1)/365)*$D75,2),AND(YEAR(AL$2)&gt;YEAR($I75),YEAR(AL$2)-YEAR($I75)&lt;20),$D75,YEAR(AL$2)-YEAR($I75)=20,ROUND((DATE(YEAR($I75),12,31)-$I75+1)/365*$D75,2),YEAR(AL$2)-YEAR($I75)&gt;20,0)</f>
        <v>0</v>
      </c>
      <c r="AM75" s="48" cm="1">
        <f t="array" ref="AM75">_xlfn.IFS(YEAR(AM$2)&lt;YEAR($I75),0,YEAR(AM$2)=YEAR($I75),ROUND(((AM$2-$I75+1)/365)*$D75,2),AND(YEAR(AM$2)&gt;YEAR($I75),YEAR(AM$2)-YEAR($I75)&lt;20),$D75,YEAR(AM$2)-YEAR($I75)=20,ROUND((DATE(YEAR($I75),12,31)-$I75+1)/365*$D75,2),YEAR(AM$2)-YEAR($I75)&gt;20,0)</f>
        <v>0</v>
      </c>
    </row>
    <row r="76" spans="1:39">
      <c r="A76" s="155" t="str" cm="1">
        <f t="array" ref="A76">_xlfn.IFS(LEFT(C76,3)="PGE","PGE",LEFT(C76,2)="PP","PAC",TRUE,"IP")</f>
        <v>PAC</v>
      </c>
      <c r="B76" s="155" t="str">
        <f>IF(ISNA(MATCH(C76,'Monthly Report July 2025'!E:E,0)),"Missing","Present")</f>
        <v>Present</v>
      </c>
      <c r="C76" s="155" t="s">
        <v>185</v>
      </c>
      <c r="D76" s="176" cm="1">
        <f t="array" ref="D76">INDEX('Monthly Report July 2025'!L:L,MATCH(C76,'Monthly Report July 2025'!E:E,0),0)</f>
        <v>800</v>
      </c>
      <c r="E76" s="176" t="str" cm="1">
        <f t="array" ref="E76">IF(INDEX('PA Fees by Project'!K:K,MATCH(C76,'PA Fees by Project'!E:E,0),0)="No","Non-Carve Out", "Carve Out")</f>
        <v>Carve Out</v>
      </c>
      <c r="F76" s="176" cm="1">
        <f t="array" ref="F76">INDEX('PA Fees by Project'!J:J,MATCH(C76,'PA Fees by Project'!E:E,0),0)</f>
        <v>2</v>
      </c>
      <c r="G76" s="155" t="str" cm="1">
        <f t="array" ref="G76">INDEX('PA Fees by Project'!G:G,MATCH(C76,'PA Fees by Project'!E:E,0),0)</f>
        <v>Pre-Certified</v>
      </c>
      <c r="H76" s="175" t="str" cm="1">
        <f t="array" ref="H76">INDEX('PA Fees by Project'!Q:Q,MATCH(C76,'PA Fees by Project'!E:E,0),0)</f>
        <v/>
      </c>
      <c r="I76" s="156" cm="1">
        <f t="array" ref="I76">_xlfn.IFS(G76="Operational",H76,G76="Certified",EDATE(INDEX('PA Fees by Project'!R:R,MATCH(C76,'PA Fees by Project'!E:E,0),0),6),TRUE,EDATE(INDEX('PA Fees by Project'!O:O,MATCH(C76,'PA Fees by Project'!E:E,0),0),6))</f>
        <v>46463</v>
      </c>
      <c r="J76" s="48" cm="1">
        <f t="array" ref="J76">_xlfn.IFS(YEAR(J$2)&lt;YEAR($I76),0,YEAR(J$2)=YEAR($I76),ROUND(((J$2-$I76+1)/365)*$D76,2),AND(YEAR(J$2)&gt;YEAR($I76),YEAR(J$2)-YEAR($I76)&lt;20),$D76,YEAR(J$2)-YEAR($I76)=20,ROUND((DATE(YEAR($I76),12,31)-$I76+1)/365*$D76,2),YEAR(J$2)-YEAR($I76)&gt;20,0)</f>
        <v>0</v>
      </c>
      <c r="K76" s="48" cm="1">
        <f t="array" ref="K76">_xlfn.IFS(YEAR(K$2)&lt;YEAR($I76),0,YEAR(K$2)=YEAR($I76),ROUND(((K$2-$I76+1)/365)*$D76,2),AND(YEAR(K$2)&gt;YEAR($I76),YEAR(K$2)-YEAR($I76)&lt;20),$D76,YEAR(K$2)-YEAR($I76)=20,ROUND((DATE(YEAR($I76),12,31)-$I76+1)/365*$D76,2),YEAR(K$2)-YEAR($I76)&gt;20,0)</f>
        <v>0</v>
      </c>
      <c r="L76" s="48" cm="1">
        <f t="array" ref="L76">_xlfn.IFS(YEAR(L$2)&lt;YEAR($I76),0,YEAR(L$2)=YEAR($I76),ROUND(((L$2-$I76+1)/365)*$D76,2),AND(YEAR(L$2)&gt;YEAR($I76),YEAR(L$2)-YEAR($I76)&lt;20),$D76,YEAR(L$2)-YEAR($I76)=20,ROUND((DATE(YEAR($I76),12,31)-$I76+1)/365*$D76,2),YEAR(L$2)-YEAR($I76)&gt;20,0)</f>
        <v>0</v>
      </c>
      <c r="M76" s="48" cm="1">
        <f t="array" ref="M76">_xlfn.IFS(YEAR(M$2)&lt;YEAR($I76),0,YEAR(M$2)=YEAR($I76),ROUND(((M$2-$I76+1)/365)*$D76,2),AND(YEAR(M$2)&gt;YEAR($I76),YEAR(M$2)-YEAR($I76)&lt;20),$D76,YEAR(M$2)-YEAR($I76)=20,ROUND((DATE(YEAR($I76),12,31)-$I76+1)/365*$D76,2),YEAR(M$2)-YEAR($I76)&gt;20,0)</f>
        <v>0</v>
      </c>
      <c r="N76" s="48" cm="1">
        <f t="array" ref="N76">_xlfn.IFS(YEAR(N$2)&lt;YEAR($I76),0,YEAR(N$2)=YEAR($I76),ROUND(((N$2-$I76+1)/365)*$D76,2),AND(YEAR(N$2)&gt;YEAR($I76),YEAR(N$2)-YEAR($I76)&lt;20),$D76,YEAR(N$2)-YEAR($I76)=20,ROUND((DATE(YEAR($I76),12,31)-$I76+1)/365*$D76,2),YEAR(N$2)-YEAR($I76)&gt;20,0)</f>
        <v>0</v>
      </c>
      <c r="O76" s="48" cm="1">
        <f t="array" ref="O76">_xlfn.IFS(YEAR(O$2)&lt;YEAR($I76),0,YEAR(O$2)=YEAR($I76),ROUND(((O$2-$I76+1)/365)*$D76,2),AND(YEAR(O$2)&gt;YEAR($I76),YEAR(O$2)-YEAR($I76)&lt;20),$D76,YEAR(O$2)-YEAR($I76)=20,ROUND((DATE(YEAR($I76),12,31)-$I76+1)/365*$D76,2),YEAR(O$2)-YEAR($I76)&gt;20,0)</f>
        <v>0</v>
      </c>
      <c r="P76" s="48" cm="1">
        <f t="array" ref="P76">_xlfn.IFS(YEAR(P$2)&lt;YEAR($I76),0,YEAR(P$2)=YEAR($I76),ROUND(((P$2-$I76+1)/365)*$D76,2),AND(YEAR(P$2)&gt;YEAR($I76),YEAR(P$2)-YEAR($I76)&lt;20),$D76,YEAR(P$2)-YEAR($I76)=20,ROUND((DATE(YEAR($I76),12,31)-$I76+1)/365*$D76,2),YEAR(P$2)-YEAR($I76)&gt;20,0)</f>
        <v>635.62</v>
      </c>
      <c r="Q76" s="48" cm="1">
        <f t="array" ref="Q76">_xlfn.IFS(YEAR(Q$2)&lt;YEAR($I76),0,YEAR(Q$2)=YEAR($I76),ROUND(((Q$2-$I76+1)/365)*$D76,2),AND(YEAR(Q$2)&gt;YEAR($I76),YEAR(Q$2)-YEAR($I76)&lt;20),$D76,YEAR(Q$2)-YEAR($I76)=20,ROUND((DATE(YEAR($I76),12,31)-$I76+1)/365*$D76,2),YEAR(Q$2)-YEAR($I76)&gt;20,0)</f>
        <v>800</v>
      </c>
      <c r="R76" s="48" cm="1">
        <f t="array" ref="R76">_xlfn.IFS(YEAR(R$2)&lt;YEAR($I76),0,YEAR(R$2)=YEAR($I76),ROUND(((R$2-$I76+1)/365)*$D76,2),AND(YEAR(R$2)&gt;YEAR($I76),YEAR(R$2)-YEAR($I76)&lt;20),$D76,YEAR(R$2)-YEAR($I76)=20,ROUND((DATE(YEAR($I76),12,31)-$I76+1)/365*$D76,2),YEAR(R$2)-YEAR($I76)&gt;20,0)</f>
        <v>800</v>
      </c>
      <c r="S76" s="48" cm="1">
        <f t="array" ref="S76">_xlfn.IFS(YEAR(S$2)&lt;YEAR($I76),0,YEAR(S$2)=YEAR($I76),ROUND(((S$2-$I76+1)/365)*$D76,2),AND(YEAR(S$2)&gt;YEAR($I76),YEAR(S$2)-YEAR($I76)&lt;20),$D76,YEAR(S$2)-YEAR($I76)=20,ROUND((DATE(YEAR($I76),12,31)-$I76+1)/365*$D76,2),YEAR(S$2)-YEAR($I76)&gt;20,0)</f>
        <v>800</v>
      </c>
      <c r="T76" s="48" cm="1">
        <f t="array" ref="T76">_xlfn.IFS(YEAR(T$2)&lt;YEAR($I76),0,YEAR(T$2)=YEAR($I76),ROUND(((T$2-$I76+1)/365)*$D76,2),AND(YEAR(T$2)&gt;YEAR($I76),YEAR(T$2)-YEAR($I76)&lt;20),$D76,YEAR(T$2)-YEAR($I76)=20,ROUND((DATE(YEAR($I76),12,31)-$I76+1)/365*$D76,2),YEAR(T$2)-YEAR($I76)&gt;20,0)</f>
        <v>800</v>
      </c>
      <c r="U76" s="48" cm="1">
        <f t="array" ref="U76">_xlfn.IFS(YEAR(U$2)&lt;YEAR($I76),0,YEAR(U$2)=YEAR($I76),ROUND(((U$2-$I76+1)/365)*$D76,2),AND(YEAR(U$2)&gt;YEAR($I76),YEAR(U$2)-YEAR($I76)&lt;20),$D76,YEAR(U$2)-YEAR($I76)=20,ROUND((DATE(YEAR($I76),12,31)-$I76+1)/365*$D76,2),YEAR(U$2)-YEAR($I76)&gt;20,0)</f>
        <v>800</v>
      </c>
      <c r="V76" s="48" cm="1">
        <f t="array" ref="V76">_xlfn.IFS(YEAR(V$2)&lt;YEAR($I76),0,YEAR(V$2)=YEAR($I76),ROUND(((V$2-$I76+1)/365)*$D76,2),AND(YEAR(V$2)&gt;YEAR($I76),YEAR(V$2)-YEAR($I76)&lt;20),$D76,YEAR(V$2)-YEAR($I76)=20,ROUND((DATE(YEAR($I76),12,31)-$I76+1)/365*$D76,2),YEAR(V$2)-YEAR($I76)&gt;20,0)</f>
        <v>800</v>
      </c>
      <c r="W76" s="48" cm="1">
        <f t="array" ref="W76">_xlfn.IFS(YEAR(W$2)&lt;YEAR($I76),0,YEAR(W$2)=YEAR($I76),ROUND(((W$2-$I76+1)/365)*$D76,2),AND(YEAR(W$2)&gt;YEAR($I76),YEAR(W$2)-YEAR($I76)&lt;20),$D76,YEAR(W$2)-YEAR($I76)=20,ROUND((DATE(YEAR($I76),12,31)-$I76+1)/365*$D76,2),YEAR(W$2)-YEAR($I76)&gt;20,0)</f>
        <v>800</v>
      </c>
      <c r="X76" s="48" cm="1">
        <f t="array" ref="X76">_xlfn.IFS(YEAR(X$2)&lt;YEAR($I76),0,YEAR(X$2)=YEAR($I76),ROUND(((X$2-$I76+1)/365)*$D76,2),AND(YEAR(X$2)&gt;YEAR($I76),YEAR(X$2)-YEAR($I76)&lt;20),$D76,YEAR(X$2)-YEAR($I76)=20,ROUND((DATE(YEAR($I76),12,31)-$I76+1)/365*$D76,2),YEAR(X$2)-YEAR($I76)&gt;20,0)</f>
        <v>800</v>
      </c>
      <c r="Y76" s="48" cm="1">
        <f t="array" ref="Y76">_xlfn.IFS(YEAR(Y$2)&lt;YEAR($I76),0,YEAR(Y$2)=YEAR($I76),ROUND(((Y$2-$I76+1)/365)*$D76,2),AND(YEAR(Y$2)&gt;YEAR($I76),YEAR(Y$2)-YEAR($I76)&lt;20),$D76,YEAR(Y$2)-YEAR($I76)=20,ROUND((DATE(YEAR($I76),12,31)-$I76+1)/365*$D76,2),YEAR(Y$2)-YEAR($I76)&gt;20,0)</f>
        <v>800</v>
      </c>
      <c r="Z76" s="48" cm="1">
        <f t="array" ref="Z76">_xlfn.IFS(YEAR(Z$2)&lt;YEAR($I76),0,YEAR(Z$2)=YEAR($I76),ROUND(((Z$2-$I76+1)/365)*$D76,2),AND(YEAR(Z$2)&gt;YEAR($I76),YEAR(Z$2)-YEAR($I76)&lt;20),$D76,YEAR(Z$2)-YEAR($I76)=20,ROUND((DATE(YEAR($I76),12,31)-$I76+1)/365*$D76,2),YEAR(Z$2)-YEAR($I76)&gt;20,0)</f>
        <v>800</v>
      </c>
      <c r="AA76" s="48" cm="1">
        <f t="array" ref="AA76">_xlfn.IFS(YEAR(AA$2)&lt;YEAR($I76),0,YEAR(AA$2)=YEAR($I76),ROUND(((AA$2-$I76+1)/365)*$D76,2),AND(YEAR(AA$2)&gt;YEAR($I76),YEAR(AA$2)-YEAR($I76)&lt;20),$D76,YEAR(AA$2)-YEAR($I76)=20,ROUND((DATE(YEAR($I76),12,31)-$I76+1)/365*$D76,2),YEAR(AA$2)-YEAR($I76)&gt;20,0)</f>
        <v>800</v>
      </c>
      <c r="AB76" s="48" cm="1">
        <f t="array" ref="AB76">_xlfn.IFS(YEAR(AB$2)&lt;YEAR($I76),0,YEAR(AB$2)=YEAR($I76),ROUND(((AB$2-$I76+1)/365)*$D76,2),AND(YEAR(AB$2)&gt;YEAR($I76),YEAR(AB$2)-YEAR($I76)&lt;20),$D76,YEAR(AB$2)-YEAR($I76)=20,ROUND((DATE(YEAR($I76),12,31)-$I76+1)/365*$D76,2),YEAR(AB$2)-YEAR($I76)&gt;20,0)</f>
        <v>800</v>
      </c>
      <c r="AC76" s="48" cm="1">
        <f t="array" ref="AC76">_xlfn.IFS(YEAR(AC$2)&lt;YEAR($I76),0,YEAR(AC$2)=YEAR($I76),ROUND(((AC$2-$I76+1)/365)*$D76,2),AND(YEAR(AC$2)&gt;YEAR($I76),YEAR(AC$2)-YEAR($I76)&lt;20),$D76,YEAR(AC$2)-YEAR($I76)=20,ROUND((DATE(YEAR($I76),12,31)-$I76+1)/365*$D76,2),YEAR(AC$2)-YEAR($I76)&gt;20,0)</f>
        <v>800</v>
      </c>
      <c r="AD76" s="48" cm="1">
        <f t="array" ref="AD76">_xlfn.IFS(YEAR(AD$2)&lt;YEAR($I76),0,YEAR(AD$2)=YEAR($I76),ROUND(((AD$2-$I76+1)/365)*$D76,2),AND(YEAR(AD$2)&gt;YEAR($I76),YEAR(AD$2)-YEAR($I76)&lt;20),$D76,YEAR(AD$2)-YEAR($I76)=20,ROUND((DATE(YEAR($I76),12,31)-$I76+1)/365*$D76,2),YEAR(AD$2)-YEAR($I76)&gt;20,0)</f>
        <v>800</v>
      </c>
      <c r="AE76" s="48" cm="1">
        <f t="array" ref="AE76">_xlfn.IFS(YEAR(AE$2)&lt;YEAR($I76),0,YEAR(AE$2)=YEAR($I76),ROUND(((AE$2-$I76+1)/365)*$D76,2),AND(YEAR(AE$2)&gt;YEAR($I76),YEAR(AE$2)-YEAR($I76)&lt;20),$D76,YEAR(AE$2)-YEAR($I76)=20,ROUND((DATE(YEAR($I76),12,31)-$I76+1)/365*$D76,2),YEAR(AE$2)-YEAR($I76)&gt;20,0)</f>
        <v>800</v>
      </c>
      <c r="AF76" s="48" cm="1">
        <f t="array" ref="AF76">_xlfn.IFS(YEAR(AF$2)&lt;YEAR($I76),0,YEAR(AF$2)=YEAR($I76),ROUND(((AF$2-$I76+1)/365)*$D76,2),AND(YEAR(AF$2)&gt;YEAR($I76),YEAR(AF$2)-YEAR($I76)&lt;20),$D76,YEAR(AF$2)-YEAR($I76)=20,ROUND((DATE(YEAR($I76),12,31)-$I76+1)/365*$D76,2),YEAR(AF$2)-YEAR($I76)&gt;20,0)</f>
        <v>800</v>
      </c>
      <c r="AG76" s="48" cm="1">
        <f t="array" ref="AG76">_xlfn.IFS(YEAR(AG$2)&lt;YEAR($I76),0,YEAR(AG$2)=YEAR($I76),ROUND(((AG$2-$I76+1)/365)*$D76,2),AND(YEAR(AG$2)&gt;YEAR($I76),YEAR(AG$2)-YEAR($I76)&lt;20),$D76,YEAR(AG$2)-YEAR($I76)=20,ROUND((DATE(YEAR($I76),12,31)-$I76+1)/365*$D76,2),YEAR(AG$2)-YEAR($I76)&gt;20,0)</f>
        <v>800</v>
      </c>
      <c r="AH76" s="48" cm="1">
        <f t="array" ref="AH76">_xlfn.IFS(YEAR(AH$2)&lt;YEAR($I76),0,YEAR(AH$2)=YEAR($I76),ROUND(((AH$2-$I76+1)/365)*$D76,2),AND(YEAR(AH$2)&gt;YEAR($I76),YEAR(AH$2)-YEAR($I76)&lt;20),$D76,YEAR(AH$2)-YEAR($I76)=20,ROUND((DATE(YEAR($I76),12,31)-$I76+1)/365*$D76,2),YEAR(AH$2)-YEAR($I76)&gt;20,0)</f>
        <v>800</v>
      </c>
      <c r="AI76" s="48" cm="1">
        <f t="array" ref="AI76">_xlfn.IFS(YEAR(AI$2)&lt;YEAR($I76),0,YEAR(AI$2)=YEAR($I76),ROUND(((AI$2-$I76+1)/365)*$D76,2),AND(YEAR(AI$2)&gt;YEAR($I76),YEAR(AI$2)-YEAR($I76)&lt;20),$D76,YEAR(AI$2)-YEAR($I76)=20,ROUND((DATE(YEAR($I76),12,31)-$I76+1)/365*$D76,2),YEAR(AI$2)-YEAR($I76)&gt;20,0)</f>
        <v>800</v>
      </c>
      <c r="AJ76" s="48" cm="1">
        <f t="array" ref="AJ76">_xlfn.IFS(YEAR(AJ$2)&lt;YEAR($I76),0,YEAR(AJ$2)=YEAR($I76),ROUND(((AJ$2-$I76+1)/365)*$D76,2),AND(YEAR(AJ$2)&gt;YEAR($I76),YEAR(AJ$2)-YEAR($I76)&lt;20),$D76,YEAR(AJ$2)-YEAR($I76)=20,ROUND((DATE(YEAR($I76),12,31)-$I76+1)/365*$D76,2),YEAR(AJ$2)-YEAR($I76)&gt;20,0)</f>
        <v>635.62</v>
      </c>
      <c r="AK76" s="48" cm="1">
        <f t="array" ref="AK76">_xlfn.IFS(YEAR(AK$2)&lt;YEAR($I76),0,YEAR(AK$2)=YEAR($I76),ROUND(((AK$2-$I76+1)/365)*$D76,2),AND(YEAR(AK$2)&gt;YEAR($I76),YEAR(AK$2)-YEAR($I76)&lt;20),$D76,YEAR(AK$2)-YEAR($I76)=20,ROUND((DATE(YEAR($I76),12,31)-$I76+1)/365*$D76,2),YEAR(AK$2)-YEAR($I76)&gt;20,0)</f>
        <v>0</v>
      </c>
      <c r="AL76" s="48" cm="1">
        <f t="array" ref="AL76">_xlfn.IFS(YEAR(AL$2)&lt;YEAR($I76),0,YEAR(AL$2)=YEAR($I76),ROUND(((AL$2-$I76+1)/365)*$D76,2),AND(YEAR(AL$2)&gt;YEAR($I76),YEAR(AL$2)-YEAR($I76)&lt;20),$D76,YEAR(AL$2)-YEAR($I76)=20,ROUND((DATE(YEAR($I76),12,31)-$I76+1)/365*$D76,2),YEAR(AL$2)-YEAR($I76)&gt;20,0)</f>
        <v>0</v>
      </c>
      <c r="AM76" s="48" cm="1">
        <f t="array" ref="AM76">_xlfn.IFS(YEAR(AM$2)&lt;YEAR($I76),0,YEAR(AM$2)=YEAR($I76),ROUND(((AM$2-$I76+1)/365)*$D76,2),AND(YEAR(AM$2)&gt;YEAR($I76),YEAR(AM$2)-YEAR($I76)&lt;20),$D76,YEAR(AM$2)-YEAR($I76)=20,ROUND((DATE(YEAR($I76),12,31)-$I76+1)/365*$D76,2),YEAR(AM$2)-YEAR($I76)&gt;20,0)</f>
        <v>0</v>
      </c>
    </row>
    <row r="77" spans="1:39">
      <c r="A77" s="155" t="str" cm="1">
        <f t="array" ref="A77">_xlfn.IFS(LEFT(C77,3)="PGE","PGE",LEFT(C77,2)="PP","PAC",TRUE,"IP")</f>
        <v>PAC</v>
      </c>
      <c r="B77" s="155" t="str">
        <f>IF(ISNA(MATCH(C77,'Monthly Report July 2025'!E:E,0)),"Missing","Present")</f>
        <v>Present</v>
      </c>
      <c r="C77" s="155" t="s">
        <v>186</v>
      </c>
      <c r="D77" s="176" cm="1">
        <f t="array" ref="D77">INDEX('Monthly Report July 2025'!L:L,MATCH(C77,'Monthly Report July 2025'!E:E,0),0)</f>
        <v>875</v>
      </c>
      <c r="E77" s="176" t="str" cm="1">
        <f t="array" ref="E77">IF(INDEX('PA Fees by Project'!K:K,MATCH(C77,'PA Fees by Project'!E:E,0),0)="No","Non-Carve Out", "Carve Out")</f>
        <v>Carve Out</v>
      </c>
      <c r="F77" s="176" cm="1">
        <f t="array" ref="F77">INDEX('PA Fees by Project'!J:J,MATCH(C77,'PA Fees by Project'!E:E,0),0)</f>
        <v>2</v>
      </c>
      <c r="G77" s="155" t="str" cm="1">
        <f t="array" ref="G77">INDEX('PA Fees by Project'!G:G,MATCH(C77,'PA Fees by Project'!E:E,0),0)</f>
        <v>Pre-Certified</v>
      </c>
      <c r="H77" s="175" t="str" cm="1">
        <f t="array" ref="H77">INDEX('PA Fees by Project'!Q:Q,MATCH(C77,'PA Fees by Project'!E:E,0),0)</f>
        <v/>
      </c>
      <c r="I77" s="156" cm="1">
        <f t="array" ref="I77">_xlfn.IFS(G77="Operational",H77,G77="Certified",EDATE(INDEX('PA Fees by Project'!R:R,MATCH(C77,'PA Fees by Project'!E:E,0),0),6),TRUE,EDATE(INDEX('PA Fees by Project'!O:O,MATCH(C77,'PA Fees by Project'!E:E,0),0),6))</f>
        <v>46349</v>
      </c>
      <c r="J77" s="48" cm="1">
        <f t="array" ref="J77">_xlfn.IFS(YEAR(J$2)&lt;YEAR($I77),0,YEAR(J$2)=YEAR($I77),ROUND(((J$2-$I77+1)/365)*$D77,2),AND(YEAR(J$2)&gt;YEAR($I77),YEAR(J$2)-YEAR($I77)&lt;20),$D77,YEAR(J$2)-YEAR($I77)=20,ROUND((DATE(YEAR($I77),12,31)-$I77+1)/365*$D77,2),YEAR(J$2)-YEAR($I77)&gt;20,0)</f>
        <v>0</v>
      </c>
      <c r="K77" s="48" cm="1">
        <f t="array" ref="K77">_xlfn.IFS(YEAR(K$2)&lt;YEAR($I77),0,YEAR(K$2)=YEAR($I77),ROUND(((K$2-$I77+1)/365)*$D77,2),AND(YEAR(K$2)&gt;YEAR($I77),YEAR(K$2)-YEAR($I77)&lt;20),$D77,YEAR(K$2)-YEAR($I77)=20,ROUND((DATE(YEAR($I77),12,31)-$I77+1)/365*$D77,2),YEAR(K$2)-YEAR($I77)&gt;20,0)</f>
        <v>0</v>
      </c>
      <c r="L77" s="48" cm="1">
        <f t="array" ref="L77">_xlfn.IFS(YEAR(L$2)&lt;YEAR($I77),0,YEAR(L$2)=YEAR($I77),ROUND(((L$2-$I77+1)/365)*$D77,2),AND(YEAR(L$2)&gt;YEAR($I77),YEAR(L$2)-YEAR($I77)&lt;20),$D77,YEAR(L$2)-YEAR($I77)=20,ROUND((DATE(YEAR($I77),12,31)-$I77+1)/365*$D77,2),YEAR(L$2)-YEAR($I77)&gt;20,0)</f>
        <v>0</v>
      </c>
      <c r="M77" s="48" cm="1">
        <f t="array" ref="M77">_xlfn.IFS(YEAR(M$2)&lt;YEAR($I77),0,YEAR(M$2)=YEAR($I77),ROUND(((M$2-$I77+1)/365)*$D77,2),AND(YEAR(M$2)&gt;YEAR($I77),YEAR(M$2)-YEAR($I77)&lt;20),$D77,YEAR(M$2)-YEAR($I77)=20,ROUND((DATE(YEAR($I77),12,31)-$I77+1)/365*$D77,2),YEAR(M$2)-YEAR($I77)&gt;20,0)</f>
        <v>0</v>
      </c>
      <c r="N77" s="48" cm="1">
        <f t="array" ref="N77">_xlfn.IFS(YEAR(N$2)&lt;YEAR($I77),0,YEAR(N$2)=YEAR($I77),ROUND(((N$2-$I77+1)/365)*$D77,2),AND(YEAR(N$2)&gt;YEAR($I77),YEAR(N$2)-YEAR($I77)&lt;20),$D77,YEAR(N$2)-YEAR($I77)=20,ROUND((DATE(YEAR($I77),12,31)-$I77+1)/365*$D77,2),YEAR(N$2)-YEAR($I77)&gt;20,0)</f>
        <v>0</v>
      </c>
      <c r="O77" s="48" cm="1">
        <f t="array" ref="O77">_xlfn.IFS(YEAR(O$2)&lt;YEAR($I77),0,YEAR(O$2)=YEAR($I77),ROUND(((O$2-$I77+1)/365)*$D77,2),AND(YEAR(O$2)&gt;YEAR($I77),YEAR(O$2)-YEAR($I77)&lt;20),$D77,YEAR(O$2)-YEAR($I77)=20,ROUND((DATE(YEAR($I77),12,31)-$I77+1)/365*$D77,2),YEAR(O$2)-YEAR($I77)&gt;20,0)</f>
        <v>93.49</v>
      </c>
      <c r="P77" s="48" cm="1">
        <f t="array" ref="P77">_xlfn.IFS(YEAR(P$2)&lt;YEAR($I77),0,YEAR(P$2)=YEAR($I77),ROUND(((P$2-$I77+1)/365)*$D77,2),AND(YEAR(P$2)&gt;YEAR($I77),YEAR(P$2)-YEAR($I77)&lt;20),$D77,YEAR(P$2)-YEAR($I77)=20,ROUND((DATE(YEAR($I77),12,31)-$I77+1)/365*$D77,2),YEAR(P$2)-YEAR($I77)&gt;20,0)</f>
        <v>875</v>
      </c>
      <c r="Q77" s="48" cm="1">
        <f t="array" ref="Q77">_xlfn.IFS(YEAR(Q$2)&lt;YEAR($I77),0,YEAR(Q$2)=YEAR($I77),ROUND(((Q$2-$I77+1)/365)*$D77,2),AND(YEAR(Q$2)&gt;YEAR($I77),YEAR(Q$2)-YEAR($I77)&lt;20),$D77,YEAR(Q$2)-YEAR($I77)=20,ROUND((DATE(YEAR($I77),12,31)-$I77+1)/365*$D77,2),YEAR(Q$2)-YEAR($I77)&gt;20,0)</f>
        <v>875</v>
      </c>
      <c r="R77" s="48" cm="1">
        <f t="array" ref="R77">_xlfn.IFS(YEAR(R$2)&lt;YEAR($I77),0,YEAR(R$2)=YEAR($I77),ROUND(((R$2-$I77+1)/365)*$D77,2),AND(YEAR(R$2)&gt;YEAR($I77),YEAR(R$2)-YEAR($I77)&lt;20),$D77,YEAR(R$2)-YEAR($I77)=20,ROUND((DATE(YEAR($I77),12,31)-$I77+1)/365*$D77,2),YEAR(R$2)-YEAR($I77)&gt;20,0)</f>
        <v>875</v>
      </c>
      <c r="S77" s="48" cm="1">
        <f t="array" ref="S77">_xlfn.IFS(YEAR(S$2)&lt;YEAR($I77),0,YEAR(S$2)=YEAR($I77),ROUND(((S$2-$I77+1)/365)*$D77,2),AND(YEAR(S$2)&gt;YEAR($I77),YEAR(S$2)-YEAR($I77)&lt;20),$D77,YEAR(S$2)-YEAR($I77)=20,ROUND((DATE(YEAR($I77),12,31)-$I77+1)/365*$D77,2),YEAR(S$2)-YEAR($I77)&gt;20,0)</f>
        <v>875</v>
      </c>
      <c r="T77" s="48" cm="1">
        <f t="array" ref="T77">_xlfn.IFS(YEAR(T$2)&lt;YEAR($I77),0,YEAR(T$2)=YEAR($I77),ROUND(((T$2-$I77+1)/365)*$D77,2),AND(YEAR(T$2)&gt;YEAR($I77),YEAR(T$2)-YEAR($I77)&lt;20),$D77,YEAR(T$2)-YEAR($I77)=20,ROUND((DATE(YEAR($I77),12,31)-$I77+1)/365*$D77,2),YEAR(T$2)-YEAR($I77)&gt;20,0)</f>
        <v>875</v>
      </c>
      <c r="U77" s="48" cm="1">
        <f t="array" ref="U77">_xlfn.IFS(YEAR(U$2)&lt;YEAR($I77),0,YEAR(U$2)=YEAR($I77),ROUND(((U$2-$I77+1)/365)*$D77,2),AND(YEAR(U$2)&gt;YEAR($I77),YEAR(U$2)-YEAR($I77)&lt;20),$D77,YEAR(U$2)-YEAR($I77)=20,ROUND((DATE(YEAR($I77),12,31)-$I77+1)/365*$D77,2),YEAR(U$2)-YEAR($I77)&gt;20,0)</f>
        <v>875</v>
      </c>
      <c r="V77" s="48" cm="1">
        <f t="array" ref="V77">_xlfn.IFS(YEAR(V$2)&lt;YEAR($I77),0,YEAR(V$2)=YEAR($I77),ROUND(((V$2-$I77+1)/365)*$D77,2),AND(YEAR(V$2)&gt;YEAR($I77),YEAR(V$2)-YEAR($I77)&lt;20),$D77,YEAR(V$2)-YEAR($I77)=20,ROUND((DATE(YEAR($I77),12,31)-$I77+1)/365*$D77,2),YEAR(V$2)-YEAR($I77)&gt;20,0)</f>
        <v>875</v>
      </c>
      <c r="W77" s="48" cm="1">
        <f t="array" ref="W77">_xlfn.IFS(YEAR(W$2)&lt;YEAR($I77),0,YEAR(W$2)=YEAR($I77),ROUND(((W$2-$I77+1)/365)*$D77,2),AND(YEAR(W$2)&gt;YEAR($I77),YEAR(W$2)-YEAR($I77)&lt;20),$D77,YEAR(W$2)-YEAR($I77)=20,ROUND((DATE(YEAR($I77),12,31)-$I77+1)/365*$D77,2),YEAR(W$2)-YEAR($I77)&gt;20,0)</f>
        <v>875</v>
      </c>
      <c r="X77" s="48" cm="1">
        <f t="array" ref="X77">_xlfn.IFS(YEAR(X$2)&lt;YEAR($I77),0,YEAR(X$2)=YEAR($I77),ROUND(((X$2-$I77+1)/365)*$D77,2),AND(YEAR(X$2)&gt;YEAR($I77),YEAR(X$2)-YEAR($I77)&lt;20),$D77,YEAR(X$2)-YEAR($I77)=20,ROUND((DATE(YEAR($I77),12,31)-$I77+1)/365*$D77,2),YEAR(X$2)-YEAR($I77)&gt;20,0)</f>
        <v>875</v>
      </c>
      <c r="Y77" s="48" cm="1">
        <f t="array" ref="Y77">_xlfn.IFS(YEAR(Y$2)&lt;YEAR($I77),0,YEAR(Y$2)=YEAR($I77),ROUND(((Y$2-$I77+1)/365)*$D77,2),AND(YEAR(Y$2)&gt;YEAR($I77),YEAR(Y$2)-YEAR($I77)&lt;20),$D77,YEAR(Y$2)-YEAR($I77)=20,ROUND((DATE(YEAR($I77),12,31)-$I77+1)/365*$D77,2),YEAR(Y$2)-YEAR($I77)&gt;20,0)</f>
        <v>875</v>
      </c>
      <c r="Z77" s="48" cm="1">
        <f t="array" ref="Z77">_xlfn.IFS(YEAR(Z$2)&lt;YEAR($I77),0,YEAR(Z$2)=YEAR($I77),ROUND(((Z$2-$I77+1)/365)*$D77,2),AND(YEAR(Z$2)&gt;YEAR($I77),YEAR(Z$2)-YEAR($I77)&lt;20),$D77,YEAR(Z$2)-YEAR($I77)=20,ROUND((DATE(YEAR($I77),12,31)-$I77+1)/365*$D77,2),YEAR(Z$2)-YEAR($I77)&gt;20,0)</f>
        <v>875</v>
      </c>
      <c r="AA77" s="48" cm="1">
        <f t="array" ref="AA77">_xlfn.IFS(YEAR(AA$2)&lt;YEAR($I77),0,YEAR(AA$2)=YEAR($I77),ROUND(((AA$2-$I77+1)/365)*$D77,2),AND(YEAR(AA$2)&gt;YEAR($I77),YEAR(AA$2)-YEAR($I77)&lt;20),$D77,YEAR(AA$2)-YEAR($I77)=20,ROUND((DATE(YEAR($I77),12,31)-$I77+1)/365*$D77,2),YEAR(AA$2)-YEAR($I77)&gt;20,0)</f>
        <v>875</v>
      </c>
      <c r="AB77" s="48" cm="1">
        <f t="array" ref="AB77">_xlfn.IFS(YEAR(AB$2)&lt;YEAR($I77),0,YEAR(AB$2)=YEAR($I77),ROUND(((AB$2-$I77+1)/365)*$D77,2),AND(YEAR(AB$2)&gt;YEAR($I77),YEAR(AB$2)-YEAR($I77)&lt;20),$D77,YEAR(AB$2)-YEAR($I77)=20,ROUND((DATE(YEAR($I77),12,31)-$I77+1)/365*$D77,2),YEAR(AB$2)-YEAR($I77)&gt;20,0)</f>
        <v>875</v>
      </c>
      <c r="AC77" s="48" cm="1">
        <f t="array" ref="AC77">_xlfn.IFS(YEAR(AC$2)&lt;YEAR($I77),0,YEAR(AC$2)=YEAR($I77),ROUND(((AC$2-$I77+1)/365)*$D77,2),AND(YEAR(AC$2)&gt;YEAR($I77),YEAR(AC$2)-YEAR($I77)&lt;20),$D77,YEAR(AC$2)-YEAR($I77)=20,ROUND((DATE(YEAR($I77),12,31)-$I77+1)/365*$D77,2),YEAR(AC$2)-YEAR($I77)&gt;20,0)</f>
        <v>875</v>
      </c>
      <c r="AD77" s="48" cm="1">
        <f t="array" ref="AD77">_xlfn.IFS(YEAR(AD$2)&lt;YEAR($I77),0,YEAR(AD$2)=YEAR($I77),ROUND(((AD$2-$I77+1)/365)*$D77,2),AND(YEAR(AD$2)&gt;YEAR($I77),YEAR(AD$2)-YEAR($I77)&lt;20),$D77,YEAR(AD$2)-YEAR($I77)=20,ROUND((DATE(YEAR($I77),12,31)-$I77+1)/365*$D77,2),YEAR(AD$2)-YEAR($I77)&gt;20,0)</f>
        <v>875</v>
      </c>
      <c r="AE77" s="48" cm="1">
        <f t="array" ref="AE77">_xlfn.IFS(YEAR(AE$2)&lt;YEAR($I77),0,YEAR(AE$2)=YEAR($I77),ROUND(((AE$2-$I77+1)/365)*$D77,2),AND(YEAR(AE$2)&gt;YEAR($I77),YEAR(AE$2)-YEAR($I77)&lt;20),$D77,YEAR(AE$2)-YEAR($I77)=20,ROUND((DATE(YEAR($I77),12,31)-$I77+1)/365*$D77,2),YEAR(AE$2)-YEAR($I77)&gt;20,0)</f>
        <v>875</v>
      </c>
      <c r="AF77" s="48" cm="1">
        <f t="array" ref="AF77">_xlfn.IFS(YEAR(AF$2)&lt;YEAR($I77),0,YEAR(AF$2)=YEAR($I77),ROUND(((AF$2-$I77+1)/365)*$D77,2),AND(YEAR(AF$2)&gt;YEAR($I77),YEAR(AF$2)-YEAR($I77)&lt;20),$D77,YEAR(AF$2)-YEAR($I77)=20,ROUND((DATE(YEAR($I77),12,31)-$I77+1)/365*$D77,2),YEAR(AF$2)-YEAR($I77)&gt;20,0)</f>
        <v>875</v>
      </c>
      <c r="AG77" s="48" cm="1">
        <f t="array" ref="AG77">_xlfn.IFS(YEAR(AG$2)&lt;YEAR($I77),0,YEAR(AG$2)=YEAR($I77),ROUND(((AG$2-$I77+1)/365)*$D77,2),AND(YEAR(AG$2)&gt;YEAR($I77),YEAR(AG$2)-YEAR($I77)&lt;20),$D77,YEAR(AG$2)-YEAR($I77)=20,ROUND((DATE(YEAR($I77),12,31)-$I77+1)/365*$D77,2),YEAR(AG$2)-YEAR($I77)&gt;20,0)</f>
        <v>875</v>
      </c>
      <c r="AH77" s="48" cm="1">
        <f t="array" ref="AH77">_xlfn.IFS(YEAR(AH$2)&lt;YEAR($I77),0,YEAR(AH$2)=YEAR($I77),ROUND(((AH$2-$I77+1)/365)*$D77,2),AND(YEAR(AH$2)&gt;YEAR($I77),YEAR(AH$2)-YEAR($I77)&lt;20),$D77,YEAR(AH$2)-YEAR($I77)=20,ROUND((DATE(YEAR($I77),12,31)-$I77+1)/365*$D77,2),YEAR(AH$2)-YEAR($I77)&gt;20,0)</f>
        <v>875</v>
      </c>
      <c r="AI77" s="48" cm="1">
        <f t="array" ref="AI77">_xlfn.IFS(YEAR(AI$2)&lt;YEAR($I77),0,YEAR(AI$2)=YEAR($I77),ROUND(((AI$2-$I77+1)/365)*$D77,2),AND(YEAR(AI$2)&gt;YEAR($I77),YEAR(AI$2)-YEAR($I77)&lt;20),$D77,YEAR(AI$2)-YEAR($I77)=20,ROUND((DATE(YEAR($I77),12,31)-$I77+1)/365*$D77,2),YEAR(AI$2)-YEAR($I77)&gt;20,0)</f>
        <v>93.49</v>
      </c>
      <c r="AJ77" s="48" cm="1">
        <f t="array" ref="AJ77">_xlfn.IFS(YEAR(AJ$2)&lt;YEAR($I77),0,YEAR(AJ$2)=YEAR($I77),ROUND(((AJ$2-$I77+1)/365)*$D77,2),AND(YEAR(AJ$2)&gt;YEAR($I77),YEAR(AJ$2)-YEAR($I77)&lt;20),$D77,YEAR(AJ$2)-YEAR($I77)=20,ROUND((DATE(YEAR($I77),12,31)-$I77+1)/365*$D77,2),YEAR(AJ$2)-YEAR($I77)&gt;20,0)</f>
        <v>0</v>
      </c>
      <c r="AK77" s="48" cm="1">
        <f t="array" ref="AK77">_xlfn.IFS(YEAR(AK$2)&lt;YEAR($I77),0,YEAR(AK$2)=YEAR($I77),ROUND(((AK$2-$I77+1)/365)*$D77,2),AND(YEAR(AK$2)&gt;YEAR($I77),YEAR(AK$2)-YEAR($I77)&lt;20),$D77,YEAR(AK$2)-YEAR($I77)=20,ROUND((DATE(YEAR($I77),12,31)-$I77+1)/365*$D77,2),YEAR(AK$2)-YEAR($I77)&gt;20,0)</f>
        <v>0</v>
      </c>
      <c r="AL77" s="48" cm="1">
        <f t="array" ref="AL77">_xlfn.IFS(YEAR(AL$2)&lt;YEAR($I77),0,YEAR(AL$2)=YEAR($I77),ROUND(((AL$2-$I77+1)/365)*$D77,2),AND(YEAR(AL$2)&gt;YEAR($I77),YEAR(AL$2)-YEAR($I77)&lt;20),$D77,YEAR(AL$2)-YEAR($I77)=20,ROUND((DATE(YEAR($I77),12,31)-$I77+1)/365*$D77,2),YEAR(AL$2)-YEAR($I77)&gt;20,0)</f>
        <v>0</v>
      </c>
      <c r="AM77" s="48" cm="1">
        <f t="array" ref="AM77">_xlfn.IFS(YEAR(AM$2)&lt;YEAR($I77),0,YEAR(AM$2)=YEAR($I77),ROUND(((AM$2-$I77+1)/365)*$D77,2),AND(YEAR(AM$2)&gt;YEAR($I77),YEAR(AM$2)-YEAR($I77)&lt;20),$D77,YEAR(AM$2)-YEAR($I77)=20,ROUND((DATE(YEAR($I77),12,31)-$I77+1)/365*$D77,2),YEAR(AM$2)-YEAR($I77)&gt;20,0)</f>
        <v>0</v>
      </c>
    </row>
    <row r="78" spans="1:39">
      <c r="A78" s="155" t="str" cm="1">
        <f t="array" ref="A78">_xlfn.IFS(LEFT(C78,3)="PGE","PGE",LEFT(C78,2)="PP","PAC",TRUE,"IP")</f>
        <v>PGE</v>
      </c>
      <c r="B78" s="155" t="str">
        <f>IF(ISNA(MATCH(C78,'Monthly Report July 2025'!E:E,0)),"Missing","Present")</f>
        <v>Present</v>
      </c>
      <c r="C78" s="155" t="s">
        <v>187</v>
      </c>
      <c r="D78" s="176" cm="1">
        <f t="array" ref="D78">INDEX('Monthly Report July 2025'!L:L,MATCH(C78,'Monthly Report July 2025'!E:E,0),0)</f>
        <v>720</v>
      </c>
      <c r="E78" s="176" t="str" cm="1">
        <f t="array" ref="E78">IF(INDEX('PA Fees by Project'!K:K,MATCH(C78,'PA Fees by Project'!E:E,0),0)="No","Non-Carve Out", "Carve Out")</f>
        <v>Carve Out</v>
      </c>
      <c r="F78" s="176" cm="1">
        <f t="array" ref="F78">INDEX('PA Fees by Project'!J:J,MATCH(C78,'PA Fees by Project'!E:E,0),0)</f>
        <v>2</v>
      </c>
      <c r="G78" s="155" t="str" cm="1">
        <f t="array" ref="G78">INDEX('PA Fees by Project'!G:G,MATCH(C78,'PA Fees by Project'!E:E,0),0)</f>
        <v>Pre-Certified</v>
      </c>
      <c r="H78" s="175" t="str" cm="1">
        <f t="array" ref="H78">INDEX('PA Fees by Project'!Q:Q,MATCH(C78,'PA Fees by Project'!E:E,0),0)</f>
        <v/>
      </c>
      <c r="I78" s="156" cm="1">
        <f t="array" ref="I78">_xlfn.IFS(G78="Operational",H78,G78="Certified",EDATE(INDEX('PA Fees by Project'!R:R,MATCH(C78,'PA Fees by Project'!E:E,0),0),6),TRUE,EDATE(INDEX('PA Fees by Project'!O:O,MATCH(C78,'PA Fees by Project'!E:E,0),0),6))</f>
        <v>46289</v>
      </c>
      <c r="J78" s="48" cm="1">
        <f t="array" ref="J78">_xlfn.IFS(YEAR(J$2)&lt;YEAR($I78),0,YEAR(J$2)=YEAR($I78),ROUND(((J$2-$I78+1)/365)*$D78,2),AND(YEAR(J$2)&gt;YEAR($I78),YEAR(J$2)-YEAR($I78)&lt;20),$D78,YEAR(J$2)-YEAR($I78)=20,ROUND((DATE(YEAR($I78),12,31)-$I78+1)/365*$D78,2),YEAR(J$2)-YEAR($I78)&gt;20,0)</f>
        <v>0</v>
      </c>
      <c r="K78" s="48" cm="1">
        <f t="array" ref="K78">_xlfn.IFS(YEAR(K$2)&lt;YEAR($I78),0,YEAR(K$2)=YEAR($I78),ROUND(((K$2-$I78+1)/365)*$D78,2),AND(YEAR(K$2)&gt;YEAR($I78),YEAR(K$2)-YEAR($I78)&lt;20),$D78,YEAR(K$2)-YEAR($I78)=20,ROUND((DATE(YEAR($I78),12,31)-$I78+1)/365*$D78,2),YEAR(K$2)-YEAR($I78)&gt;20,0)</f>
        <v>0</v>
      </c>
      <c r="L78" s="48" cm="1">
        <f t="array" ref="L78">_xlfn.IFS(YEAR(L$2)&lt;YEAR($I78),0,YEAR(L$2)=YEAR($I78),ROUND(((L$2-$I78+1)/365)*$D78,2),AND(YEAR(L$2)&gt;YEAR($I78),YEAR(L$2)-YEAR($I78)&lt;20),$D78,YEAR(L$2)-YEAR($I78)=20,ROUND((DATE(YEAR($I78),12,31)-$I78+1)/365*$D78,2),YEAR(L$2)-YEAR($I78)&gt;20,0)</f>
        <v>0</v>
      </c>
      <c r="M78" s="48" cm="1">
        <f t="array" ref="M78">_xlfn.IFS(YEAR(M$2)&lt;YEAR($I78),0,YEAR(M$2)=YEAR($I78),ROUND(((M$2-$I78+1)/365)*$D78,2),AND(YEAR(M$2)&gt;YEAR($I78),YEAR(M$2)-YEAR($I78)&lt;20),$D78,YEAR(M$2)-YEAR($I78)=20,ROUND((DATE(YEAR($I78),12,31)-$I78+1)/365*$D78,2),YEAR(M$2)-YEAR($I78)&gt;20,0)</f>
        <v>0</v>
      </c>
      <c r="N78" s="48" cm="1">
        <f t="array" ref="N78">_xlfn.IFS(YEAR(N$2)&lt;YEAR($I78),0,YEAR(N$2)=YEAR($I78),ROUND(((N$2-$I78+1)/365)*$D78,2),AND(YEAR(N$2)&gt;YEAR($I78),YEAR(N$2)-YEAR($I78)&lt;20),$D78,YEAR(N$2)-YEAR($I78)=20,ROUND((DATE(YEAR($I78),12,31)-$I78+1)/365*$D78,2),YEAR(N$2)-YEAR($I78)&gt;20,0)</f>
        <v>0</v>
      </c>
      <c r="O78" s="48" cm="1">
        <f t="array" ref="O78">_xlfn.IFS(YEAR(O$2)&lt;YEAR($I78),0,YEAR(O$2)=YEAR($I78),ROUND(((O$2-$I78+1)/365)*$D78,2),AND(YEAR(O$2)&gt;YEAR($I78),YEAR(O$2)-YEAR($I78)&lt;20),$D78,YEAR(O$2)-YEAR($I78)=20,ROUND((DATE(YEAR($I78),12,31)-$I78+1)/365*$D78,2),YEAR(O$2)-YEAR($I78)&gt;20,0)</f>
        <v>195.29</v>
      </c>
      <c r="P78" s="48" cm="1">
        <f t="array" ref="P78">_xlfn.IFS(YEAR(P$2)&lt;YEAR($I78),0,YEAR(P$2)=YEAR($I78),ROUND(((P$2-$I78+1)/365)*$D78,2),AND(YEAR(P$2)&gt;YEAR($I78),YEAR(P$2)-YEAR($I78)&lt;20),$D78,YEAR(P$2)-YEAR($I78)=20,ROUND((DATE(YEAR($I78),12,31)-$I78+1)/365*$D78,2),YEAR(P$2)-YEAR($I78)&gt;20,0)</f>
        <v>720</v>
      </c>
      <c r="Q78" s="48" cm="1">
        <f t="array" ref="Q78">_xlfn.IFS(YEAR(Q$2)&lt;YEAR($I78),0,YEAR(Q$2)=YEAR($I78),ROUND(((Q$2-$I78+1)/365)*$D78,2),AND(YEAR(Q$2)&gt;YEAR($I78),YEAR(Q$2)-YEAR($I78)&lt;20),$D78,YEAR(Q$2)-YEAR($I78)=20,ROUND((DATE(YEAR($I78),12,31)-$I78+1)/365*$D78,2),YEAR(Q$2)-YEAR($I78)&gt;20,0)</f>
        <v>720</v>
      </c>
      <c r="R78" s="48" cm="1">
        <f t="array" ref="R78">_xlfn.IFS(YEAR(R$2)&lt;YEAR($I78),0,YEAR(R$2)=YEAR($I78),ROUND(((R$2-$I78+1)/365)*$D78,2),AND(YEAR(R$2)&gt;YEAR($I78),YEAR(R$2)-YEAR($I78)&lt;20),$D78,YEAR(R$2)-YEAR($I78)=20,ROUND((DATE(YEAR($I78),12,31)-$I78+1)/365*$D78,2),YEAR(R$2)-YEAR($I78)&gt;20,0)</f>
        <v>720</v>
      </c>
      <c r="S78" s="48" cm="1">
        <f t="array" ref="S78">_xlfn.IFS(YEAR(S$2)&lt;YEAR($I78),0,YEAR(S$2)=YEAR($I78),ROUND(((S$2-$I78+1)/365)*$D78,2),AND(YEAR(S$2)&gt;YEAR($I78),YEAR(S$2)-YEAR($I78)&lt;20),$D78,YEAR(S$2)-YEAR($I78)=20,ROUND((DATE(YEAR($I78),12,31)-$I78+1)/365*$D78,2),YEAR(S$2)-YEAR($I78)&gt;20,0)</f>
        <v>720</v>
      </c>
      <c r="T78" s="48" cm="1">
        <f t="array" ref="T78">_xlfn.IFS(YEAR(T$2)&lt;YEAR($I78),0,YEAR(T$2)=YEAR($I78),ROUND(((T$2-$I78+1)/365)*$D78,2),AND(YEAR(T$2)&gt;YEAR($I78),YEAR(T$2)-YEAR($I78)&lt;20),$D78,YEAR(T$2)-YEAR($I78)=20,ROUND((DATE(YEAR($I78),12,31)-$I78+1)/365*$D78,2),YEAR(T$2)-YEAR($I78)&gt;20,0)</f>
        <v>720</v>
      </c>
      <c r="U78" s="48" cm="1">
        <f t="array" ref="U78">_xlfn.IFS(YEAR(U$2)&lt;YEAR($I78),0,YEAR(U$2)=YEAR($I78),ROUND(((U$2-$I78+1)/365)*$D78,2),AND(YEAR(U$2)&gt;YEAR($I78),YEAR(U$2)-YEAR($I78)&lt;20),$D78,YEAR(U$2)-YEAR($I78)=20,ROUND((DATE(YEAR($I78),12,31)-$I78+1)/365*$D78,2),YEAR(U$2)-YEAR($I78)&gt;20,0)</f>
        <v>720</v>
      </c>
      <c r="V78" s="48" cm="1">
        <f t="array" ref="V78">_xlfn.IFS(YEAR(V$2)&lt;YEAR($I78),0,YEAR(V$2)=YEAR($I78),ROUND(((V$2-$I78+1)/365)*$D78,2),AND(YEAR(V$2)&gt;YEAR($I78),YEAR(V$2)-YEAR($I78)&lt;20),$D78,YEAR(V$2)-YEAR($I78)=20,ROUND((DATE(YEAR($I78),12,31)-$I78+1)/365*$D78,2),YEAR(V$2)-YEAR($I78)&gt;20,0)</f>
        <v>720</v>
      </c>
      <c r="W78" s="48" cm="1">
        <f t="array" ref="W78">_xlfn.IFS(YEAR(W$2)&lt;YEAR($I78),0,YEAR(W$2)=YEAR($I78),ROUND(((W$2-$I78+1)/365)*$D78,2),AND(YEAR(W$2)&gt;YEAR($I78),YEAR(W$2)-YEAR($I78)&lt;20),$D78,YEAR(W$2)-YEAR($I78)=20,ROUND((DATE(YEAR($I78),12,31)-$I78+1)/365*$D78,2),YEAR(W$2)-YEAR($I78)&gt;20,0)</f>
        <v>720</v>
      </c>
      <c r="X78" s="48" cm="1">
        <f t="array" ref="X78">_xlfn.IFS(YEAR(X$2)&lt;YEAR($I78),0,YEAR(X$2)=YEAR($I78),ROUND(((X$2-$I78+1)/365)*$D78,2),AND(YEAR(X$2)&gt;YEAR($I78),YEAR(X$2)-YEAR($I78)&lt;20),$D78,YEAR(X$2)-YEAR($I78)=20,ROUND((DATE(YEAR($I78),12,31)-$I78+1)/365*$D78,2),YEAR(X$2)-YEAR($I78)&gt;20,0)</f>
        <v>720</v>
      </c>
      <c r="Y78" s="48" cm="1">
        <f t="array" ref="Y78">_xlfn.IFS(YEAR(Y$2)&lt;YEAR($I78),0,YEAR(Y$2)=YEAR($I78),ROUND(((Y$2-$I78+1)/365)*$D78,2),AND(YEAR(Y$2)&gt;YEAR($I78),YEAR(Y$2)-YEAR($I78)&lt;20),$D78,YEAR(Y$2)-YEAR($I78)=20,ROUND((DATE(YEAR($I78),12,31)-$I78+1)/365*$D78,2),YEAR(Y$2)-YEAR($I78)&gt;20,0)</f>
        <v>720</v>
      </c>
      <c r="Z78" s="48" cm="1">
        <f t="array" ref="Z78">_xlfn.IFS(YEAR(Z$2)&lt;YEAR($I78),0,YEAR(Z$2)=YEAR($I78),ROUND(((Z$2-$I78+1)/365)*$D78,2),AND(YEAR(Z$2)&gt;YEAR($I78),YEAR(Z$2)-YEAR($I78)&lt;20),$D78,YEAR(Z$2)-YEAR($I78)=20,ROUND((DATE(YEAR($I78),12,31)-$I78+1)/365*$D78,2),YEAR(Z$2)-YEAR($I78)&gt;20,0)</f>
        <v>720</v>
      </c>
      <c r="AA78" s="48" cm="1">
        <f t="array" ref="AA78">_xlfn.IFS(YEAR(AA$2)&lt;YEAR($I78),0,YEAR(AA$2)=YEAR($I78),ROUND(((AA$2-$I78+1)/365)*$D78,2),AND(YEAR(AA$2)&gt;YEAR($I78),YEAR(AA$2)-YEAR($I78)&lt;20),$D78,YEAR(AA$2)-YEAR($I78)=20,ROUND((DATE(YEAR($I78),12,31)-$I78+1)/365*$D78,2),YEAR(AA$2)-YEAR($I78)&gt;20,0)</f>
        <v>720</v>
      </c>
      <c r="AB78" s="48" cm="1">
        <f t="array" ref="AB78">_xlfn.IFS(YEAR(AB$2)&lt;YEAR($I78),0,YEAR(AB$2)=YEAR($I78),ROUND(((AB$2-$I78+1)/365)*$D78,2),AND(YEAR(AB$2)&gt;YEAR($I78),YEAR(AB$2)-YEAR($I78)&lt;20),$D78,YEAR(AB$2)-YEAR($I78)=20,ROUND((DATE(YEAR($I78),12,31)-$I78+1)/365*$D78,2),YEAR(AB$2)-YEAR($I78)&gt;20,0)</f>
        <v>720</v>
      </c>
      <c r="AC78" s="48" cm="1">
        <f t="array" ref="AC78">_xlfn.IFS(YEAR(AC$2)&lt;YEAR($I78),0,YEAR(AC$2)=YEAR($I78),ROUND(((AC$2-$I78+1)/365)*$D78,2),AND(YEAR(AC$2)&gt;YEAR($I78),YEAR(AC$2)-YEAR($I78)&lt;20),$D78,YEAR(AC$2)-YEAR($I78)=20,ROUND((DATE(YEAR($I78),12,31)-$I78+1)/365*$D78,2),YEAR(AC$2)-YEAR($I78)&gt;20,0)</f>
        <v>720</v>
      </c>
      <c r="AD78" s="48" cm="1">
        <f t="array" ref="AD78">_xlfn.IFS(YEAR(AD$2)&lt;YEAR($I78),0,YEAR(AD$2)=YEAR($I78),ROUND(((AD$2-$I78+1)/365)*$D78,2),AND(YEAR(AD$2)&gt;YEAR($I78),YEAR(AD$2)-YEAR($I78)&lt;20),$D78,YEAR(AD$2)-YEAR($I78)=20,ROUND((DATE(YEAR($I78),12,31)-$I78+1)/365*$D78,2),YEAR(AD$2)-YEAR($I78)&gt;20,0)</f>
        <v>720</v>
      </c>
      <c r="AE78" s="48" cm="1">
        <f t="array" ref="AE78">_xlfn.IFS(YEAR(AE$2)&lt;YEAR($I78),0,YEAR(AE$2)=YEAR($I78),ROUND(((AE$2-$I78+1)/365)*$D78,2),AND(YEAR(AE$2)&gt;YEAR($I78),YEAR(AE$2)-YEAR($I78)&lt;20),$D78,YEAR(AE$2)-YEAR($I78)=20,ROUND((DATE(YEAR($I78),12,31)-$I78+1)/365*$D78,2),YEAR(AE$2)-YEAR($I78)&gt;20,0)</f>
        <v>720</v>
      </c>
      <c r="AF78" s="48" cm="1">
        <f t="array" ref="AF78">_xlfn.IFS(YEAR(AF$2)&lt;YEAR($I78),0,YEAR(AF$2)=YEAR($I78),ROUND(((AF$2-$I78+1)/365)*$D78,2),AND(YEAR(AF$2)&gt;YEAR($I78),YEAR(AF$2)-YEAR($I78)&lt;20),$D78,YEAR(AF$2)-YEAR($I78)=20,ROUND((DATE(YEAR($I78),12,31)-$I78+1)/365*$D78,2),YEAR(AF$2)-YEAR($I78)&gt;20,0)</f>
        <v>720</v>
      </c>
      <c r="AG78" s="48" cm="1">
        <f t="array" ref="AG78">_xlfn.IFS(YEAR(AG$2)&lt;YEAR($I78),0,YEAR(AG$2)=YEAR($I78),ROUND(((AG$2-$I78+1)/365)*$D78,2),AND(YEAR(AG$2)&gt;YEAR($I78),YEAR(AG$2)-YEAR($I78)&lt;20),$D78,YEAR(AG$2)-YEAR($I78)=20,ROUND((DATE(YEAR($I78),12,31)-$I78+1)/365*$D78,2),YEAR(AG$2)-YEAR($I78)&gt;20,0)</f>
        <v>720</v>
      </c>
      <c r="AH78" s="48" cm="1">
        <f t="array" ref="AH78">_xlfn.IFS(YEAR(AH$2)&lt;YEAR($I78),0,YEAR(AH$2)=YEAR($I78),ROUND(((AH$2-$I78+1)/365)*$D78,2),AND(YEAR(AH$2)&gt;YEAR($I78),YEAR(AH$2)-YEAR($I78)&lt;20),$D78,YEAR(AH$2)-YEAR($I78)=20,ROUND((DATE(YEAR($I78),12,31)-$I78+1)/365*$D78,2),YEAR(AH$2)-YEAR($I78)&gt;20,0)</f>
        <v>720</v>
      </c>
      <c r="AI78" s="48" cm="1">
        <f t="array" ref="AI78">_xlfn.IFS(YEAR(AI$2)&lt;YEAR($I78),0,YEAR(AI$2)=YEAR($I78),ROUND(((AI$2-$I78+1)/365)*$D78,2),AND(YEAR(AI$2)&gt;YEAR($I78),YEAR(AI$2)-YEAR($I78)&lt;20),$D78,YEAR(AI$2)-YEAR($I78)=20,ROUND((DATE(YEAR($I78),12,31)-$I78+1)/365*$D78,2),YEAR(AI$2)-YEAR($I78)&gt;20,0)</f>
        <v>195.29</v>
      </c>
      <c r="AJ78" s="48" cm="1">
        <f t="array" ref="AJ78">_xlfn.IFS(YEAR(AJ$2)&lt;YEAR($I78),0,YEAR(AJ$2)=YEAR($I78),ROUND(((AJ$2-$I78+1)/365)*$D78,2),AND(YEAR(AJ$2)&gt;YEAR($I78),YEAR(AJ$2)-YEAR($I78)&lt;20),$D78,YEAR(AJ$2)-YEAR($I78)=20,ROUND((DATE(YEAR($I78),12,31)-$I78+1)/365*$D78,2),YEAR(AJ$2)-YEAR($I78)&gt;20,0)</f>
        <v>0</v>
      </c>
      <c r="AK78" s="48" cm="1">
        <f t="array" ref="AK78">_xlfn.IFS(YEAR(AK$2)&lt;YEAR($I78),0,YEAR(AK$2)=YEAR($I78),ROUND(((AK$2-$I78+1)/365)*$D78,2),AND(YEAR(AK$2)&gt;YEAR($I78),YEAR(AK$2)-YEAR($I78)&lt;20),$D78,YEAR(AK$2)-YEAR($I78)=20,ROUND((DATE(YEAR($I78),12,31)-$I78+1)/365*$D78,2),YEAR(AK$2)-YEAR($I78)&gt;20,0)</f>
        <v>0</v>
      </c>
      <c r="AL78" s="48" cm="1">
        <f t="array" ref="AL78">_xlfn.IFS(YEAR(AL$2)&lt;YEAR($I78),0,YEAR(AL$2)=YEAR($I78),ROUND(((AL$2-$I78+1)/365)*$D78,2),AND(YEAR(AL$2)&gt;YEAR($I78),YEAR(AL$2)-YEAR($I78)&lt;20),$D78,YEAR(AL$2)-YEAR($I78)=20,ROUND((DATE(YEAR($I78),12,31)-$I78+1)/365*$D78,2),YEAR(AL$2)-YEAR($I78)&gt;20,0)</f>
        <v>0</v>
      </c>
      <c r="AM78" s="48" cm="1">
        <f t="array" ref="AM78">_xlfn.IFS(YEAR(AM$2)&lt;YEAR($I78),0,YEAR(AM$2)=YEAR($I78),ROUND(((AM$2-$I78+1)/365)*$D78,2),AND(YEAR(AM$2)&gt;YEAR($I78),YEAR(AM$2)-YEAR($I78)&lt;20),$D78,YEAR(AM$2)-YEAR($I78)=20,ROUND((DATE(YEAR($I78),12,31)-$I78+1)/365*$D78,2),YEAR(AM$2)-YEAR($I78)&gt;20,0)</f>
        <v>0</v>
      </c>
    </row>
    <row r="79" spans="1:39">
      <c r="A79" s="155" t="str" cm="1">
        <f t="array" ref="A79">_xlfn.IFS(LEFT(C79,3)="PGE","PGE",LEFT(C79,2)="PP","PAC",TRUE,"IP")</f>
        <v>PGE</v>
      </c>
      <c r="B79" s="155" t="str">
        <f>IF(ISNA(MATCH(C79,'Monthly Report July 2025'!E:E,0)),"Missing","Present")</f>
        <v>Present</v>
      </c>
      <c r="C79" s="155" t="s">
        <v>188</v>
      </c>
      <c r="D79" s="176" cm="1">
        <f t="array" ref="D79">INDEX('Monthly Report July 2025'!L:L,MATCH(C79,'Monthly Report July 2025'!E:E,0),0)</f>
        <v>1200</v>
      </c>
      <c r="E79" s="176" t="str" cm="1">
        <f t="array" ref="E79">IF(INDEX('PA Fees by Project'!K:K,MATCH(C79,'PA Fees by Project'!E:E,0),0)="No","Non-Carve Out", "Carve Out")</f>
        <v>Carve Out</v>
      </c>
      <c r="F79" s="176" cm="1">
        <f t="array" ref="F79">INDEX('PA Fees by Project'!J:J,MATCH(C79,'PA Fees by Project'!E:E,0),0)</f>
        <v>2</v>
      </c>
      <c r="G79" s="155" t="str" cm="1">
        <f t="array" ref="G79">INDEX('PA Fees by Project'!G:G,MATCH(C79,'PA Fees by Project'!E:E,0),0)</f>
        <v>Pre-Certified</v>
      </c>
      <c r="H79" s="175" t="str" cm="1">
        <f t="array" ref="H79">INDEX('PA Fees by Project'!Q:Q,MATCH(C79,'PA Fees by Project'!E:E,0),0)</f>
        <v/>
      </c>
      <c r="I79" s="156" cm="1">
        <f t="array" ref="I79">_xlfn.IFS(G79="Operational",H79,G79="Certified",EDATE(INDEX('PA Fees by Project'!R:R,MATCH(C79,'PA Fees by Project'!E:E,0),0),6),TRUE,EDATE(INDEX('PA Fees by Project'!O:O,MATCH(C79,'PA Fees by Project'!E:E,0),0),6))</f>
        <v>46501</v>
      </c>
      <c r="J79" s="48" cm="1">
        <f t="array" ref="J79">_xlfn.IFS(YEAR(J$2)&lt;YEAR($I79),0,YEAR(J$2)=YEAR($I79),ROUND(((J$2-$I79+1)/365)*$D79,2),AND(YEAR(J$2)&gt;YEAR($I79),YEAR(J$2)-YEAR($I79)&lt;20),$D79,YEAR(J$2)-YEAR($I79)=20,ROUND((DATE(YEAR($I79),12,31)-$I79+1)/365*$D79,2),YEAR(J$2)-YEAR($I79)&gt;20,0)</f>
        <v>0</v>
      </c>
      <c r="K79" s="48" cm="1">
        <f t="array" ref="K79">_xlfn.IFS(YEAR(K$2)&lt;YEAR($I79),0,YEAR(K$2)=YEAR($I79),ROUND(((K$2-$I79+1)/365)*$D79,2),AND(YEAR(K$2)&gt;YEAR($I79),YEAR(K$2)-YEAR($I79)&lt;20),$D79,YEAR(K$2)-YEAR($I79)=20,ROUND((DATE(YEAR($I79),12,31)-$I79+1)/365*$D79,2),YEAR(K$2)-YEAR($I79)&gt;20,0)</f>
        <v>0</v>
      </c>
      <c r="L79" s="48" cm="1">
        <f t="array" ref="L79">_xlfn.IFS(YEAR(L$2)&lt;YEAR($I79),0,YEAR(L$2)=YEAR($I79),ROUND(((L$2-$I79+1)/365)*$D79,2),AND(YEAR(L$2)&gt;YEAR($I79),YEAR(L$2)-YEAR($I79)&lt;20),$D79,YEAR(L$2)-YEAR($I79)=20,ROUND((DATE(YEAR($I79),12,31)-$I79+1)/365*$D79,2),YEAR(L$2)-YEAR($I79)&gt;20,0)</f>
        <v>0</v>
      </c>
      <c r="M79" s="48" cm="1">
        <f t="array" ref="M79">_xlfn.IFS(YEAR(M$2)&lt;YEAR($I79),0,YEAR(M$2)=YEAR($I79),ROUND(((M$2-$I79+1)/365)*$D79,2),AND(YEAR(M$2)&gt;YEAR($I79),YEAR(M$2)-YEAR($I79)&lt;20),$D79,YEAR(M$2)-YEAR($I79)=20,ROUND((DATE(YEAR($I79),12,31)-$I79+1)/365*$D79,2),YEAR(M$2)-YEAR($I79)&gt;20,0)</f>
        <v>0</v>
      </c>
      <c r="N79" s="48" cm="1">
        <f t="array" ref="N79">_xlfn.IFS(YEAR(N$2)&lt;YEAR($I79),0,YEAR(N$2)=YEAR($I79),ROUND(((N$2-$I79+1)/365)*$D79,2),AND(YEAR(N$2)&gt;YEAR($I79),YEAR(N$2)-YEAR($I79)&lt;20),$D79,YEAR(N$2)-YEAR($I79)=20,ROUND((DATE(YEAR($I79),12,31)-$I79+1)/365*$D79,2),YEAR(N$2)-YEAR($I79)&gt;20,0)</f>
        <v>0</v>
      </c>
      <c r="O79" s="48" cm="1">
        <f t="array" ref="O79">_xlfn.IFS(YEAR(O$2)&lt;YEAR($I79),0,YEAR(O$2)=YEAR($I79),ROUND(((O$2-$I79+1)/365)*$D79,2),AND(YEAR(O$2)&gt;YEAR($I79),YEAR(O$2)-YEAR($I79)&lt;20),$D79,YEAR(O$2)-YEAR($I79)=20,ROUND((DATE(YEAR($I79),12,31)-$I79+1)/365*$D79,2),YEAR(O$2)-YEAR($I79)&gt;20,0)</f>
        <v>0</v>
      </c>
      <c r="P79" s="48" cm="1">
        <f t="array" ref="P79">_xlfn.IFS(YEAR(P$2)&lt;YEAR($I79),0,YEAR(P$2)=YEAR($I79),ROUND(((P$2-$I79+1)/365)*$D79,2),AND(YEAR(P$2)&gt;YEAR($I79),YEAR(P$2)-YEAR($I79)&lt;20),$D79,YEAR(P$2)-YEAR($I79)=20,ROUND((DATE(YEAR($I79),12,31)-$I79+1)/365*$D79,2),YEAR(P$2)-YEAR($I79)&gt;20,0)</f>
        <v>828.49</v>
      </c>
      <c r="Q79" s="48" cm="1">
        <f t="array" ref="Q79">_xlfn.IFS(YEAR(Q$2)&lt;YEAR($I79),0,YEAR(Q$2)=YEAR($I79),ROUND(((Q$2-$I79+1)/365)*$D79,2),AND(YEAR(Q$2)&gt;YEAR($I79),YEAR(Q$2)-YEAR($I79)&lt;20),$D79,YEAR(Q$2)-YEAR($I79)=20,ROUND((DATE(YEAR($I79),12,31)-$I79+1)/365*$D79,2),YEAR(Q$2)-YEAR($I79)&gt;20,0)</f>
        <v>1200</v>
      </c>
      <c r="R79" s="48" cm="1">
        <f t="array" ref="R79">_xlfn.IFS(YEAR(R$2)&lt;YEAR($I79),0,YEAR(R$2)=YEAR($I79),ROUND(((R$2-$I79+1)/365)*$D79,2),AND(YEAR(R$2)&gt;YEAR($I79),YEAR(R$2)-YEAR($I79)&lt;20),$D79,YEAR(R$2)-YEAR($I79)=20,ROUND((DATE(YEAR($I79),12,31)-$I79+1)/365*$D79,2),YEAR(R$2)-YEAR($I79)&gt;20,0)</f>
        <v>1200</v>
      </c>
      <c r="S79" s="48" cm="1">
        <f t="array" ref="S79">_xlfn.IFS(YEAR(S$2)&lt;YEAR($I79),0,YEAR(S$2)=YEAR($I79),ROUND(((S$2-$I79+1)/365)*$D79,2),AND(YEAR(S$2)&gt;YEAR($I79),YEAR(S$2)-YEAR($I79)&lt;20),$D79,YEAR(S$2)-YEAR($I79)=20,ROUND((DATE(YEAR($I79),12,31)-$I79+1)/365*$D79,2),YEAR(S$2)-YEAR($I79)&gt;20,0)</f>
        <v>1200</v>
      </c>
      <c r="T79" s="48" cm="1">
        <f t="array" ref="T79">_xlfn.IFS(YEAR(T$2)&lt;YEAR($I79),0,YEAR(T$2)=YEAR($I79),ROUND(((T$2-$I79+1)/365)*$D79,2),AND(YEAR(T$2)&gt;YEAR($I79),YEAR(T$2)-YEAR($I79)&lt;20),$D79,YEAR(T$2)-YEAR($I79)=20,ROUND((DATE(YEAR($I79),12,31)-$I79+1)/365*$D79,2),YEAR(T$2)-YEAR($I79)&gt;20,0)</f>
        <v>1200</v>
      </c>
      <c r="U79" s="48" cm="1">
        <f t="array" ref="U79">_xlfn.IFS(YEAR(U$2)&lt;YEAR($I79),0,YEAR(U$2)=YEAR($I79),ROUND(((U$2-$I79+1)/365)*$D79,2),AND(YEAR(U$2)&gt;YEAR($I79),YEAR(U$2)-YEAR($I79)&lt;20),$D79,YEAR(U$2)-YEAR($I79)=20,ROUND((DATE(YEAR($I79),12,31)-$I79+1)/365*$D79,2),YEAR(U$2)-YEAR($I79)&gt;20,0)</f>
        <v>1200</v>
      </c>
      <c r="V79" s="48" cm="1">
        <f t="array" ref="V79">_xlfn.IFS(YEAR(V$2)&lt;YEAR($I79),0,YEAR(V$2)=YEAR($I79),ROUND(((V$2-$I79+1)/365)*$D79,2),AND(YEAR(V$2)&gt;YEAR($I79),YEAR(V$2)-YEAR($I79)&lt;20),$D79,YEAR(V$2)-YEAR($I79)=20,ROUND((DATE(YEAR($I79),12,31)-$I79+1)/365*$D79,2),YEAR(V$2)-YEAR($I79)&gt;20,0)</f>
        <v>1200</v>
      </c>
      <c r="W79" s="48" cm="1">
        <f t="array" ref="W79">_xlfn.IFS(YEAR(W$2)&lt;YEAR($I79),0,YEAR(W$2)=YEAR($I79),ROUND(((W$2-$I79+1)/365)*$D79,2),AND(YEAR(W$2)&gt;YEAR($I79),YEAR(W$2)-YEAR($I79)&lt;20),$D79,YEAR(W$2)-YEAR($I79)=20,ROUND((DATE(YEAR($I79),12,31)-$I79+1)/365*$D79,2),YEAR(W$2)-YEAR($I79)&gt;20,0)</f>
        <v>1200</v>
      </c>
      <c r="X79" s="48" cm="1">
        <f t="array" ref="X79">_xlfn.IFS(YEAR(X$2)&lt;YEAR($I79),0,YEAR(X$2)=YEAR($I79),ROUND(((X$2-$I79+1)/365)*$D79,2),AND(YEAR(X$2)&gt;YEAR($I79),YEAR(X$2)-YEAR($I79)&lt;20),$D79,YEAR(X$2)-YEAR($I79)=20,ROUND((DATE(YEAR($I79),12,31)-$I79+1)/365*$D79,2),YEAR(X$2)-YEAR($I79)&gt;20,0)</f>
        <v>1200</v>
      </c>
      <c r="Y79" s="48" cm="1">
        <f t="array" ref="Y79">_xlfn.IFS(YEAR(Y$2)&lt;YEAR($I79),0,YEAR(Y$2)=YEAR($I79),ROUND(((Y$2-$I79+1)/365)*$D79,2),AND(YEAR(Y$2)&gt;YEAR($I79),YEAR(Y$2)-YEAR($I79)&lt;20),$D79,YEAR(Y$2)-YEAR($I79)=20,ROUND((DATE(YEAR($I79),12,31)-$I79+1)/365*$D79,2),YEAR(Y$2)-YEAR($I79)&gt;20,0)</f>
        <v>1200</v>
      </c>
      <c r="Z79" s="48" cm="1">
        <f t="array" ref="Z79">_xlfn.IFS(YEAR(Z$2)&lt;YEAR($I79),0,YEAR(Z$2)=YEAR($I79),ROUND(((Z$2-$I79+1)/365)*$D79,2),AND(YEAR(Z$2)&gt;YEAR($I79),YEAR(Z$2)-YEAR($I79)&lt;20),$D79,YEAR(Z$2)-YEAR($I79)=20,ROUND((DATE(YEAR($I79),12,31)-$I79+1)/365*$D79,2),YEAR(Z$2)-YEAR($I79)&gt;20,0)</f>
        <v>1200</v>
      </c>
      <c r="AA79" s="48" cm="1">
        <f t="array" ref="AA79">_xlfn.IFS(YEAR(AA$2)&lt;YEAR($I79),0,YEAR(AA$2)=YEAR($I79),ROUND(((AA$2-$I79+1)/365)*$D79,2),AND(YEAR(AA$2)&gt;YEAR($I79),YEAR(AA$2)-YEAR($I79)&lt;20),$D79,YEAR(AA$2)-YEAR($I79)=20,ROUND((DATE(YEAR($I79),12,31)-$I79+1)/365*$D79,2),YEAR(AA$2)-YEAR($I79)&gt;20,0)</f>
        <v>1200</v>
      </c>
      <c r="AB79" s="48" cm="1">
        <f t="array" ref="AB79">_xlfn.IFS(YEAR(AB$2)&lt;YEAR($I79),0,YEAR(AB$2)=YEAR($I79),ROUND(((AB$2-$I79+1)/365)*$D79,2),AND(YEAR(AB$2)&gt;YEAR($I79),YEAR(AB$2)-YEAR($I79)&lt;20),$D79,YEAR(AB$2)-YEAR($I79)=20,ROUND((DATE(YEAR($I79),12,31)-$I79+1)/365*$D79,2),YEAR(AB$2)-YEAR($I79)&gt;20,0)</f>
        <v>1200</v>
      </c>
      <c r="AC79" s="48" cm="1">
        <f t="array" ref="AC79">_xlfn.IFS(YEAR(AC$2)&lt;YEAR($I79),0,YEAR(AC$2)=YEAR($I79),ROUND(((AC$2-$I79+1)/365)*$D79,2),AND(YEAR(AC$2)&gt;YEAR($I79),YEAR(AC$2)-YEAR($I79)&lt;20),$D79,YEAR(AC$2)-YEAR($I79)=20,ROUND((DATE(YEAR($I79),12,31)-$I79+1)/365*$D79,2),YEAR(AC$2)-YEAR($I79)&gt;20,0)</f>
        <v>1200</v>
      </c>
      <c r="AD79" s="48" cm="1">
        <f t="array" ref="AD79">_xlfn.IFS(YEAR(AD$2)&lt;YEAR($I79),0,YEAR(AD$2)=YEAR($I79),ROUND(((AD$2-$I79+1)/365)*$D79,2),AND(YEAR(AD$2)&gt;YEAR($I79),YEAR(AD$2)-YEAR($I79)&lt;20),$D79,YEAR(AD$2)-YEAR($I79)=20,ROUND((DATE(YEAR($I79),12,31)-$I79+1)/365*$D79,2),YEAR(AD$2)-YEAR($I79)&gt;20,0)</f>
        <v>1200</v>
      </c>
      <c r="AE79" s="48" cm="1">
        <f t="array" ref="AE79">_xlfn.IFS(YEAR(AE$2)&lt;YEAR($I79),0,YEAR(AE$2)=YEAR($I79),ROUND(((AE$2-$I79+1)/365)*$D79,2),AND(YEAR(AE$2)&gt;YEAR($I79),YEAR(AE$2)-YEAR($I79)&lt;20),$D79,YEAR(AE$2)-YEAR($I79)=20,ROUND((DATE(YEAR($I79),12,31)-$I79+1)/365*$D79,2),YEAR(AE$2)-YEAR($I79)&gt;20,0)</f>
        <v>1200</v>
      </c>
      <c r="AF79" s="48" cm="1">
        <f t="array" ref="AF79">_xlfn.IFS(YEAR(AF$2)&lt;YEAR($I79),0,YEAR(AF$2)=YEAR($I79),ROUND(((AF$2-$I79+1)/365)*$D79,2),AND(YEAR(AF$2)&gt;YEAR($I79),YEAR(AF$2)-YEAR($I79)&lt;20),$D79,YEAR(AF$2)-YEAR($I79)=20,ROUND((DATE(YEAR($I79),12,31)-$I79+1)/365*$D79,2),YEAR(AF$2)-YEAR($I79)&gt;20,0)</f>
        <v>1200</v>
      </c>
      <c r="AG79" s="48" cm="1">
        <f t="array" ref="AG79">_xlfn.IFS(YEAR(AG$2)&lt;YEAR($I79),0,YEAR(AG$2)=YEAR($I79),ROUND(((AG$2-$I79+1)/365)*$D79,2),AND(YEAR(AG$2)&gt;YEAR($I79),YEAR(AG$2)-YEAR($I79)&lt;20),$D79,YEAR(AG$2)-YEAR($I79)=20,ROUND((DATE(YEAR($I79),12,31)-$I79+1)/365*$D79,2),YEAR(AG$2)-YEAR($I79)&gt;20,0)</f>
        <v>1200</v>
      </c>
      <c r="AH79" s="48" cm="1">
        <f t="array" ref="AH79">_xlfn.IFS(YEAR(AH$2)&lt;YEAR($I79),0,YEAR(AH$2)=YEAR($I79),ROUND(((AH$2-$I79+1)/365)*$D79,2),AND(YEAR(AH$2)&gt;YEAR($I79),YEAR(AH$2)-YEAR($I79)&lt;20),$D79,YEAR(AH$2)-YEAR($I79)=20,ROUND((DATE(YEAR($I79),12,31)-$I79+1)/365*$D79,2),YEAR(AH$2)-YEAR($I79)&gt;20,0)</f>
        <v>1200</v>
      </c>
      <c r="AI79" s="48" cm="1">
        <f t="array" ref="AI79">_xlfn.IFS(YEAR(AI$2)&lt;YEAR($I79),0,YEAR(AI$2)=YEAR($I79),ROUND(((AI$2-$I79+1)/365)*$D79,2),AND(YEAR(AI$2)&gt;YEAR($I79),YEAR(AI$2)-YEAR($I79)&lt;20),$D79,YEAR(AI$2)-YEAR($I79)=20,ROUND((DATE(YEAR($I79),12,31)-$I79+1)/365*$D79,2),YEAR(AI$2)-YEAR($I79)&gt;20,0)</f>
        <v>1200</v>
      </c>
      <c r="AJ79" s="48" cm="1">
        <f t="array" ref="AJ79">_xlfn.IFS(YEAR(AJ$2)&lt;YEAR($I79),0,YEAR(AJ$2)=YEAR($I79),ROUND(((AJ$2-$I79+1)/365)*$D79,2),AND(YEAR(AJ$2)&gt;YEAR($I79),YEAR(AJ$2)-YEAR($I79)&lt;20),$D79,YEAR(AJ$2)-YEAR($I79)=20,ROUND((DATE(YEAR($I79),12,31)-$I79+1)/365*$D79,2),YEAR(AJ$2)-YEAR($I79)&gt;20,0)</f>
        <v>828.49</v>
      </c>
      <c r="AK79" s="48" cm="1">
        <f t="array" ref="AK79">_xlfn.IFS(YEAR(AK$2)&lt;YEAR($I79),0,YEAR(AK$2)=YEAR($I79),ROUND(((AK$2-$I79+1)/365)*$D79,2),AND(YEAR(AK$2)&gt;YEAR($I79),YEAR(AK$2)-YEAR($I79)&lt;20),$D79,YEAR(AK$2)-YEAR($I79)=20,ROUND((DATE(YEAR($I79),12,31)-$I79+1)/365*$D79,2),YEAR(AK$2)-YEAR($I79)&gt;20,0)</f>
        <v>0</v>
      </c>
      <c r="AL79" s="48" cm="1">
        <f t="array" ref="AL79">_xlfn.IFS(YEAR(AL$2)&lt;YEAR($I79),0,YEAR(AL$2)=YEAR($I79),ROUND(((AL$2-$I79+1)/365)*$D79,2),AND(YEAR(AL$2)&gt;YEAR($I79),YEAR(AL$2)-YEAR($I79)&lt;20),$D79,YEAR(AL$2)-YEAR($I79)=20,ROUND((DATE(YEAR($I79),12,31)-$I79+1)/365*$D79,2),YEAR(AL$2)-YEAR($I79)&gt;20,0)</f>
        <v>0</v>
      </c>
      <c r="AM79" s="48" cm="1">
        <f t="array" ref="AM79">_xlfn.IFS(YEAR(AM$2)&lt;YEAR($I79),0,YEAR(AM$2)=YEAR($I79),ROUND(((AM$2-$I79+1)/365)*$D79,2),AND(YEAR(AM$2)&gt;YEAR($I79),YEAR(AM$2)-YEAR($I79)&lt;20),$D79,YEAR(AM$2)-YEAR($I79)=20,ROUND((DATE(YEAR($I79),12,31)-$I79+1)/365*$D79,2),YEAR(AM$2)-YEAR($I79)&gt;20,0)</f>
        <v>0</v>
      </c>
    </row>
    <row r="80" spans="1:39">
      <c r="A80" s="155" t="str" cm="1">
        <f t="array" ref="A80">_xlfn.IFS(LEFT(C80,3)="PGE","PGE",LEFT(C80,2)="PP","PAC",TRUE,"IP")</f>
        <v>PGE</v>
      </c>
      <c r="B80" s="155" t="str">
        <f>IF(ISNA(MATCH(C80,'Monthly Report July 2025'!E:E,0)),"Missing","Present")</f>
        <v>Present</v>
      </c>
      <c r="C80" s="155" t="s">
        <v>189</v>
      </c>
      <c r="D80" s="176" cm="1">
        <f t="array" ref="D80">INDEX('Monthly Report July 2025'!L:L,MATCH(C80,'Monthly Report July 2025'!E:E,0),0)</f>
        <v>2750</v>
      </c>
      <c r="E80" s="176" t="str" cm="1">
        <f t="array" ref="E80">IF(INDEX('PA Fees by Project'!K:K,MATCH(C80,'PA Fees by Project'!E:E,0),0)="No","Non-Carve Out", "Carve Out")</f>
        <v>Carve Out</v>
      </c>
      <c r="F80" s="176" cm="1">
        <f t="array" ref="F80">INDEX('PA Fees by Project'!J:J,MATCH(C80,'PA Fees by Project'!E:E,0),0)</f>
        <v>2</v>
      </c>
      <c r="G80" s="155" t="str" cm="1">
        <f t="array" ref="G80">INDEX('PA Fees by Project'!G:G,MATCH(C80,'PA Fees by Project'!E:E,0),0)</f>
        <v>Pre-Certified</v>
      </c>
      <c r="H80" s="175" t="str" cm="1">
        <f t="array" ref="H80">INDEX('PA Fees by Project'!Q:Q,MATCH(C80,'PA Fees by Project'!E:E,0),0)</f>
        <v/>
      </c>
      <c r="I80" s="156" cm="1">
        <f t="array" ref="I80">_xlfn.IFS(G80="Operational",H80,G80="Certified",EDATE(INDEX('PA Fees by Project'!R:R,MATCH(C80,'PA Fees by Project'!E:E,0),0),6),TRUE,EDATE(INDEX('PA Fees by Project'!O:O,MATCH(C80,'PA Fees by Project'!E:E,0),0),6))</f>
        <v>46482</v>
      </c>
      <c r="J80" s="48" cm="1">
        <f t="array" ref="J80">_xlfn.IFS(YEAR(J$2)&lt;YEAR($I80),0,YEAR(J$2)=YEAR($I80),ROUND(((J$2-$I80+1)/365)*$D80,2),AND(YEAR(J$2)&gt;YEAR($I80),YEAR(J$2)-YEAR($I80)&lt;20),$D80,YEAR(J$2)-YEAR($I80)=20,ROUND((DATE(YEAR($I80),12,31)-$I80+1)/365*$D80,2),YEAR(J$2)-YEAR($I80)&gt;20,0)</f>
        <v>0</v>
      </c>
      <c r="K80" s="48" cm="1">
        <f t="array" ref="K80">_xlfn.IFS(YEAR(K$2)&lt;YEAR($I80),0,YEAR(K$2)=YEAR($I80),ROUND(((K$2-$I80+1)/365)*$D80,2),AND(YEAR(K$2)&gt;YEAR($I80),YEAR(K$2)-YEAR($I80)&lt;20),$D80,YEAR(K$2)-YEAR($I80)=20,ROUND((DATE(YEAR($I80),12,31)-$I80+1)/365*$D80,2),YEAR(K$2)-YEAR($I80)&gt;20,0)</f>
        <v>0</v>
      </c>
      <c r="L80" s="48" cm="1">
        <f t="array" ref="L80">_xlfn.IFS(YEAR(L$2)&lt;YEAR($I80),0,YEAR(L$2)=YEAR($I80),ROUND(((L$2-$I80+1)/365)*$D80,2),AND(YEAR(L$2)&gt;YEAR($I80),YEAR(L$2)-YEAR($I80)&lt;20),$D80,YEAR(L$2)-YEAR($I80)=20,ROUND((DATE(YEAR($I80),12,31)-$I80+1)/365*$D80,2),YEAR(L$2)-YEAR($I80)&gt;20,0)</f>
        <v>0</v>
      </c>
      <c r="M80" s="48" cm="1">
        <f t="array" ref="M80">_xlfn.IFS(YEAR(M$2)&lt;YEAR($I80),0,YEAR(M$2)=YEAR($I80),ROUND(((M$2-$I80+1)/365)*$D80,2),AND(YEAR(M$2)&gt;YEAR($I80),YEAR(M$2)-YEAR($I80)&lt;20),$D80,YEAR(M$2)-YEAR($I80)=20,ROUND((DATE(YEAR($I80),12,31)-$I80+1)/365*$D80,2),YEAR(M$2)-YEAR($I80)&gt;20,0)</f>
        <v>0</v>
      </c>
      <c r="N80" s="48" cm="1">
        <f t="array" ref="N80">_xlfn.IFS(YEAR(N$2)&lt;YEAR($I80),0,YEAR(N$2)=YEAR($I80),ROUND(((N$2-$I80+1)/365)*$D80,2),AND(YEAR(N$2)&gt;YEAR($I80),YEAR(N$2)-YEAR($I80)&lt;20),$D80,YEAR(N$2)-YEAR($I80)=20,ROUND((DATE(YEAR($I80),12,31)-$I80+1)/365*$D80,2),YEAR(N$2)-YEAR($I80)&gt;20,0)</f>
        <v>0</v>
      </c>
      <c r="O80" s="48" cm="1">
        <f t="array" ref="O80">_xlfn.IFS(YEAR(O$2)&lt;YEAR($I80),0,YEAR(O$2)=YEAR($I80),ROUND(((O$2-$I80+1)/365)*$D80,2),AND(YEAR(O$2)&gt;YEAR($I80),YEAR(O$2)-YEAR($I80)&lt;20),$D80,YEAR(O$2)-YEAR($I80)=20,ROUND((DATE(YEAR($I80),12,31)-$I80+1)/365*$D80,2),YEAR(O$2)-YEAR($I80)&gt;20,0)</f>
        <v>0</v>
      </c>
      <c r="P80" s="48" cm="1">
        <f t="array" ref="P80">_xlfn.IFS(YEAR(P$2)&lt;YEAR($I80),0,YEAR(P$2)=YEAR($I80),ROUND(((P$2-$I80+1)/365)*$D80,2),AND(YEAR(P$2)&gt;YEAR($I80),YEAR(P$2)-YEAR($I80)&lt;20),$D80,YEAR(P$2)-YEAR($I80)=20,ROUND((DATE(YEAR($I80),12,31)-$I80+1)/365*$D80,2),YEAR(P$2)-YEAR($I80)&gt;20,0)</f>
        <v>2041.78</v>
      </c>
      <c r="Q80" s="48" cm="1">
        <f t="array" ref="Q80">_xlfn.IFS(YEAR(Q$2)&lt;YEAR($I80),0,YEAR(Q$2)=YEAR($I80),ROUND(((Q$2-$I80+1)/365)*$D80,2),AND(YEAR(Q$2)&gt;YEAR($I80),YEAR(Q$2)-YEAR($I80)&lt;20),$D80,YEAR(Q$2)-YEAR($I80)=20,ROUND((DATE(YEAR($I80),12,31)-$I80+1)/365*$D80,2),YEAR(Q$2)-YEAR($I80)&gt;20,0)</f>
        <v>2750</v>
      </c>
      <c r="R80" s="48" cm="1">
        <f t="array" ref="R80">_xlfn.IFS(YEAR(R$2)&lt;YEAR($I80),0,YEAR(R$2)=YEAR($I80),ROUND(((R$2-$I80+1)/365)*$D80,2),AND(YEAR(R$2)&gt;YEAR($I80),YEAR(R$2)-YEAR($I80)&lt;20),$D80,YEAR(R$2)-YEAR($I80)=20,ROUND((DATE(YEAR($I80),12,31)-$I80+1)/365*$D80,2),YEAR(R$2)-YEAR($I80)&gt;20,0)</f>
        <v>2750</v>
      </c>
      <c r="S80" s="48" cm="1">
        <f t="array" ref="S80">_xlfn.IFS(YEAR(S$2)&lt;YEAR($I80),0,YEAR(S$2)=YEAR($I80),ROUND(((S$2-$I80+1)/365)*$D80,2),AND(YEAR(S$2)&gt;YEAR($I80),YEAR(S$2)-YEAR($I80)&lt;20),$D80,YEAR(S$2)-YEAR($I80)=20,ROUND((DATE(YEAR($I80),12,31)-$I80+1)/365*$D80,2),YEAR(S$2)-YEAR($I80)&gt;20,0)</f>
        <v>2750</v>
      </c>
      <c r="T80" s="48" cm="1">
        <f t="array" ref="T80">_xlfn.IFS(YEAR(T$2)&lt;YEAR($I80),0,YEAR(T$2)=YEAR($I80),ROUND(((T$2-$I80+1)/365)*$D80,2),AND(YEAR(T$2)&gt;YEAR($I80),YEAR(T$2)-YEAR($I80)&lt;20),$D80,YEAR(T$2)-YEAR($I80)=20,ROUND((DATE(YEAR($I80),12,31)-$I80+1)/365*$D80,2),YEAR(T$2)-YEAR($I80)&gt;20,0)</f>
        <v>2750</v>
      </c>
      <c r="U80" s="48" cm="1">
        <f t="array" ref="U80">_xlfn.IFS(YEAR(U$2)&lt;YEAR($I80),0,YEAR(U$2)=YEAR($I80),ROUND(((U$2-$I80+1)/365)*$D80,2),AND(YEAR(U$2)&gt;YEAR($I80),YEAR(U$2)-YEAR($I80)&lt;20),$D80,YEAR(U$2)-YEAR($I80)=20,ROUND((DATE(YEAR($I80),12,31)-$I80+1)/365*$D80,2),YEAR(U$2)-YEAR($I80)&gt;20,0)</f>
        <v>2750</v>
      </c>
      <c r="V80" s="48" cm="1">
        <f t="array" ref="V80">_xlfn.IFS(YEAR(V$2)&lt;YEAR($I80),0,YEAR(V$2)=YEAR($I80),ROUND(((V$2-$I80+1)/365)*$D80,2),AND(YEAR(V$2)&gt;YEAR($I80),YEAR(V$2)-YEAR($I80)&lt;20),$D80,YEAR(V$2)-YEAR($I80)=20,ROUND((DATE(YEAR($I80),12,31)-$I80+1)/365*$D80,2),YEAR(V$2)-YEAR($I80)&gt;20,0)</f>
        <v>2750</v>
      </c>
      <c r="W80" s="48" cm="1">
        <f t="array" ref="W80">_xlfn.IFS(YEAR(W$2)&lt;YEAR($I80),0,YEAR(W$2)=YEAR($I80),ROUND(((W$2-$I80+1)/365)*$D80,2),AND(YEAR(W$2)&gt;YEAR($I80),YEAR(W$2)-YEAR($I80)&lt;20),$D80,YEAR(W$2)-YEAR($I80)=20,ROUND((DATE(YEAR($I80),12,31)-$I80+1)/365*$D80,2),YEAR(W$2)-YEAR($I80)&gt;20,0)</f>
        <v>2750</v>
      </c>
      <c r="X80" s="48" cm="1">
        <f t="array" ref="X80">_xlfn.IFS(YEAR(X$2)&lt;YEAR($I80),0,YEAR(X$2)=YEAR($I80),ROUND(((X$2-$I80+1)/365)*$D80,2),AND(YEAR(X$2)&gt;YEAR($I80),YEAR(X$2)-YEAR($I80)&lt;20),$D80,YEAR(X$2)-YEAR($I80)=20,ROUND((DATE(YEAR($I80),12,31)-$I80+1)/365*$D80,2),YEAR(X$2)-YEAR($I80)&gt;20,0)</f>
        <v>2750</v>
      </c>
      <c r="Y80" s="48" cm="1">
        <f t="array" ref="Y80">_xlfn.IFS(YEAR(Y$2)&lt;YEAR($I80),0,YEAR(Y$2)=YEAR($I80),ROUND(((Y$2-$I80+1)/365)*$D80,2),AND(YEAR(Y$2)&gt;YEAR($I80),YEAR(Y$2)-YEAR($I80)&lt;20),$D80,YEAR(Y$2)-YEAR($I80)=20,ROUND((DATE(YEAR($I80),12,31)-$I80+1)/365*$D80,2),YEAR(Y$2)-YEAR($I80)&gt;20,0)</f>
        <v>2750</v>
      </c>
      <c r="Z80" s="48" cm="1">
        <f t="array" ref="Z80">_xlfn.IFS(YEAR(Z$2)&lt;YEAR($I80),0,YEAR(Z$2)=YEAR($I80),ROUND(((Z$2-$I80+1)/365)*$D80,2),AND(YEAR(Z$2)&gt;YEAR($I80),YEAR(Z$2)-YEAR($I80)&lt;20),$D80,YEAR(Z$2)-YEAR($I80)=20,ROUND((DATE(YEAR($I80),12,31)-$I80+1)/365*$D80,2),YEAR(Z$2)-YEAR($I80)&gt;20,0)</f>
        <v>2750</v>
      </c>
      <c r="AA80" s="48" cm="1">
        <f t="array" ref="AA80">_xlfn.IFS(YEAR(AA$2)&lt;YEAR($I80),0,YEAR(AA$2)=YEAR($I80),ROUND(((AA$2-$I80+1)/365)*$D80,2),AND(YEAR(AA$2)&gt;YEAR($I80),YEAR(AA$2)-YEAR($I80)&lt;20),$D80,YEAR(AA$2)-YEAR($I80)=20,ROUND((DATE(YEAR($I80),12,31)-$I80+1)/365*$D80,2),YEAR(AA$2)-YEAR($I80)&gt;20,0)</f>
        <v>2750</v>
      </c>
      <c r="AB80" s="48" cm="1">
        <f t="array" ref="AB80">_xlfn.IFS(YEAR(AB$2)&lt;YEAR($I80),0,YEAR(AB$2)=YEAR($I80),ROUND(((AB$2-$I80+1)/365)*$D80,2),AND(YEAR(AB$2)&gt;YEAR($I80),YEAR(AB$2)-YEAR($I80)&lt;20),$D80,YEAR(AB$2)-YEAR($I80)=20,ROUND((DATE(YEAR($I80),12,31)-$I80+1)/365*$D80,2),YEAR(AB$2)-YEAR($I80)&gt;20,0)</f>
        <v>2750</v>
      </c>
      <c r="AC80" s="48" cm="1">
        <f t="array" ref="AC80">_xlfn.IFS(YEAR(AC$2)&lt;YEAR($I80),0,YEAR(AC$2)=YEAR($I80),ROUND(((AC$2-$I80+1)/365)*$D80,2),AND(YEAR(AC$2)&gt;YEAR($I80),YEAR(AC$2)-YEAR($I80)&lt;20),$D80,YEAR(AC$2)-YEAR($I80)=20,ROUND((DATE(YEAR($I80),12,31)-$I80+1)/365*$D80,2),YEAR(AC$2)-YEAR($I80)&gt;20,0)</f>
        <v>2750</v>
      </c>
      <c r="AD80" s="48" cm="1">
        <f t="array" ref="AD80">_xlfn.IFS(YEAR(AD$2)&lt;YEAR($I80),0,YEAR(AD$2)=YEAR($I80),ROUND(((AD$2-$I80+1)/365)*$D80,2),AND(YEAR(AD$2)&gt;YEAR($I80),YEAR(AD$2)-YEAR($I80)&lt;20),$D80,YEAR(AD$2)-YEAR($I80)=20,ROUND((DATE(YEAR($I80),12,31)-$I80+1)/365*$D80,2),YEAR(AD$2)-YEAR($I80)&gt;20,0)</f>
        <v>2750</v>
      </c>
      <c r="AE80" s="48" cm="1">
        <f t="array" ref="AE80">_xlfn.IFS(YEAR(AE$2)&lt;YEAR($I80),0,YEAR(AE$2)=YEAR($I80),ROUND(((AE$2-$I80+1)/365)*$D80,2),AND(YEAR(AE$2)&gt;YEAR($I80),YEAR(AE$2)-YEAR($I80)&lt;20),$D80,YEAR(AE$2)-YEAR($I80)=20,ROUND((DATE(YEAR($I80),12,31)-$I80+1)/365*$D80,2),YEAR(AE$2)-YEAR($I80)&gt;20,0)</f>
        <v>2750</v>
      </c>
      <c r="AF80" s="48" cm="1">
        <f t="array" ref="AF80">_xlfn.IFS(YEAR(AF$2)&lt;YEAR($I80),0,YEAR(AF$2)=YEAR($I80),ROUND(((AF$2-$I80+1)/365)*$D80,2),AND(YEAR(AF$2)&gt;YEAR($I80),YEAR(AF$2)-YEAR($I80)&lt;20),$D80,YEAR(AF$2)-YEAR($I80)=20,ROUND((DATE(YEAR($I80),12,31)-$I80+1)/365*$D80,2),YEAR(AF$2)-YEAR($I80)&gt;20,0)</f>
        <v>2750</v>
      </c>
      <c r="AG80" s="48" cm="1">
        <f t="array" ref="AG80">_xlfn.IFS(YEAR(AG$2)&lt;YEAR($I80),0,YEAR(AG$2)=YEAR($I80),ROUND(((AG$2-$I80+1)/365)*$D80,2),AND(YEAR(AG$2)&gt;YEAR($I80),YEAR(AG$2)-YEAR($I80)&lt;20),$D80,YEAR(AG$2)-YEAR($I80)=20,ROUND((DATE(YEAR($I80),12,31)-$I80+1)/365*$D80,2),YEAR(AG$2)-YEAR($I80)&gt;20,0)</f>
        <v>2750</v>
      </c>
      <c r="AH80" s="48" cm="1">
        <f t="array" ref="AH80">_xlfn.IFS(YEAR(AH$2)&lt;YEAR($I80),0,YEAR(AH$2)=YEAR($I80),ROUND(((AH$2-$I80+1)/365)*$D80,2),AND(YEAR(AH$2)&gt;YEAR($I80),YEAR(AH$2)-YEAR($I80)&lt;20),$D80,YEAR(AH$2)-YEAR($I80)=20,ROUND((DATE(YEAR($I80),12,31)-$I80+1)/365*$D80,2),YEAR(AH$2)-YEAR($I80)&gt;20,0)</f>
        <v>2750</v>
      </c>
      <c r="AI80" s="48" cm="1">
        <f t="array" ref="AI80">_xlfn.IFS(YEAR(AI$2)&lt;YEAR($I80),0,YEAR(AI$2)=YEAR($I80),ROUND(((AI$2-$I80+1)/365)*$D80,2),AND(YEAR(AI$2)&gt;YEAR($I80),YEAR(AI$2)-YEAR($I80)&lt;20),$D80,YEAR(AI$2)-YEAR($I80)=20,ROUND((DATE(YEAR($I80),12,31)-$I80+1)/365*$D80,2),YEAR(AI$2)-YEAR($I80)&gt;20,0)</f>
        <v>2750</v>
      </c>
      <c r="AJ80" s="48" cm="1">
        <f t="array" ref="AJ80">_xlfn.IFS(YEAR(AJ$2)&lt;YEAR($I80),0,YEAR(AJ$2)=YEAR($I80),ROUND(((AJ$2-$I80+1)/365)*$D80,2),AND(YEAR(AJ$2)&gt;YEAR($I80),YEAR(AJ$2)-YEAR($I80)&lt;20),$D80,YEAR(AJ$2)-YEAR($I80)=20,ROUND((DATE(YEAR($I80),12,31)-$I80+1)/365*$D80,2),YEAR(AJ$2)-YEAR($I80)&gt;20,0)</f>
        <v>2041.78</v>
      </c>
      <c r="AK80" s="48" cm="1">
        <f t="array" ref="AK80">_xlfn.IFS(YEAR(AK$2)&lt;YEAR($I80),0,YEAR(AK$2)=YEAR($I80),ROUND(((AK$2-$I80+1)/365)*$D80,2),AND(YEAR(AK$2)&gt;YEAR($I80),YEAR(AK$2)-YEAR($I80)&lt;20),$D80,YEAR(AK$2)-YEAR($I80)=20,ROUND((DATE(YEAR($I80),12,31)-$I80+1)/365*$D80,2),YEAR(AK$2)-YEAR($I80)&gt;20,0)</f>
        <v>0</v>
      </c>
      <c r="AL80" s="48" cm="1">
        <f t="array" ref="AL80">_xlfn.IFS(YEAR(AL$2)&lt;YEAR($I80),0,YEAR(AL$2)=YEAR($I80),ROUND(((AL$2-$I80+1)/365)*$D80,2),AND(YEAR(AL$2)&gt;YEAR($I80),YEAR(AL$2)-YEAR($I80)&lt;20),$D80,YEAR(AL$2)-YEAR($I80)=20,ROUND((DATE(YEAR($I80),12,31)-$I80+1)/365*$D80,2),YEAR(AL$2)-YEAR($I80)&gt;20,0)</f>
        <v>0</v>
      </c>
      <c r="AM80" s="48" cm="1">
        <f t="array" ref="AM80">_xlfn.IFS(YEAR(AM$2)&lt;YEAR($I80),0,YEAR(AM$2)=YEAR($I80),ROUND(((AM$2-$I80+1)/365)*$D80,2),AND(YEAR(AM$2)&gt;YEAR($I80),YEAR(AM$2)-YEAR($I80)&lt;20),$D80,YEAR(AM$2)-YEAR($I80)=20,ROUND((DATE(YEAR($I80),12,31)-$I80+1)/365*$D80,2),YEAR(AM$2)-YEAR($I80)&gt;20,0)</f>
        <v>0</v>
      </c>
    </row>
    <row r="81" spans="1:39">
      <c r="A81" s="155" t="str" cm="1">
        <f t="array" ref="A81">_xlfn.IFS(LEFT(C81,3)="PGE","PGE",LEFT(C81,2)="PP","PAC",TRUE,"IP")</f>
        <v>PAC</v>
      </c>
      <c r="B81" s="155" t="str">
        <f>IF(ISNA(MATCH(C81,'Monthly Report July 2025'!E:E,0)),"Missing","Present")</f>
        <v>Present</v>
      </c>
      <c r="C81" s="155" t="s">
        <v>190</v>
      </c>
      <c r="D81" s="176" cm="1">
        <f t="array" ref="D81">INDEX('Monthly Report July 2025'!L:L,MATCH(C81,'Monthly Report July 2025'!E:E,0),0)</f>
        <v>2500</v>
      </c>
      <c r="E81" s="176" t="str" cm="1">
        <f t="array" ref="E81">IF(INDEX('PA Fees by Project'!K:K,MATCH(C81,'PA Fees by Project'!E:E,0),0)="No","Non-Carve Out", "Carve Out")</f>
        <v>Carve Out</v>
      </c>
      <c r="F81" s="176" cm="1">
        <f t="array" ref="F81">INDEX('PA Fees by Project'!J:J,MATCH(C81,'PA Fees by Project'!E:E,0),0)</f>
        <v>2</v>
      </c>
      <c r="G81" s="155" t="str" cm="1">
        <f t="array" ref="G81">INDEX('PA Fees by Project'!G:G,MATCH(C81,'PA Fees by Project'!E:E,0),0)</f>
        <v>Pre-Certified</v>
      </c>
      <c r="H81" s="175" t="str" cm="1">
        <f t="array" ref="H81">INDEX('PA Fees by Project'!Q:Q,MATCH(C81,'PA Fees by Project'!E:E,0),0)</f>
        <v/>
      </c>
      <c r="I81" s="156" cm="1">
        <f t="array" ref="I81">_xlfn.IFS(G81="Operational",H81,G81="Certified",EDATE(INDEX('PA Fees by Project'!R:R,MATCH(C81,'PA Fees by Project'!E:E,0),0),6),TRUE,EDATE(INDEX('PA Fees by Project'!O:O,MATCH(C81,'PA Fees by Project'!E:E,0),0),6))</f>
        <v>46482</v>
      </c>
      <c r="J81" s="48" cm="1">
        <f t="array" ref="J81">_xlfn.IFS(YEAR(J$2)&lt;YEAR($I81),0,YEAR(J$2)=YEAR($I81),ROUND(((J$2-$I81+1)/365)*$D81,2),AND(YEAR(J$2)&gt;YEAR($I81),YEAR(J$2)-YEAR($I81)&lt;20),$D81,YEAR(J$2)-YEAR($I81)=20,ROUND((DATE(YEAR($I81),12,31)-$I81+1)/365*$D81,2),YEAR(J$2)-YEAR($I81)&gt;20,0)</f>
        <v>0</v>
      </c>
      <c r="K81" s="48" cm="1">
        <f t="array" ref="K81">_xlfn.IFS(YEAR(K$2)&lt;YEAR($I81),0,YEAR(K$2)=YEAR($I81),ROUND(((K$2-$I81+1)/365)*$D81,2),AND(YEAR(K$2)&gt;YEAR($I81),YEAR(K$2)-YEAR($I81)&lt;20),$D81,YEAR(K$2)-YEAR($I81)=20,ROUND((DATE(YEAR($I81),12,31)-$I81+1)/365*$D81,2),YEAR(K$2)-YEAR($I81)&gt;20,0)</f>
        <v>0</v>
      </c>
      <c r="L81" s="48" cm="1">
        <f t="array" ref="L81">_xlfn.IFS(YEAR(L$2)&lt;YEAR($I81),0,YEAR(L$2)=YEAR($I81),ROUND(((L$2-$I81+1)/365)*$D81,2),AND(YEAR(L$2)&gt;YEAR($I81),YEAR(L$2)-YEAR($I81)&lt;20),$D81,YEAR(L$2)-YEAR($I81)=20,ROUND((DATE(YEAR($I81),12,31)-$I81+1)/365*$D81,2),YEAR(L$2)-YEAR($I81)&gt;20,0)</f>
        <v>0</v>
      </c>
      <c r="M81" s="48" cm="1">
        <f t="array" ref="M81">_xlfn.IFS(YEAR(M$2)&lt;YEAR($I81),0,YEAR(M$2)=YEAR($I81),ROUND(((M$2-$I81+1)/365)*$D81,2),AND(YEAR(M$2)&gt;YEAR($I81),YEAR(M$2)-YEAR($I81)&lt;20),$D81,YEAR(M$2)-YEAR($I81)=20,ROUND((DATE(YEAR($I81),12,31)-$I81+1)/365*$D81,2),YEAR(M$2)-YEAR($I81)&gt;20,0)</f>
        <v>0</v>
      </c>
      <c r="N81" s="48" cm="1">
        <f t="array" ref="N81">_xlfn.IFS(YEAR(N$2)&lt;YEAR($I81),0,YEAR(N$2)=YEAR($I81),ROUND(((N$2-$I81+1)/365)*$D81,2),AND(YEAR(N$2)&gt;YEAR($I81),YEAR(N$2)-YEAR($I81)&lt;20),$D81,YEAR(N$2)-YEAR($I81)=20,ROUND((DATE(YEAR($I81),12,31)-$I81+1)/365*$D81,2),YEAR(N$2)-YEAR($I81)&gt;20,0)</f>
        <v>0</v>
      </c>
      <c r="O81" s="48" cm="1">
        <f t="array" ref="O81">_xlfn.IFS(YEAR(O$2)&lt;YEAR($I81),0,YEAR(O$2)=YEAR($I81),ROUND(((O$2-$I81+1)/365)*$D81,2),AND(YEAR(O$2)&gt;YEAR($I81),YEAR(O$2)-YEAR($I81)&lt;20),$D81,YEAR(O$2)-YEAR($I81)=20,ROUND((DATE(YEAR($I81),12,31)-$I81+1)/365*$D81,2),YEAR(O$2)-YEAR($I81)&gt;20,0)</f>
        <v>0</v>
      </c>
      <c r="P81" s="48" cm="1">
        <f t="array" ref="P81">_xlfn.IFS(YEAR(P$2)&lt;YEAR($I81),0,YEAR(P$2)=YEAR($I81),ROUND(((P$2-$I81+1)/365)*$D81,2),AND(YEAR(P$2)&gt;YEAR($I81),YEAR(P$2)-YEAR($I81)&lt;20),$D81,YEAR(P$2)-YEAR($I81)=20,ROUND((DATE(YEAR($I81),12,31)-$I81+1)/365*$D81,2),YEAR(P$2)-YEAR($I81)&gt;20,0)</f>
        <v>1856.16</v>
      </c>
      <c r="Q81" s="48" cm="1">
        <f t="array" ref="Q81">_xlfn.IFS(YEAR(Q$2)&lt;YEAR($I81),0,YEAR(Q$2)=YEAR($I81),ROUND(((Q$2-$I81+1)/365)*$D81,2),AND(YEAR(Q$2)&gt;YEAR($I81),YEAR(Q$2)-YEAR($I81)&lt;20),$D81,YEAR(Q$2)-YEAR($I81)=20,ROUND((DATE(YEAR($I81),12,31)-$I81+1)/365*$D81,2),YEAR(Q$2)-YEAR($I81)&gt;20,0)</f>
        <v>2500</v>
      </c>
      <c r="R81" s="48" cm="1">
        <f t="array" ref="R81">_xlfn.IFS(YEAR(R$2)&lt;YEAR($I81),0,YEAR(R$2)=YEAR($I81),ROUND(((R$2-$I81+1)/365)*$D81,2),AND(YEAR(R$2)&gt;YEAR($I81),YEAR(R$2)-YEAR($I81)&lt;20),$D81,YEAR(R$2)-YEAR($I81)=20,ROUND((DATE(YEAR($I81),12,31)-$I81+1)/365*$D81,2),YEAR(R$2)-YEAR($I81)&gt;20,0)</f>
        <v>2500</v>
      </c>
      <c r="S81" s="48" cm="1">
        <f t="array" ref="S81">_xlfn.IFS(YEAR(S$2)&lt;YEAR($I81),0,YEAR(S$2)=YEAR($I81),ROUND(((S$2-$I81+1)/365)*$D81,2),AND(YEAR(S$2)&gt;YEAR($I81),YEAR(S$2)-YEAR($I81)&lt;20),$D81,YEAR(S$2)-YEAR($I81)=20,ROUND((DATE(YEAR($I81),12,31)-$I81+1)/365*$D81,2),YEAR(S$2)-YEAR($I81)&gt;20,0)</f>
        <v>2500</v>
      </c>
      <c r="T81" s="48" cm="1">
        <f t="array" ref="T81">_xlfn.IFS(YEAR(T$2)&lt;YEAR($I81),0,YEAR(T$2)=YEAR($I81),ROUND(((T$2-$I81+1)/365)*$D81,2),AND(YEAR(T$2)&gt;YEAR($I81),YEAR(T$2)-YEAR($I81)&lt;20),$D81,YEAR(T$2)-YEAR($I81)=20,ROUND((DATE(YEAR($I81),12,31)-$I81+1)/365*$D81,2),YEAR(T$2)-YEAR($I81)&gt;20,0)</f>
        <v>2500</v>
      </c>
      <c r="U81" s="48" cm="1">
        <f t="array" ref="U81">_xlfn.IFS(YEAR(U$2)&lt;YEAR($I81),0,YEAR(U$2)=YEAR($I81),ROUND(((U$2-$I81+1)/365)*$D81,2),AND(YEAR(U$2)&gt;YEAR($I81),YEAR(U$2)-YEAR($I81)&lt;20),$D81,YEAR(U$2)-YEAR($I81)=20,ROUND((DATE(YEAR($I81),12,31)-$I81+1)/365*$D81,2),YEAR(U$2)-YEAR($I81)&gt;20,0)</f>
        <v>2500</v>
      </c>
      <c r="V81" s="48" cm="1">
        <f t="array" ref="V81">_xlfn.IFS(YEAR(V$2)&lt;YEAR($I81),0,YEAR(V$2)=YEAR($I81),ROUND(((V$2-$I81+1)/365)*$D81,2),AND(YEAR(V$2)&gt;YEAR($I81),YEAR(V$2)-YEAR($I81)&lt;20),$D81,YEAR(V$2)-YEAR($I81)=20,ROUND((DATE(YEAR($I81),12,31)-$I81+1)/365*$D81,2),YEAR(V$2)-YEAR($I81)&gt;20,0)</f>
        <v>2500</v>
      </c>
      <c r="W81" s="48" cm="1">
        <f t="array" ref="W81">_xlfn.IFS(YEAR(W$2)&lt;YEAR($I81),0,YEAR(W$2)=YEAR($I81),ROUND(((W$2-$I81+1)/365)*$D81,2),AND(YEAR(W$2)&gt;YEAR($I81),YEAR(W$2)-YEAR($I81)&lt;20),$D81,YEAR(W$2)-YEAR($I81)=20,ROUND((DATE(YEAR($I81),12,31)-$I81+1)/365*$D81,2),YEAR(W$2)-YEAR($I81)&gt;20,0)</f>
        <v>2500</v>
      </c>
      <c r="X81" s="48" cm="1">
        <f t="array" ref="X81">_xlfn.IFS(YEAR(X$2)&lt;YEAR($I81),0,YEAR(X$2)=YEAR($I81),ROUND(((X$2-$I81+1)/365)*$D81,2),AND(YEAR(X$2)&gt;YEAR($I81),YEAR(X$2)-YEAR($I81)&lt;20),$D81,YEAR(X$2)-YEAR($I81)=20,ROUND((DATE(YEAR($I81),12,31)-$I81+1)/365*$D81,2),YEAR(X$2)-YEAR($I81)&gt;20,0)</f>
        <v>2500</v>
      </c>
      <c r="Y81" s="48" cm="1">
        <f t="array" ref="Y81">_xlfn.IFS(YEAR(Y$2)&lt;YEAR($I81),0,YEAR(Y$2)=YEAR($I81),ROUND(((Y$2-$I81+1)/365)*$D81,2),AND(YEAR(Y$2)&gt;YEAR($I81),YEAR(Y$2)-YEAR($I81)&lt;20),$D81,YEAR(Y$2)-YEAR($I81)=20,ROUND((DATE(YEAR($I81),12,31)-$I81+1)/365*$D81,2),YEAR(Y$2)-YEAR($I81)&gt;20,0)</f>
        <v>2500</v>
      </c>
      <c r="Z81" s="48" cm="1">
        <f t="array" ref="Z81">_xlfn.IFS(YEAR(Z$2)&lt;YEAR($I81),0,YEAR(Z$2)=YEAR($I81),ROUND(((Z$2-$I81+1)/365)*$D81,2),AND(YEAR(Z$2)&gt;YEAR($I81),YEAR(Z$2)-YEAR($I81)&lt;20),$D81,YEAR(Z$2)-YEAR($I81)=20,ROUND((DATE(YEAR($I81),12,31)-$I81+1)/365*$D81,2),YEAR(Z$2)-YEAR($I81)&gt;20,0)</f>
        <v>2500</v>
      </c>
      <c r="AA81" s="48" cm="1">
        <f t="array" ref="AA81">_xlfn.IFS(YEAR(AA$2)&lt;YEAR($I81),0,YEAR(AA$2)=YEAR($I81),ROUND(((AA$2-$I81+1)/365)*$D81,2),AND(YEAR(AA$2)&gt;YEAR($I81),YEAR(AA$2)-YEAR($I81)&lt;20),$D81,YEAR(AA$2)-YEAR($I81)=20,ROUND((DATE(YEAR($I81),12,31)-$I81+1)/365*$D81,2),YEAR(AA$2)-YEAR($I81)&gt;20,0)</f>
        <v>2500</v>
      </c>
      <c r="AB81" s="48" cm="1">
        <f t="array" ref="AB81">_xlfn.IFS(YEAR(AB$2)&lt;YEAR($I81),0,YEAR(AB$2)=YEAR($I81),ROUND(((AB$2-$I81+1)/365)*$D81,2),AND(YEAR(AB$2)&gt;YEAR($I81),YEAR(AB$2)-YEAR($I81)&lt;20),$D81,YEAR(AB$2)-YEAR($I81)=20,ROUND((DATE(YEAR($I81),12,31)-$I81+1)/365*$D81,2),YEAR(AB$2)-YEAR($I81)&gt;20,0)</f>
        <v>2500</v>
      </c>
      <c r="AC81" s="48" cm="1">
        <f t="array" ref="AC81">_xlfn.IFS(YEAR(AC$2)&lt;YEAR($I81),0,YEAR(AC$2)=YEAR($I81),ROUND(((AC$2-$I81+1)/365)*$D81,2),AND(YEAR(AC$2)&gt;YEAR($I81),YEAR(AC$2)-YEAR($I81)&lt;20),$D81,YEAR(AC$2)-YEAR($I81)=20,ROUND((DATE(YEAR($I81),12,31)-$I81+1)/365*$D81,2),YEAR(AC$2)-YEAR($I81)&gt;20,0)</f>
        <v>2500</v>
      </c>
      <c r="AD81" s="48" cm="1">
        <f t="array" ref="AD81">_xlfn.IFS(YEAR(AD$2)&lt;YEAR($I81),0,YEAR(AD$2)=YEAR($I81),ROUND(((AD$2-$I81+1)/365)*$D81,2),AND(YEAR(AD$2)&gt;YEAR($I81),YEAR(AD$2)-YEAR($I81)&lt;20),$D81,YEAR(AD$2)-YEAR($I81)=20,ROUND((DATE(YEAR($I81),12,31)-$I81+1)/365*$D81,2),YEAR(AD$2)-YEAR($I81)&gt;20,0)</f>
        <v>2500</v>
      </c>
      <c r="AE81" s="48" cm="1">
        <f t="array" ref="AE81">_xlfn.IFS(YEAR(AE$2)&lt;YEAR($I81),0,YEAR(AE$2)=YEAR($I81),ROUND(((AE$2-$I81+1)/365)*$D81,2),AND(YEAR(AE$2)&gt;YEAR($I81),YEAR(AE$2)-YEAR($I81)&lt;20),$D81,YEAR(AE$2)-YEAR($I81)=20,ROUND((DATE(YEAR($I81),12,31)-$I81+1)/365*$D81,2),YEAR(AE$2)-YEAR($I81)&gt;20,0)</f>
        <v>2500</v>
      </c>
      <c r="AF81" s="48" cm="1">
        <f t="array" ref="AF81">_xlfn.IFS(YEAR(AF$2)&lt;YEAR($I81),0,YEAR(AF$2)=YEAR($I81),ROUND(((AF$2-$I81+1)/365)*$D81,2),AND(YEAR(AF$2)&gt;YEAR($I81),YEAR(AF$2)-YEAR($I81)&lt;20),$D81,YEAR(AF$2)-YEAR($I81)=20,ROUND((DATE(YEAR($I81),12,31)-$I81+1)/365*$D81,2),YEAR(AF$2)-YEAR($I81)&gt;20,0)</f>
        <v>2500</v>
      </c>
      <c r="AG81" s="48" cm="1">
        <f t="array" ref="AG81">_xlfn.IFS(YEAR(AG$2)&lt;YEAR($I81),0,YEAR(AG$2)=YEAR($I81),ROUND(((AG$2-$I81+1)/365)*$D81,2),AND(YEAR(AG$2)&gt;YEAR($I81),YEAR(AG$2)-YEAR($I81)&lt;20),$D81,YEAR(AG$2)-YEAR($I81)=20,ROUND((DATE(YEAR($I81),12,31)-$I81+1)/365*$D81,2),YEAR(AG$2)-YEAR($I81)&gt;20,0)</f>
        <v>2500</v>
      </c>
      <c r="AH81" s="48" cm="1">
        <f t="array" ref="AH81">_xlfn.IFS(YEAR(AH$2)&lt;YEAR($I81),0,YEAR(AH$2)=YEAR($I81),ROUND(((AH$2-$I81+1)/365)*$D81,2),AND(YEAR(AH$2)&gt;YEAR($I81),YEAR(AH$2)-YEAR($I81)&lt;20),$D81,YEAR(AH$2)-YEAR($I81)=20,ROUND((DATE(YEAR($I81),12,31)-$I81+1)/365*$D81,2),YEAR(AH$2)-YEAR($I81)&gt;20,0)</f>
        <v>2500</v>
      </c>
      <c r="AI81" s="48" cm="1">
        <f t="array" ref="AI81">_xlfn.IFS(YEAR(AI$2)&lt;YEAR($I81),0,YEAR(AI$2)=YEAR($I81),ROUND(((AI$2-$I81+1)/365)*$D81,2),AND(YEAR(AI$2)&gt;YEAR($I81),YEAR(AI$2)-YEAR($I81)&lt;20),$D81,YEAR(AI$2)-YEAR($I81)=20,ROUND((DATE(YEAR($I81),12,31)-$I81+1)/365*$D81,2),YEAR(AI$2)-YEAR($I81)&gt;20,0)</f>
        <v>2500</v>
      </c>
      <c r="AJ81" s="48" cm="1">
        <f t="array" ref="AJ81">_xlfn.IFS(YEAR(AJ$2)&lt;YEAR($I81),0,YEAR(AJ$2)=YEAR($I81),ROUND(((AJ$2-$I81+1)/365)*$D81,2),AND(YEAR(AJ$2)&gt;YEAR($I81),YEAR(AJ$2)-YEAR($I81)&lt;20),$D81,YEAR(AJ$2)-YEAR($I81)=20,ROUND((DATE(YEAR($I81),12,31)-$I81+1)/365*$D81,2),YEAR(AJ$2)-YEAR($I81)&gt;20,0)</f>
        <v>1856.16</v>
      </c>
      <c r="AK81" s="48" cm="1">
        <f t="array" ref="AK81">_xlfn.IFS(YEAR(AK$2)&lt;YEAR($I81),0,YEAR(AK$2)=YEAR($I81),ROUND(((AK$2-$I81+1)/365)*$D81,2),AND(YEAR(AK$2)&gt;YEAR($I81),YEAR(AK$2)-YEAR($I81)&lt;20),$D81,YEAR(AK$2)-YEAR($I81)=20,ROUND((DATE(YEAR($I81),12,31)-$I81+1)/365*$D81,2),YEAR(AK$2)-YEAR($I81)&gt;20,0)</f>
        <v>0</v>
      </c>
      <c r="AL81" s="48" cm="1">
        <f t="array" ref="AL81">_xlfn.IFS(YEAR(AL$2)&lt;YEAR($I81),0,YEAR(AL$2)=YEAR($I81),ROUND(((AL$2-$I81+1)/365)*$D81,2),AND(YEAR(AL$2)&gt;YEAR($I81),YEAR(AL$2)-YEAR($I81)&lt;20),$D81,YEAR(AL$2)-YEAR($I81)=20,ROUND((DATE(YEAR($I81),12,31)-$I81+1)/365*$D81,2),YEAR(AL$2)-YEAR($I81)&gt;20,0)</f>
        <v>0</v>
      </c>
      <c r="AM81" s="48" cm="1">
        <f t="array" ref="AM81">_xlfn.IFS(YEAR(AM$2)&lt;YEAR($I81),0,YEAR(AM$2)=YEAR($I81),ROUND(((AM$2-$I81+1)/365)*$D81,2),AND(YEAR(AM$2)&gt;YEAR($I81),YEAR(AM$2)-YEAR($I81)&lt;20),$D81,YEAR(AM$2)-YEAR($I81)=20,ROUND((DATE(YEAR($I81),12,31)-$I81+1)/365*$D81,2),YEAR(AM$2)-YEAR($I81)&gt;20,0)</f>
        <v>0</v>
      </c>
    </row>
    <row r="82" spans="1:39">
      <c r="A82" s="155" t="str" cm="1">
        <f t="array" ref="A82">_xlfn.IFS(LEFT(C82,3)="PGE","PGE",LEFT(C82,2)="PP","PAC",TRUE,"IP")</f>
        <v>PGE</v>
      </c>
      <c r="B82" s="155" t="str">
        <f>IF(ISNA(MATCH(C82,'Monthly Report July 2025'!E:E,0)),"Missing","Present")</f>
        <v>Present</v>
      </c>
      <c r="C82" s="155" t="s">
        <v>191</v>
      </c>
      <c r="D82" s="176" cm="1">
        <f t="array" ref="D82">INDEX('Monthly Report July 2025'!L:L,MATCH(C82,'Monthly Report July 2025'!E:E,0),0)</f>
        <v>1200</v>
      </c>
      <c r="E82" s="176" t="str" cm="1">
        <f t="array" ref="E82">IF(INDEX('PA Fees by Project'!K:K,MATCH(C82,'PA Fees by Project'!E:E,0),0)="No","Non-Carve Out", "Carve Out")</f>
        <v>Carve Out</v>
      </c>
      <c r="F82" s="176" cm="1">
        <f t="array" ref="F82">INDEX('PA Fees by Project'!J:J,MATCH(C82,'PA Fees by Project'!E:E,0),0)</f>
        <v>2</v>
      </c>
      <c r="G82" s="155" t="str" cm="1">
        <f t="array" ref="G82">INDEX('PA Fees by Project'!G:G,MATCH(C82,'PA Fees by Project'!E:E,0),0)</f>
        <v>Pre-Certified</v>
      </c>
      <c r="H82" s="175" t="str" cm="1">
        <f t="array" ref="H82">INDEX('PA Fees by Project'!Q:Q,MATCH(C82,'PA Fees by Project'!E:E,0),0)</f>
        <v/>
      </c>
      <c r="I82" s="156" cm="1">
        <f t="array" ref="I82">_xlfn.IFS(G82="Operational",H82,G82="Certified",EDATE(INDEX('PA Fees by Project'!R:R,MATCH(C82,'PA Fees by Project'!E:E,0),0),6),TRUE,EDATE(INDEX('PA Fees by Project'!O:O,MATCH(C82,'PA Fees by Project'!E:E,0),0),6))</f>
        <v>46472</v>
      </c>
      <c r="J82" s="48" cm="1">
        <f t="array" ref="J82">_xlfn.IFS(YEAR(J$2)&lt;YEAR($I82),0,YEAR(J$2)=YEAR($I82),ROUND(((J$2-$I82+1)/365)*$D82,2),AND(YEAR(J$2)&gt;YEAR($I82),YEAR(J$2)-YEAR($I82)&lt;20),$D82,YEAR(J$2)-YEAR($I82)=20,ROUND((DATE(YEAR($I82),12,31)-$I82+1)/365*$D82,2),YEAR(J$2)-YEAR($I82)&gt;20,0)</f>
        <v>0</v>
      </c>
      <c r="K82" s="48" cm="1">
        <f t="array" ref="K82">_xlfn.IFS(YEAR(K$2)&lt;YEAR($I82),0,YEAR(K$2)=YEAR($I82),ROUND(((K$2-$I82+1)/365)*$D82,2),AND(YEAR(K$2)&gt;YEAR($I82),YEAR(K$2)-YEAR($I82)&lt;20),$D82,YEAR(K$2)-YEAR($I82)=20,ROUND((DATE(YEAR($I82),12,31)-$I82+1)/365*$D82,2),YEAR(K$2)-YEAR($I82)&gt;20,0)</f>
        <v>0</v>
      </c>
      <c r="L82" s="48" cm="1">
        <f t="array" ref="L82">_xlfn.IFS(YEAR(L$2)&lt;YEAR($I82),0,YEAR(L$2)=YEAR($I82),ROUND(((L$2-$I82+1)/365)*$D82,2),AND(YEAR(L$2)&gt;YEAR($I82),YEAR(L$2)-YEAR($I82)&lt;20),$D82,YEAR(L$2)-YEAR($I82)=20,ROUND((DATE(YEAR($I82),12,31)-$I82+1)/365*$D82,2),YEAR(L$2)-YEAR($I82)&gt;20,0)</f>
        <v>0</v>
      </c>
      <c r="M82" s="48" cm="1">
        <f t="array" ref="M82">_xlfn.IFS(YEAR(M$2)&lt;YEAR($I82),0,YEAR(M$2)=YEAR($I82),ROUND(((M$2-$I82+1)/365)*$D82,2),AND(YEAR(M$2)&gt;YEAR($I82),YEAR(M$2)-YEAR($I82)&lt;20),$D82,YEAR(M$2)-YEAR($I82)=20,ROUND((DATE(YEAR($I82),12,31)-$I82+1)/365*$D82,2),YEAR(M$2)-YEAR($I82)&gt;20,0)</f>
        <v>0</v>
      </c>
      <c r="N82" s="48" cm="1">
        <f t="array" ref="N82">_xlfn.IFS(YEAR(N$2)&lt;YEAR($I82),0,YEAR(N$2)=YEAR($I82),ROUND(((N$2-$I82+1)/365)*$D82,2),AND(YEAR(N$2)&gt;YEAR($I82),YEAR(N$2)-YEAR($I82)&lt;20),$D82,YEAR(N$2)-YEAR($I82)=20,ROUND((DATE(YEAR($I82),12,31)-$I82+1)/365*$D82,2),YEAR(N$2)-YEAR($I82)&gt;20,0)</f>
        <v>0</v>
      </c>
      <c r="O82" s="48" cm="1">
        <f t="array" ref="O82">_xlfn.IFS(YEAR(O$2)&lt;YEAR($I82),0,YEAR(O$2)=YEAR($I82),ROUND(((O$2-$I82+1)/365)*$D82,2),AND(YEAR(O$2)&gt;YEAR($I82),YEAR(O$2)-YEAR($I82)&lt;20),$D82,YEAR(O$2)-YEAR($I82)=20,ROUND((DATE(YEAR($I82),12,31)-$I82+1)/365*$D82,2),YEAR(O$2)-YEAR($I82)&gt;20,0)</f>
        <v>0</v>
      </c>
      <c r="P82" s="48" cm="1">
        <f t="array" ref="P82">_xlfn.IFS(YEAR(P$2)&lt;YEAR($I82),0,YEAR(P$2)=YEAR($I82),ROUND(((P$2-$I82+1)/365)*$D82,2),AND(YEAR(P$2)&gt;YEAR($I82),YEAR(P$2)-YEAR($I82)&lt;20),$D82,YEAR(P$2)-YEAR($I82)=20,ROUND((DATE(YEAR($I82),12,31)-$I82+1)/365*$D82,2),YEAR(P$2)-YEAR($I82)&gt;20,0)</f>
        <v>923.84</v>
      </c>
      <c r="Q82" s="48" cm="1">
        <f t="array" ref="Q82">_xlfn.IFS(YEAR(Q$2)&lt;YEAR($I82),0,YEAR(Q$2)=YEAR($I82),ROUND(((Q$2-$I82+1)/365)*$D82,2),AND(YEAR(Q$2)&gt;YEAR($I82),YEAR(Q$2)-YEAR($I82)&lt;20),$D82,YEAR(Q$2)-YEAR($I82)=20,ROUND((DATE(YEAR($I82),12,31)-$I82+1)/365*$D82,2),YEAR(Q$2)-YEAR($I82)&gt;20,0)</f>
        <v>1200</v>
      </c>
      <c r="R82" s="48" cm="1">
        <f t="array" ref="R82">_xlfn.IFS(YEAR(R$2)&lt;YEAR($I82),0,YEAR(R$2)=YEAR($I82),ROUND(((R$2-$I82+1)/365)*$D82,2),AND(YEAR(R$2)&gt;YEAR($I82),YEAR(R$2)-YEAR($I82)&lt;20),$D82,YEAR(R$2)-YEAR($I82)=20,ROUND((DATE(YEAR($I82),12,31)-$I82+1)/365*$D82,2),YEAR(R$2)-YEAR($I82)&gt;20,0)</f>
        <v>1200</v>
      </c>
      <c r="S82" s="48" cm="1">
        <f t="array" ref="S82">_xlfn.IFS(YEAR(S$2)&lt;YEAR($I82),0,YEAR(S$2)=YEAR($I82),ROUND(((S$2-$I82+1)/365)*$D82,2),AND(YEAR(S$2)&gt;YEAR($I82),YEAR(S$2)-YEAR($I82)&lt;20),$D82,YEAR(S$2)-YEAR($I82)=20,ROUND((DATE(YEAR($I82),12,31)-$I82+1)/365*$D82,2),YEAR(S$2)-YEAR($I82)&gt;20,0)</f>
        <v>1200</v>
      </c>
      <c r="T82" s="48" cm="1">
        <f t="array" ref="T82">_xlfn.IFS(YEAR(T$2)&lt;YEAR($I82),0,YEAR(T$2)=YEAR($I82),ROUND(((T$2-$I82+1)/365)*$D82,2),AND(YEAR(T$2)&gt;YEAR($I82),YEAR(T$2)-YEAR($I82)&lt;20),$D82,YEAR(T$2)-YEAR($I82)=20,ROUND((DATE(YEAR($I82),12,31)-$I82+1)/365*$D82,2),YEAR(T$2)-YEAR($I82)&gt;20,0)</f>
        <v>1200</v>
      </c>
      <c r="U82" s="48" cm="1">
        <f t="array" ref="U82">_xlfn.IFS(YEAR(U$2)&lt;YEAR($I82),0,YEAR(U$2)=YEAR($I82),ROUND(((U$2-$I82+1)/365)*$D82,2),AND(YEAR(U$2)&gt;YEAR($I82),YEAR(U$2)-YEAR($I82)&lt;20),$D82,YEAR(U$2)-YEAR($I82)=20,ROUND((DATE(YEAR($I82),12,31)-$I82+1)/365*$D82,2),YEAR(U$2)-YEAR($I82)&gt;20,0)</f>
        <v>1200</v>
      </c>
      <c r="V82" s="48" cm="1">
        <f t="array" ref="V82">_xlfn.IFS(YEAR(V$2)&lt;YEAR($I82),0,YEAR(V$2)=YEAR($I82),ROUND(((V$2-$I82+1)/365)*$D82,2),AND(YEAR(V$2)&gt;YEAR($I82),YEAR(V$2)-YEAR($I82)&lt;20),$D82,YEAR(V$2)-YEAR($I82)=20,ROUND((DATE(YEAR($I82),12,31)-$I82+1)/365*$D82,2),YEAR(V$2)-YEAR($I82)&gt;20,0)</f>
        <v>1200</v>
      </c>
      <c r="W82" s="48" cm="1">
        <f t="array" ref="W82">_xlfn.IFS(YEAR(W$2)&lt;YEAR($I82),0,YEAR(W$2)=YEAR($I82),ROUND(((W$2-$I82+1)/365)*$D82,2),AND(YEAR(W$2)&gt;YEAR($I82),YEAR(W$2)-YEAR($I82)&lt;20),$D82,YEAR(W$2)-YEAR($I82)=20,ROUND((DATE(YEAR($I82),12,31)-$I82+1)/365*$D82,2),YEAR(W$2)-YEAR($I82)&gt;20,0)</f>
        <v>1200</v>
      </c>
      <c r="X82" s="48" cm="1">
        <f t="array" ref="X82">_xlfn.IFS(YEAR(X$2)&lt;YEAR($I82),0,YEAR(X$2)=YEAR($I82),ROUND(((X$2-$I82+1)/365)*$D82,2),AND(YEAR(X$2)&gt;YEAR($I82),YEAR(X$2)-YEAR($I82)&lt;20),$D82,YEAR(X$2)-YEAR($I82)=20,ROUND((DATE(YEAR($I82),12,31)-$I82+1)/365*$D82,2),YEAR(X$2)-YEAR($I82)&gt;20,0)</f>
        <v>1200</v>
      </c>
      <c r="Y82" s="48" cm="1">
        <f t="array" ref="Y82">_xlfn.IFS(YEAR(Y$2)&lt;YEAR($I82),0,YEAR(Y$2)=YEAR($I82),ROUND(((Y$2-$I82+1)/365)*$D82,2),AND(YEAR(Y$2)&gt;YEAR($I82),YEAR(Y$2)-YEAR($I82)&lt;20),$D82,YEAR(Y$2)-YEAR($I82)=20,ROUND((DATE(YEAR($I82),12,31)-$I82+1)/365*$D82,2),YEAR(Y$2)-YEAR($I82)&gt;20,0)</f>
        <v>1200</v>
      </c>
      <c r="Z82" s="48" cm="1">
        <f t="array" ref="Z82">_xlfn.IFS(YEAR(Z$2)&lt;YEAR($I82),0,YEAR(Z$2)=YEAR($I82),ROUND(((Z$2-$I82+1)/365)*$D82,2),AND(YEAR(Z$2)&gt;YEAR($I82),YEAR(Z$2)-YEAR($I82)&lt;20),$D82,YEAR(Z$2)-YEAR($I82)=20,ROUND((DATE(YEAR($I82),12,31)-$I82+1)/365*$D82,2),YEAR(Z$2)-YEAR($I82)&gt;20,0)</f>
        <v>1200</v>
      </c>
      <c r="AA82" s="48" cm="1">
        <f t="array" ref="AA82">_xlfn.IFS(YEAR(AA$2)&lt;YEAR($I82),0,YEAR(AA$2)=YEAR($I82),ROUND(((AA$2-$I82+1)/365)*$D82,2),AND(YEAR(AA$2)&gt;YEAR($I82),YEAR(AA$2)-YEAR($I82)&lt;20),$D82,YEAR(AA$2)-YEAR($I82)=20,ROUND((DATE(YEAR($I82),12,31)-$I82+1)/365*$D82,2),YEAR(AA$2)-YEAR($I82)&gt;20,0)</f>
        <v>1200</v>
      </c>
      <c r="AB82" s="48" cm="1">
        <f t="array" ref="AB82">_xlfn.IFS(YEAR(AB$2)&lt;YEAR($I82),0,YEAR(AB$2)=YEAR($I82),ROUND(((AB$2-$I82+1)/365)*$D82,2),AND(YEAR(AB$2)&gt;YEAR($I82),YEAR(AB$2)-YEAR($I82)&lt;20),$D82,YEAR(AB$2)-YEAR($I82)=20,ROUND((DATE(YEAR($I82),12,31)-$I82+1)/365*$D82,2),YEAR(AB$2)-YEAR($I82)&gt;20,0)</f>
        <v>1200</v>
      </c>
      <c r="AC82" s="48" cm="1">
        <f t="array" ref="AC82">_xlfn.IFS(YEAR(AC$2)&lt;YEAR($I82),0,YEAR(AC$2)=YEAR($I82),ROUND(((AC$2-$I82+1)/365)*$D82,2),AND(YEAR(AC$2)&gt;YEAR($I82),YEAR(AC$2)-YEAR($I82)&lt;20),$D82,YEAR(AC$2)-YEAR($I82)=20,ROUND((DATE(YEAR($I82),12,31)-$I82+1)/365*$D82,2),YEAR(AC$2)-YEAR($I82)&gt;20,0)</f>
        <v>1200</v>
      </c>
      <c r="AD82" s="48" cm="1">
        <f t="array" ref="AD82">_xlfn.IFS(YEAR(AD$2)&lt;YEAR($I82),0,YEAR(AD$2)=YEAR($I82),ROUND(((AD$2-$I82+1)/365)*$D82,2),AND(YEAR(AD$2)&gt;YEAR($I82),YEAR(AD$2)-YEAR($I82)&lt;20),$D82,YEAR(AD$2)-YEAR($I82)=20,ROUND((DATE(YEAR($I82),12,31)-$I82+1)/365*$D82,2),YEAR(AD$2)-YEAR($I82)&gt;20,0)</f>
        <v>1200</v>
      </c>
      <c r="AE82" s="48" cm="1">
        <f t="array" ref="AE82">_xlfn.IFS(YEAR(AE$2)&lt;YEAR($I82),0,YEAR(AE$2)=YEAR($I82),ROUND(((AE$2-$I82+1)/365)*$D82,2),AND(YEAR(AE$2)&gt;YEAR($I82),YEAR(AE$2)-YEAR($I82)&lt;20),$D82,YEAR(AE$2)-YEAR($I82)=20,ROUND((DATE(YEAR($I82),12,31)-$I82+1)/365*$D82,2),YEAR(AE$2)-YEAR($I82)&gt;20,0)</f>
        <v>1200</v>
      </c>
      <c r="AF82" s="48" cm="1">
        <f t="array" ref="AF82">_xlfn.IFS(YEAR(AF$2)&lt;YEAR($I82),0,YEAR(AF$2)=YEAR($I82),ROUND(((AF$2-$I82+1)/365)*$D82,2),AND(YEAR(AF$2)&gt;YEAR($I82),YEAR(AF$2)-YEAR($I82)&lt;20),$D82,YEAR(AF$2)-YEAR($I82)=20,ROUND((DATE(YEAR($I82),12,31)-$I82+1)/365*$D82,2),YEAR(AF$2)-YEAR($I82)&gt;20,0)</f>
        <v>1200</v>
      </c>
      <c r="AG82" s="48" cm="1">
        <f t="array" ref="AG82">_xlfn.IFS(YEAR(AG$2)&lt;YEAR($I82),0,YEAR(AG$2)=YEAR($I82),ROUND(((AG$2-$I82+1)/365)*$D82,2),AND(YEAR(AG$2)&gt;YEAR($I82),YEAR(AG$2)-YEAR($I82)&lt;20),$D82,YEAR(AG$2)-YEAR($I82)=20,ROUND((DATE(YEAR($I82),12,31)-$I82+1)/365*$D82,2),YEAR(AG$2)-YEAR($I82)&gt;20,0)</f>
        <v>1200</v>
      </c>
      <c r="AH82" s="48" cm="1">
        <f t="array" ref="AH82">_xlfn.IFS(YEAR(AH$2)&lt;YEAR($I82),0,YEAR(AH$2)=YEAR($I82),ROUND(((AH$2-$I82+1)/365)*$D82,2),AND(YEAR(AH$2)&gt;YEAR($I82),YEAR(AH$2)-YEAR($I82)&lt;20),$D82,YEAR(AH$2)-YEAR($I82)=20,ROUND((DATE(YEAR($I82),12,31)-$I82+1)/365*$D82,2),YEAR(AH$2)-YEAR($I82)&gt;20,0)</f>
        <v>1200</v>
      </c>
      <c r="AI82" s="48" cm="1">
        <f t="array" ref="AI82">_xlfn.IFS(YEAR(AI$2)&lt;YEAR($I82),0,YEAR(AI$2)=YEAR($I82),ROUND(((AI$2-$I82+1)/365)*$D82,2),AND(YEAR(AI$2)&gt;YEAR($I82),YEAR(AI$2)-YEAR($I82)&lt;20),$D82,YEAR(AI$2)-YEAR($I82)=20,ROUND((DATE(YEAR($I82),12,31)-$I82+1)/365*$D82,2),YEAR(AI$2)-YEAR($I82)&gt;20,0)</f>
        <v>1200</v>
      </c>
      <c r="AJ82" s="48" cm="1">
        <f t="array" ref="AJ82">_xlfn.IFS(YEAR(AJ$2)&lt;YEAR($I82),0,YEAR(AJ$2)=YEAR($I82),ROUND(((AJ$2-$I82+1)/365)*$D82,2),AND(YEAR(AJ$2)&gt;YEAR($I82),YEAR(AJ$2)-YEAR($I82)&lt;20),$D82,YEAR(AJ$2)-YEAR($I82)=20,ROUND((DATE(YEAR($I82),12,31)-$I82+1)/365*$D82,2),YEAR(AJ$2)-YEAR($I82)&gt;20,0)</f>
        <v>923.84</v>
      </c>
      <c r="AK82" s="48" cm="1">
        <f t="array" ref="AK82">_xlfn.IFS(YEAR(AK$2)&lt;YEAR($I82),0,YEAR(AK$2)=YEAR($I82),ROUND(((AK$2-$I82+1)/365)*$D82,2),AND(YEAR(AK$2)&gt;YEAR($I82),YEAR(AK$2)-YEAR($I82)&lt;20),$D82,YEAR(AK$2)-YEAR($I82)=20,ROUND((DATE(YEAR($I82),12,31)-$I82+1)/365*$D82,2),YEAR(AK$2)-YEAR($I82)&gt;20,0)</f>
        <v>0</v>
      </c>
      <c r="AL82" s="48" cm="1">
        <f t="array" ref="AL82">_xlfn.IFS(YEAR(AL$2)&lt;YEAR($I82),0,YEAR(AL$2)=YEAR($I82),ROUND(((AL$2-$I82+1)/365)*$D82,2),AND(YEAR(AL$2)&gt;YEAR($I82),YEAR(AL$2)-YEAR($I82)&lt;20),$D82,YEAR(AL$2)-YEAR($I82)=20,ROUND((DATE(YEAR($I82),12,31)-$I82+1)/365*$D82,2),YEAR(AL$2)-YEAR($I82)&gt;20,0)</f>
        <v>0</v>
      </c>
      <c r="AM82" s="48" cm="1">
        <f t="array" ref="AM82">_xlfn.IFS(YEAR(AM$2)&lt;YEAR($I82),0,YEAR(AM$2)=YEAR($I82),ROUND(((AM$2-$I82+1)/365)*$D82,2),AND(YEAR(AM$2)&gt;YEAR($I82),YEAR(AM$2)-YEAR($I82)&lt;20),$D82,YEAR(AM$2)-YEAR($I82)=20,ROUND((DATE(YEAR($I82),12,31)-$I82+1)/365*$D82,2),YEAR(AM$2)-YEAR($I82)&gt;20,0)</f>
        <v>0</v>
      </c>
    </row>
  </sheetData>
  <autoFilter ref="A2:BT82" xr:uid="{F26D19B0-D2A7-4EBF-A4F8-C993EF330784}"/>
  <mergeCells count="1">
    <mergeCell ref="AO16:AY16"/>
  </mergeCells>
  <pageMargins left="0.7" right="0.7" top="0.75" bottom="0.75" header="0.3" footer="0.3"/>
  <headerFooter>
    <oddFooter>&amp;C_x000D_&amp;1#&amp;"Calibri"&amp;10&amp;K000000 Level 3 - Restricted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3c1434-17e2-4347-8893-af134feef5b3" xsi:nil="true"/>
    <lcf76f155ced4ddcb4097134ff3c332f xmlns="22584980-5332-4688-857f-508038c6c837">
      <Terms xmlns="http://schemas.microsoft.com/office/infopath/2007/PartnerControls"/>
    </lcf76f155ced4ddcb4097134ff3c332f>
    <Internal_x0020_Author xmlns="22584980-5332-4688-857f-508038c6c837">
      <UserInfo>
        <DisplayName/>
        <AccountId xsi:nil="true"/>
        <AccountType/>
      </UserInfo>
    </Internal_x0020_Author>
    <Published_x0020_Date xmlns="22584980-5332-4688-857f-508038c6c8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D796B85F3794EBB6DA65EEC838130" ma:contentTypeVersion="22" ma:contentTypeDescription="Create a new document." ma:contentTypeScope="" ma:versionID="5c2ff1749db531d0735f15b27e0d804a">
  <xsd:schema xmlns:xsd="http://www.w3.org/2001/XMLSchema" xmlns:xs="http://www.w3.org/2001/XMLSchema" xmlns:p="http://schemas.microsoft.com/office/2006/metadata/properties" xmlns:ns2="22584980-5332-4688-857f-508038c6c837" xmlns:ns3="4e791d59-c99b-4915-a716-b4cf52f7ca9b" xmlns:ns4="a63c1434-17e2-4347-8893-af134feef5b3" targetNamespace="http://schemas.microsoft.com/office/2006/metadata/properties" ma:root="true" ma:fieldsID="5000b296a487ac1d0209a173c7da9a1a" ns2:_="" ns3:_="" ns4:_="">
    <xsd:import namespace="22584980-5332-4688-857f-508038c6c837"/>
    <xsd:import namespace="4e791d59-c99b-4915-a716-b4cf52f7ca9b"/>
    <xsd:import namespace="a63c1434-17e2-4347-8893-af134feef5b3"/>
    <xsd:element name="properties">
      <xsd:complexType>
        <xsd:sequence>
          <xsd:element name="documentManagement">
            <xsd:complexType>
              <xsd:all>
                <xsd:element ref="ns2:Internal_x0020_Author" minOccurs="0"/>
                <xsd:element ref="ns2:Published_x0020_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84980-5332-4688-857f-508038c6c837" elementFormDefault="qualified">
    <xsd:import namespace="http://schemas.microsoft.com/office/2006/documentManagement/types"/>
    <xsd:import namespace="http://schemas.microsoft.com/office/infopath/2007/PartnerControls"/>
    <xsd:element name="Internal_x0020_Author" ma:index="8" nillable="true" ma:displayName="Internal Author" ma:format="Dropdown" ma:list="UserInfo" ma:SharePointGroup="0" ma:internalName="Internal_x0020_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_x0020_Date" ma:index="9" nillable="true" ma:displayName="Published Date" ma:format="DateOnly" ma:internalName="Published_x0020_Date">
      <xsd:simpleType>
        <xsd:restriction base="dms:DateTim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b8b7529-88e4-4cf5-84d6-71c4601d93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91d59-c99b-4915-a716-b4cf52f7ca9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c1434-17e2-4347-8893-af134feef5b3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91bb62e8-55d8-4c4b-bf52-c0612efc2aae}" ma:internalName="TaxCatchAll" ma:showField="CatchAllData" ma:web="a63c1434-17e2-4347-8893-af134feef5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16039-B9D8-45B5-BDB9-7FE029CFC0EE}"/>
</file>

<file path=customXml/itemProps2.xml><?xml version="1.0" encoding="utf-8"?>
<ds:datastoreItem xmlns:ds="http://schemas.openxmlformats.org/officeDocument/2006/customXml" ds:itemID="{51BEF5E7-C238-49B5-84BE-C558B28AE1B1}"/>
</file>

<file path=customXml/itemProps3.xml><?xml version="1.0" encoding="utf-8"?>
<ds:datastoreItem xmlns:ds="http://schemas.openxmlformats.org/officeDocument/2006/customXml" ds:itemID="{7B4B634E-7D69-4286-9B42-DCEC3F394E54}"/>
</file>

<file path=docMetadata/LabelInfo.xml><?xml version="1.0" encoding="utf-8"?>
<clbl:labelList xmlns:clbl="http://schemas.microsoft.com/office/2020/mipLabelMetadata">
  <clbl:label id="{0bef47d3-7438-460f-b1fd-1b90a7e4b511}" enabled="1" method="Privileged" siteId="{aa3f6932-fa7c-47b4-a0ce-a598cad161c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Oregon Public Utility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Rose</dc:creator>
  <cp:keywords/>
  <dc:description/>
  <cp:lastModifiedBy/>
  <cp:revision/>
  <dcterms:created xsi:type="dcterms:W3CDTF">2018-03-26T16:15:28Z</dcterms:created>
  <dcterms:modified xsi:type="dcterms:W3CDTF">2026-08-14T18:10:46Z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{2E9E7A8D-EF78-4476-9E0D-E9F8F4E9789E}</vt:lpwstr>
  </property>
  <property fmtid="{D5CDD505-2E9C-101B-9397-08002B2CF9AE}" pid="3" name="ContentTypeId">
    <vt:lpwstr>0x01010080AD796B85F3794EBB6DA65EEC838130</vt:lpwstr>
  </property>
  <property fmtid="{D5CDD505-2E9C-101B-9397-08002B2CF9AE}" pid="4" name="MediaServiceImageTags">
    <vt:lpwstr/>
  </property>
</Properties>
</file>