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01"/>
  <workbookPr defaultThemeVersion="166925"/>
  <mc:AlternateContent xmlns:mc="http://schemas.openxmlformats.org/markup-compatibility/2006">
    <mc:Choice Requires="x15">
      <x15ac:absPath xmlns:x15ac="http://schemas.microsoft.com/office/spreadsheetml/2010/11/ac" url="https://energysolutionsonline.sharepoint.com/teams/extranet/opuc/Workspaces/Website/"/>
    </mc:Choice>
  </mc:AlternateContent>
  <xr:revisionPtr revIDLastSave="0" documentId="8_{EF93FDF3-092A-4E4D-85C5-4A1B047C4688}" xr6:coauthVersionLast="47" xr6:coauthVersionMax="47" xr10:uidLastSave="{00000000-0000-0000-0000-000000000000}"/>
  <bookViews>
    <workbookView xWindow="-120" yWindow="-120" windowWidth="29040" windowHeight="15840" xr2:uid="{12851D04-350A-4665-BFD5-143E040AB67A}"/>
  </bookViews>
  <sheets>
    <sheet name="Comparing Projects" sheetId="3" r:id="rId1"/>
    <sheet name="Subscription Sizing" sheetId="4" r:id="rId2"/>
    <sheet name="Bill Impacts" sheetId="5" r:id="rId3"/>
    <sheet name="Data" sheetId="2" state="hidden" r:id="rId4"/>
  </sheets>
  <definedNames>
    <definedName name="_xlnm.Print_Area" localSheetId="1">'Subscription Sizing'!$A$1:$F$13</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 i="5" l="1"/>
  <c r="B17" i="5"/>
  <c r="B18" i="5"/>
  <c r="B52" i="5"/>
  <c r="F6" i="4"/>
  <c r="C50" i="5" l="1"/>
  <c r="E50" i="5" s="1"/>
  <c r="B19" i="5"/>
  <c r="B20" i="5" s="1"/>
  <c r="C44" i="5"/>
  <c r="E44" i="5" s="1"/>
  <c r="C43" i="5"/>
  <c r="E43" i="5" s="1"/>
  <c r="C45" i="5"/>
  <c r="E45" i="5" s="1"/>
  <c r="B31" i="5"/>
  <c r="C51" i="5" s="1"/>
  <c r="D51" i="5" s="1"/>
  <c r="E51" i="5" s="1"/>
  <c r="F51" i="5" s="1"/>
  <c r="G51" i="5" s="1"/>
  <c r="C46" i="5"/>
  <c r="E46" i="5" s="1"/>
  <c r="C39" i="5"/>
  <c r="E39" i="5" s="1"/>
  <c r="C47" i="5"/>
  <c r="E47" i="5" s="1"/>
  <c r="C40" i="5"/>
  <c r="E40" i="5" s="1"/>
  <c r="C48" i="5"/>
  <c r="E48" i="5" s="1"/>
  <c r="C41" i="5"/>
  <c r="E41" i="5" s="1"/>
  <c r="C49" i="5"/>
  <c r="E49" i="5" s="1"/>
  <c r="C42" i="5"/>
  <c r="E42" i="5" s="1"/>
  <c r="F39" i="5"/>
  <c r="F40" i="5"/>
  <c r="F41" i="5"/>
  <c r="F42" i="5"/>
  <c r="F43" i="5"/>
  <c r="F44" i="5"/>
  <c r="F45" i="5"/>
  <c r="F46" i="5"/>
  <c r="F47" i="5"/>
  <c r="F48" i="5"/>
  <c r="F49" i="5"/>
  <c r="F50" i="5"/>
  <c r="D50" i="5" l="1"/>
  <c r="G50" i="5" s="1"/>
  <c r="J50" i="5" s="1"/>
  <c r="D46" i="5"/>
  <c r="G46" i="5" s="1"/>
  <c r="J46" i="5" s="1"/>
  <c r="D47" i="5"/>
  <c r="G47" i="5" s="1"/>
  <c r="J47" i="5" s="1"/>
  <c r="I51" i="5"/>
  <c r="F52" i="5"/>
  <c r="E60" i="5" s="1"/>
  <c r="E61" i="5" s="1"/>
  <c r="E62" i="5" s="1"/>
  <c r="E63" i="5" s="1"/>
  <c r="E64" i="5" s="1"/>
  <c r="E65" i="5" s="1"/>
  <c r="E66" i="5" s="1"/>
  <c r="E67" i="5" s="1"/>
  <c r="E68" i="5" s="1"/>
  <c r="E69" i="5" s="1"/>
  <c r="E70" i="5" s="1"/>
  <c r="E71" i="5" s="1"/>
  <c r="E72" i="5" s="1"/>
  <c r="E73" i="5" s="1"/>
  <c r="E74" i="5" s="1"/>
  <c r="E75" i="5" s="1"/>
  <c r="E76" i="5" s="1"/>
  <c r="E77" i="5" s="1"/>
  <c r="E78" i="5" s="1"/>
  <c r="E79" i="5" s="1"/>
  <c r="E52" i="5"/>
  <c r="D60" i="5" s="1"/>
  <c r="D61" i="5" s="1"/>
  <c r="D62" i="5" s="1"/>
  <c r="D63" i="5" s="1"/>
  <c r="D64" i="5" s="1"/>
  <c r="D65" i="5" s="1"/>
  <c r="D66" i="5" s="1"/>
  <c r="D67" i="5" s="1"/>
  <c r="D68" i="5" s="1"/>
  <c r="D69" i="5" s="1"/>
  <c r="D70" i="5" s="1"/>
  <c r="D71" i="5" s="1"/>
  <c r="D72" i="5" s="1"/>
  <c r="D73" i="5" s="1"/>
  <c r="D74" i="5" s="1"/>
  <c r="D75" i="5" s="1"/>
  <c r="D76" i="5" s="1"/>
  <c r="D77" i="5" s="1"/>
  <c r="D78" i="5" s="1"/>
  <c r="D79" i="5" s="1"/>
  <c r="D43" i="5"/>
  <c r="G43" i="5" s="1"/>
  <c r="J43" i="5" s="1"/>
  <c r="D41" i="5"/>
  <c r="G41" i="5" s="1"/>
  <c r="D49" i="5"/>
  <c r="G49" i="5" s="1"/>
  <c r="J49" i="5" s="1"/>
  <c r="D44" i="5"/>
  <c r="G44" i="5" s="1"/>
  <c r="J44" i="5" s="1"/>
  <c r="D48" i="5"/>
  <c r="G48" i="5" s="1"/>
  <c r="J48" i="5" s="1"/>
  <c r="D45" i="5"/>
  <c r="G45" i="5" s="1"/>
  <c r="J45" i="5" s="1"/>
  <c r="C52" i="5"/>
  <c r="B60" i="5" s="1"/>
  <c r="D39" i="5"/>
  <c r="G39" i="5" s="1"/>
  <c r="D42" i="5"/>
  <c r="G42" i="5" s="1"/>
  <c r="D40" i="5"/>
  <c r="G40" i="5" s="1"/>
  <c r="J40" i="5" l="1"/>
  <c r="J42" i="5"/>
  <c r="J39" i="5"/>
  <c r="H39" i="5"/>
  <c r="J41" i="5"/>
  <c r="E80" i="5"/>
  <c r="D52" i="5"/>
  <c r="C60" i="5" s="1"/>
  <c r="C61" i="5" s="1"/>
  <c r="C62" i="5" s="1"/>
  <c r="C63" i="5" s="1"/>
  <c r="C64" i="5" s="1"/>
  <c r="C65" i="5" s="1"/>
  <c r="C66" i="5" s="1"/>
  <c r="C67" i="5" s="1"/>
  <c r="C68" i="5" s="1"/>
  <c r="C69" i="5" s="1"/>
  <c r="C70" i="5" s="1"/>
  <c r="C71" i="5" s="1"/>
  <c r="C72" i="5" s="1"/>
  <c r="C73" i="5" s="1"/>
  <c r="C74" i="5" s="1"/>
  <c r="C75" i="5" s="1"/>
  <c r="C76" i="5" s="1"/>
  <c r="C77" i="5" s="1"/>
  <c r="C78" i="5" s="1"/>
  <c r="C79" i="5" s="1"/>
  <c r="G52" i="5"/>
  <c r="J52" i="5" s="1"/>
  <c r="D80" i="5"/>
  <c r="B61" i="5"/>
  <c r="B62" i="5" s="1"/>
  <c r="B63" i="5" s="1"/>
  <c r="B64" i="5" s="1"/>
  <c r="B65" i="5" s="1"/>
  <c r="B66" i="5" s="1"/>
  <c r="B67" i="5" s="1"/>
  <c r="B68" i="5" s="1"/>
  <c r="B69" i="5" s="1"/>
  <c r="B70" i="5" s="1"/>
  <c r="B71" i="5" s="1"/>
  <c r="B72" i="5" s="1"/>
  <c r="B73" i="5" s="1"/>
  <c r="B74" i="5" s="1"/>
  <c r="B75" i="5" s="1"/>
  <c r="B76" i="5" s="1"/>
  <c r="B77" i="5" s="1"/>
  <c r="B78" i="5" s="1"/>
  <c r="B79" i="5" s="1"/>
  <c r="I39" i="5" l="1"/>
  <c r="H40" i="5"/>
  <c r="F60" i="5"/>
  <c r="B80" i="5"/>
  <c r="F61" i="5"/>
  <c r="I40" i="5" l="1"/>
  <c r="H41" i="5"/>
  <c r="F62" i="5"/>
  <c r="H42" i="5" l="1"/>
  <c r="I41" i="5"/>
  <c r="F63" i="5"/>
  <c r="H43" i="5" l="1"/>
  <c r="I42" i="5"/>
  <c r="F64" i="5"/>
  <c r="H44" i="5" l="1"/>
  <c r="I43" i="5"/>
  <c r="F65" i="5"/>
  <c r="H45" i="5" l="1"/>
  <c r="I44" i="5"/>
  <c r="F66" i="5"/>
  <c r="H46" i="5" l="1"/>
  <c r="I45" i="5"/>
  <c r="F67" i="5"/>
  <c r="H47" i="5" l="1"/>
  <c r="I46" i="5"/>
  <c r="F68" i="5"/>
  <c r="H48" i="5" l="1"/>
  <c r="I47" i="5"/>
  <c r="F69" i="5"/>
  <c r="H49" i="5" l="1"/>
  <c r="I48" i="5"/>
  <c r="F70" i="5"/>
  <c r="H50" i="5" l="1"/>
  <c r="I50" i="5" s="1"/>
  <c r="I49" i="5"/>
  <c r="I52" i="5" s="1"/>
  <c r="F71" i="5"/>
  <c r="F72" i="5" l="1"/>
  <c r="F73" i="5" l="1"/>
  <c r="F74" i="5" l="1"/>
  <c r="F75" i="5" l="1"/>
  <c r="F76" i="5" l="1"/>
  <c r="F77" i="5" l="1"/>
  <c r="F78" i="5" l="1"/>
  <c r="F79" i="5" l="1"/>
  <c r="C80" i="5"/>
  <c r="F80" i="5" s="1"/>
</calcChain>
</file>

<file path=xl/sharedStrings.xml><?xml version="1.0" encoding="utf-8"?>
<sst xmlns="http://schemas.openxmlformats.org/spreadsheetml/2006/main" count="143" uniqueCount="124">
  <si>
    <t>How to Sign Up for a Community Solar Project</t>
  </si>
  <si>
    <t>Participants can sign up to join a Community Solar Project through a Project Manager, which is the organization responsible for developing, operating, and subscribing a given project.</t>
  </si>
  <si>
    <t>You can use the Project Finder page at www.oregoncsp.org to review the approved Oregon Community Solar Projects before reaching out to a Project Manager. Keep in mind that you may only subscribe to a project that is located in your electric utility’s service area, and that not all projects are accepting subscribers at this time.</t>
  </si>
  <si>
    <t>What Does the Project Finder Show Me?</t>
  </si>
  <si>
    <t>After clicking on a project in your service territory that is accepting subscribers, you will see detailed information about the project and the Project Manager, as well as pricing information for the project. Some projects may have multiple pricing products available for different customer types.</t>
  </si>
  <si>
    <r>
      <t xml:space="preserve">The </t>
    </r>
    <r>
      <rPr>
        <i/>
        <sz val="12"/>
        <color theme="1"/>
        <rFont val="Calibri"/>
        <family val="2"/>
        <scheme val="minor"/>
      </rPr>
      <t>Expected Savings</t>
    </r>
    <r>
      <rPr>
        <sz val="12"/>
        <color theme="1"/>
        <rFont val="Calibri"/>
        <family val="2"/>
        <scheme val="minor"/>
      </rPr>
      <t xml:space="preserve"> line summarizes the costs and benefits of the project. To understand what your own expected savings would be, you’ll need to know how large of a Community Solar subscription you would need.</t>
    </r>
  </si>
  <si>
    <t>What Community Solar Subscription Size is Right for Me?</t>
  </si>
  <si>
    <t>Your Community Solar subscription is sized in terms of kilowatts (kW), which corresponds to a percentage of the project’s overall capacity. Each month, the project’s generation (in kilowatt-hours, or kWh) will be allocated to each participant based on the share of the project that they subscribe to.</t>
  </si>
  <si>
    <t>Your Community Solar subscription may not produce more power than you are expected to consume over the course of the year, and it is recommended that you cap your subscription at 80% of your annual consumption.</t>
  </si>
  <si>
    <r>
      <t xml:space="preserve">The </t>
    </r>
    <r>
      <rPr>
        <i/>
        <sz val="12"/>
        <color theme="1"/>
        <rFont val="Calibri"/>
        <family val="2"/>
        <scheme val="minor"/>
      </rPr>
      <t>Subscription Sizing</t>
    </r>
    <r>
      <rPr>
        <sz val="12"/>
        <color theme="1"/>
        <rFont val="Calibri"/>
        <family val="2"/>
        <scheme val="minor"/>
      </rPr>
      <t xml:space="preserve"> tab of this workbook can help you understand what an appropriate subscription size for you would be. Your Project Manager can help you to confirm and finalize this subscription size.</t>
    </r>
  </si>
  <si>
    <t>Understand Your Expected Costs and Savings</t>
  </si>
  <si>
    <t>The net savings or costs that you will experience from Community Solar will depend on four things:</t>
  </si>
  <si>
    <r>
      <t>1.</t>
    </r>
    <r>
      <rPr>
        <sz val="7"/>
        <color theme="1"/>
        <rFont val="Times New Roman"/>
        <family val="1"/>
      </rPr>
      <t xml:space="preserve">     </t>
    </r>
    <r>
      <rPr>
        <b/>
        <sz val="12"/>
        <color theme="1"/>
        <rFont val="Calibri"/>
        <family val="2"/>
        <scheme val="minor"/>
      </rPr>
      <t>The utility service area</t>
    </r>
    <r>
      <rPr>
        <sz val="12"/>
        <color theme="1"/>
        <rFont val="Calibri"/>
        <family val="2"/>
        <scheme val="minor"/>
      </rPr>
      <t xml:space="preserve"> you are located in, which determines the value of the bill credits you receive from community solar as well as your monthly program fees.</t>
    </r>
  </si>
  <si>
    <r>
      <t>2.</t>
    </r>
    <r>
      <rPr>
        <sz val="7"/>
        <color theme="1"/>
        <rFont val="Times New Roman"/>
        <family val="1"/>
      </rPr>
      <t xml:space="preserve">     </t>
    </r>
    <r>
      <rPr>
        <sz val="12"/>
        <color theme="1"/>
        <rFont val="Calibri"/>
        <family val="2"/>
        <scheme val="minor"/>
      </rPr>
      <t xml:space="preserve">The </t>
    </r>
    <r>
      <rPr>
        <b/>
        <sz val="12"/>
        <color theme="1"/>
        <rFont val="Calibri"/>
        <family val="2"/>
        <scheme val="minor"/>
      </rPr>
      <t>subscription fees</t>
    </r>
    <r>
      <rPr>
        <sz val="12"/>
        <color theme="1"/>
        <rFont val="Calibri"/>
        <family val="2"/>
        <scheme val="minor"/>
      </rPr>
      <t xml:space="preserve"> charged by your Project Manager, which are specific to a given project.</t>
    </r>
  </si>
  <si>
    <r>
      <t>3.</t>
    </r>
    <r>
      <rPr>
        <sz val="7"/>
        <color theme="1"/>
        <rFont val="Times New Roman"/>
        <family val="1"/>
      </rPr>
      <t xml:space="preserve">     </t>
    </r>
    <r>
      <rPr>
        <sz val="12"/>
        <color theme="1"/>
        <rFont val="Calibri"/>
        <family val="2"/>
        <scheme val="minor"/>
      </rPr>
      <t xml:space="preserve">Your </t>
    </r>
    <r>
      <rPr>
        <b/>
        <sz val="12"/>
        <color theme="1"/>
        <rFont val="Calibri"/>
        <family val="2"/>
        <scheme val="minor"/>
      </rPr>
      <t>subscription size</t>
    </r>
    <r>
      <rPr>
        <sz val="12"/>
        <color theme="1"/>
        <rFont val="Calibri"/>
        <family val="2"/>
        <scheme val="minor"/>
      </rPr>
      <t>, in kilowatts.</t>
    </r>
  </si>
  <si>
    <r>
      <t>4.</t>
    </r>
    <r>
      <rPr>
        <sz val="7"/>
        <color theme="1"/>
        <rFont val="Times New Roman"/>
        <family val="1"/>
      </rPr>
      <t xml:space="preserve">     </t>
    </r>
    <r>
      <rPr>
        <sz val="12"/>
        <color theme="1"/>
        <rFont val="Calibri"/>
        <family val="2"/>
        <scheme val="minor"/>
      </rPr>
      <t xml:space="preserve">Whether you </t>
    </r>
    <r>
      <rPr>
        <b/>
        <sz val="12"/>
        <color theme="1"/>
        <rFont val="Calibri"/>
        <family val="2"/>
        <scheme val="minor"/>
      </rPr>
      <t>oversubscribe</t>
    </r>
    <r>
      <rPr>
        <sz val="12"/>
        <color theme="1"/>
        <rFont val="Calibri"/>
        <family val="2"/>
        <scheme val="minor"/>
      </rPr>
      <t xml:space="preserve"> to Community Solar in a given year. If your Community Solar subscription produces more power than you consume over the course of a given year, you will not receive bill credit benefits for the excess production.</t>
    </r>
  </si>
  <si>
    <r>
      <t xml:space="preserve">The </t>
    </r>
    <r>
      <rPr>
        <b/>
        <sz val="12"/>
        <color theme="1"/>
        <rFont val="Calibri"/>
        <family val="2"/>
        <scheme val="minor"/>
      </rPr>
      <t xml:space="preserve">simple way to understand expected benefits </t>
    </r>
    <r>
      <rPr>
        <sz val="12"/>
        <color theme="1"/>
        <rFont val="Calibri"/>
        <family val="2"/>
        <scheme val="minor"/>
      </rPr>
      <t xml:space="preserve">is to look for the net savings per kW shown in the </t>
    </r>
    <r>
      <rPr>
        <i/>
        <sz val="12"/>
        <color theme="1"/>
        <rFont val="Calibri"/>
        <family val="2"/>
        <scheme val="minor"/>
      </rPr>
      <t>Expected Savings</t>
    </r>
    <r>
      <rPr>
        <sz val="12"/>
        <color theme="1"/>
        <rFont val="Calibri"/>
        <family val="2"/>
        <scheme val="minor"/>
      </rPr>
      <t xml:space="preserve"> line of a project’s listing of the Project Finder, and to multiply this by your expected kW subscription size. In other words: </t>
    </r>
    <r>
      <rPr>
        <i/>
        <sz val="12"/>
        <color theme="1"/>
        <rFont val="Calibri"/>
        <family val="2"/>
        <scheme val="minor"/>
      </rPr>
      <t>Annual Benefits = Savings per kW x Subscribed kW</t>
    </r>
  </si>
  <si>
    <r>
      <t xml:space="preserve">A </t>
    </r>
    <r>
      <rPr>
        <b/>
        <sz val="12"/>
        <color theme="1"/>
        <rFont val="Calibri"/>
        <family val="2"/>
        <scheme val="minor"/>
      </rPr>
      <t>more detailed explanation</t>
    </r>
    <r>
      <rPr>
        <sz val="12"/>
        <color theme="1"/>
        <rFont val="Calibri"/>
        <family val="2"/>
        <scheme val="minor"/>
      </rPr>
      <t xml:space="preserve"> of your expected costs and benefits is available using the Bill Impacts tab in this workbook, where you may enter specific information about your energy consumption and project of choice to how this would impact your monthly energy costs.</t>
    </r>
  </si>
  <si>
    <t>This calculator is provided as a resource to Oregon Community Solar Program participants and project managers to estimate an appropriate subscription size for a given participant. A recommended subscription size is a function of three inputs: a participant's annual electricity consumption, the level of productivity of the community solar project that they enroll in, and the portion of a customer's electricity needs that they wish to meet with community solar. Participants that have difficulty obtaining or understanding these inputs are encouraged to discuss this calculator with their Project Manager.</t>
  </si>
  <si>
    <t>Inputs</t>
  </si>
  <si>
    <t>Output</t>
  </si>
  <si>
    <t>Annual Energy Consumption (kWh)</t>
  </si>
  <si>
    <t>Suggested Solar kW Subsciption Size</t>
  </si>
  <si>
    <r>
      <rPr>
        <b/>
        <i/>
        <sz val="11"/>
        <color theme="2" tint="-0.499984740745262"/>
        <rFont val="Calibri"/>
        <family val="2"/>
      </rPr>
      <t xml:space="preserve">This is your home's annual electricity consumption. </t>
    </r>
    <r>
      <rPr>
        <i/>
        <sz val="11"/>
        <color theme="2" tint="-0.499984740745262"/>
        <rFont val="Calibri"/>
        <family val="2"/>
        <scheme val="minor"/>
      </rPr>
      <t>You can determine your annual electricity consumption by visiting your customer account in your electric utility's customer portal. An average residential customer account in Oregon consumes roughly 11,000 kWh per year, but this value varies significantly from household to household. If you have access to multiple years of data, you can enter the average of the minimum value here.</t>
    </r>
  </si>
  <si>
    <r>
      <rPr>
        <b/>
        <i/>
        <sz val="11"/>
        <color theme="2" tint="-0.499984740745262"/>
        <rFont val="Calibri"/>
        <family val="2"/>
      </rPr>
      <t xml:space="preserve">Based on the factors entered here, this may be a suitable subscription size for you. </t>
    </r>
    <r>
      <rPr>
        <i/>
        <sz val="11"/>
        <color theme="2" tint="-0.499984740745262"/>
        <rFont val="Calibri"/>
        <family val="2"/>
        <scheme val="minor"/>
      </rPr>
      <t>You should review this estimate with your community solar project manager before signing a contract.</t>
    </r>
  </si>
  <si>
    <t>Solar kWh per year per kW</t>
  </si>
  <si>
    <t>This is a measure of the productivity of the solar project that you would subscribe to. The Project Finder will list each project's expected kWh generation per kW, and your Project Manager can also provide you with this value.The average expected annual generation per kW of Oregon Community Solar projects is roughly 1850.</t>
  </si>
  <si>
    <t>% of Energy Consumption to be Served</t>
  </si>
  <si>
    <r>
      <rPr>
        <b/>
        <i/>
        <sz val="11"/>
        <color theme="2" tint="-0.499984740745262"/>
        <rFont val="Calibri"/>
        <family val="2"/>
      </rPr>
      <t xml:space="preserve">This is the share of your annual energy consumption that you wish to source from community solar. </t>
    </r>
    <r>
      <rPr>
        <i/>
        <sz val="11"/>
        <color theme="2" tint="-0.499984740745262"/>
        <rFont val="Calibri"/>
        <family val="2"/>
        <scheme val="minor"/>
      </rPr>
      <t>You may not subscribe to a community solar subscription that generates more electricity than you consume over the course of the year, and you will not receive credit for an excess generation. To avoid oversubscribing, it is recommended that community solar subscriptions not exceed 80% of a customer's historic average electric energy consumption.</t>
    </r>
  </si>
  <si>
    <t>This calculator is intended to provide potential participants in the Oregon Community Solar Program an understanding of the potential costs and savings of a community solar subscription. 
The information presented in this tool should be closely reviewed with your Community Solar Project Manager to ensure that it appropriately reflects your situation. Actual financial results may differ from those shown here if your community solar subscription generates more energy than you consume over the course of a year, if you incur additional penalties or fees as laid out in your contract, or if your community solar project generates a different amount of energy over the course of the year than expected. You should ask your project manager to explain the range of possible financial outcomes for your specific project and contract.</t>
  </si>
  <si>
    <r>
      <rPr>
        <b/>
        <sz val="12"/>
        <color theme="1"/>
        <rFont val="Calibri"/>
        <family val="2"/>
        <scheme val="minor"/>
      </rPr>
      <t xml:space="preserve">Required inputs </t>
    </r>
    <r>
      <rPr>
        <sz val="12"/>
        <color theme="1"/>
        <rFont val="Calibri"/>
        <family val="2"/>
        <scheme val="minor"/>
      </rPr>
      <t>have a light blue background</t>
    </r>
  </si>
  <si>
    <r>
      <rPr>
        <b/>
        <sz val="12"/>
        <color theme="1"/>
        <rFont val="Calibri"/>
        <family val="2"/>
        <scheme val="minor"/>
      </rPr>
      <t>Optional inputs</t>
    </r>
    <r>
      <rPr>
        <sz val="12"/>
        <color theme="1"/>
        <rFont val="Calibri"/>
        <family val="2"/>
        <scheme val="minor"/>
      </rPr>
      <t xml:space="preserve"> have a light grey background</t>
    </r>
  </si>
  <si>
    <r>
      <rPr>
        <b/>
        <sz val="12"/>
        <color theme="1"/>
        <rFont val="Calibri"/>
        <family val="2"/>
        <scheme val="minor"/>
      </rPr>
      <t>Model calculations and outputs</t>
    </r>
    <r>
      <rPr>
        <sz val="12"/>
        <color theme="1"/>
        <rFont val="Calibri"/>
        <family val="2"/>
        <scheme val="minor"/>
      </rPr>
      <t xml:space="preserve"> have a white background</t>
    </r>
  </si>
  <si>
    <t>Subscription Details</t>
  </si>
  <si>
    <t>Program Tier</t>
  </si>
  <si>
    <t>Projects approved in the first and second program tier have different bill credit rules. A project's program tier is listed on the project finder. (Tier 1 is assumed as the default value if nothing is entered)</t>
  </si>
  <si>
    <t>Utility</t>
  </si>
  <si>
    <t>Subscription Size (kW-AC)</t>
  </si>
  <si>
    <t>First Year Subscription Charge</t>
  </si>
  <si>
    <t>$/kWh</t>
  </si>
  <si>
    <t>Subscription pricing for a given project is available on its page at the Project Finder at oregoncsp.org.</t>
  </si>
  <si>
    <t>Subscription Charge Annual Escalator</t>
  </si>
  <si>
    <t>Projects in Tier 1 do not include a subscription escalator. Many projects in Tier 2 escalate subscription prices annually by 2% to match the escalation of bill credit rates.</t>
  </si>
  <si>
    <t>Customer Type</t>
  </si>
  <si>
    <t>Billing rules apply differently to separate customer types. Low-income subscriptions are available for households with incomes less than 80% of state median income by household size. For more information, visit www.oregoncsp.org.</t>
  </si>
  <si>
    <t>Project Paying Admin Fees</t>
  </si>
  <si>
    <t>The project manager may elect to pay program administration fees on behalf of Participants. In this case, the administrative cost to Participants is embedded in the Subscription Charge. The project's listing the Project Finder at oregoncsp.org indicates whether the project will be paying fees on behalf of customers.</t>
  </si>
  <si>
    <t>Bill Credit Rate ($/kWh)</t>
  </si>
  <si>
    <t>Bill Credit Rates are set at the program level and vary by utility.</t>
  </si>
  <si>
    <t>Y1 Program Fees ($/kW/Mo)</t>
  </si>
  <si>
    <t>Program Fees are set at the program level and vary by utility. Low-income customers are exempt from Program Fees, and projects may choose to pay fees on behalf of non-low-income participants. Program Fees may be adjusted on an annual basis.</t>
  </si>
  <si>
    <t>Effective Total $/kWh Charges</t>
  </si>
  <si>
    <t>This combines the subscription charges and program fees (where applied) that a Participant will pay, and calculates on a $/kWh basis.</t>
  </si>
  <si>
    <t>Subscription Discount as % of Bill Credit Rate</t>
  </si>
  <si>
    <t>This calculates portion of bill credits that a participant will retain as net savings. Low-income customers must be provided at least 20% savings in Tier 1 projects and 40% savings in Tier 2 projects.This assumes that the participant does not oversubscribe.</t>
  </si>
  <si>
    <t>Solar Project Generation (kWh generated per year per kW-AC)</t>
  </si>
  <si>
    <t>Average kWh/kW Value in Utility Service Area</t>
  </si>
  <si>
    <t>This is the average expected solar production per kilowatt of community solar projects in the service area you have selected. Production values can vary for a variety of reasons, and it should not be concerning if the value of your project is higher or lower than this.</t>
  </si>
  <si>
    <t>Project-Specific kWh/kW Override</t>
  </si>
  <si>
    <t>If known, you may override the default value above with the expection production of your specific project. This can be found in the ORCSP Project Finder at oregoncsp.org under "Subscription Options".</t>
  </si>
  <si>
    <t>On-Site Energy Consumption</t>
  </si>
  <si>
    <t>If annual on-site energy consumption is provided, the percentage of annual on-site consumption offset by community solar will be shown in the table below, and the costs of over-subscription will be calculated in the Monthly Bill Impacts table.</t>
  </si>
  <si>
    <t>You can estimate your annual energy consumption from your oast utility bills. Remember that your energy consumption may vary over the course of a year.</t>
  </si>
  <si>
    <t>Participants may not subscribe to more than 100% of their average annual generation, and it is recommended to subscribe to a maximum of 80%. This workbook only provides over-subscriptoin outputs if Annual Energy Consumption is provided.</t>
  </si>
  <si>
    <t>Annual Energy Consumption (kWh) (optional)</t>
  </si>
  <si>
    <t>% of Annual Energy from Community Solar</t>
  </si>
  <si>
    <t>Monthly Bill Impacts in First Year</t>
  </si>
  <si>
    <t>This table displays expected monthly credits, charges, and net savings from the above Community Solar subscription.</t>
  </si>
  <si>
    <t>A user may also provide past utility bill values to calculate savings on a percent-of-bill basis.</t>
  </si>
  <si>
    <t>If a participant oversubscribes, excess bill credits will be recovered on an annual basis in the April utility bill. When energy consumption information is provided, any expected oversubscription recovery is shown in the "13th month" below.</t>
  </si>
  <si>
    <t>If a participant's bill credits are greater than the sum of their monthly utility charges, subscription charges, and program feed, excess credits will roll over to the next month. Any excess credits remaining on a customer's account at the end of the year will be donated to utility low-income programs.</t>
  </si>
  <si>
    <r>
      <t xml:space="preserve">Month
</t>
    </r>
    <r>
      <rPr>
        <sz val="12"/>
        <color theme="1"/>
        <rFont val="Calibri"/>
        <family val="2"/>
        <scheme val="minor"/>
      </rPr>
      <t>(ORCSP Billing Year begins in April)</t>
    </r>
  </si>
  <si>
    <t>Total Utility Bill Before Community Solar (Optional)</t>
  </si>
  <si>
    <t>Solar Subscription (kWh)</t>
  </si>
  <si>
    <t>Bill Credits</t>
  </si>
  <si>
    <t>Subscription Charges</t>
  </si>
  <si>
    <t>Program Fees</t>
  </si>
  <si>
    <t>Community Solar Savings</t>
  </si>
  <si>
    <t>Excess Credits in Rollover Bank</t>
  </si>
  <si>
    <t>Net Bill After Community Solar</t>
  </si>
  <si>
    <t>Percentage Utility Bill Savings</t>
  </si>
  <si>
    <t>April</t>
  </si>
  <si>
    <t>May</t>
  </si>
  <si>
    <t>June</t>
  </si>
  <si>
    <t>July</t>
  </si>
  <si>
    <t>August</t>
  </si>
  <si>
    <t>September</t>
  </si>
  <si>
    <t>October</t>
  </si>
  <si>
    <t>November</t>
  </si>
  <si>
    <t>December</t>
  </si>
  <si>
    <t>January</t>
  </si>
  <si>
    <t>February</t>
  </si>
  <si>
    <t>March</t>
  </si>
  <si>
    <t>Recovery of over-subscribed bill credits</t>
  </si>
  <si>
    <t>N/A</t>
  </si>
  <si>
    <t>Annual Total</t>
  </si>
  <si>
    <t>Annual Bill Impacts</t>
  </si>
  <si>
    <t>This displays expected savings for a customer that subscribes to this subscription for 20 years.</t>
  </si>
  <si>
    <t>With any solar project, generation is expected to decline slightly over time as equipment ages.</t>
  </si>
  <si>
    <t>This forecast assumes that program fees stay flat for the duration of the program.</t>
  </si>
  <si>
    <t>Year</t>
  </si>
  <si>
    <t>kWh Generated by Subscription</t>
  </si>
  <si>
    <t>Bill Credits Received</t>
  </si>
  <si>
    <t>Subscription Charges Paid</t>
  </si>
  <si>
    <t>Program Fees Paid</t>
  </si>
  <si>
    <t>Net Bill Savings</t>
  </si>
  <si>
    <t>20-Year Total</t>
  </si>
  <si>
    <t>Solar Generation by Month</t>
  </si>
  <si>
    <t>Month</t>
  </si>
  <si>
    <t>% of Gen</t>
  </si>
  <si>
    <t>Source: NREL PV Watts Model, Portland Installation</t>
  </si>
  <si>
    <t>Solar kWh/kW/year (estimate)</t>
  </si>
  <si>
    <t>kWh/kW-yr</t>
  </si>
  <si>
    <t>PGE</t>
  </si>
  <si>
    <t>PAC</t>
  </si>
  <si>
    <t>IPC</t>
  </si>
  <si>
    <t>Source: Median of projects submitted as of May 2022</t>
  </si>
  <si>
    <t>Bill Inputs by Utility</t>
  </si>
  <si>
    <t>Utility Fee ($/kW/Mo)</t>
  </si>
  <si>
    <t>Program Admin Fee ($/kW/Mo)</t>
  </si>
  <si>
    <t>Tier 2 Bill Credit Changes</t>
  </si>
  <si>
    <t>Non-Residential Bill Credit Rate Reduction</t>
  </si>
  <si>
    <t>Bill Credit Rate Annual Escalation</t>
  </si>
  <si>
    <t>Expected Annual Degradation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</si>
</sst>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000_);[Red]\(&quot;$&quot;#,##0.00000\)"/>
    <numFmt numFmtId="166" formatCode="&quot;$&quot;#,##0.00"/>
    <numFmt numFmtId="167" formatCode="_(* #,##0.0_);_(* \(#,##0.0\);_(* &quot;-&quot;??_);_(@_)"/>
    <numFmt numFmtId="168" formatCode="_(* #,##0.0_);_(* \(#,##0.0\);_(* &quot;-&quot;?_);_(@_)"/>
    <numFmt numFmtId="169" formatCode="&quot;$&quot;#,##0.00000"/>
    <numFmt numFmtId="170" formatCode="0%;[Red]\(0%\)"/>
    <numFmt numFmtId="171" formatCode="&quot;$&quot;#,##0.000_);[Red]\(&quot;$&quot;#,##0.000\)"/>
    <numFmt numFmtId="172" formatCode="0.0%"/>
  </numFmts>
  <fonts count="14">
    <font>
      <sz val="12"/>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sz val="14"/>
      <color theme="4"/>
      <name val="Calibri"/>
      <family val="2"/>
      <scheme val="minor"/>
    </font>
    <font>
      <i/>
      <sz val="11"/>
      <color theme="2" tint="-0.499984740745262"/>
      <name val="Calibri"/>
      <family val="2"/>
      <scheme val="minor"/>
    </font>
    <font>
      <sz val="8"/>
      <name val="Calibri"/>
      <family val="2"/>
      <scheme val="minor"/>
    </font>
    <font>
      <sz val="7"/>
      <color theme="1"/>
      <name val="Times New Roman"/>
      <family val="1"/>
    </font>
    <font>
      <sz val="11"/>
      <color theme="1"/>
      <name val="Calibri"/>
      <family val="2"/>
      <scheme val="minor"/>
    </font>
    <font>
      <b/>
      <i/>
      <sz val="11"/>
      <color theme="2" tint="-0.499984740745262"/>
      <name val="Calibri"/>
      <family val="2"/>
    </font>
    <font>
      <b/>
      <sz val="11"/>
      <color theme="1"/>
      <name val="Calibri"/>
      <family val="2"/>
      <scheme val="minor"/>
    </font>
    <font>
      <i/>
      <sz val="11"/>
      <color theme="2" tint="-0.499984740745262"/>
      <name val="Calibri"/>
      <family val="2"/>
    </font>
    <font>
      <sz val="18"/>
      <color theme="4"/>
      <name val="Calibri"/>
      <family val="2"/>
      <scheme val="minor"/>
    </font>
    <font>
      <b/>
      <sz val="16"/>
      <color rgb="FF008C52"/>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s>
  <borders count="15">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
      <left style="thin">
        <color theme="4" tint="0.39991454817346722"/>
      </left>
      <right style="thin">
        <color theme="4" tint="0.39991454817346722"/>
      </right>
      <top style="thin">
        <color theme="4" tint="0.39991454817346722"/>
      </top>
      <bottom style="hair">
        <color theme="4" tint="0.39988402966399123"/>
      </bottom>
      <diagonal/>
    </border>
    <border>
      <left style="thin">
        <color theme="4" tint="0.39991454817346722"/>
      </left>
      <right style="thin">
        <color theme="4" tint="0.39991454817346722"/>
      </right>
      <top style="hair">
        <color theme="4" tint="0.39988402966399123"/>
      </top>
      <bottom style="hair">
        <color theme="4" tint="0.39988402966399123"/>
      </bottom>
      <diagonal/>
    </border>
    <border>
      <left style="thin">
        <color theme="4" tint="0.39991454817346722"/>
      </left>
      <right style="thin">
        <color theme="4" tint="0.39991454817346722"/>
      </right>
      <top style="hair">
        <color theme="4" tint="0.39988402966399123"/>
      </top>
      <bottom style="thin">
        <color theme="4" tint="0.39991454817346722"/>
      </bottom>
      <diagonal/>
    </border>
    <border>
      <left/>
      <right style="medium">
        <color theme="4"/>
      </right>
      <top/>
      <bottom style="medium">
        <color theme="4"/>
      </bottom>
      <diagonal/>
    </border>
    <border>
      <left style="medium">
        <color theme="4"/>
      </left>
      <right/>
      <top/>
      <bottom style="medium">
        <color theme="4"/>
      </bottom>
      <diagonal/>
    </border>
    <border>
      <left style="thin">
        <color theme="4" tint="0.59996337778862885"/>
      </left>
      <right style="medium">
        <color theme="4"/>
      </right>
      <top style="thin">
        <color theme="4" tint="0.59996337778862885"/>
      </top>
      <bottom style="thin">
        <color theme="4" tint="0.59996337778862885"/>
      </bottom>
      <diagonal/>
    </border>
    <border>
      <left style="medium">
        <color theme="4"/>
      </left>
      <right/>
      <top/>
      <bottom/>
      <diagonal/>
    </border>
    <border>
      <left/>
      <right style="medium">
        <color theme="4"/>
      </right>
      <top/>
      <bottom/>
      <diagonal/>
    </border>
    <border>
      <left style="thin">
        <color theme="4" tint="0.59996337778862885"/>
      </left>
      <right style="medium">
        <color theme="4"/>
      </right>
      <top style="medium">
        <color theme="4"/>
      </top>
      <bottom style="thin">
        <color theme="4" tint="0.59996337778862885"/>
      </bottom>
      <diagonal/>
    </border>
    <border>
      <left style="medium">
        <color theme="4"/>
      </left>
      <right/>
      <top style="medium">
        <color theme="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43" fontId="8" fillId="0" borderId="0" applyFont="0" applyFill="0" applyBorder="0" applyAlignment="0" applyProtection="0"/>
  </cellStyleXfs>
  <cellXfs count="82">
    <xf numFmtId="0" fontId="0" fillId="0" borderId="0" xfId="0"/>
    <xf numFmtId="9" fontId="0" fillId="0" borderId="0" xfId="3" applyFont="1"/>
    <xf numFmtId="0" fontId="0" fillId="0" borderId="0" xfId="0" applyAlignment="1">
      <alignment wrapText="1"/>
    </xf>
    <xf numFmtId="0" fontId="2" fillId="0" borderId="0" xfId="0" applyFont="1"/>
    <xf numFmtId="166" fontId="0" fillId="0" borderId="0" xfId="0" applyNumberFormat="1"/>
    <xf numFmtId="8" fontId="0" fillId="0" borderId="0" xfId="0" applyNumberFormat="1"/>
    <xf numFmtId="0" fontId="3" fillId="0" borderId="0" xfId="0" applyFont="1"/>
    <xf numFmtId="0" fontId="0" fillId="2" borderId="1" xfId="0" applyFill="1" applyBorder="1" applyAlignment="1" applyProtection="1">
      <alignment horizontal="right" wrapText="1"/>
      <protection locked="0"/>
    </xf>
    <xf numFmtId="167" fontId="0" fillId="2" borderId="1" xfId="1" applyNumberFormat="1" applyFont="1" applyFill="1" applyBorder="1" applyAlignment="1" applyProtection="1">
      <alignment horizontal="right" wrapText="1"/>
      <protection locked="0"/>
    </xf>
    <xf numFmtId="169" fontId="0" fillId="2" borderId="1" xfId="1" applyNumberFormat="1" applyFont="1" applyFill="1" applyBorder="1" applyAlignment="1" applyProtection="1">
      <alignment horizontal="right" wrapText="1"/>
      <protection locked="0"/>
    </xf>
    <xf numFmtId="0" fontId="0" fillId="2" borderId="1" xfId="0" applyFill="1" applyBorder="1" applyAlignment="1" applyProtection="1">
      <alignment wrapText="1"/>
      <protection locked="0"/>
    </xf>
    <xf numFmtId="164" fontId="0" fillId="3" borderId="1" xfId="1" applyNumberFormat="1" applyFont="1" applyFill="1" applyBorder="1" applyAlignment="1" applyProtection="1">
      <alignment horizontal="right" wrapText="1"/>
      <protection locked="0"/>
    </xf>
    <xf numFmtId="0" fontId="0" fillId="0" borderId="1" xfId="0" applyBorder="1"/>
    <xf numFmtId="0" fontId="4" fillId="0" borderId="0" xfId="0" applyFont="1"/>
    <xf numFmtId="0" fontId="5" fillId="0" borderId="0" xfId="0" applyFont="1" applyAlignment="1">
      <alignment vertical="top"/>
    </xf>
    <xf numFmtId="165" fontId="0" fillId="0" borderId="1" xfId="0" applyNumberFormat="1" applyBorder="1"/>
    <xf numFmtId="8" fontId="0" fillId="0" borderId="1" xfId="0" applyNumberFormat="1" applyBorder="1"/>
    <xf numFmtId="9" fontId="0" fillId="0" borderId="1" xfId="3" applyFont="1" applyBorder="1" applyProtection="1"/>
    <xf numFmtId="170" fontId="0" fillId="0" borderId="1" xfId="3" applyNumberFormat="1" applyFont="1" applyBorder="1" applyProtection="1"/>
    <xf numFmtId="0" fontId="2" fillId="0" borderId="4" xfId="0" applyFont="1" applyBorder="1" applyAlignment="1">
      <alignment wrapText="1"/>
    </xf>
    <xf numFmtId="0" fontId="0" fillId="0" borderId="4" xfId="0" applyBorder="1" applyAlignment="1">
      <alignment horizontal="left"/>
    </xf>
    <xf numFmtId="38" fontId="0" fillId="0" borderId="4" xfId="0" applyNumberFormat="1" applyBorder="1"/>
    <xf numFmtId="8" fontId="0" fillId="0" borderId="4" xfId="2" applyNumberFormat="1" applyFont="1" applyBorder="1" applyProtection="1"/>
    <xf numFmtId="9" fontId="0" fillId="0" borderId="4" xfId="3" applyFont="1" applyBorder="1" applyProtection="1"/>
    <xf numFmtId="0" fontId="2" fillId="0" borderId="4" xfId="0" applyFont="1" applyBorder="1" applyAlignment="1">
      <alignment horizontal="left"/>
    </xf>
    <xf numFmtId="8" fontId="2" fillId="0" borderId="4" xfId="2" applyNumberFormat="1" applyFont="1" applyBorder="1" applyProtection="1"/>
    <xf numFmtId="38" fontId="2" fillId="0" borderId="4" xfId="0" applyNumberFormat="1" applyFont="1" applyBorder="1"/>
    <xf numFmtId="9" fontId="2" fillId="0" borderId="4" xfId="3" applyFont="1" applyBorder="1" applyProtection="1"/>
    <xf numFmtId="0" fontId="0" fillId="0" borderId="5" xfId="0" applyBorder="1" applyAlignment="1">
      <alignment horizontal="left"/>
    </xf>
    <xf numFmtId="8" fontId="0" fillId="3" borderId="5" xfId="2" applyNumberFormat="1" applyFont="1" applyFill="1" applyBorder="1" applyProtection="1">
      <protection locked="0"/>
    </xf>
    <xf numFmtId="8" fontId="0" fillId="0" borderId="5" xfId="2" applyNumberFormat="1" applyFont="1" applyBorder="1" applyProtection="1"/>
    <xf numFmtId="9" fontId="0" fillId="0" borderId="5" xfId="3" applyFont="1" applyBorder="1" applyProtection="1"/>
    <xf numFmtId="0" fontId="0" fillId="0" borderId="6" xfId="0" applyBorder="1" applyAlignment="1">
      <alignment horizontal="left"/>
    </xf>
    <xf numFmtId="8" fontId="0" fillId="0" borderId="6" xfId="2" applyNumberFormat="1" applyFont="1" applyBorder="1" applyProtection="1"/>
    <xf numFmtId="9" fontId="0" fillId="0" borderId="6" xfId="3" applyFont="1" applyBorder="1" applyProtection="1"/>
    <xf numFmtId="0" fontId="0" fillId="0" borderId="7" xfId="0" applyBorder="1" applyAlignment="1">
      <alignment horizontal="left"/>
    </xf>
    <xf numFmtId="8" fontId="0" fillId="0" borderId="7" xfId="2" applyNumberFormat="1" applyFont="1" applyBorder="1" applyProtection="1"/>
    <xf numFmtId="9" fontId="0" fillId="0" borderId="7" xfId="3" applyFont="1" applyBorder="1" applyProtection="1"/>
    <xf numFmtId="0" fontId="8" fillId="0" borderId="0" xfId="4"/>
    <xf numFmtId="9" fontId="8" fillId="0" borderId="0" xfId="4" applyNumberFormat="1"/>
    <xf numFmtId="9" fontId="8" fillId="3" borderId="10" xfId="4" applyNumberFormat="1" applyFill="1" applyBorder="1" applyProtection="1">
      <protection locked="0"/>
    </xf>
    <xf numFmtId="0" fontId="10" fillId="0" borderId="11" xfId="4" applyFont="1" applyBorder="1"/>
    <xf numFmtId="0" fontId="8" fillId="0" borderId="12" xfId="4" applyBorder="1"/>
    <xf numFmtId="0" fontId="8" fillId="0" borderId="11" xfId="4" applyBorder="1"/>
    <xf numFmtId="3" fontId="8" fillId="3" borderId="10" xfId="4" applyNumberFormat="1" applyFill="1" applyBorder="1" applyProtection="1">
      <protection locked="0"/>
    </xf>
    <xf numFmtId="167" fontId="0" fillId="4" borderId="13" xfId="5" applyNumberFormat="1" applyFont="1" applyFill="1" applyBorder="1"/>
    <xf numFmtId="0" fontId="10" fillId="0" borderId="14" xfId="4" applyFont="1" applyBorder="1"/>
    <xf numFmtId="3" fontId="8" fillId="3" borderId="13" xfId="4" applyNumberFormat="1" applyFill="1" applyBorder="1" applyProtection="1">
      <protection locked="0"/>
    </xf>
    <xf numFmtId="0" fontId="12" fillId="0" borderId="0" xfId="4" applyFont="1"/>
    <xf numFmtId="0" fontId="0" fillId="0" borderId="0" xfId="0" applyAlignment="1">
      <alignment vertical="center" wrapText="1"/>
    </xf>
    <xf numFmtId="0" fontId="0" fillId="0" borderId="0" xfId="0" applyAlignment="1">
      <alignment horizontal="left" vertical="center" wrapText="1"/>
    </xf>
    <xf numFmtId="0" fontId="13" fillId="0" borderId="0" xfId="0" applyFont="1" applyAlignment="1">
      <alignment vertical="center" wrapText="1"/>
    </xf>
    <xf numFmtId="9" fontId="0" fillId="0" borderId="0" xfId="0" applyNumberFormat="1"/>
    <xf numFmtId="164" fontId="0" fillId="0" borderId="0" xfId="1" applyNumberFormat="1" applyFont="1"/>
    <xf numFmtId="172" fontId="0" fillId="0" borderId="0" xfId="0" applyNumberFormat="1"/>
    <xf numFmtId="9" fontId="0" fillId="2" borderId="1" xfId="3" applyFont="1" applyFill="1" applyBorder="1" applyAlignment="1" applyProtection="1">
      <alignment horizontal="right" wrapText="1"/>
      <protection locked="0"/>
    </xf>
    <xf numFmtId="1" fontId="0" fillId="0" borderId="1" xfId="3" applyNumberFormat="1" applyFont="1" applyBorder="1" applyProtection="1"/>
    <xf numFmtId="164" fontId="0" fillId="0" borderId="5" xfId="1" applyNumberFormat="1" applyFont="1" applyBorder="1" applyAlignment="1" applyProtection="1">
      <alignment horizontal="left"/>
    </xf>
    <xf numFmtId="164" fontId="0" fillId="0" borderId="6" xfId="1" applyNumberFormat="1" applyFont="1" applyBorder="1" applyAlignment="1" applyProtection="1">
      <alignment horizontal="left"/>
    </xf>
    <xf numFmtId="164" fontId="0" fillId="0" borderId="7" xfId="1" applyNumberFormat="1" applyFont="1" applyBorder="1" applyAlignment="1" applyProtection="1">
      <alignment horizontal="left"/>
    </xf>
    <xf numFmtId="6" fontId="0" fillId="0" borderId="6" xfId="2" applyNumberFormat="1" applyFont="1" applyBorder="1" applyProtection="1"/>
    <xf numFmtId="6" fontId="2" fillId="0" borderId="4" xfId="2" applyNumberFormat="1" applyFont="1" applyBorder="1" applyProtection="1"/>
    <xf numFmtId="6" fontId="0" fillId="0" borderId="5" xfId="2" applyNumberFormat="1" applyFont="1" applyBorder="1" applyProtection="1"/>
    <xf numFmtId="6" fontId="0" fillId="0" borderId="7" xfId="2" applyNumberFormat="1" applyFont="1" applyBorder="1" applyProtection="1"/>
    <xf numFmtId="6" fontId="0" fillId="0" borderId="4" xfId="2" applyNumberFormat="1" applyFont="1" applyBorder="1" applyProtection="1"/>
    <xf numFmtId="171" fontId="5" fillId="0" borderId="0" xfId="0" applyNumberFormat="1" applyFont="1" applyAlignment="1">
      <alignment vertical="top"/>
    </xf>
    <xf numFmtId="169" fontId="5" fillId="0" borderId="0" xfId="0" applyNumberFormat="1" applyFont="1" applyAlignment="1">
      <alignment vertical="top"/>
    </xf>
    <xf numFmtId="44" fontId="0" fillId="0" borderId="0" xfId="2" applyFont="1" applyProtection="1"/>
    <xf numFmtId="168" fontId="0" fillId="0" borderId="0" xfId="0" applyNumberFormat="1"/>
    <xf numFmtId="164" fontId="0" fillId="0" borderId="0" xfId="0" applyNumberFormat="1"/>
    <xf numFmtId="0" fontId="5" fillId="0" borderId="11" xfId="4" applyFont="1" applyBorder="1" applyAlignment="1">
      <alignment horizontal="left" vertical="top" wrapText="1"/>
    </xf>
    <xf numFmtId="0" fontId="5" fillId="0" borderId="12" xfId="4" applyFont="1" applyBorder="1" applyAlignment="1">
      <alignment horizontal="left" vertical="top" wrapText="1"/>
    </xf>
    <xf numFmtId="0" fontId="11" fillId="0" borderId="11" xfId="4" applyFont="1" applyBorder="1" applyAlignment="1">
      <alignment horizontal="left" vertical="top" wrapText="1"/>
    </xf>
    <xf numFmtId="0" fontId="5" fillId="0" borderId="9" xfId="4" applyFont="1" applyBorder="1" applyAlignment="1">
      <alignment horizontal="left" vertical="top" wrapText="1"/>
    </xf>
    <xf numFmtId="0" fontId="5" fillId="0" borderId="8" xfId="4" applyFont="1" applyBorder="1" applyAlignment="1">
      <alignment horizontal="left" vertical="top" wrapText="1"/>
    </xf>
    <xf numFmtId="0" fontId="5" fillId="0" borderId="0" xfId="0" applyFont="1" applyAlignment="1">
      <alignment horizontal="left" vertical="top" wrapText="1"/>
    </xf>
    <xf numFmtId="0" fontId="0" fillId="2" borderId="2" xfId="0" applyFill="1" applyBorder="1" applyAlignment="1">
      <alignment horizontal="left" indent="1"/>
    </xf>
    <xf numFmtId="0" fontId="0" fillId="2" borderId="3" xfId="0" applyFill="1" applyBorder="1" applyAlignment="1">
      <alignment horizontal="left" indent="1"/>
    </xf>
    <xf numFmtId="0" fontId="0" fillId="3" borderId="2" xfId="0" applyFill="1" applyBorder="1" applyAlignment="1">
      <alignment horizontal="left" indent="1"/>
    </xf>
    <xf numFmtId="0" fontId="0" fillId="3" borderId="3" xfId="0" applyFill="1" applyBorder="1" applyAlignment="1">
      <alignment horizontal="left" indent="1"/>
    </xf>
    <xf numFmtId="0" fontId="0" fillId="0" borderId="2" xfId="0" applyBorder="1" applyAlignment="1">
      <alignment horizontal="left" indent="1"/>
    </xf>
    <xf numFmtId="0" fontId="0" fillId="0" borderId="3" xfId="0" applyBorder="1" applyAlignment="1">
      <alignment horizontal="left" indent="1"/>
    </xf>
  </cellXfs>
  <cellStyles count="6">
    <cellStyle name="Comma" xfId="1" builtinId="3"/>
    <cellStyle name="Comma 2" xfId="5" xr:uid="{871B90F3-472E-6342-8F4F-9FBFF89BF546}"/>
    <cellStyle name="Currency" xfId="2" builtinId="4"/>
    <cellStyle name="Normal" xfId="0" builtinId="0"/>
    <cellStyle name="Normal 2" xfId="4" xr:uid="{FB3BB643-83B1-7044-8E0C-CA8B0EA260CA}"/>
    <cellStyle name="Percent" xfId="3" builtinId="5"/>
  </cellStyles>
  <dxfs count="0"/>
  <tableStyles count="0" defaultTableStyle="TableStyleMedium2" defaultPivotStyle="PivotStyleLight16"/>
  <colors>
    <mruColors>
      <color rgb="FF008C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50800</xdr:rowOff>
    </xdr:from>
    <xdr:to>
      <xdr:col>0</xdr:col>
      <xdr:colOff>4019921</xdr:colOff>
      <xdr:row>2</xdr:row>
      <xdr:rowOff>457200</xdr:rowOff>
    </xdr:to>
    <xdr:pic>
      <xdr:nvPicPr>
        <xdr:cNvPr id="2" name="Picture 1">
          <a:extLst>
            <a:ext uri="{FF2B5EF4-FFF2-40B4-BE49-F238E27FC236}">
              <a16:creationId xmlns:a16="http://schemas.microsoft.com/office/drawing/2014/main" id="{F7562226-EF48-604F-B100-C7006098A0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800" y="50800"/>
          <a:ext cx="3969121" cy="812800"/>
        </a:xfrm>
        <a:prstGeom prst="rect">
          <a:avLst/>
        </a:prstGeom>
      </xdr:spPr>
    </xdr:pic>
    <xdr:clientData/>
  </xdr:twoCellAnchor>
  <xdr:twoCellAnchor>
    <xdr:from>
      <xdr:col>0</xdr:col>
      <xdr:colOff>4940300</xdr:colOff>
      <xdr:row>0</xdr:row>
      <xdr:rowOff>63500</xdr:rowOff>
    </xdr:from>
    <xdr:to>
      <xdr:col>0</xdr:col>
      <xdr:colOff>8089900</xdr:colOff>
      <xdr:row>2</xdr:row>
      <xdr:rowOff>533400</xdr:rowOff>
    </xdr:to>
    <xdr:sp macro="" textlink="">
      <xdr:nvSpPr>
        <xdr:cNvPr id="3" name="TextBox 2">
          <a:extLst>
            <a:ext uri="{FF2B5EF4-FFF2-40B4-BE49-F238E27FC236}">
              <a16:creationId xmlns:a16="http://schemas.microsoft.com/office/drawing/2014/main" id="{E1F08A5D-CA1D-9341-81EF-C6C25218BC28}"/>
            </a:ext>
          </a:extLst>
        </xdr:cNvPr>
        <xdr:cNvSpPr txBox="1"/>
      </xdr:nvSpPr>
      <xdr:spPr>
        <a:xfrm>
          <a:off x="4940300" y="63500"/>
          <a:ext cx="3149600" cy="876300"/>
        </a:xfrm>
        <a:prstGeom prst="rect">
          <a:avLst/>
        </a:prstGeom>
        <a:solidFill>
          <a:schemeClr val="lt1"/>
        </a:solidFill>
        <a:ln w="19050" cmpd="sng">
          <a:solidFill>
            <a:srgbClr val="008C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rgbClr val="008C52"/>
              </a:solidFill>
            </a:rPr>
            <a:t>Still have questions? </a:t>
          </a:r>
        </a:p>
        <a:p>
          <a:r>
            <a:rPr lang="en-US" sz="1200" b="0">
              <a:solidFill>
                <a:schemeClr val="dk1"/>
              </a:solidFill>
              <a:latin typeface="+mn-lt"/>
              <a:ea typeface="+mn-ea"/>
              <a:cs typeface="+mn-cs"/>
            </a:rPr>
            <a:t>We're here to help.</a:t>
          </a:r>
        </a:p>
        <a:p>
          <a:r>
            <a:rPr lang="en-US" sz="1200" b="0">
              <a:solidFill>
                <a:schemeClr val="dk1"/>
              </a:solidFill>
              <a:latin typeface="+mn-lt"/>
              <a:ea typeface="+mn-ea"/>
              <a:cs typeface="+mn-cs"/>
            </a:rPr>
            <a:t>Contact </a:t>
          </a:r>
          <a:r>
            <a:rPr lang="en-US" sz="1200" b="0"/>
            <a:t>the Oregon Community Solar Program</a:t>
          </a:r>
        </a:p>
        <a:p>
          <a:r>
            <a:rPr lang="en-US" sz="1200" b="0" i="0" u="none" strike="noStrike">
              <a:solidFill>
                <a:srgbClr val="008C52"/>
              </a:solidFill>
              <a:effectLst/>
              <a:latin typeface="+mn-lt"/>
              <a:ea typeface="+mn-ea"/>
              <a:cs typeface="+mn-cs"/>
            </a:rPr>
            <a:t>1-800-481-0510</a:t>
          </a:r>
          <a:r>
            <a:rPr lang="en-US" sz="1200" b="0" i="0" u="none" strike="noStrike" baseline="0">
              <a:solidFill>
                <a:srgbClr val="008C52"/>
              </a:solidFill>
              <a:effectLst/>
              <a:latin typeface="+mn-lt"/>
              <a:ea typeface="+mn-ea"/>
              <a:cs typeface="+mn-cs"/>
            </a:rPr>
            <a:t> |</a:t>
          </a:r>
          <a:r>
            <a:rPr lang="en-US" sz="1200" b="0" baseline="0">
              <a:solidFill>
                <a:schemeClr val="dk1"/>
              </a:solidFill>
            </a:rPr>
            <a:t> </a:t>
          </a:r>
          <a:r>
            <a:rPr lang="en-US" sz="1200" b="0">
              <a:solidFill>
                <a:srgbClr val="008C52"/>
              </a:solidFill>
            </a:rPr>
            <a:t>info@oregoncsp.org</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50800</xdr:colOff>
      <xdr:row>0</xdr:row>
      <xdr:rowOff>50800</xdr:rowOff>
    </xdr:from>
    <xdr:to>
      <xdr:col>1</xdr:col>
      <xdr:colOff>1952625</xdr:colOff>
      <xdr:row>2</xdr:row>
      <xdr:rowOff>145081</xdr:rowOff>
    </xdr:to>
    <xdr:pic>
      <xdr:nvPicPr>
        <xdr:cNvPr id="3" name="Picture 2">
          <a:extLst>
            <a:ext uri="{FF2B5EF4-FFF2-40B4-BE49-F238E27FC236}">
              <a16:creationId xmlns:a16="http://schemas.microsoft.com/office/drawing/2014/main" id="{18738015-52A4-5145-B58A-96BB7D0627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800" y="50800"/>
          <a:ext cx="2320925" cy="4752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50800</xdr:colOff>
      <xdr:row>0</xdr:row>
      <xdr:rowOff>50800</xdr:rowOff>
    </xdr:from>
    <xdr:to>
      <xdr:col>0</xdr:col>
      <xdr:colOff>2371725</xdr:colOff>
      <xdr:row>2</xdr:row>
      <xdr:rowOff>119681</xdr:rowOff>
    </xdr:to>
    <xdr:pic>
      <xdr:nvPicPr>
        <xdr:cNvPr id="2" name="Picture 1">
          <a:extLst>
            <a:ext uri="{FF2B5EF4-FFF2-40B4-BE49-F238E27FC236}">
              <a16:creationId xmlns:a16="http://schemas.microsoft.com/office/drawing/2014/main" id="{03858E37-B5FD-4A7F-AA5B-850639E13F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800" y="50800"/>
          <a:ext cx="2320925" cy="4689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DD207-3253-0C4D-B126-53F0E9384B3D}">
  <dimension ref="A3:A30"/>
  <sheetViews>
    <sheetView showGridLines="0" tabSelected="1" workbookViewId="0">
      <selection activeCell="A10" sqref="A10"/>
    </sheetView>
  </sheetViews>
  <sheetFormatPr defaultColWidth="11" defaultRowHeight="15.75"/>
  <cols>
    <col min="1" max="1" width="162.125" style="2" customWidth="1"/>
  </cols>
  <sheetData>
    <row r="3" spans="1:1" ht="63" customHeight="1"/>
    <row r="4" spans="1:1" ht="21">
      <c r="A4" s="51" t="s">
        <v>0</v>
      </c>
    </row>
    <row r="5" spans="1:1">
      <c r="A5" s="49" t="s">
        <v>1</v>
      </c>
    </row>
    <row r="6" spans="1:1" ht="5.0999999999999996" customHeight="1">
      <c r="A6" s="49"/>
    </row>
    <row r="7" spans="1:1" ht="31.5">
      <c r="A7" s="49" t="s">
        <v>2</v>
      </c>
    </row>
    <row r="8" spans="1:1" ht="9.9499999999999993" customHeight="1">
      <c r="A8" s="49"/>
    </row>
    <row r="9" spans="1:1" ht="21">
      <c r="A9" s="51" t="s">
        <v>3</v>
      </c>
    </row>
    <row r="10" spans="1:1" ht="31.5">
      <c r="A10" s="49" t="s">
        <v>4</v>
      </c>
    </row>
    <row r="11" spans="1:1" ht="5.0999999999999996" customHeight="1">
      <c r="A11" s="49"/>
    </row>
    <row r="12" spans="1:1" ht="31.5">
      <c r="A12" s="49" t="s">
        <v>5</v>
      </c>
    </row>
    <row r="13" spans="1:1" ht="9.9499999999999993" customHeight="1">
      <c r="A13" s="49"/>
    </row>
    <row r="14" spans="1:1" ht="21">
      <c r="A14" s="51" t="s">
        <v>6</v>
      </c>
    </row>
    <row r="15" spans="1:1" ht="31.5">
      <c r="A15" s="49" t="s">
        <v>7</v>
      </c>
    </row>
    <row r="16" spans="1:1" ht="5.0999999999999996" customHeight="1">
      <c r="A16" s="49"/>
    </row>
    <row r="17" spans="1:1" ht="31.5">
      <c r="A17" s="49" t="s">
        <v>8</v>
      </c>
    </row>
    <row r="18" spans="1:1" ht="5.0999999999999996" customHeight="1">
      <c r="A18" s="49"/>
    </row>
    <row r="19" spans="1:1" ht="31.5">
      <c r="A19" s="49" t="s">
        <v>9</v>
      </c>
    </row>
    <row r="20" spans="1:1" ht="9.9499999999999993" customHeight="1">
      <c r="A20" s="49"/>
    </row>
    <row r="21" spans="1:1" ht="21">
      <c r="A21" s="51" t="s">
        <v>10</v>
      </c>
    </row>
    <row r="22" spans="1:1">
      <c r="A22" s="49" t="s">
        <v>11</v>
      </c>
    </row>
    <row r="23" spans="1:1">
      <c r="A23" s="50" t="s">
        <v>12</v>
      </c>
    </row>
    <row r="24" spans="1:1">
      <c r="A24" s="50" t="s">
        <v>13</v>
      </c>
    </row>
    <row r="25" spans="1:1">
      <c r="A25" s="50" t="s">
        <v>14</v>
      </c>
    </row>
    <row r="26" spans="1:1" ht="31.5">
      <c r="A26" s="50" t="s">
        <v>15</v>
      </c>
    </row>
    <row r="27" spans="1:1" ht="5.0999999999999996" customHeight="1">
      <c r="A27" s="50"/>
    </row>
    <row r="28" spans="1:1" ht="31.5">
      <c r="A28" s="49" t="s">
        <v>16</v>
      </c>
    </row>
    <row r="29" spans="1:1" ht="5.0999999999999996" customHeight="1"/>
    <row r="30" spans="1:1" ht="31.5">
      <c r="A30" s="2" t="s">
        <v>17</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92768-C73C-E240-BCD7-8BD34E8A96E0}">
  <dimension ref="A4:F18"/>
  <sheetViews>
    <sheetView showGridLines="0" workbookViewId="0"/>
  </sheetViews>
  <sheetFormatPr defaultColWidth="8.875" defaultRowHeight="15"/>
  <cols>
    <col min="1" max="1" width="5.5" style="38" customWidth="1"/>
    <col min="2" max="2" width="42.375" style="38" customWidth="1"/>
    <col min="3" max="3" width="17.875" style="38" customWidth="1"/>
    <col min="4" max="4" width="8.875" style="38" customWidth="1"/>
    <col min="5" max="5" width="34.875" style="38" customWidth="1"/>
    <col min="6" max="6" width="30.125" style="38" customWidth="1"/>
    <col min="7" max="7" width="9.125" style="38" customWidth="1"/>
    <col min="8" max="16384" width="8.875" style="38"/>
  </cols>
  <sheetData>
    <row r="4" spans="1:6" ht="75.95" customHeight="1">
      <c r="A4" s="75" t="s">
        <v>18</v>
      </c>
      <c r="B4" s="75"/>
      <c r="C4" s="75"/>
      <c r="D4" s="75"/>
      <c r="E4" s="75"/>
    </row>
    <row r="5" spans="1:6" ht="24" thickBot="1">
      <c r="B5" s="48" t="s">
        <v>19</v>
      </c>
      <c r="E5" s="48" t="s">
        <v>20</v>
      </c>
    </row>
    <row r="6" spans="1:6" ht="15.75">
      <c r="B6" s="46" t="s">
        <v>21</v>
      </c>
      <c r="C6" s="47"/>
      <c r="E6" s="46" t="s">
        <v>22</v>
      </c>
      <c r="F6" s="45" t="str">
        <f>IF(OR(C6=0,C9=0,C12=0),"N/A",ROUNDDOWN(C6/C9*C12,1))</f>
        <v>N/A</v>
      </c>
    </row>
    <row r="7" spans="1:6" ht="110.25" customHeight="1" thickBot="1">
      <c r="B7" s="70" t="s">
        <v>23</v>
      </c>
      <c r="C7" s="71"/>
      <c r="E7" s="73" t="s">
        <v>24</v>
      </c>
      <c r="F7" s="74"/>
    </row>
    <row r="8" spans="1:6">
      <c r="B8" s="43"/>
      <c r="C8" s="42"/>
    </row>
    <row r="9" spans="1:6">
      <c r="B9" s="41" t="s">
        <v>25</v>
      </c>
      <c r="C9" s="44"/>
    </row>
    <row r="10" spans="1:6" ht="77.099999999999994" customHeight="1">
      <c r="B10" s="72" t="s">
        <v>26</v>
      </c>
      <c r="C10" s="71"/>
    </row>
    <row r="11" spans="1:6">
      <c r="B11" s="43"/>
      <c r="C11" s="42"/>
    </row>
    <row r="12" spans="1:6">
      <c r="B12" s="41" t="s">
        <v>27</v>
      </c>
      <c r="C12" s="40"/>
    </row>
    <row r="13" spans="1:6" ht="118.5" customHeight="1" thickBot="1">
      <c r="B13" s="73" t="s">
        <v>28</v>
      </c>
      <c r="C13" s="74"/>
    </row>
    <row r="14" spans="1:6">
      <c r="C14" s="39"/>
    </row>
    <row r="18" s="38" customFormat="1" ht="47.25" customHeight="1"/>
  </sheetData>
  <sheetProtection algorithmName="SHA-512" hashValue="Qvi8FhJ3xap8b5AYpYUuES+JOHvg/VPPyassqyIH5iJfuaVyOzyMB2vfezAXEKyFlBIlB9fkBaIDO9xHsq24wQ==" saltValue="F02i24EwvDuh8ni5Jr9esA==" spinCount="100000" sheet="1" objects="1" scenarios="1"/>
  <mergeCells count="5">
    <mergeCell ref="B7:C7"/>
    <mergeCell ref="B10:C10"/>
    <mergeCell ref="B13:C13"/>
    <mergeCell ref="E7:F7"/>
    <mergeCell ref="A4:E4"/>
  </mergeCells>
  <pageMargins left="0.7" right="0.7" top="0.75" bottom="0.75" header="0.3" footer="0.3"/>
  <pageSetup scale="65" orientation="landscape" r:id="rId1"/>
  <colBreaks count="1" manualBreakCount="1">
    <brk id="6" max="1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71E42-B892-455C-AC03-0EC552751378}">
  <dimension ref="A4:AD80"/>
  <sheetViews>
    <sheetView showGridLines="0" zoomScale="85" zoomScaleNormal="85" workbookViewId="0"/>
  </sheetViews>
  <sheetFormatPr defaultColWidth="11" defaultRowHeight="15.75"/>
  <cols>
    <col min="1" max="1" width="44.375" customWidth="1"/>
    <col min="2" max="2" width="20.875" customWidth="1"/>
    <col min="3" max="3" width="13.375" bestFit="1" customWidth="1"/>
    <col min="4" max="4" width="12.125" customWidth="1"/>
    <col min="12" max="12" width="18.125" customWidth="1"/>
  </cols>
  <sheetData>
    <row r="4" spans="1:14" ht="81" customHeight="1">
      <c r="A4" s="75" t="s">
        <v>29</v>
      </c>
      <c r="B4" s="75"/>
      <c r="C4" s="75"/>
      <c r="D4" s="75"/>
      <c r="E4" s="75"/>
      <c r="F4" s="75"/>
      <c r="G4" s="75"/>
      <c r="H4" s="75"/>
      <c r="I4" s="75"/>
      <c r="J4" s="75"/>
      <c r="K4" s="75"/>
      <c r="L4" s="75"/>
      <c r="M4" s="75"/>
      <c r="N4" s="75"/>
    </row>
    <row r="5" spans="1:14">
      <c r="A5" s="76" t="s">
        <v>30</v>
      </c>
      <c r="B5" s="77"/>
    </row>
    <row r="6" spans="1:14">
      <c r="A6" s="78" t="s">
        <v>31</v>
      </c>
      <c r="B6" s="79"/>
    </row>
    <row r="7" spans="1:14">
      <c r="A7" s="80" t="s">
        <v>32</v>
      </c>
      <c r="B7" s="81"/>
    </row>
    <row r="9" spans="1:14" ht="18.75">
      <c r="A9" s="13" t="s">
        <v>33</v>
      </c>
    </row>
    <row r="10" spans="1:14">
      <c r="A10" s="12" t="s">
        <v>34</v>
      </c>
      <c r="B10" s="7"/>
      <c r="C10" s="14" t="s">
        <v>35</v>
      </c>
    </row>
    <row r="11" spans="1:14">
      <c r="A11" s="12" t="s">
        <v>36</v>
      </c>
      <c r="B11" s="7"/>
    </row>
    <row r="12" spans="1:14">
      <c r="A12" s="12" t="s">
        <v>37</v>
      </c>
      <c r="B12" s="8"/>
    </row>
    <row r="13" spans="1:14">
      <c r="A13" s="12" t="s">
        <v>38</v>
      </c>
      <c r="B13" s="9"/>
      <c r="C13" s="10" t="s">
        <v>39</v>
      </c>
      <c r="D13" s="14" t="s">
        <v>40</v>
      </c>
    </row>
    <row r="14" spans="1:14">
      <c r="A14" s="12" t="s">
        <v>41</v>
      </c>
      <c r="B14" s="55"/>
      <c r="C14" s="14" t="s">
        <v>42</v>
      </c>
      <c r="D14" s="14"/>
    </row>
    <row r="15" spans="1:14">
      <c r="A15" s="12" t="s">
        <v>43</v>
      </c>
      <c r="B15" s="7"/>
      <c r="C15" s="14" t="s">
        <v>44</v>
      </c>
    </row>
    <row r="16" spans="1:14">
      <c r="A16" s="12" t="s">
        <v>45</v>
      </c>
      <c r="B16" s="7"/>
      <c r="C16" s="14" t="s">
        <v>46</v>
      </c>
    </row>
    <row r="17" spans="1:4">
      <c r="A17" s="12" t="s">
        <v>47</v>
      </c>
      <c r="B17" s="15" t="e">
        <f>INDEX(Data!$B$28:$B$30,MATCH($B$11,Data!$A$28:$A$30,0))*IF(AND($B$10="Tier 2",$B$15="Non-Residential"),1-Data!$B$36,1)</f>
        <v>#N/A</v>
      </c>
      <c r="C17" s="14" t="s">
        <v>48</v>
      </c>
    </row>
    <row r="18" spans="1:4">
      <c r="A18" s="12" t="s">
        <v>49</v>
      </c>
      <c r="B18" s="16" t="e">
        <f>IF(OR($B$15="Low-Income Residential",$B$16="Yes"),0,INDEX(Data!$C$28:$C$30,MATCH($B$11,Data!$A$28:$A$30,0))+Data!$A$33)</f>
        <v>#N/A</v>
      </c>
      <c r="C18" s="14" t="s">
        <v>50</v>
      </c>
    </row>
    <row r="19" spans="1:4">
      <c r="A19" t="s">
        <v>51</v>
      </c>
      <c r="B19" s="15" t="e">
        <f>B18*12/IF($B$24=0,$B$23,$B$24)+IF($C$13="$/kW-Mo",B13*12/IF($B$24=0,$B$23,$B$24),B13)</f>
        <v>#N/A</v>
      </c>
      <c r="C19" s="14" t="s">
        <v>52</v>
      </c>
    </row>
    <row r="20" spans="1:4">
      <c r="A20" s="12" t="s">
        <v>53</v>
      </c>
      <c r="B20" s="18" t="e">
        <f>1-B19/B17</f>
        <v>#N/A</v>
      </c>
      <c r="C20" s="14" t="s">
        <v>54</v>
      </c>
    </row>
    <row r="21" spans="1:4">
      <c r="A21" s="14"/>
      <c r="B21" s="65"/>
      <c r="C21" s="14"/>
    </row>
    <row r="22" spans="1:4" ht="18.75">
      <c r="A22" s="13" t="s">
        <v>55</v>
      </c>
      <c r="B22" s="66"/>
      <c r="C22" s="14"/>
      <c r="D22" s="5"/>
    </row>
    <row r="23" spans="1:4">
      <c r="A23" s="12" t="s">
        <v>56</v>
      </c>
      <c r="B23" s="56" t="e">
        <f>VLOOKUP(B11,Data!$A$19:$B$22,2,0)</f>
        <v>#N/A</v>
      </c>
      <c r="C23" s="14" t="s">
        <v>57</v>
      </c>
      <c r="D23" s="5"/>
    </row>
    <row r="24" spans="1:4">
      <c r="A24" s="12" t="s">
        <v>58</v>
      </c>
      <c r="B24" s="11"/>
      <c r="C24" s="14" t="s">
        <v>59</v>
      </c>
    </row>
    <row r="25" spans="1:4">
      <c r="A25" s="14"/>
      <c r="B25" s="14"/>
      <c r="C25" s="14"/>
    </row>
    <row r="26" spans="1:4" ht="18.75">
      <c r="A26" s="13" t="s">
        <v>60</v>
      </c>
      <c r="B26" s="14"/>
      <c r="C26" s="14"/>
    </row>
    <row r="27" spans="1:4">
      <c r="A27" s="14" t="s">
        <v>61</v>
      </c>
    </row>
    <row r="28" spans="1:4">
      <c r="A28" s="14" t="s">
        <v>62</v>
      </c>
    </row>
    <row r="29" spans="1:4">
      <c r="A29" s="14" t="s">
        <v>63</v>
      </c>
    </row>
    <row r="30" spans="1:4">
      <c r="A30" s="12" t="s">
        <v>64</v>
      </c>
      <c r="B30" s="11"/>
    </row>
    <row r="31" spans="1:4">
      <c r="A31" s="12" t="s">
        <v>65</v>
      </c>
      <c r="B31" s="17" t="str">
        <f>IFERROR(B12*IF($B$24=0,$B$23,$B$24)/B30,"N/A")</f>
        <v>N/A</v>
      </c>
    </row>
    <row r="33" spans="1:30" ht="18.75">
      <c r="A33" s="13" t="s">
        <v>66</v>
      </c>
    </row>
    <row r="34" spans="1:30">
      <c r="A34" s="14" t="s">
        <v>67</v>
      </c>
    </row>
    <row r="35" spans="1:30">
      <c r="A35" s="14" t="s">
        <v>68</v>
      </c>
    </row>
    <row r="36" spans="1:30">
      <c r="A36" s="14" t="s">
        <v>69</v>
      </c>
    </row>
    <row r="37" spans="1:30">
      <c r="A37" s="14" t="s">
        <v>70</v>
      </c>
    </row>
    <row r="38" spans="1:30" ht="63">
      <c r="A38" s="19" t="s">
        <v>71</v>
      </c>
      <c r="B38" s="19" t="s">
        <v>72</v>
      </c>
      <c r="C38" s="19" t="s">
        <v>73</v>
      </c>
      <c r="D38" s="19" t="s">
        <v>74</v>
      </c>
      <c r="E38" s="19" t="s">
        <v>75</v>
      </c>
      <c r="F38" s="19" t="s">
        <v>76</v>
      </c>
      <c r="G38" s="19" t="s">
        <v>77</v>
      </c>
      <c r="H38" s="19" t="s">
        <v>78</v>
      </c>
      <c r="I38" s="19" t="s">
        <v>79</v>
      </c>
      <c r="J38" s="19" t="s">
        <v>80</v>
      </c>
    </row>
    <row r="39" spans="1:30">
      <c r="A39" s="28" t="s">
        <v>81</v>
      </c>
      <c r="B39" s="29"/>
      <c r="C39" s="58" t="e">
        <f>$B$12*IF($B$24=0,$B$23,$B$24)*VLOOKUP(A39,Data!$A$3:$B$14,2,0)</f>
        <v>#N/A</v>
      </c>
      <c r="D39" s="62" t="e">
        <f t="shared" ref="D39:D50" si="0">$C39*$B$17</f>
        <v>#N/A</v>
      </c>
      <c r="E39" s="62" t="e">
        <f>-$B$13*IF($C$13="$/kW-Mo",$B$12,$C39)</f>
        <v>#N/A</v>
      </c>
      <c r="F39" s="62" t="e">
        <f t="shared" ref="F39:F50" si="1">-$B$12*$B$18</f>
        <v>#N/A</v>
      </c>
      <c r="G39" s="62" t="e">
        <f t="shared" ref="G39:G50" si="2">SUM(D39:F39)</f>
        <v>#N/A</v>
      </c>
      <c r="H39" s="62" t="str">
        <f>IF($B39=0,"N/A",
N("excess credits generated in current month")
+MAX(0,G39-B39)+IF(A39="April",0,
+N("credits available from prior month")
+H38
+N("credits used in prior month")
-MAX(0,MIN(B38-G38,H38))))</f>
        <v>N/A</v>
      </c>
      <c r="I39" s="30" t="str">
        <f>IF($B39=0,"N/A",MAX(0,B39-G39-H39))</f>
        <v>N/A</v>
      </c>
      <c r="J39" s="31" t="str">
        <f t="shared" ref="J39:J50" si="3">IF($B39=0,"N/A",G39/B39)</f>
        <v>N/A</v>
      </c>
      <c r="AD39" s="5"/>
    </row>
    <row r="40" spans="1:30">
      <c r="A40" s="32" t="s">
        <v>82</v>
      </c>
      <c r="B40" s="29"/>
      <c r="C40" s="58" t="e">
        <f>$B$12*IF($B$24=0,$B$23,$B$24)*VLOOKUP(A40,Data!$A$3:$B$14,2,0)</f>
        <v>#N/A</v>
      </c>
      <c r="D40" s="60" t="e">
        <f t="shared" si="0"/>
        <v>#N/A</v>
      </c>
      <c r="E40" s="60" t="e">
        <f t="shared" ref="E40:E50" si="4">-$B$13*IF($C$13="$/kW-Mo",$B$12,$C40)</f>
        <v>#N/A</v>
      </c>
      <c r="F40" s="60" t="e">
        <f t="shared" si="1"/>
        <v>#N/A</v>
      </c>
      <c r="G40" s="60" t="e">
        <f t="shared" si="2"/>
        <v>#N/A</v>
      </c>
      <c r="H40" s="60" t="str">
        <f t="shared" ref="H40:H50" si="5">IF($B40=0,"N/A",
N("excess credits generated in current month")
+MAX(0,G40-B40)+IF(A40="April",0,
+N("credits available from prior month")
+H39
+N("credits used in prior month")
-MAX(0,MIN(B39-G39,H39))))</f>
        <v>N/A</v>
      </c>
      <c r="I40" s="33" t="str">
        <f t="shared" ref="I40:I50" si="6">IF($B40=0,"N/A",MAX(0,B40-G40-H40))</f>
        <v>N/A</v>
      </c>
      <c r="J40" s="34" t="str">
        <f t="shared" si="3"/>
        <v>N/A</v>
      </c>
      <c r="AD40" s="5"/>
    </row>
    <row r="41" spans="1:30">
      <c r="A41" s="32" t="s">
        <v>83</v>
      </c>
      <c r="B41" s="29"/>
      <c r="C41" s="58" t="e">
        <f>$B$12*IF($B$24=0,$B$23,$B$24)*VLOOKUP(A41,Data!$A$3:$B$14,2,0)</f>
        <v>#N/A</v>
      </c>
      <c r="D41" s="60" t="e">
        <f t="shared" si="0"/>
        <v>#N/A</v>
      </c>
      <c r="E41" s="60" t="e">
        <f t="shared" si="4"/>
        <v>#N/A</v>
      </c>
      <c r="F41" s="60" t="e">
        <f t="shared" si="1"/>
        <v>#N/A</v>
      </c>
      <c r="G41" s="60" t="e">
        <f t="shared" si="2"/>
        <v>#N/A</v>
      </c>
      <c r="H41" s="60" t="str">
        <f t="shared" si="5"/>
        <v>N/A</v>
      </c>
      <c r="I41" s="33" t="str">
        <f t="shared" si="6"/>
        <v>N/A</v>
      </c>
      <c r="J41" s="34" t="str">
        <f t="shared" si="3"/>
        <v>N/A</v>
      </c>
      <c r="AD41" s="5"/>
    </row>
    <row r="42" spans="1:30">
      <c r="A42" s="32" t="s">
        <v>84</v>
      </c>
      <c r="B42" s="29"/>
      <c r="C42" s="58" t="e">
        <f>$B$12*IF($B$24=0,$B$23,$B$24)*VLOOKUP(A42,Data!$A$3:$B$14,2,0)</f>
        <v>#N/A</v>
      </c>
      <c r="D42" s="60" t="e">
        <f t="shared" si="0"/>
        <v>#N/A</v>
      </c>
      <c r="E42" s="60" t="e">
        <f t="shared" si="4"/>
        <v>#N/A</v>
      </c>
      <c r="F42" s="60" t="e">
        <f t="shared" si="1"/>
        <v>#N/A</v>
      </c>
      <c r="G42" s="60" t="e">
        <f t="shared" si="2"/>
        <v>#N/A</v>
      </c>
      <c r="H42" s="60" t="str">
        <f t="shared" si="5"/>
        <v>N/A</v>
      </c>
      <c r="I42" s="33" t="str">
        <f t="shared" si="6"/>
        <v>N/A</v>
      </c>
      <c r="J42" s="34" t="str">
        <f t="shared" si="3"/>
        <v>N/A</v>
      </c>
      <c r="AD42" s="5"/>
    </row>
    <row r="43" spans="1:30">
      <c r="A43" s="32" t="s">
        <v>85</v>
      </c>
      <c r="B43" s="29"/>
      <c r="C43" s="58" t="e">
        <f>$B$12*IF($B$24=0,$B$23,$B$24)*VLOOKUP(A43,Data!$A$3:$B$14,2,0)</f>
        <v>#N/A</v>
      </c>
      <c r="D43" s="60" t="e">
        <f t="shared" si="0"/>
        <v>#N/A</v>
      </c>
      <c r="E43" s="60" t="e">
        <f t="shared" si="4"/>
        <v>#N/A</v>
      </c>
      <c r="F43" s="60" t="e">
        <f t="shared" si="1"/>
        <v>#N/A</v>
      </c>
      <c r="G43" s="60" t="e">
        <f t="shared" si="2"/>
        <v>#N/A</v>
      </c>
      <c r="H43" s="60" t="str">
        <f t="shared" si="5"/>
        <v>N/A</v>
      </c>
      <c r="I43" s="33" t="str">
        <f t="shared" si="6"/>
        <v>N/A</v>
      </c>
      <c r="J43" s="34" t="str">
        <f t="shared" si="3"/>
        <v>N/A</v>
      </c>
      <c r="AD43" s="5"/>
    </row>
    <row r="44" spans="1:30">
      <c r="A44" s="32" t="s">
        <v>86</v>
      </c>
      <c r="B44" s="29"/>
      <c r="C44" s="58" t="e">
        <f>$B$12*IF($B$24=0,$B$23,$B$24)*VLOOKUP(A44,Data!$A$3:$B$14,2,0)</f>
        <v>#N/A</v>
      </c>
      <c r="D44" s="60" t="e">
        <f t="shared" si="0"/>
        <v>#N/A</v>
      </c>
      <c r="E44" s="60" t="e">
        <f t="shared" si="4"/>
        <v>#N/A</v>
      </c>
      <c r="F44" s="60" t="e">
        <f t="shared" si="1"/>
        <v>#N/A</v>
      </c>
      <c r="G44" s="60" t="e">
        <f t="shared" si="2"/>
        <v>#N/A</v>
      </c>
      <c r="H44" s="60" t="str">
        <f t="shared" si="5"/>
        <v>N/A</v>
      </c>
      <c r="I44" s="33" t="str">
        <f t="shared" si="6"/>
        <v>N/A</v>
      </c>
      <c r="J44" s="34" t="str">
        <f t="shared" si="3"/>
        <v>N/A</v>
      </c>
      <c r="AD44" s="5"/>
    </row>
    <row r="45" spans="1:30">
      <c r="A45" s="32" t="s">
        <v>87</v>
      </c>
      <c r="B45" s="29"/>
      <c r="C45" s="58" t="e">
        <f>$B$12*IF($B$24=0,$B$23,$B$24)*VLOOKUP(A45,Data!$A$3:$B$14,2,0)</f>
        <v>#N/A</v>
      </c>
      <c r="D45" s="60" t="e">
        <f t="shared" si="0"/>
        <v>#N/A</v>
      </c>
      <c r="E45" s="60" t="e">
        <f t="shared" si="4"/>
        <v>#N/A</v>
      </c>
      <c r="F45" s="60" t="e">
        <f t="shared" si="1"/>
        <v>#N/A</v>
      </c>
      <c r="G45" s="60" t="e">
        <f t="shared" si="2"/>
        <v>#N/A</v>
      </c>
      <c r="H45" s="60" t="str">
        <f t="shared" si="5"/>
        <v>N/A</v>
      </c>
      <c r="I45" s="33" t="str">
        <f t="shared" si="6"/>
        <v>N/A</v>
      </c>
      <c r="J45" s="34" t="str">
        <f t="shared" si="3"/>
        <v>N/A</v>
      </c>
      <c r="AD45" s="5"/>
    </row>
    <row r="46" spans="1:30">
      <c r="A46" s="32" t="s">
        <v>88</v>
      </c>
      <c r="B46" s="29"/>
      <c r="C46" s="58" t="e">
        <f>$B$12*IF($B$24=0,$B$23,$B$24)*VLOOKUP(A46,Data!$A$3:$B$14,2,0)</f>
        <v>#N/A</v>
      </c>
      <c r="D46" s="60" t="e">
        <f t="shared" si="0"/>
        <v>#N/A</v>
      </c>
      <c r="E46" s="60" t="e">
        <f t="shared" si="4"/>
        <v>#N/A</v>
      </c>
      <c r="F46" s="60" t="e">
        <f t="shared" si="1"/>
        <v>#N/A</v>
      </c>
      <c r="G46" s="60" t="e">
        <f t="shared" si="2"/>
        <v>#N/A</v>
      </c>
      <c r="H46" s="60" t="str">
        <f t="shared" si="5"/>
        <v>N/A</v>
      </c>
      <c r="I46" s="33" t="str">
        <f t="shared" si="6"/>
        <v>N/A</v>
      </c>
      <c r="J46" s="34" t="str">
        <f t="shared" si="3"/>
        <v>N/A</v>
      </c>
      <c r="AD46" s="5"/>
    </row>
    <row r="47" spans="1:30">
      <c r="A47" s="32" t="s">
        <v>89</v>
      </c>
      <c r="B47" s="29"/>
      <c r="C47" s="58" t="e">
        <f>$B$12*IF($B$24=0,$B$23,$B$24)*VLOOKUP(A47,Data!$A$3:$B$14,2,0)</f>
        <v>#N/A</v>
      </c>
      <c r="D47" s="60" t="e">
        <f t="shared" si="0"/>
        <v>#N/A</v>
      </c>
      <c r="E47" s="60" t="e">
        <f t="shared" si="4"/>
        <v>#N/A</v>
      </c>
      <c r="F47" s="60" t="e">
        <f t="shared" si="1"/>
        <v>#N/A</v>
      </c>
      <c r="G47" s="60" t="e">
        <f t="shared" si="2"/>
        <v>#N/A</v>
      </c>
      <c r="H47" s="60" t="str">
        <f t="shared" si="5"/>
        <v>N/A</v>
      </c>
      <c r="I47" s="33" t="str">
        <f t="shared" si="6"/>
        <v>N/A</v>
      </c>
      <c r="J47" s="34" t="str">
        <f t="shared" si="3"/>
        <v>N/A</v>
      </c>
      <c r="AD47" s="5"/>
    </row>
    <row r="48" spans="1:30">
      <c r="A48" s="32" t="s">
        <v>90</v>
      </c>
      <c r="B48" s="29"/>
      <c r="C48" s="58" t="e">
        <f>$B$12*IF($B$24=0,$B$23,$B$24)*VLOOKUP(A48,Data!$A$3:$B$14,2,0)</f>
        <v>#N/A</v>
      </c>
      <c r="D48" s="60" t="e">
        <f t="shared" si="0"/>
        <v>#N/A</v>
      </c>
      <c r="E48" s="60" t="e">
        <f t="shared" si="4"/>
        <v>#N/A</v>
      </c>
      <c r="F48" s="60" t="e">
        <f t="shared" si="1"/>
        <v>#N/A</v>
      </c>
      <c r="G48" s="60" t="e">
        <f t="shared" si="2"/>
        <v>#N/A</v>
      </c>
      <c r="H48" s="60" t="str">
        <f t="shared" si="5"/>
        <v>N/A</v>
      </c>
      <c r="I48" s="33" t="str">
        <f t="shared" si="6"/>
        <v>N/A</v>
      </c>
      <c r="J48" s="34" t="str">
        <f t="shared" si="3"/>
        <v>N/A</v>
      </c>
      <c r="AD48" s="5"/>
    </row>
    <row r="49" spans="1:30">
      <c r="A49" s="32" t="s">
        <v>91</v>
      </c>
      <c r="B49" s="29"/>
      <c r="C49" s="58" t="e">
        <f>$B$12*IF($B$24=0,$B$23,$B$24)*VLOOKUP(A49,Data!$A$3:$B$14,2,0)</f>
        <v>#N/A</v>
      </c>
      <c r="D49" s="60" t="e">
        <f t="shared" si="0"/>
        <v>#N/A</v>
      </c>
      <c r="E49" s="60" t="e">
        <f t="shared" si="4"/>
        <v>#N/A</v>
      </c>
      <c r="F49" s="60" t="e">
        <f t="shared" si="1"/>
        <v>#N/A</v>
      </c>
      <c r="G49" s="60" t="e">
        <f t="shared" si="2"/>
        <v>#N/A</v>
      </c>
      <c r="H49" s="60" t="str">
        <f t="shared" si="5"/>
        <v>N/A</v>
      </c>
      <c r="I49" s="33" t="str">
        <f t="shared" si="6"/>
        <v>N/A</v>
      </c>
      <c r="J49" s="34" t="str">
        <f t="shared" si="3"/>
        <v>N/A</v>
      </c>
      <c r="AD49" s="5"/>
    </row>
    <row r="50" spans="1:30">
      <c r="A50" s="35" t="s">
        <v>92</v>
      </c>
      <c r="B50" s="29"/>
      <c r="C50" s="58" t="e">
        <f>$B$12*IF($B$24=0,$B$23,$B$24)*VLOOKUP(A50,Data!$A$3:$B$14,2,0)</f>
        <v>#N/A</v>
      </c>
      <c r="D50" s="63" t="e">
        <f t="shared" si="0"/>
        <v>#N/A</v>
      </c>
      <c r="E50" s="63" t="e">
        <f t="shared" si="4"/>
        <v>#N/A</v>
      </c>
      <c r="F50" s="63" t="e">
        <f t="shared" si="1"/>
        <v>#N/A</v>
      </c>
      <c r="G50" s="63" t="e">
        <f t="shared" si="2"/>
        <v>#N/A</v>
      </c>
      <c r="H50" s="63" t="str">
        <f t="shared" si="5"/>
        <v>N/A</v>
      </c>
      <c r="I50" s="36" t="str">
        <f t="shared" si="6"/>
        <v>N/A</v>
      </c>
      <c r="J50" s="37" t="str">
        <f t="shared" si="3"/>
        <v>N/A</v>
      </c>
      <c r="K50" s="5"/>
      <c r="AD50" s="5"/>
    </row>
    <row r="51" spans="1:30">
      <c r="A51" s="20" t="s">
        <v>93</v>
      </c>
      <c r="B51" s="22" t="s">
        <v>94</v>
      </c>
      <c r="C51" s="21" t="str">
        <f>IF(B31="N/A","N/A",MIN(B30-SUM(C39:C50),0))</f>
        <v>N/A</v>
      </c>
      <c r="D51" s="64" t="str">
        <f>IF(C51="N/A",C51,$C51*$B$17)</f>
        <v>N/A</v>
      </c>
      <c r="E51" s="64" t="str">
        <f>IF(D51="N/A",D51,0)</f>
        <v>N/A</v>
      </c>
      <c r="F51" s="64" t="str">
        <f>IF(E51="N/A",E51,0)</f>
        <v>N/A</v>
      </c>
      <c r="G51" s="64" t="str">
        <f>IF(F51="N/A",F51,SUM(D51:F51))</f>
        <v>N/A</v>
      </c>
      <c r="H51" s="64" t="s">
        <v>94</v>
      </c>
      <c r="I51" s="22" t="str">
        <f>IF(OR(B52="N/A",C51="N/A"),"N/A",-G51)</f>
        <v>N/A</v>
      </c>
      <c r="J51" s="23" t="s">
        <v>94</v>
      </c>
    </row>
    <row r="52" spans="1:30">
      <c r="A52" s="24" t="s">
        <v>95</v>
      </c>
      <c r="B52" s="25" t="str">
        <f>IF(SUM(B39:B51)=0,"N/A",SUM(B39:B51))</f>
        <v>N/A</v>
      </c>
      <c r="C52" s="26" t="e">
        <f>SUM(C39:C51)</f>
        <v>#N/A</v>
      </c>
      <c r="D52" s="61" t="e">
        <f t="shared" ref="D52:G52" si="7">SUM(D39:D51)</f>
        <v>#N/A</v>
      </c>
      <c r="E52" s="61" t="e">
        <f t="shared" si="7"/>
        <v>#N/A</v>
      </c>
      <c r="F52" s="61" t="e">
        <f t="shared" si="7"/>
        <v>#N/A</v>
      </c>
      <c r="G52" s="61" t="e">
        <f t="shared" si="7"/>
        <v>#N/A</v>
      </c>
      <c r="H52" s="61">
        <v>0</v>
      </c>
      <c r="I52" s="25" t="str">
        <f>IF(B52="N/A","N/A",SUM(I39:I51))</f>
        <v>N/A</v>
      </c>
      <c r="J52" s="27" t="str">
        <f>IF($B52="N/A","N/A",G52/B52)</f>
        <v>N/A</v>
      </c>
      <c r="L52" s="5"/>
    </row>
    <row r="53" spans="1:30">
      <c r="C53" s="67"/>
      <c r="D53" s="68"/>
    </row>
    <row r="54" spans="1:30">
      <c r="B54" s="69"/>
    </row>
    <row r="55" spans="1:30" ht="18.75">
      <c r="A55" s="13" t="s">
        <v>96</v>
      </c>
    </row>
    <row r="56" spans="1:30">
      <c r="A56" s="14" t="s">
        <v>97</v>
      </c>
    </row>
    <row r="57" spans="1:30">
      <c r="A57" s="14" t="s">
        <v>98</v>
      </c>
    </row>
    <row r="58" spans="1:30">
      <c r="A58" s="14" t="s">
        <v>99</v>
      </c>
    </row>
    <row r="59" spans="1:30" ht="31.5">
      <c r="A59" s="19" t="s">
        <v>100</v>
      </c>
      <c r="B59" s="19" t="s">
        <v>101</v>
      </c>
      <c r="C59" s="19" t="s">
        <v>102</v>
      </c>
      <c r="D59" s="19" t="s">
        <v>103</v>
      </c>
      <c r="E59" s="19" t="s">
        <v>104</v>
      </c>
      <c r="F59" s="19" t="s">
        <v>105</v>
      </c>
      <c r="G59" s="5"/>
    </row>
    <row r="60" spans="1:30">
      <c r="A60" s="28">
        <v>1</v>
      </c>
      <c r="B60" s="57" t="e">
        <f>C52</f>
        <v>#N/A</v>
      </c>
      <c r="C60" s="60" t="e">
        <f>D52</f>
        <v>#N/A</v>
      </c>
      <c r="D60" s="60" t="e">
        <f>E52</f>
        <v>#N/A</v>
      </c>
      <c r="E60" s="60" t="e">
        <f>F52</f>
        <v>#N/A</v>
      </c>
      <c r="F60" s="60" t="e">
        <f t="shared" ref="F60:F80" si="8">SUM(C60:E60)</f>
        <v>#N/A</v>
      </c>
    </row>
    <row r="61" spans="1:30">
      <c r="A61" s="32">
        <v>2</v>
      </c>
      <c r="B61" s="58" t="e">
        <f>B60*(1-Data!$A$40)</f>
        <v>#N/A</v>
      </c>
      <c r="C61" s="60" t="e">
        <f>C60*(1-Data!$A$40)*IF($B$10="Tier 2",(1+Data!$B$37),1)</f>
        <v>#N/A</v>
      </c>
      <c r="D61" s="60" t="e">
        <f>D60*(1-Data!$A$40)*(1+$B$14)</f>
        <v>#N/A</v>
      </c>
      <c r="E61" s="60" t="e">
        <f>E60</f>
        <v>#N/A</v>
      </c>
      <c r="F61" s="60" t="e">
        <f t="shared" si="8"/>
        <v>#N/A</v>
      </c>
    </row>
    <row r="62" spans="1:30">
      <c r="A62" s="32">
        <v>3</v>
      </c>
      <c r="B62" s="58" t="e">
        <f>B61*(1-Data!$A$40)</f>
        <v>#N/A</v>
      </c>
      <c r="C62" s="60" t="e">
        <f>C61*(1-Data!$A$40)*IF($B$10="Tier 2",(1+Data!$B$37),1)</f>
        <v>#N/A</v>
      </c>
      <c r="D62" s="60" t="e">
        <f>D61*(1-Data!$A$40)*(1+$B$14)</f>
        <v>#N/A</v>
      </c>
      <c r="E62" s="60" t="e">
        <f t="shared" ref="E62:E79" si="9">E61</f>
        <v>#N/A</v>
      </c>
      <c r="F62" s="60" t="e">
        <f t="shared" si="8"/>
        <v>#N/A</v>
      </c>
    </row>
    <row r="63" spans="1:30">
      <c r="A63" s="32">
        <v>4</v>
      </c>
      <c r="B63" s="58" t="e">
        <f>B62*(1-Data!$A$40)</f>
        <v>#N/A</v>
      </c>
      <c r="C63" s="60" t="e">
        <f>C62*(1-Data!$A$40)*IF($B$10="Tier 2",(1+Data!$B$37),1)</f>
        <v>#N/A</v>
      </c>
      <c r="D63" s="60" t="e">
        <f>D62*(1-Data!$A$40)*(1+$B$14)</f>
        <v>#N/A</v>
      </c>
      <c r="E63" s="60" t="e">
        <f t="shared" si="9"/>
        <v>#N/A</v>
      </c>
      <c r="F63" s="60" t="e">
        <f t="shared" si="8"/>
        <v>#N/A</v>
      </c>
    </row>
    <row r="64" spans="1:30">
      <c r="A64" s="32">
        <v>5</v>
      </c>
      <c r="B64" s="58" t="e">
        <f>B63*(1-Data!$A$40)</f>
        <v>#N/A</v>
      </c>
      <c r="C64" s="60" t="e">
        <f>C63*(1-Data!$A$40)*IF($B$10="Tier 2",(1+Data!$B$37),1)</f>
        <v>#N/A</v>
      </c>
      <c r="D64" s="60" t="e">
        <f>D63*(1-Data!$A$40)*(1+$B$14)</f>
        <v>#N/A</v>
      </c>
      <c r="E64" s="60" t="e">
        <f t="shared" si="9"/>
        <v>#N/A</v>
      </c>
      <c r="F64" s="60" t="e">
        <f t="shared" si="8"/>
        <v>#N/A</v>
      </c>
    </row>
    <row r="65" spans="1:6">
      <c r="A65" s="32">
        <v>6</v>
      </c>
      <c r="B65" s="58" t="e">
        <f>B64*(1-Data!$A$40)</f>
        <v>#N/A</v>
      </c>
      <c r="C65" s="60" t="e">
        <f>C64*(1-Data!$A$40)*IF($B$10="Tier 2",(1+Data!$B$37),1)</f>
        <v>#N/A</v>
      </c>
      <c r="D65" s="60" t="e">
        <f>D64*(1-Data!$A$40)*(1+$B$14)</f>
        <v>#N/A</v>
      </c>
      <c r="E65" s="60" t="e">
        <f t="shared" si="9"/>
        <v>#N/A</v>
      </c>
      <c r="F65" s="60" t="e">
        <f t="shared" si="8"/>
        <v>#N/A</v>
      </c>
    </row>
    <row r="66" spans="1:6">
      <c r="A66" s="32">
        <v>7</v>
      </c>
      <c r="B66" s="58" t="e">
        <f>B65*(1-Data!$A$40)</f>
        <v>#N/A</v>
      </c>
      <c r="C66" s="60" t="e">
        <f>C65*(1-Data!$A$40)*IF($B$10="Tier 2",(1+Data!$B$37),1)</f>
        <v>#N/A</v>
      </c>
      <c r="D66" s="60" t="e">
        <f>D65*(1-Data!$A$40)*(1+$B$14)</f>
        <v>#N/A</v>
      </c>
      <c r="E66" s="60" t="e">
        <f t="shared" si="9"/>
        <v>#N/A</v>
      </c>
      <c r="F66" s="60" t="e">
        <f t="shared" si="8"/>
        <v>#N/A</v>
      </c>
    </row>
    <row r="67" spans="1:6">
      <c r="A67" s="32">
        <v>8</v>
      </c>
      <c r="B67" s="58" t="e">
        <f>B66*(1-Data!$A$40)</f>
        <v>#N/A</v>
      </c>
      <c r="C67" s="60" t="e">
        <f>C66*(1-Data!$A$40)*IF($B$10="Tier 2",(1+Data!$B$37),1)</f>
        <v>#N/A</v>
      </c>
      <c r="D67" s="60" t="e">
        <f>D66*(1-Data!$A$40)*(1+$B$14)</f>
        <v>#N/A</v>
      </c>
      <c r="E67" s="60" t="e">
        <f t="shared" si="9"/>
        <v>#N/A</v>
      </c>
      <c r="F67" s="60" t="e">
        <f t="shared" si="8"/>
        <v>#N/A</v>
      </c>
    </row>
    <row r="68" spans="1:6">
      <c r="A68" s="32">
        <v>9</v>
      </c>
      <c r="B68" s="58" t="e">
        <f>B67*(1-Data!$A$40)</f>
        <v>#N/A</v>
      </c>
      <c r="C68" s="60" t="e">
        <f>C67*(1-Data!$A$40)*IF($B$10="Tier 2",(1+Data!$B$37),1)</f>
        <v>#N/A</v>
      </c>
      <c r="D68" s="60" t="e">
        <f>D67*(1-Data!$A$40)*(1+$B$14)</f>
        <v>#N/A</v>
      </c>
      <c r="E68" s="60" t="e">
        <f t="shared" si="9"/>
        <v>#N/A</v>
      </c>
      <c r="F68" s="60" t="e">
        <f t="shared" si="8"/>
        <v>#N/A</v>
      </c>
    </row>
    <row r="69" spans="1:6">
      <c r="A69" s="32">
        <v>10</v>
      </c>
      <c r="B69" s="58" t="e">
        <f>B68*(1-Data!$A$40)</f>
        <v>#N/A</v>
      </c>
      <c r="C69" s="60" t="e">
        <f>C68*(1-Data!$A$40)*IF($B$10="Tier 2",(1+Data!$B$37),1)</f>
        <v>#N/A</v>
      </c>
      <c r="D69" s="60" t="e">
        <f>D68*(1-Data!$A$40)*(1+$B$14)</f>
        <v>#N/A</v>
      </c>
      <c r="E69" s="60" t="e">
        <f t="shared" si="9"/>
        <v>#N/A</v>
      </c>
      <c r="F69" s="60" t="e">
        <f t="shared" si="8"/>
        <v>#N/A</v>
      </c>
    </row>
    <row r="70" spans="1:6">
      <c r="A70" s="32">
        <v>11</v>
      </c>
      <c r="B70" s="58" t="e">
        <f>B69*(1-Data!$A$40)</f>
        <v>#N/A</v>
      </c>
      <c r="C70" s="60" t="e">
        <f>C69*(1-Data!$A$40)*IF($B$10="Tier 2",(1+Data!$B$37),1)</f>
        <v>#N/A</v>
      </c>
      <c r="D70" s="60" t="e">
        <f>D69*(1-Data!$A$40)*(1+$B$14)</f>
        <v>#N/A</v>
      </c>
      <c r="E70" s="60" t="e">
        <f t="shared" si="9"/>
        <v>#N/A</v>
      </c>
      <c r="F70" s="60" t="e">
        <f t="shared" si="8"/>
        <v>#N/A</v>
      </c>
    </row>
    <row r="71" spans="1:6">
      <c r="A71" s="32">
        <v>12</v>
      </c>
      <c r="B71" s="58" t="e">
        <f>B70*(1-Data!$A$40)</f>
        <v>#N/A</v>
      </c>
      <c r="C71" s="60" t="e">
        <f>C70*(1-Data!$A$40)*IF($B$10="Tier 2",(1+Data!$B$37),1)</f>
        <v>#N/A</v>
      </c>
      <c r="D71" s="60" t="e">
        <f>D70*(1-Data!$A$40)*(1+$B$14)</f>
        <v>#N/A</v>
      </c>
      <c r="E71" s="60" t="e">
        <f t="shared" si="9"/>
        <v>#N/A</v>
      </c>
      <c r="F71" s="60" t="e">
        <f t="shared" si="8"/>
        <v>#N/A</v>
      </c>
    </row>
    <row r="72" spans="1:6">
      <c r="A72" s="32">
        <v>13</v>
      </c>
      <c r="B72" s="58" t="e">
        <f>B71*(1-Data!$A$40)</f>
        <v>#N/A</v>
      </c>
      <c r="C72" s="60" t="e">
        <f>C71*(1-Data!$A$40)*IF($B$10="Tier 2",(1+Data!$B$37),1)</f>
        <v>#N/A</v>
      </c>
      <c r="D72" s="60" t="e">
        <f>D71*(1-Data!$A$40)*(1+$B$14)</f>
        <v>#N/A</v>
      </c>
      <c r="E72" s="60" t="e">
        <f t="shared" si="9"/>
        <v>#N/A</v>
      </c>
      <c r="F72" s="60" t="e">
        <f t="shared" si="8"/>
        <v>#N/A</v>
      </c>
    </row>
    <row r="73" spans="1:6">
      <c r="A73" s="32">
        <v>14</v>
      </c>
      <c r="B73" s="58" t="e">
        <f>B72*(1-Data!$A$40)</f>
        <v>#N/A</v>
      </c>
      <c r="C73" s="60" t="e">
        <f>C72*(1-Data!$A$40)*IF($B$10="Tier 2",(1+Data!$B$37),1)</f>
        <v>#N/A</v>
      </c>
      <c r="D73" s="60" t="e">
        <f>D72*(1-Data!$A$40)*(1+$B$14)</f>
        <v>#N/A</v>
      </c>
      <c r="E73" s="60" t="e">
        <f t="shared" si="9"/>
        <v>#N/A</v>
      </c>
      <c r="F73" s="60" t="e">
        <f t="shared" si="8"/>
        <v>#N/A</v>
      </c>
    </row>
    <row r="74" spans="1:6">
      <c r="A74" s="32">
        <v>15</v>
      </c>
      <c r="B74" s="58" t="e">
        <f>B73*(1-Data!$A$40)</f>
        <v>#N/A</v>
      </c>
      <c r="C74" s="60" t="e">
        <f>C73*(1-Data!$A$40)*IF($B$10="Tier 2",(1+Data!$B$37),1)</f>
        <v>#N/A</v>
      </c>
      <c r="D74" s="60" t="e">
        <f>D73*(1-Data!$A$40)*(1+$B$14)</f>
        <v>#N/A</v>
      </c>
      <c r="E74" s="60" t="e">
        <f t="shared" si="9"/>
        <v>#N/A</v>
      </c>
      <c r="F74" s="60" t="e">
        <f t="shared" si="8"/>
        <v>#N/A</v>
      </c>
    </row>
    <row r="75" spans="1:6">
      <c r="A75" s="32">
        <v>16</v>
      </c>
      <c r="B75" s="58" t="e">
        <f>B74*(1-Data!$A$40)</f>
        <v>#N/A</v>
      </c>
      <c r="C75" s="60" t="e">
        <f>C74*(1-Data!$A$40)*IF($B$10="Tier 2",(1+Data!$B$37),1)</f>
        <v>#N/A</v>
      </c>
      <c r="D75" s="60" t="e">
        <f>D74*(1-Data!$A$40)*(1+$B$14)</f>
        <v>#N/A</v>
      </c>
      <c r="E75" s="60" t="e">
        <f t="shared" si="9"/>
        <v>#N/A</v>
      </c>
      <c r="F75" s="60" t="e">
        <f t="shared" si="8"/>
        <v>#N/A</v>
      </c>
    </row>
    <row r="76" spans="1:6">
      <c r="A76" s="32">
        <v>17</v>
      </c>
      <c r="B76" s="58" t="e">
        <f>B75*(1-Data!$A$40)</f>
        <v>#N/A</v>
      </c>
      <c r="C76" s="60" t="e">
        <f>C75*(1-Data!$A$40)*IF($B$10="Tier 2",(1+Data!$B$37),1)</f>
        <v>#N/A</v>
      </c>
      <c r="D76" s="60" t="e">
        <f>D75*(1-Data!$A$40)*(1+$B$14)</f>
        <v>#N/A</v>
      </c>
      <c r="E76" s="60" t="e">
        <f t="shared" si="9"/>
        <v>#N/A</v>
      </c>
      <c r="F76" s="60" t="e">
        <f t="shared" si="8"/>
        <v>#N/A</v>
      </c>
    </row>
    <row r="77" spans="1:6">
      <c r="A77" s="32">
        <v>18</v>
      </c>
      <c r="B77" s="58" t="e">
        <f>B76*(1-Data!$A$40)</f>
        <v>#N/A</v>
      </c>
      <c r="C77" s="60" t="e">
        <f>C76*(1-Data!$A$40)*IF($B$10="Tier 2",(1+Data!$B$37),1)</f>
        <v>#N/A</v>
      </c>
      <c r="D77" s="60" t="e">
        <f>D76*(1-Data!$A$40)*(1+$B$14)</f>
        <v>#N/A</v>
      </c>
      <c r="E77" s="60" t="e">
        <f t="shared" si="9"/>
        <v>#N/A</v>
      </c>
      <c r="F77" s="60" t="e">
        <f t="shared" si="8"/>
        <v>#N/A</v>
      </c>
    </row>
    <row r="78" spans="1:6">
      <c r="A78" s="32">
        <v>19</v>
      </c>
      <c r="B78" s="58" t="e">
        <f>B77*(1-Data!$A$40)</f>
        <v>#N/A</v>
      </c>
      <c r="C78" s="60" t="e">
        <f>C77*(1-Data!$A$40)*IF($B$10="Tier 2",(1+Data!$B$37),1)</f>
        <v>#N/A</v>
      </c>
      <c r="D78" s="60" t="e">
        <f>D77*(1-Data!$A$40)*(1+$B$14)</f>
        <v>#N/A</v>
      </c>
      <c r="E78" s="60" t="e">
        <f t="shared" si="9"/>
        <v>#N/A</v>
      </c>
      <c r="F78" s="60" t="e">
        <f t="shared" si="8"/>
        <v>#N/A</v>
      </c>
    </row>
    <row r="79" spans="1:6">
      <c r="A79" s="35">
        <v>20</v>
      </c>
      <c r="B79" s="59" t="e">
        <f>B78*(1-Data!$A$40)</f>
        <v>#N/A</v>
      </c>
      <c r="C79" s="60" t="e">
        <f>C78*(1-Data!$A$40)*IF($B$10="Tier 2",(1+Data!$B$37),1)</f>
        <v>#N/A</v>
      </c>
      <c r="D79" s="60" t="e">
        <f>D78*(1-Data!$A$40)*(1+$B$14)</f>
        <v>#N/A</v>
      </c>
      <c r="E79" s="60" t="e">
        <f t="shared" si="9"/>
        <v>#N/A</v>
      </c>
      <c r="F79" s="60" t="e">
        <f t="shared" si="8"/>
        <v>#N/A</v>
      </c>
    </row>
    <row r="80" spans="1:6">
      <c r="A80" s="26" t="s">
        <v>106</v>
      </c>
      <c r="B80" s="26" t="e">
        <f>SUM(B60:B79)</f>
        <v>#N/A</v>
      </c>
      <c r="C80" s="61" t="e">
        <f t="shared" ref="C80:E80" si="10">SUM(C60:C79)</f>
        <v>#N/A</v>
      </c>
      <c r="D80" s="61" t="e">
        <f t="shared" si="10"/>
        <v>#N/A</v>
      </c>
      <c r="E80" s="61" t="e">
        <f t="shared" si="10"/>
        <v>#N/A</v>
      </c>
      <c r="F80" s="61" t="e">
        <f t="shared" si="8"/>
        <v>#N/A</v>
      </c>
    </row>
  </sheetData>
  <sheetProtection algorithmName="SHA-512" hashValue="+FcRBiVPh8iSKMcgIBVmYbe7kpvAIxvlZg0zsBMmYkkyMYfgPy+mlX4hoJ2NJvEhh8XVM22IfMe4yzDuZM9yuA==" saltValue="iNuTFHAUN9E0evQIjLX9rQ==" spinCount="100000" sheet="1" objects="1" scenarios="1"/>
  <mergeCells count="4">
    <mergeCell ref="A4:N4"/>
    <mergeCell ref="A5:B5"/>
    <mergeCell ref="A6:B6"/>
    <mergeCell ref="A7:B7"/>
  </mergeCells>
  <dataValidations count="5">
    <dataValidation type="list" allowBlank="1" showInputMessage="1" showErrorMessage="1" sqref="C13" xr:uid="{4F3F17F4-E371-45BB-ACD4-03E16D755768}">
      <formula1>"$/kWh,$/kW-Mo"</formula1>
    </dataValidation>
    <dataValidation type="list" allowBlank="1" showInputMessage="1" showErrorMessage="1" sqref="B16" xr:uid="{E44AFAFC-5D85-4D21-8308-D2BBFEDE7D67}">
      <formula1>"Yes,No"</formula1>
    </dataValidation>
    <dataValidation type="list" allowBlank="1" showInputMessage="1" showErrorMessage="1" sqref="B11" xr:uid="{870CA76E-E9A5-4EC7-9AB8-C86274A8851C}">
      <formula1>"PGE,PAC,IPC"</formula1>
    </dataValidation>
    <dataValidation type="list" allowBlank="1" showInputMessage="1" showErrorMessage="1" sqref="B10" xr:uid="{9B161CD0-48A8-4071-AB3E-5D3094B7D999}">
      <formula1>"Tier 1, Tier 2"</formula1>
    </dataValidation>
    <dataValidation type="list" allowBlank="1" showInputMessage="1" showErrorMessage="1" sqref="B15" xr:uid="{AD30F0E9-9699-446C-8024-6AB1C7C00B36}">
      <formula1>"Residential,Low-Income Residential,Non-Residential"</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A4B75-F6E1-5F43-992D-CD13E2A9907A}">
  <dimension ref="A1:C40"/>
  <sheetViews>
    <sheetView showGridLines="0" workbookViewId="0"/>
  </sheetViews>
  <sheetFormatPr defaultColWidth="11" defaultRowHeight="15.75"/>
  <cols>
    <col min="1" max="1" width="37.125" customWidth="1"/>
  </cols>
  <sheetData>
    <row r="1" spans="1:2">
      <c r="A1" s="3" t="s">
        <v>107</v>
      </c>
    </row>
    <row r="2" spans="1:2">
      <c r="A2" s="2" t="s">
        <v>108</v>
      </c>
      <c r="B2" t="s">
        <v>109</v>
      </c>
    </row>
    <row r="3" spans="1:2">
      <c r="A3" t="s">
        <v>90</v>
      </c>
      <c r="B3" s="1">
        <v>3.5782566865207414E-2</v>
      </c>
    </row>
    <row r="4" spans="1:2">
      <c r="A4" t="s">
        <v>91</v>
      </c>
      <c r="B4" s="1">
        <v>6.1049284821104499E-2</v>
      </c>
    </row>
    <row r="5" spans="1:2">
      <c r="A5" t="s">
        <v>92</v>
      </c>
      <c r="B5" s="1">
        <v>6.8577004439903264E-2</v>
      </c>
    </row>
    <row r="6" spans="1:2">
      <c r="A6" t="s">
        <v>81</v>
      </c>
      <c r="B6" s="1">
        <v>9.4757298883013791E-2</v>
      </c>
    </row>
    <row r="7" spans="1:2">
      <c r="A7" t="s">
        <v>82</v>
      </c>
      <c r="B7" s="1">
        <v>0.10778185898402838</v>
      </c>
    </row>
    <row r="8" spans="1:2">
      <c r="A8" t="s">
        <v>83</v>
      </c>
      <c r="B8" s="1">
        <v>0.1151746078175603</v>
      </c>
    </row>
    <row r="9" spans="1:2">
      <c r="A9" t="s">
        <v>84</v>
      </c>
      <c r="B9" s="1">
        <v>0.14187572989136621</v>
      </c>
    </row>
    <row r="10" spans="1:2">
      <c r="A10" t="s">
        <v>85</v>
      </c>
      <c r="B10" s="1">
        <v>0.12552077686963539</v>
      </c>
    </row>
    <row r="11" spans="1:2">
      <c r="A11" t="s">
        <v>86</v>
      </c>
      <c r="B11" s="1">
        <v>0.10319531946402236</v>
      </c>
    </row>
    <row r="12" spans="1:2">
      <c r="A12" t="s">
        <v>87</v>
      </c>
      <c r="B12" s="1">
        <v>6.8769222207777564E-2</v>
      </c>
    </row>
    <row r="13" spans="1:2">
      <c r="A13" t="s">
        <v>88</v>
      </c>
      <c r="B13" s="1">
        <v>4.1955387594635948E-2</v>
      </c>
    </row>
    <row r="14" spans="1:2">
      <c r="A14" t="s">
        <v>89</v>
      </c>
      <c r="B14" s="1">
        <v>3.55609421617449E-2</v>
      </c>
    </row>
    <row r="15" spans="1:2">
      <c r="A15" s="6" t="s">
        <v>110</v>
      </c>
    </row>
    <row r="18" spans="1:3">
      <c r="A18" s="3" t="s">
        <v>111</v>
      </c>
    </row>
    <row r="19" spans="1:3">
      <c r="A19" t="s">
        <v>36</v>
      </c>
      <c r="B19" t="s">
        <v>112</v>
      </c>
    </row>
    <row r="20" spans="1:3">
      <c r="A20" t="s">
        <v>113</v>
      </c>
      <c r="B20" s="53">
        <v>1950</v>
      </c>
    </row>
    <row r="21" spans="1:3">
      <c r="A21" t="s">
        <v>114</v>
      </c>
      <c r="B21" s="53">
        <v>2217.161111111111</v>
      </c>
    </row>
    <row r="22" spans="1:3">
      <c r="A22" t="s">
        <v>115</v>
      </c>
      <c r="B22" s="53">
        <v>2311.5254237288136</v>
      </c>
    </row>
    <row r="23" spans="1:3">
      <c r="A23" s="6" t="s">
        <v>116</v>
      </c>
    </row>
    <row r="26" spans="1:3">
      <c r="A26" s="3" t="s">
        <v>117</v>
      </c>
    </row>
    <row r="27" spans="1:3" ht="47.25">
      <c r="A27" s="3"/>
      <c r="B27" s="2" t="s">
        <v>47</v>
      </c>
      <c r="C27" s="2" t="s">
        <v>118</v>
      </c>
    </row>
    <row r="28" spans="1:3">
      <c r="A28" t="s">
        <v>113</v>
      </c>
      <c r="B28" s="4">
        <v>0.11234</v>
      </c>
      <c r="C28" s="4">
        <v>0.11</v>
      </c>
    </row>
    <row r="29" spans="1:3">
      <c r="A29" t="s">
        <v>114</v>
      </c>
      <c r="B29" s="4">
        <v>9.7699999999999995E-2</v>
      </c>
      <c r="C29" s="4">
        <v>0.2</v>
      </c>
    </row>
    <row r="30" spans="1:3">
      <c r="A30" t="s">
        <v>115</v>
      </c>
      <c r="B30" s="4">
        <v>8.48E-2</v>
      </c>
      <c r="C30" s="4">
        <v>0.48</v>
      </c>
    </row>
    <row r="32" spans="1:3">
      <c r="A32" s="3" t="s">
        <v>119</v>
      </c>
    </row>
    <row r="33" spans="1:2">
      <c r="A33" s="5">
        <v>0.85</v>
      </c>
    </row>
    <row r="35" spans="1:2">
      <c r="A35" s="3" t="s">
        <v>120</v>
      </c>
    </row>
    <row r="36" spans="1:2">
      <c r="A36" t="s">
        <v>121</v>
      </c>
      <c r="B36" s="52">
        <v>0.1</v>
      </c>
    </row>
    <row r="37" spans="1:2">
      <c r="A37" t="s">
        <v>122</v>
      </c>
      <c r="B37" s="52">
        <v>0.02</v>
      </c>
    </row>
    <row r="39" spans="1:2">
      <c r="A39" s="3" t="s">
        <v>123</v>
      </c>
    </row>
    <row r="40" spans="1:2">
      <c r="A40" s="54">
        <v>5.0000000000000001E-3</v>
      </c>
    </row>
  </sheetData>
  <sheetProtection algorithmName="SHA-512" hashValue="C4SBhOtjiUxOKdE9Z6ngHTVJTalDX/jLtMSz15MRwobONfK6dgve27E0eQC5smEYu+uVQ63ghICkS7By9DOpyg==" saltValue="z61nW/iqcMZ7PAhDd52Heg==" spinCount="100000" sheet="1" objects="1" scenarios="1"/>
  <phoneticPr fontId="6"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956E25094A9748A43F1D79894A3F05" ma:contentTypeVersion="13" ma:contentTypeDescription="Create a new document." ma:contentTypeScope="" ma:versionID="c5f6905700349a5c4ec5bcf5f00bf792">
  <xsd:schema xmlns:xsd="http://www.w3.org/2001/XMLSchema" xmlns:xs="http://www.w3.org/2001/XMLSchema" xmlns:p="http://schemas.microsoft.com/office/2006/metadata/properties" xmlns:ns2="1286d89d-1b87-4861-be0f-2e356d2e856e" xmlns:ns3="4e791d59-c99b-4915-a716-b4cf52f7ca9b" targetNamespace="http://schemas.microsoft.com/office/2006/metadata/properties" ma:root="true" ma:fieldsID="2f459d9c3c962e88387413eb5ba26381" ns2:_="" ns3:_="">
    <xsd:import namespace="1286d89d-1b87-4861-be0f-2e356d2e856e"/>
    <xsd:import namespace="4e791d59-c99b-4915-a716-b4cf52f7ca9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86d89d-1b87-4861-be0f-2e356d2e8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e791d59-c99b-4915-a716-b4cf52f7ca9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BB0F90-9D46-4E3B-9593-0FBBBE7B5CED}"/>
</file>

<file path=customXml/itemProps2.xml><?xml version="1.0" encoding="utf-8"?>
<ds:datastoreItem xmlns:ds="http://schemas.openxmlformats.org/officeDocument/2006/customXml" ds:itemID="{B3DC9139-B037-4AC9-9A0B-08C04357285D}"/>
</file>

<file path=customXml/itemProps3.xml><?xml version="1.0" encoding="utf-8"?>
<ds:datastoreItem xmlns:ds="http://schemas.openxmlformats.org/officeDocument/2006/customXml" ds:itemID="{3F39DDE3-EF77-48EA-B342-D08E11AAD5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Cook</dc:creator>
  <cp:keywords/>
  <dc:description/>
  <cp:lastModifiedBy/>
  <cp:revision/>
  <dcterms:created xsi:type="dcterms:W3CDTF">2020-04-08T17:52:27Z</dcterms:created>
  <dcterms:modified xsi:type="dcterms:W3CDTF">2022-05-09T23:29:26Z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0x0101008C956E25094A9748A43F1D79894A3F05</vt:lpwstr>
  </property>
</Properties>
</file>